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30" yWindow="45" windowWidth="15480" windowHeight="8580" tabRatio="853" activeTab="1"/>
  </bookViews>
  <sheets>
    <sheet name="Kalend" sheetId="2" r:id="rId1"/>
    <sheet name="Kal E" sheetId="3" r:id="rId2"/>
    <sheet name="Reit" sheetId="4" r:id="rId3"/>
    <sheet name="1" sheetId="21" r:id="rId4"/>
    <sheet name="2" sheetId="43" r:id="rId5"/>
    <sheet name="3" sheetId="45" r:id="rId6"/>
    <sheet name="4" sheetId="46" r:id="rId7"/>
    <sheet name="5" sheetId="48" r:id="rId8"/>
    <sheet name="6" sheetId="50" r:id="rId9"/>
    <sheet name="7" sheetId="54" r:id="rId10"/>
    <sheet name="Mu" sheetId="55" r:id="rId11"/>
    <sheet name="8" sheetId="58" r:id="rId12"/>
    <sheet name="9" sheetId="64" r:id="rId13"/>
    <sheet name="10" sheetId="65" r:id="rId14"/>
    <sheet name="11" sheetId="68" r:id="rId15"/>
    <sheet name="V" sheetId="5" r:id="rId16"/>
    <sheet name="V1" sheetId="20" r:id="rId17"/>
    <sheet name="V2" sheetId="47" r:id="rId18"/>
    <sheet name="V3" sheetId="59" r:id="rId19"/>
    <sheet name="V4" sheetId="52" r:id="rId20"/>
    <sheet name="V5" sheetId="53" r:id="rId21"/>
    <sheet name="V6" sheetId="56" r:id="rId22"/>
    <sheet name="V7" sheetId="57" r:id="rId23"/>
    <sheet name="V8" sheetId="60" r:id="rId24"/>
    <sheet name="V9" sheetId="62" r:id="rId25"/>
    <sheet name="V10" sheetId="66" r:id="rId26"/>
    <sheet name="M" sheetId="41" r:id="rId27"/>
    <sheet name="M1" sheetId="42" r:id="rId28"/>
    <sheet name="M2" sheetId="49" r:id="rId29"/>
    <sheet name="M3" sheetId="61" r:id="rId30"/>
    <sheet name="M4" sheetId="67" r:id="rId31"/>
    <sheet name="M5" sheetId="69" r:id="rId32"/>
    <sheet name="templ" sheetId="1" state="hidden" r:id="rId33"/>
    <sheet name="ETAPP" sheetId="6" state="hidden" r:id="rId34"/>
    <sheet name="PIV" sheetId="7" state="hidden" r:id="rId35"/>
  </sheets>
  <externalReferences>
    <externalReference r:id="rId36"/>
  </externalReferences>
  <definedNames>
    <definedName name="_xlnm._FilterDatabase" localSheetId="0" hidden="1">Kalend!$A$3:$I$34</definedName>
    <definedName name="_xlnm._FilterDatabase" localSheetId="26" hidden="1">M!$R$6:$T$6</definedName>
    <definedName name="_xlnm._FilterDatabase" localSheetId="2" hidden="1">Reit!$AA$7:$AC$7</definedName>
    <definedName name="_xlnm._FilterDatabase" localSheetId="15" hidden="1">V!$AJ$6:$AL$6</definedName>
    <definedName name="a" localSheetId="13">#REF!</definedName>
    <definedName name="a" localSheetId="14">#REF!</definedName>
    <definedName name="a" localSheetId="11">#REF!</definedName>
    <definedName name="a" localSheetId="12">#REF!</definedName>
    <definedName name="a" localSheetId="29">#REF!</definedName>
    <definedName name="a" localSheetId="30">#REF!</definedName>
    <definedName name="a" localSheetId="31">#REF!</definedName>
    <definedName name="a" localSheetId="25">#REF!</definedName>
    <definedName name="a" localSheetId="18">#REF!</definedName>
    <definedName name="a" localSheetId="21">#REF!</definedName>
    <definedName name="a" localSheetId="22">#REF!</definedName>
    <definedName name="a" localSheetId="23">#REF!</definedName>
    <definedName name="a" localSheetId="24">#REF!</definedName>
    <definedName name="a">#REF!</definedName>
    <definedName name="Nimed" localSheetId="13">#REF!</definedName>
    <definedName name="Nimed" localSheetId="14">#REF!</definedName>
    <definedName name="Nimed" localSheetId="9">#REF!</definedName>
    <definedName name="Nimed" localSheetId="11">#REF!</definedName>
    <definedName name="Nimed" localSheetId="12">#REF!</definedName>
    <definedName name="Nimed" localSheetId="29">#REF!</definedName>
    <definedName name="Nimed" localSheetId="30">#REF!</definedName>
    <definedName name="Nimed" localSheetId="31">#REF!</definedName>
    <definedName name="Nimed" localSheetId="25">#REF!</definedName>
    <definedName name="Nimed" localSheetId="18">#REF!</definedName>
    <definedName name="Nimed" localSheetId="21">#REF!</definedName>
    <definedName name="Nimed" localSheetId="22">#REF!</definedName>
    <definedName name="Nimed" localSheetId="23">#REF!</definedName>
    <definedName name="Nimed" localSheetId="24">#REF!</definedName>
    <definedName name="Nimed">#REF!</definedName>
    <definedName name="_xlnm.Print_Area" localSheetId="15">V!$A$1:$AL$58</definedName>
    <definedName name="_xlnm.Print_Titles" localSheetId="8">'6'!$1:$2</definedName>
    <definedName name="_xlnm.Print_Titles" localSheetId="9">'7'!$1:$7</definedName>
    <definedName name="_xlnm.Print_Titles" localSheetId="1">'Kal E'!$1:$3</definedName>
    <definedName name="_xlnm.Print_Titles" localSheetId="0">Kalend!$1:$3</definedName>
    <definedName name="_xlnm.Print_Titles" localSheetId="26">M!$1:$6</definedName>
    <definedName name="_xlnm.Print_Titles" localSheetId="10">Mu!$1:$2</definedName>
    <definedName name="_xlnm.Print_Titles" localSheetId="2">Reit!$1:$7</definedName>
    <definedName name="_xlnm.Print_Titles" localSheetId="15">V!$1:$6</definedName>
    <definedName name="sd" localSheetId="13">#REF!</definedName>
    <definedName name="sd" localSheetId="14">#REF!</definedName>
    <definedName name="sd" localSheetId="9">#REF!</definedName>
    <definedName name="sd" localSheetId="11">#REF!</definedName>
    <definedName name="sd" localSheetId="12">#REF!</definedName>
    <definedName name="sd" localSheetId="29">#REF!</definedName>
    <definedName name="sd" localSheetId="30">#REF!</definedName>
    <definedName name="sd" localSheetId="31">#REF!</definedName>
    <definedName name="sd" localSheetId="25">#REF!</definedName>
    <definedName name="sd" localSheetId="18">#REF!</definedName>
    <definedName name="sd" localSheetId="21">#REF!</definedName>
    <definedName name="sd" localSheetId="22">#REF!</definedName>
    <definedName name="sd" localSheetId="23">#REF!</definedName>
    <definedName name="sd" localSheetId="24">#REF!</definedName>
    <definedName name="sd">#REF!</definedName>
    <definedName name="Voka" localSheetId="13">#REF!</definedName>
    <definedName name="Voka" localSheetId="14">#REF!</definedName>
    <definedName name="Voka" localSheetId="11">#REF!</definedName>
    <definedName name="Voka" localSheetId="12">#REF!</definedName>
    <definedName name="Voka" localSheetId="29">#REF!</definedName>
    <definedName name="Voka" localSheetId="30">#REF!</definedName>
    <definedName name="Voka" localSheetId="31">#REF!</definedName>
    <definedName name="Voka" localSheetId="25">#REF!</definedName>
    <definedName name="Voka" localSheetId="18">#REF!</definedName>
    <definedName name="Voka" localSheetId="21">#REF!</definedName>
    <definedName name="Voka" localSheetId="22">#REF!</definedName>
    <definedName name="Voka" localSheetId="23">#REF!</definedName>
    <definedName name="Voka" localSheetId="24">#REF!</definedName>
    <definedName name="Voka">#REF!</definedName>
  </definedNames>
  <calcPr calcId="145621"/>
</workbook>
</file>

<file path=xl/calcChain.xml><?xml version="1.0" encoding="utf-8"?>
<calcChain xmlns="http://schemas.openxmlformats.org/spreadsheetml/2006/main">
  <c r="Z43" i="5" l="1"/>
  <c r="M90" i="3" l="1"/>
  <c r="C32" i="3" l="1"/>
  <c r="C34" i="3"/>
  <c r="K97" i="3"/>
  <c r="I50" i="41"/>
  <c r="N50" i="41"/>
  <c r="AC50" i="41"/>
  <c r="AE9" i="69"/>
  <c r="AE10" i="69"/>
  <c r="AE11" i="69"/>
  <c r="AE12" i="69"/>
  <c r="AE13" i="69"/>
  <c r="AE14" i="69"/>
  <c r="AE15" i="69"/>
  <c r="AE16" i="69"/>
  <c r="AE17" i="69"/>
  <c r="AE18" i="69"/>
  <c r="AE19" i="69"/>
  <c r="AE20" i="69"/>
  <c r="AE21" i="69"/>
  <c r="AE22" i="69"/>
  <c r="AE23" i="69"/>
  <c r="AE24" i="69"/>
  <c r="AE25" i="69"/>
  <c r="AE26" i="69"/>
  <c r="AE27" i="69"/>
  <c r="B318" i="69"/>
  <c r="B319" i="69"/>
  <c r="Y26" i="69"/>
  <c r="AA26" i="69"/>
  <c r="Y27" i="69"/>
  <c r="AA27" i="69"/>
  <c r="AA25" i="69"/>
  <c r="Y25" i="69"/>
  <c r="AA24" i="69"/>
  <c r="Y24" i="69"/>
  <c r="AA23" i="69"/>
  <c r="Y23" i="69"/>
  <c r="AA22" i="69"/>
  <c r="Y22" i="69"/>
  <c r="AA21" i="69"/>
  <c r="Y21" i="69"/>
  <c r="AA20" i="69"/>
  <c r="Y20" i="69"/>
  <c r="AA19" i="69"/>
  <c r="Y19" i="69"/>
  <c r="AA18" i="69"/>
  <c r="Y18" i="69"/>
  <c r="AA17" i="69"/>
  <c r="Y17" i="69"/>
  <c r="AA16" i="69"/>
  <c r="Y16" i="69"/>
  <c r="AA15" i="69"/>
  <c r="Y15" i="69"/>
  <c r="AA14" i="69"/>
  <c r="Y14" i="69"/>
  <c r="AA13" i="69"/>
  <c r="Y13" i="69"/>
  <c r="AA12" i="69"/>
  <c r="Y12" i="69"/>
  <c r="AA11" i="69"/>
  <c r="Y11" i="69"/>
  <c r="AA10" i="69"/>
  <c r="Y10" i="69"/>
  <c r="AA9" i="69"/>
  <c r="Y9" i="69"/>
  <c r="AE8" i="69"/>
  <c r="AA8" i="69"/>
  <c r="Y8" i="69"/>
  <c r="A4" i="69"/>
  <c r="A3" i="69"/>
  <c r="A2" i="69"/>
  <c r="A1" i="69"/>
  <c r="B317" i="69" s="1"/>
  <c r="B300" i="69" l="1"/>
  <c r="B302" i="69"/>
  <c r="B304" i="69"/>
  <c r="B306" i="69"/>
  <c r="B308" i="69"/>
  <c r="B310" i="69"/>
  <c r="B312" i="69"/>
  <c r="B314" i="69"/>
  <c r="B316" i="69"/>
  <c r="B301" i="69"/>
  <c r="B303" i="69"/>
  <c r="B305" i="69"/>
  <c r="B307" i="69"/>
  <c r="B309" i="69"/>
  <c r="B311" i="69"/>
  <c r="B313" i="69"/>
  <c r="B315" i="69"/>
  <c r="A4" i="68"/>
  <c r="A3" i="68"/>
  <c r="A2" i="68"/>
  <c r="A1" i="68"/>
  <c r="AF21" i="68"/>
  <c r="AB21" i="68"/>
  <c r="Z21" i="68"/>
  <c r="AC21" i="68" s="1"/>
  <c r="W21" i="68"/>
  <c r="AF20" i="68"/>
  <c r="AB20" i="68"/>
  <c r="Z20" i="68"/>
  <c r="W20" i="68"/>
  <c r="AF19" i="68"/>
  <c r="AB19" i="68"/>
  <c r="Z19" i="68"/>
  <c r="W19" i="68"/>
  <c r="AF18" i="68"/>
  <c r="AB18" i="68"/>
  <c r="Z18" i="68"/>
  <c r="W18" i="68"/>
  <c r="AF17" i="68"/>
  <c r="AB17" i="68"/>
  <c r="Z17" i="68"/>
  <c r="W17" i="68"/>
  <c r="AF16" i="68"/>
  <c r="AB16" i="68"/>
  <c r="Z16" i="68"/>
  <c r="W16" i="68"/>
  <c r="AF15" i="68"/>
  <c r="AB15" i="68"/>
  <c r="Z15" i="68"/>
  <c r="W15" i="68"/>
  <c r="AF14" i="68"/>
  <c r="AB14" i="68"/>
  <c r="Z14" i="68"/>
  <c r="W14" i="68"/>
  <c r="AF13" i="68"/>
  <c r="AB13" i="68"/>
  <c r="Z13" i="68"/>
  <c r="W13" i="68"/>
  <c r="AF12" i="68"/>
  <c r="AB12" i="68"/>
  <c r="Z12" i="68"/>
  <c r="W12" i="68"/>
  <c r="AF11" i="68"/>
  <c r="AB11" i="68"/>
  <c r="Z11" i="68"/>
  <c r="W11" i="68"/>
  <c r="AF10" i="68"/>
  <c r="AB10" i="68"/>
  <c r="Z10" i="68"/>
  <c r="W10" i="68"/>
  <c r="AF9" i="68"/>
  <c r="AB9" i="68"/>
  <c r="Z9" i="68"/>
  <c r="W9" i="68"/>
  <c r="AF8" i="68"/>
  <c r="AB8" i="68"/>
  <c r="Z8" i="68"/>
  <c r="W8" i="68"/>
  <c r="M93" i="3"/>
  <c r="M74" i="3"/>
  <c r="K93" i="3"/>
  <c r="I46" i="41"/>
  <c r="A4" i="67"/>
  <c r="A3" i="67"/>
  <c r="A2" i="67"/>
  <c r="A1" i="67"/>
  <c r="AE23" i="67"/>
  <c r="AA23" i="67"/>
  <c r="Y23" i="67"/>
  <c r="AE22" i="67"/>
  <c r="AA22" i="67"/>
  <c r="Y22" i="67"/>
  <c r="AE21" i="67"/>
  <c r="AA21" i="67"/>
  <c r="Y21" i="67"/>
  <c r="AE20" i="67"/>
  <c r="AA20" i="67"/>
  <c r="Y20" i="67"/>
  <c r="AE19" i="67"/>
  <c r="AA19" i="67"/>
  <c r="Y19" i="67"/>
  <c r="AE18" i="67"/>
  <c r="AA18" i="67"/>
  <c r="Y18" i="67"/>
  <c r="AE17" i="67"/>
  <c r="AA17" i="67"/>
  <c r="Y17" i="67"/>
  <c r="AE16" i="67"/>
  <c r="AA16" i="67"/>
  <c r="Y16" i="67"/>
  <c r="AE15" i="67"/>
  <c r="AA15" i="67"/>
  <c r="Y15" i="67"/>
  <c r="AE14" i="67"/>
  <c r="AA14" i="67"/>
  <c r="Y14" i="67"/>
  <c r="AE13" i="67"/>
  <c r="AA13" i="67"/>
  <c r="Y13" i="67"/>
  <c r="AE12" i="67"/>
  <c r="AA12" i="67"/>
  <c r="Y12" i="67"/>
  <c r="AE11" i="67"/>
  <c r="AA11" i="67"/>
  <c r="Y11" i="67"/>
  <c r="AE10" i="67"/>
  <c r="AA10" i="67"/>
  <c r="Y10" i="67"/>
  <c r="AE9" i="67"/>
  <c r="AA9" i="67"/>
  <c r="Y9" i="67"/>
  <c r="AE8" i="67"/>
  <c r="AA8" i="67"/>
  <c r="Y8" i="67"/>
  <c r="Q10" i="41" l="1"/>
  <c r="Q13" i="41"/>
  <c r="Q11" i="41"/>
  <c r="Q17" i="41"/>
  <c r="Q12" i="41"/>
  <c r="Q22" i="41"/>
  <c r="Q23" i="41"/>
  <c r="Q19" i="41"/>
  <c r="Q26" i="41"/>
  <c r="Q28" i="41"/>
  <c r="Q31" i="41"/>
  <c r="Q29" i="41"/>
  <c r="Q34" i="41"/>
  <c r="Q38" i="41"/>
  <c r="Q40" i="41"/>
  <c r="Q20" i="41"/>
  <c r="Q43" i="41"/>
  <c r="Q47" i="41"/>
  <c r="Q48" i="41"/>
  <c r="Q52" i="41"/>
  <c r="Q54" i="41"/>
  <c r="Q56" i="41"/>
  <c r="Q58" i="41"/>
  <c r="Q45" i="41"/>
  <c r="Q61" i="41"/>
  <c r="Q63" i="41"/>
  <c r="Q65" i="41"/>
  <c r="Q67" i="41"/>
  <c r="Q69" i="41"/>
  <c r="Q71" i="41"/>
  <c r="Q73" i="41"/>
  <c r="Q75" i="41"/>
  <c r="Q77" i="41"/>
  <c r="Q79" i="41"/>
  <c r="Q81" i="41"/>
  <c r="Q83" i="41"/>
  <c r="Q85" i="41"/>
  <c r="Q87" i="41"/>
  <c r="Q35" i="41"/>
  <c r="Q90" i="41"/>
  <c r="Q92" i="41"/>
  <c r="Q94" i="41"/>
  <c r="Q96" i="41"/>
  <c r="Q98" i="41"/>
  <c r="Q100" i="41"/>
  <c r="Q102" i="41"/>
  <c r="Q104" i="41"/>
  <c r="Q106" i="41"/>
  <c r="Q108" i="41"/>
  <c r="Q110" i="41"/>
  <c r="Q112" i="41"/>
  <c r="Q114" i="41"/>
  <c r="Q116" i="41"/>
  <c r="Q118" i="41"/>
  <c r="Q120" i="41"/>
  <c r="Q122" i="41"/>
  <c r="Q124" i="41"/>
  <c r="Q126" i="41"/>
  <c r="Q128" i="41"/>
  <c r="Q130" i="41"/>
  <c r="Q132" i="41"/>
  <c r="Q134" i="41"/>
  <c r="Q135" i="41"/>
  <c r="Q50" i="41"/>
  <c r="Q137" i="41"/>
  <c r="Q139" i="41"/>
  <c r="Q141" i="41"/>
  <c r="Q143" i="41"/>
  <c r="Q145" i="41"/>
  <c r="Q147" i="41"/>
  <c r="Q149" i="41"/>
  <c r="Q151" i="41"/>
  <c r="Q153" i="41"/>
  <c r="Q155" i="41"/>
  <c r="Q8" i="41"/>
  <c r="Q9" i="41"/>
  <c r="Q14" i="41"/>
  <c r="Q15" i="41"/>
  <c r="Q18" i="41"/>
  <c r="Q21" i="41"/>
  <c r="Q24" i="41"/>
  <c r="Q25" i="41"/>
  <c r="Q16" i="41"/>
  <c r="Q27" i="41"/>
  <c r="Q30" i="41"/>
  <c r="Q33" i="41"/>
  <c r="Q36" i="41"/>
  <c r="Q37" i="41"/>
  <c r="Q39" i="41"/>
  <c r="Q41" i="41"/>
  <c r="Q42" i="41"/>
  <c r="Q46" i="41"/>
  <c r="Q32" i="41"/>
  <c r="Q49" i="41"/>
  <c r="Q53" i="41"/>
  <c r="Q55" i="41"/>
  <c r="Q57" i="41"/>
  <c r="Q59" i="41"/>
  <c r="Q60" i="41"/>
  <c r="Q62" i="41"/>
  <c r="Q64" i="41"/>
  <c r="Q66" i="41"/>
  <c r="Q68" i="41"/>
  <c r="Q70" i="41"/>
  <c r="Q72" i="41"/>
  <c r="Q74" i="41"/>
  <c r="Q76" i="41"/>
  <c r="Q78" i="41"/>
  <c r="Q80" i="41"/>
  <c r="Q82" i="41"/>
  <c r="Q84" i="41"/>
  <c r="Q86" i="41"/>
  <c r="Q88" i="41"/>
  <c r="Q89" i="41"/>
  <c r="Q91" i="41"/>
  <c r="Q93" i="41"/>
  <c r="Q95" i="41"/>
  <c r="Q97" i="41"/>
  <c r="Q99" i="41"/>
  <c r="Q101" i="41"/>
  <c r="Q103" i="41"/>
  <c r="Q105" i="41"/>
  <c r="Q107" i="41"/>
  <c r="Q109" i="41"/>
  <c r="Q111" i="41"/>
  <c r="Q113" i="41"/>
  <c r="Q115" i="41"/>
  <c r="Q117" i="41"/>
  <c r="Q119" i="41"/>
  <c r="Q121" i="41"/>
  <c r="Q123" i="41"/>
  <c r="Q125" i="41"/>
  <c r="Q127" i="41"/>
  <c r="Q129" i="41"/>
  <c r="Q131" i="41"/>
  <c r="Q133" i="41"/>
  <c r="Q44" i="41"/>
  <c r="Q136" i="41"/>
  <c r="Q51" i="41"/>
  <c r="Q138" i="41"/>
  <c r="Q140" i="41"/>
  <c r="Q142" i="41"/>
  <c r="Q144" i="41"/>
  <c r="Q146" i="41"/>
  <c r="Q148" i="41"/>
  <c r="Q150" i="41"/>
  <c r="Q152" i="41"/>
  <c r="Q154" i="41"/>
  <c r="Q7" i="41"/>
  <c r="AC8" i="68"/>
  <c r="AC9" i="68"/>
  <c r="AC10" i="68"/>
  <c r="AC11" i="68"/>
  <c r="AC12" i="68"/>
  <c r="AC13" i="68"/>
  <c r="AC14" i="68"/>
  <c r="AC15" i="68"/>
  <c r="AC16" i="68"/>
  <c r="AC17" i="68"/>
  <c r="AC18" i="68"/>
  <c r="AC19" i="68"/>
  <c r="AC20" i="68"/>
  <c r="B300" i="68"/>
  <c r="B302" i="68"/>
  <c r="B304" i="68"/>
  <c r="B306" i="68"/>
  <c r="B308" i="68"/>
  <c r="B310" i="68"/>
  <c r="B312" i="68"/>
  <c r="B301" i="68"/>
  <c r="B303" i="68"/>
  <c r="B305" i="68"/>
  <c r="B307" i="68"/>
  <c r="B309" i="68"/>
  <c r="B311" i="68"/>
  <c r="B313" i="68"/>
  <c r="B300" i="67"/>
  <c r="B302" i="67"/>
  <c r="B304" i="67"/>
  <c r="B306" i="67"/>
  <c r="B308" i="67"/>
  <c r="B310" i="67"/>
  <c r="B312" i="67"/>
  <c r="B314" i="67"/>
  <c r="B301" i="67"/>
  <c r="B303" i="67"/>
  <c r="B305" i="67"/>
  <c r="B307" i="67"/>
  <c r="B309" i="67"/>
  <c r="B311" i="67"/>
  <c r="B313" i="67"/>
  <c r="B315" i="67"/>
  <c r="C93" i="3"/>
  <c r="A4" i="66"/>
  <c r="A3" i="66"/>
  <c r="A2" i="66"/>
  <c r="A1" i="66"/>
  <c r="C307" i="66"/>
  <c r="C306" i="66"/>
  <c r="C305" i="66"/>
  <c r="C304" i="66"/>
  <c r="C303" i="66"/>
  <c r="C302" i="66"/>
  <c r="C301" i="66"/>
  <c r="C300" i="66"/>
  <c r="AM15" i="66"/>
  <c r="AL15" i="66" s="1"/>
  <c r="AK15" i="66"/>
  <c r="AJ15" i="66" s="1"/>
  <c r="AI15" i="66"/>
  <c r="AG15" i="66"/>
  <c r="AB15" i="66"/>
  <c r="Z15" i="66"/>
  <c r="W15" i="66"/>
  <c r="AM14" i="66"/>
  <c r="AL14" i="66" s="1"/>
  <c r="AK14" i="66"/>
  <c r="AJ14" i="66" s="1"/>
  <c r="AI14" i="66"/>
  <c r="AG14" i="66"/>
  <c r="AB14" i="66"/>
  <c r="Z14" i="66"/>
  <c r="W14" i="66"/>
  <c r="AM13" i="66"/>
  <c r="AL13" i="66" s="1"/>
  <c r="AK13" i="66"/>
  <c r="AJ13" i="66" s="1"/>
  <c r="AI13" i="66"/>
  <c r="AG13" i="66"/>
  <c r="AB13" i="66"/>
  <c r="Z13" i="66"/>
  <c r="W13" i="66"/>
  <c r="AM12" i="66"/>
  <c r="AL12" i="66" s="1"/>
  <c r="AK12" i="66"/>
  <c r="AJ12" i="66" s="1"/>
  <c r="AI12" i="66"/>
  <c r="AG12" i="66"/>
  <c r="AB12" i="66"/>
  <c r="Z12" i="66"/>
  <c r="W12" i="66"/>
  <c r="AM11" i="66"/>
  <c r="AL11" i="66" s="1"/>
  <c r="AK11" i="66"/>
  <c r="AJ11" i="66" s="1"/>
  <c r="AI11" i="66"/>
  <c r="AG11" i="66"/>
  <c r="AB11" i="66"/>
  <c r="Z11" i="66"/>
  <c r="W11" i="66"/>
  <c r="AM10" i="66"/>
  <c r="AL10" i="66" s="1"/>
  <c r="AK10" i="66"/>
  <c r="AJ10" i="66" s="1"/>
  <c r="AI10" i="66"/>
  <c r="AG10" i="66"/>
  <c r="AB10" i="66"/>
  <c r="Z10" i="66"/>
  <c r="W10" i="66"/>
  <c r="AM9" i="66"/>
  <c r="AL9" i="66" s="1"/>
  <c r="AK9" i="66"/>
  <c r="AJ9" i="66" s="1"/>
  <c r="AI9" i="66"/>
  <c r="AG9" i="66"/>
  <c r="AB9" i="66"/>
  <c r="Z9" i="66"/>
  <c r="W9" i="66"/>
  <c r="AM8" i="66"/>
  <c r="AL8" i="66" s="1"/>
  <c r="AK8" i="66"/>
  <c r="AJ8" i="66" s="1"/>
  <c r="AI8" i="66"/>
  <c r="AG8" i="66"/>
  <c r="AB8" i="66"/>
  <c r="Z8" i="66"/>
  <c r="W8" i="66"/>
  <c r="P50" i="41" l="1"/>
  <c r="AE50" i="41" s="1"/>
  <c r="AF50" i="41"/>
  <c r="Z10" i="4"/>
  <c r="Z13" i="4"/>
  <c r="Z15" i="4"/>
  <c r="Z16" i="4"/>
  <c r="Z18" i="4"/>
  <c r="Z24" i="4"/>
  <c r="Z25" i="4"/>
  <c r="Z22" i="4"/>
  <c r="Z26" i="4"/>
  <c r="Z28" i="4"/>
  <c r="Z30" i="4"/>
  <c r="Z32" i="4"/>
  <c r="Z34" i="4"/>
  <c r="Z36" i="4"/>
  <c r="Z38" i="4"/>
  <c r="Z40" i="4"/>
  <c r="Z42" i="4"/>
  <c r="Z44" i="4"/>
  <c r="Z46" i="4"/>
  <c r="Z49" i="4"/>
  <c r="Z51" i="4"/>
  <c r="Z53" i="4"/>
  <c r="Z55" i="4"/>
  <c r="Z57" i="4"/>
  <c r="Z59" i="4"/>
  <c r="Z61" i="4"/>
  <c r="Z63" i="4"/>
  <c r="Z48" i="4"/>
  <c r="Z66" i="4"/>
  <c r="Z68" i="4"/>
  <c r="Z70" i="4"/>
  <c r="Z72" i="4"/>
  <c r="Z75" i="4"/>
  <c r="Z73" i="4"/>
  <c r="Z78" i="4"/>
  <c r="Z80" i="4"/>
  <c r="Z82" i="4"/>
  <c r="Z84" i="4"/>
  <c r="Z86" i="4"/>
  <c r="Z88" i="4"/>
  <c r="Z90" i="4"/>
  <c r="Z92" i="4"/>
  <c r="Z94" i="4"/>
  <c r="Z96" i="4"/>
  <c r="Z98" i="4"/>
  <c r="Z100" i="4"/>
  <c r="Z102" i="4"/>
  <c r="Z104" i="4"/>
  <c r="Z106" i="4"/>
  <c r="Z108" i="4"/>
  <c r="Z110" i="4"/>
  <c r="Z112" i="4"/>
  <c r="Z114" i="4"/>
  <c r="Z8" i="4"/>
  <c r="Z9" i="4"/>
  <c r="Z12" i="4"/>
  <c r="Z11" i="4"/>
  <c r="Z17" i="4"/>
  <c r="Z14" i="4"/>
  <c r="Z21" i="4"/>
  <c r="Z20" i="4"/>
  <c r="Z19" i="4"/>
  <c r="Z23" i="4"/>
  <c r="Z27" i="4"/>
  <c r="Z29" i="4"/>
  <c r="Z31" i="4"/>
  <c r="Z33" i="4"/>
  <c r="Z35" i="4"/>
  <c r="Z37" i="4"/>
  <c r="Z39" i="4"/>
  <c r="Z41" i="4"/>
  <c r="Z43" i="4"/>
  <c r="Z45" i="4"/>
  <c r="Z47" i="4"/>
  <c r="Z50" i="4"/>
  <c r="Z52" i="4"/>
  <c r="Z54" i="4"/>
  <c r="Z56" i="4"/>
  <c r="Z58" i="4"/>
  <c r="Z60" i="4"/>
  <c r="Z62" i="4"/>
  <c r="Z64" i="4"/>
  <c r="Z65" i="4"/>
  <c r="Z67" i="4"/>
  <c r="Z69" i="4"/>
  <c r="Z71" i="4"/>
  <c r="Z74" i="4"/>
  <c r="Z76" i="4"/>
  <c r="Z77" i="4"/>
  <c r="Z79" i="4"/>
  <c r="Z81" i="4"/>
  <c r="Z83" i="4"/>
  <c r="Z85" i="4"/>
  <c r="Z87" i="4"/>
  <c r="Z89" i="4"/>
  <c r="Z91" i="4"/>
  <c r="Z93" i="4"/>
  <c r="Z95" i="4"/>
  <c r="Z97" i="4"/>
  <c r="Z99" i="4"/>
  <c r="Z101" i="4"/>
  <c r="Z103" i="4"/>
  <c r="Z105" i="4"/>
  <c r="Z107" i="4"/>
  <c r="Z109" i="4"/>
  <c r="Z111" i="4"/>
  <c r="Z113" i="4"/>
  <c r="Z115" i="4"/>
  <c r="P9" i="41"/>
  <c r="P8" i="41"/>
  <c r="P15" i="41"/>
  <c r="P14" i="41"/>
  <c r="P24" i="41"/>
  <c r="P23" i="41"/>
  <c r="P21" i="41"/>
  <c r="P26" i="41"/>
  <c r="P12" i="41"/>
  <c r="P30" i="41"/>
  <c r="P33" i="41"/>
  <c r="P36" i="41"/>
  <c r="P39" i="41"/>
  <c r="P34" i="41"/>
  <c r="P20" i="41"/>
  <c r="P43" i="41"/>
  <c r="P32" i="41"/>
  <c r="P49" i="41"/>
  <c r="P53" i="41"/>
  <c r="P55" i="41"/>
  <c r="P57" i="41"/>
  <c r="P59" i="41"/>
  <c r="P60" i="41"/>
  <c r="P62" i="41"/>
  <c r="P64" i="41"/>
  <c r="P66" i="41"/>
  <c r="P68" i="41"/>
  <c r="P70" i="41"/>
  <c r="P71" i="41"/>
  <c r="P73" i="41"/>
  <c r="P75" i="41"/>
  <c r="P10" i="41"/>
  <c r="P13" i="41"/>
  <c r="P17" i="41"/>
  <c r="P22" i="41"/>
  <c r="P18" i="41"/>
  <c r="P11" i="41"/>
  <c r="P16" i="41"/>
  <c r="P27" i="41"/>
  <c r="P28" i="41"/>
  <c r="P31" i="41"/>
  <c r="P29" i="41"/>
  <c r="P25" i="41"/>
  <c r="P40" i="41"/>
  <c r="P41" i="41"/>
  <c r="P37" i="41"/>
  <c r="P47" i="41"/>
  <c r="P48" i="41"/>
  <c r="P52" i="41"/>
  <c r="P54" i="41"/>
  <c r="P56" i="41"/>
  <c r="P58" i="41"/>
  <c r="P45" i="41"/>
  <c r="P61" i="41"/>
  <c r="P63" i="41"/>
  <c r="P65" i="41"/>
  <c r="P67" i="41"/>
  <c r="P69" i="41"/>
  <c r="P46" i="41"/>
  <c r="P72" i="41"/>
  <c r="P74" i="41"/>
  <c r="P76" i="41"/>
  <c r="P77" i="41"/>
  <c r="P79" i="41"/>
  <c r="P81" i="41"/>
  <c r="P83" i="41"/>
  <c r="P84" i="41"/>
  <c r="P86" i="41"/>
  <c r="P42" i="41"/>
  <c r="P35" i="41"/>
  <c r="P90" i="41"/>
  <c r="P92" i="41"/>
  <c r="P94" i="41"/>
  <c r="P96" i="41"/>
  <c r="P98" i="41"/>
  <c r="P100" i="41"/>
  <c r="P102" i="41"/>
  <c r="P104" i="41"/>
  <c r="P106" i="41"/>
  <c r="P108" i="41"/>
  <c r="P110" i="41"/>
  <c r="P112" i="41"/>
  <c r="P114" i="41"/>
  <c r="P116" i="41"/>
  <c r="P118" i="41"/>
  <c r="P120" i="41"/>
  <c r="P122" i="41"/>
  <c r="P124" i="41"/>
  <c r="P126" i="41"/>
  <c r="P128" i="41"/>
  <c r="P130" i="41"/>
  <c r="P132" i="41"/>
  <c r="P134" i="41"/>
  <c r="P135" i="41"/>
  <c r="P51" i="41"/>
  <c r="P138" i="41"/>
  <c r="P140" i="41"/>
  <c r="P142" i="41"/>
  <c r="P144" i="41"/>
  <c r="P146" i="41"/>
  <c r="P147" i="41"/>
  <c r="P149" i="41"/>
  <c r="P151" i="41"/>
  <c r="P153" i="41"/>
  <c r="P155" i="41"/>
  <c r="P78" i="41"/>
  <c r="P80" i="41"/>
  <c r="P82" i="41"/>
  <c r="P38" i="41"/>
  <c r="P85" i="41"/>
  <c r="P87" i="41"/>
  <c r="P88" i="41"/>
  <c r="P89" i="41"/>
  <c r="P91" i="41"/>
  <c r="P93" i="41"/>
  <c r="P95" i="41"/>
  <c r="P97" i="41"/>
  <c r="P99" i="41"/>
  <c r="P101" i="41"/>
  <c r="P103" i="41"/>
  <c r="P105" i="41"/>
  <c r="P107" i="41"/>
  <c r="P109" i="41"/>
  <c r="P111" i="41"/>
  <c r="P113" i="41"/>
  <c r="P115" i="41"/>
  <c r="P117" i="41"/>
  <c r="P119" i="41"/>
  <c r="P121" i="41"/>
  <c r="P123" i="41"/>
  <c r="P125" i="41"/>
  <c r="P127" i="41"/>
  <c r="P129" i="41"/>
  <c r="P131" i="41"/>
  <c r="P133" i="41"/>
  <c r="P44" i="41"/>
  <c r="P136" i="41"/>
  <c r="P137" i="41"/>
  <c r="P139" i="41"/>
  <c r="P141" i="41"/>
  <c r="P143" i="41"/>
  <c r="P145" i="41"/>
  <c r="P19" i="41"/>
  <c r="P148" i="41"/>
  <c r="P150" i="41"/>
  <c r="P152" i="41"/>
  <c r="P154" i="41"/>
  <c r="P7" i="41"/>
  <c r="AC9" i="66"/>
  <c r="AC11" i="66"/>
  <c r="AC13" i="66"/>
  <c r="AC15" i="66"/>
  <c r="AC8" i="66"/>
  <c r="AC10" i="66"/>
  <c r="AC12" i="66"/>
  <c r="AC14" i="66"/>
  <c r="B300" i="66"/>
  <c r="B301" i="66"/>
  <c r="B302" i="66"/>
  <c r="B303" i="66"/>
  <c r="B304" i="66"/>
  <c r="B305" i="66"/>
  <c r="B306" i="66"/>
  <c r="B307" i="66"/>
  <c r="M87" i="3"/>
  <c r="A4" i="65"/>
  <c r="A3" i="65"/>
  <c r="A2" i="65"/>
  <c r="A1" i="65"/>
  <c r="AM14" i="65"/>
  <c r="AK14" i="65"/>
  <c r="AI14" i="65"/>
  <c r="AH14" i="65" s="1"/>
  <c r="AG14" i="65"/>
  <c r="AB14" i="65"/>
  <c r="Z14" i="65"/>
  <c r="W14" i="65"/>
  <c r="AM13" i="65"/>
  <c r="AK13" i="65"/>
  <c r="AI13" i="65"/>
  <c r="AH13" i="65"/>
  <c r="AG13" i="65"/>
  <c r="AB13" i="65"/>
  <c r="Z13" i="65"/>
  <c r="W13" i="65"/>
  <c r="AM12" i="65"/>
  <c r="AK12" i="65"/>
  <c r="AI12" i="65"/>
  <c r="AH12" i="65" s="1"/>
  <c r="AG12" i="65"/>
  <c r="AB12" i="65"/>
  <c r="Z12" i="65"/>
  <c r="AC12" i="65" s="1"/>
  <c r="W12" i="65"/>
  <c r="AM11" i="65"/>
  <c r="AK11" i="65"/>
  <c r="AI11" i="65"/>
  <c r="AH11" i="65" s="1"/>
  <c r="AG11" i="65"/>
  <c r="AB11" i="65"/>
  <c r="Z11" i="65"/>
  <c r="W11" i="65"/>
  <c r="AM10" i="65"/>
  <c r="AK10" i="65"/>
  <c r="AI10" i="65"/>
  <c r="AH10" i="65" s="1"/>
  <c r="AG10" i="65"/>
  <c r="AB10" i="65"/>
  <c r="Z10" i="65"/>
  <c r="AC10" i="65" s="1"/>
  <c r="W10" i="65"/>
  <c r="AM9" i="65"/>
  <c r="AK9" i="65"/>
  <c r="AI9" i="65"/>
  <c r="AH9" i="65" s="1"/>
  <c r="AG9" i="65"/>
  <c r="AB9" i="65"/>
  <c r="Z9" i="65"/>
  <c r="AC9" i="65" s="1"/>
  <c r="W9" i="65"/>
  <c r="AM8" i="65"/>
  <c r="AK8" i="65"/>
  <c r="AI8" i="65"/>
  <c r="AH8" i="65" s="1"/>
  <c r="AG8" i="65"/>
  <c r="AB8" i="65"/>
  <c r="Z8" i="65"/>
  <c r="W8" i="65"/>
  <c r="AI8" i="5" l="1"/>
  <c r="AI10" i="5"/>
  <c r="AI15" i="5"/>
  <c r="AI14" i="5"/>
  <c r="AI17" i="5"/>
  <c r="AI18" i="5"/>
  <c r="AI19" i="5"/>
  <c r="AI23" i="5"/>
  <c r="AI24" i="5"/>
  <c r="AI27" i="5"/>
  <c r="AI29" i="5"/>
  <c r="AI32" i="5"/>
  <c r="AI33" i="5"/>
  <c r="AI34" i="5"/>
  <c r="AI36" i="5"/>
  <c r="AI38" i="5"/>
  <c r="AI40" i="5"/>
  <c r="AI42" i="5"/>
  <c r="AI43" i="5"/>
  <c r="AI46" i="5"/>
  <c r="AI48" i="5"/>
  <c r="AI50" i="5"/>
  <c r="AI52" i="5"/>
  <c r="AI55" i="5"/>
  <c r="AI56" i="5"/>
  <c r="AI9" i="5"/>
  <c r="AI12" i="5"/>
  <c r="AI11" i="5"/>
  <c r="AI13" i="5"/>
  <c r="AI16" i="5"/>
  <c r="AI20" i="5"/>
  <c r="AI21" i="5"/>
  <c r="AI22" i="5"/>
  <c r="AI25" i="5"/>
  <c r="AI26" i="5"/>
  <c r="AI30" i="5"/>
  <c r="AI31" i="5"/>
  <c r="AI28" i="5"/>
  <c r="AI35" i="5"/>
  <c r="AI37" i="5"/>
  <c r="AI39" i="5"/>
  <c r="AI41" i="5"/>
  <c r="AI44" i="5"/>
  <c r="AI45" i="5"/>
  <c r="AI49" i="5"/>
  <c r="AI53" i="5"/>
  <c r="AI7" i="5"/>
  <c r="AI47" i="5"/>
  <c r="AI51" i="5"/>
  <c r="AI54" i="5"/>
  <c r="AC14" i="65"/>
  <c r="AC8" i="65"/>
  <c r="AC11" i="65"/>
  <c r="AC13" i="65"/>
  <c r="B301" i="65"/>
  <c r="B303" i="65"/>
  <c r="B305" i="65"/>
  <c r="B300" i="65"/>
  <c r="B302" i="65"/>
  <c r="B304" i="65"/>
  <c r="B306" i="65"/>
  <c r="L86" i="3"/>
  <c r="M84" i="3"/>
  <c r="BR56" i="5" l="1"/>
  <c r="BR54" i="5"/>
  <c r="BR55" i="5"/>
  <c r="BR53" i="5"/>
  <c r="BR52" i="5"/>
  <c r="BR51" i="5"/>
  <c r="BR50" i="5"/>
  <c r="BR49" i="5"/>
  <c r="BR48" i="5"/>
  <c r="BR47" i="5"/>
  <c r="BR46" i="5"/>
  <c r="BR45" i="5"/>
  <c r="BR43" i="5"/>
  <c r="BR44" i="5"/>
  <c r="BR42" i="5"/>
  <c r="BR41" i="5"/>
  <c r="BR40" i="5"/>
  <c r="BR39" i="5"/>
  <c r="BR38" i="5"/>
  <c r="BR37" i="5"/>
  <c r="BR36" i="5"/>
  <c r="BR35" i="5"/>
  <c r="BR34" i="5"/>
  <c r="BR33" i="5"/>
  <c r="BR32" i="5"/>
  <c r="BR31" i="5"/>
  <c r="BR30" i="5"/>
  <c r="BR29" i="5"/>
  <c r="BR28" i="5"/>
  <c r="BR26" i="5"/>
  <c r="BR27" i="5"/>
  <c r="BR25" i="5"/>
  <c r="BR24" i="5"/>
  <c r="BR23" i="5"/>
  <c r="BR22" i="5"/>
  <c r="BR21" i="5"/>
  <c r="BR19" i="5"/>
  <c r="BR20" i="5"/>
  <c r="BR18" i="5"/>
  <c r="BR17" i="5"/>
  <c r="BR16" i="5"/>
  <c r="BR15" i="5"/>
  <c r="BR14" i="5"/>
  <c r="BR13" i="5"/>
  <c r="BR12" i="5"/>
  <c r="BR11" i="5"/>
  <c r="BR10" i="5"/>
  <c r="BR9" i="5"/>
  <c r="BR8" i="5"/>
  <c r="BR7" i="5"/>
  <c r="BR6" i="5"/>
  <c r="Y10" i="4"/>
  <c r="Y13" i="4"/>
  <c r="Y17" i="4"/>
  <c r="Y15" i="4"/>
  <c r="Y21" i="4"/>
  <c r="Y26" i="4"/>
  <c r="Y20" i="4"/>
  <c r="Y19" i="4"/>
  <c r="Y24" i="4"/>
  <c r="Y31" i="4"/>
  <c r="Y33" i="4"/>
  <c r="Y28" i="4"/>
  <c r="Y32" i="4"/>
  <c r="Y34" i="4"/>
  <c r="Y39" i="4"/>
  <c r="Y41" i="4"/>
  <c r="Y43" i="4"/>
  <c r="Y45" i="4"/>
  <c r="Y47" i="4"/>
  <c r="Y50" i="4"/>
  <c r="Y52" i="4"/>
  <c r="Y54" i="4"/>
  <c r="Y56" i="4"/>
  <c r="Y58" i="4"/>
  <c r="Y60" i="4"/>
  <c r="Y62" i="4"/>
  <c r="Y64" i="4"/>
  <c r="Y65" i="4"/>
  <c r="Y67" i="4"/>
  <c r="Y38" i="4"/>
  <c r="Y70" i="4"/>
  <c r="Y72" i="4"/>
  <c r="Y75" i="4"/>
  <c r="Y73" i="4"/>
  <c r="Y78" i="4"/>
  <c r="Y80" i="4"/>
  <c r="Y82" i="4"/>
  <c r="Y84" i="4"/>
  <c r="Y86" i="4"/>
  <c r="Y88" i="4"/>
  <c r="Y90" i="4"/>
  <c r="Y92" i="4"/>
  <c r="Y94" i="4"/>
  <c r="Y96" i="4"/>
  <c r="Y98" i="4"/>
  <c r="Y100" i="4"/>
  <c r="Y102" i="4"/>
  <c r="Y104" i="4"/>
  <c r="Y106" i="4"/>
  <c r="Y108" i="4"/>
  <c r="Y110" i="4"/>
  <c r="Y112" i="4"/>
  <c r="Y114" i="4"/>
  <c r="Y8" i="4"/>
  <c r="Y12" i="4"/>
  <c r="Y16" i="4"/>
  <c r="Y27" i="4"/>
  <c r="Y25" i="4"/>
  <c r="Y23" i="4"/>
  <c r="Y30" i="4"/>
  <c r="Y36" i="4"/>
  <c r="Y40" i="4"/>
  <c r="Y44" i="4"/>
  <c r="Y49" i="4"/>
  <c r="Y53" i="4"/>
  <c r="Y57" i="4"/>
  <c r="Y61" i="4"/>
  <c r="Y48" i="4"/>
  <c r="Y68" i="4"/>
  <c r="Y71" i="4"/>
  <c r="Y76" i="4"/>
  <c r="Y79" i="4"/>
  <c r="Y83" i="4"/>
  <c r="Y85" i="4"/>
  <c r="Y89" i="4"/>
  <c r="Y93" i="4"/>
  <c r="Y97" i="4"/>
  <c r="Y101" i="4"/>
  <c r="Y105" i="4"/>
  <c r="Y109" i="4"/>
  <c r="Y113" i="4"/>
  <c r="Y9" i="4"/>
  <c r="Y11" i="4"/>
  <c r="Y18" i="4"/>
  <c r="Y14" i="4"/>
  <c r="Y22" i="4"/>
  <c r="Y29" i="4"/>
  <c r="Y35" i="4"/>
  <c r="Y37" i="4"/>
  <c r="Y42" i="4"/>
  <c r="Y46" i="4"/>
  <c r="Y51" i="4"/>
  <c r="Y55" i="4"/>
  <c r="Y59" i="4"/>
  <c r="Y63" i="4"/>
  <c r="Y66" i="4"/>
  <c r="Y69" i="4"/>
  <c r="Y74" i="4"/>
  <c r="Y77" i="4"/>
  <c r="Y81" i="4"/>
  <c r="Y87" i="4"/>
  <c r="Y91" i="4"/>
  <c r="Y95" i="4"/>
  <c r="Y99" i="4"/>
  <c r="Y103" i="4"/>
  <c r="Y107" i="4"/>
  <c r="Y111" i="4"/>
  <c r="Y115" i="4"/>
  <c r="N73" i="3"/>
  <c r="L73" i="3"/>
  <c r="M67" i="3"/>
  <c r="M69" i="3" l="1"/>
  <c r="M68" i="3"/>
  <c r="M70" i="3" l="1"/>
  <c r="M83" i="3"/>
  <c r="K80" i="3"/>
  <c r="AG9" i="64"/>
  <c r="AI9" i="64"/>
  <c r="AK9" i="64"/>
  <c r="AJ9" i="64" s="1"/>
  <c r="AM9" i="64"/>
  <c r="AL9" i="64" s="1"/>
  <c r="AG10" i="64"/>
  <c r="AI10" i="64"/>
  <c r="AJ10" i="64"/>
  <c r="AK10" i="64"/>
  <c r="AL10" i="64"/>
  <c r="AM10" i="64"/>
  <c r="AG11" i="64"/>
  <c r="AI11" i="64"/>
  <c r="AK11" i="64"/>
  <c r="AJ11" i="64" s="1"/>
  <c r="AM11" i="64"/>
  <c r="AL11" i="64" s="1"/>
  <c r="AG12" i="64"/>
  <c r="AI12" i="64"/>
  <c r="AJ12" i="64"/>
  <c r="AK12" i="64"/>
  <c r="AL12" i="64"/>
  <c r="AM12" i="64"/>
  <c r="AG13" i="64"/>
  <c r="AI13" i="64"/>
  <c r="AK13" i="64"/>
  <c r="AJ13" i="64" s="1"/>
  <c r="AM13" i="64"/>
  <c r="AL13" i="64" s="1"/>
  <c r="AG14" i="64"/>
  <c r="AI14" i="64"/>
  <c r="AJ14" i="64"/>
  <c r="AK14" i="64"/>
  <c r="AL14" i="64"/>
  <c r="AM14" i="64"/>
  <c r="AG15" i="64"/>
  <c r="AI15" i="64"/>
  <c r="AK15" i="64"/>
  <c r="AJ15" i="64" s="1"/>
  <c r="AM15" i="64"/>
  <c r="AL15" i="64" s="1"/>
  <c r="AG16" i="64"/>
  <c r="AI16" i="64"/>
  <c r="AJ16" i="64"/>
  <c r="AK16" i="64"/>
  <c r="AL16" i="64"/>
  <c r="AM16" i="64"/>
  <c r="AG17" i="64"/>
  <c r="AI17" i="64"/>
  <c r="AK17" i="64"/>
  <c r="AJ17" i="64" s="1"/>
  <c r="AM17" i="64"/>
  <c r="AL17" i="64" s="1"/>
  <c r="W8" i="64"/>
  <c r="W9" i="64"/>
  <c r="W10" i="64"/>
  <c r="W11" i="64"/>
  <c r="W12" i="64"/>
  <c r="W13" i="64"/>
  <c r="W14" i="64"/>
  <c r="W15" i="64"/>
  <c r="W16" i="64"/>
  <c r="W17" i="64"/>
  <c r="Z17" i="64"/>
  <c r="AB17" i="64"/>
  <c r="AC17" i="64" s="1"/>
  <c r="A4" i="64"/>
  <c r="A3" i="64"/>
  <c r="A2" i="64"/>
  <c r="A1" i="64"/>
  <c r="B308" i="64" s="1"/>
  <c r="AB16" i="64"/>
  <c r="Z16" i="64"/>
  <c r="AC16" i="64" s="1"/>
  <c r="AB15" i="64"/>
  <c r="Z15" i="64"/>
  <c r="AC15" i="64" s="1"/>
  <c r="AB14" i="64"/>
  <c r="Z14" i="64"/>
  <c r="AC14" i="64" s="1"/>
  <c r="AB13" i="64"/>
  <c r="Z13" i="64"/>
  <c r="AC13" i="64" s="1"/>
  <c r="AB12" i="64"/>
  <c r="Z12" i="64"/>
  <c r="AB11" i="64"/>
  <c r="Z11" i="64"/>
  <c r="AB10" i="64"/>
  <c r="Z10" i="64"/>
  <c r="AB9" i="64"/>
  <c r="Z9" i="64"/>
  <c r="AM8" i="64"/>
  <c r="AL8" i="64" s="1"/>
  <c r="AK8" i="64"/>
  <c r="AJ8" i="64" s="1"/>
  <c r="AI8" i="64"/>
  <c r="AG8" i="64"/>
  <c r="AB8" i="64"/>
  <c r="Z8" i="64"/>
  <c r="M78" i="3"/>
  <c r="B309" i="64" l="1"/>
  <c r="AC8" i="64"/>
  <c r="AC9" i="64"/>
  <c r="AC10" i="64"/>
  <c r="AC11" i="64"/>
  <c r="AC12" i="64"/>
  <c r="B301" i="64"/>
  <c r="B303" i="64"/>
  <c r="B305" i="64"/>
  <c r="B307" i="64"/>
  <c r="B300" i="64"/>
  <c r="B302" i="64"/>
  <c r="B304" i="64"/>
  <c r="B306" i="64"/>
  <c r="A4" i="62"/>
  <c r="A3" i="62"/>
  <c r="A2" i="62"/>
  <c r="A1" i="62"/>
  <c r="C307" i="62"/>
  <c r="C306" i="62"/>
  <c r="C305" i="62"/>
  <c r="C304" i="62"/>
  <c r="C303" i="62"/>
  <c r="C302" i="62"/>
  <c r="C301" i="62"/>
  <c r="C300" i="62"/>
  <c r="AM15" i="62"/>
  <c r="AL15" i="62" s="1"/>
  <c r="AK15" i="62"/>
  <c r="AJ15" i="62" s="1"/>
  <c r="AI15" i="62"/>
  <c r="AG15" i="62"/>
  <c r="AB15" i="62"/>
  <c r="Z15" i="62"/>
  <c r="W15" i="62"/>
  <c r="AM14" i="62"/>
  <c r="AK14" i="62"/>
  <c r="AI14" i="62"/>
  <c r="AG14" i="62"/>
  <c r="AB14" i="62"/>
  <c r="Z14" i="62"/>
  <c r="W14" i="62"/>
  <c r="AM13" i="62"/>
  <c r="AL13" i="62" s="1"/>
  <c r="AK13" i="62"/>
  <c r="AJ13" i="62" s="1"/>
  <c r="AI13" i="62"/>
  <c r="AG13" i="62"/>
  <c r="AB13" i="62"/>
  <c r="Z13" i="62"/>
  <c r="W13" i="62"/>
  <c r="AM12" i="62"/>
  <c r="AL12" i="62" s="1"/>
  <c r="AK12" i="62"/>
  <c r="AJ12" i="62" s="1"/>
  <c r="AI12" i="62"/>
  <c r="AG12" i="62"/>
  <c r="AB12" i="62"/>
  <c r="Z12" i="62"/>
  <c r="W12" i="62"/>
  <c r="AM11" i="62"/>
  <c r="AL11" i="62" s="1"/>
  <c r="AK11" i="62"/>
  <c r="AJ11" i="62" s="1"/>
  <c r="AI11" i="62"/>
  <c r="AG11" i="62"/>
  <c r="AB11" i="62"/>
  <c r="Z11" i="62"/>
  <c r="W11" i="62"/>
  <c r="AM10" i="62"/>
  <c r="AL10" i="62" s="1"/>
  <c r="AK10" i="62"/>
  <c r="AJ10" i="62" s="1"/>
  <c r="AI10" i="62"/>
  <c r="AG10" i="62"/>
  <c r="AB10" i="62"/>
  <c r="Z10" i="62"/>
  <c r="W10" i="62"/>
  <c r="AM9" i="62"/>
  <c r="AL9" i="62" s="1"/>
  <c r="AK9" i="62"/>
  <c r="AJ9" i="62" s="1"/>
  <c r="AI9" i="62"/>
  <c r="AG9" i="62"/>
  <c r="AB9" i="62"/>
  <c r="Z9" i="62"/>
  <c r="W9" i="62"/>
  <c r="AM8" i="62"/>
  <c r="AL8" i="62" s="1"/>
  <c r="AK8" i="62"/>
  <c r="AJ8" i="62" s="1"/>
  <c r="AI8" i="62"/>
  <c r="AG8" i="62"/>
  <c r="AB8" i="62"/>
  <c r="Z8" i="62"/>
  <c r="W8" i="62"/>
  <c r="X13" i="4" l="1"/>
  <c r="X12" i="4"/>
  <c r="X17" i="4"/>
  <c r="X18" i="4"/>
  <c r="X21" i="4"/>
  <c r="X25" i="4"/>
  <c r="X20" i="4"/>
  <c r="X14" i="4"/>
  <c r="X19" i="4"/>
  <c r="X23" i="4"/>
  <c r="X29" i="4"/>
  <c r="X35" i="4"/>
  <c r="X30" i="4"/>
  <c r="X34" i="4"/>
  <c r="X40" i="4"/>
  <c r="X42" i="4"/>
  <c r="X45" i="4"/>
  <c r="X47" i="4"/>
  <c r="X49" i="4"/>
  <c r="X51" i="4"/>
  <c r="X53" i="4"/>
  <c r="X55" i="4"/>
  <c r="X57" i="4"/>
  <c r="X59" i="4"/>
  <c r="X61" i="4"/>
  <c r="X63" i="4"/>
  <c r="X65" i="4"/>
  <c r="X67" i="4"/>
  <c r="X38" i="4"/>
  <c r="X70" i="4"/>
  <c r="X72" i="4"/>
  <c r="X75" i="4"/>
  <c r="X73" i="4"/>
  <c r="X78" i="4"/>
  <c r="X80" i="4"/>
  <c r="X82" i="4"/>
  <c r="X84" i="4"/>
  <c r="X86" i="4"/>
  <c r="X88" i="4"/>
  <c r="X90" i="4"/>
  <c r="X92" i="4"/>
  <c r="X94" i="4"/>
  <c r="X95" i="4"/>
  <c r="X97" i="4"/>
  <c r="X99" i="4"/>
  <c r="X101" i="4"/>
  <c r="X103" i="4"/>
  <c r="X48" i="4"/>
  <c r="X106" i="4"/>
  <c r="X108" i="4"/>
  <c r="X110" i="4"/>
  <c r="X112" i="4"/>
  <c r="X114" i="4"/>
  <c r="X8" i="4"/>
  <c r="X9" i="4"/>
  <c r="X11" i="4"/>
  <c r="X10" i="4"/>
  <c r="X16" i="4"/>
  <c r="X15" i="4"/>
  <c r="X26" i="4"/>
  <c r="X22" i="4"/>
  <c r="X27" i="4"/>
  <c r="X31" i="4"/>
  <c r="X33" i="4"/>
  <c r="X28" i="4"/>
  <c r="X24" i="4"/>
  <c r="X32" i="4"/>
  <c r="X36" i="4"/>
  <c r="X39" i="4"/>
  <c r="X41" i="4"/>
  <c r="X43" i="4"/>
  <c r="X46" i="4"/>
  <c r="X37" i="4"/>
  <c r="X50" i="4"/>
  <c r="X52" i="4"/>
  <c r="X54" i="4"/>
  <c r="X56" i="4"/>
  <c r="X58" i="4"/>
  <c r="X60" i="4"/>
  <c r="X62" i="4"/>
  <c r="X64" i="4"/>
  <c r="X66" i="4"/>
  <c r="X68" i="4"/>
  <c r="X69" i="4"/>
  <c r="X71" i="4"/>
  <c r="X74" i="4"/>
  <c r="X76" i="4"/>
  <c r="X77" i="4"/>
  <c r="X79" i="4"/>
  <c r="X81" i="4"/>
  <c r="X83" i="4"/>
  <c r="X85" i="4"/>
  <c r="X87" i="4"/>
  <c r="X89" i="4"/>
  <c r="X91" i="4"/>
  <c r="X93" i="4"/>
  <c r="X44" i="4"/>
  <c r="X96" i="4"/>
  <c r="X98" i="4"/>
  <c r="X100" i="4"/>
  <c r="X102" i="4"/>
  <c r="X104" i="4"/>
  <c r="X105" i="4"/>
  <c r="X107" i="4"/>
  <c r="X109" i="4"/>
  <c r="X111" i="4"/>
  <c r="X113" i="4"/>
  <c r="X115" i="4"/>
  <c r="AC9" i="62"/>
  <c r="AC11" i="62"/>
  <c r="AC15" i="62"/>
  <c r="AC13" i="62"/>
  <c r="AC8" i="62"/>
  <c r="AC10" i="62"/>
  <c r="AC12" i="62"/>
  <c r="AC14" i="62"/>
  <c r="B300" i="62"/>
  <c r="B301" i="62"/>
  <c r="B302" i="62"/>
  <c r="B303" i="62"/>
  <c r="B304" i="62"/>
  <c r="B305" i="62"/>
  <c r="B306" i="62"/>
  <c r="B307" i="62"/>
  <c r="AH9" i="5" l="1"/>
  <c r="AH12" i="5"/>
  <c r="AH15" i="5"/>
  <c r="AH18" i="5"/>
  <c r="AH13" i="5"/>
  <c r="AH19" i="5"/>
  <c r="AH23" i="5"/>
  <c r="AH24" i="5"/>
  <c r="AH22" i="5"/>
  <c r="AH26" i="5"/>
  <c r="AH29" i="5"/>
  <c r="AH31" i="5"/>
  <c r="AH33" i="5"/>
  <c r="AH35" i="5"/>
  <c r="AH37" i="5"/>
  <c r="AH39" i="5"/>
  <c r="AH41" i="5"/>
  <c r="AH44" i="5"/>
  <c r="AH45" i="5"/>
  <c r="AH47" i="5"/>
  <c r="AH49" i="5"/>
  <c r="AH51" i="5"/>
  <c r="AH53" i="5"/>
  <c r="AH54" i="5"/>
  <c r="AH7" i="5"/>
  <c r="AH8" i="5"/>
  <c r="AH10" i="5"/>
  <c r="AH14" i="5"/>
  <c r="AH16" i="5"/>
  <c r="AH11" i="5"/>
  <c r="AH17" i="5"/>
  <c r="AH20" i="5"/>
  <c r="AH21" i="5"/>
  <c r="AH25" i="5"/>
  <c r="AH27" i="5"/>
  <c r="AH30" i="5"/>
  <c r="AH32" i="5"/>
  <c r="AH28" i="5"/>
  <c r="AH34" i="5"/>
  <c r="AH36" i="5"/>
  <c r="AH38" i="5"/>
  <c r="AH40" i="5"/>
  <c r="AH42" i="5"/>
  <c r="AH43" i="5"/>
  <c r="AH46" i="5"/>
  <c r="AH50" i="5"/>
  <c r="AH55" i="5"/>
  <c r="AH48" i="5"/>
  <c r="AH52" i="5"/>
  <c r="AH56" i="5"/>
  <c r="I7" i="41"/>
  <c r="I9" i="41"/>
  <c r="I10" i="41"/>
  <c r="I8" i="41"/>
  <c r="I13" i="41"/>
  <c r="I15" i="41"/>
  <c r="I17" i="41"/>
  <c r="I14" i="41"/>
  <c r="I22" i="41"/>
  <c r="I24" i="41"/>
  <c r="I18" i="41"/>
  <c r="I23" i="41"/>
  <c r="I11" i="41"/>
  <c r="I21" i="41"/>
  <c r="I16" i="41"/>
  <c r="I26" i="41"/>
  <c r="I27" i="41"/>
  <c r="I12" i="41"/>
  <c r="I28" i="41"/>
  <c r="I30" i="41"/>
  <c r="I31" i="41"/>
  <c r="I33" i="41"/>
  <c r="I29" i="41"/>
  <c r="I36" i="41"/>
  <c r="I25" i="41"/>
  <c r="I39" i="41"/>
  <c r="I40" i="41"/>
  <c r="I34" i="41"/>
  <c r="I41" i="41"/>
  <c r="I20" i="41"/>
  <c r="I37" i="41"/>
  <c r="I43" i="41"/>
  <c r="I47" i="41"/>
  <c r="I32" i="41"/>
  <c r="I48" i="41"/>
  <c r="I49" i="41"/>
  <c r="I52" i="41"/>
  <c r="I53" i="41"/>
  <c r="I54" i="41"/>
  <c r="I55" i="41"/>
  <c r="I56" i="41"/>
  <c r="I57" i="41"/>
  <c r="I58" i="41"/>
  <c r="I59" i="41"/>
  <c r="I45" i="41"/>
  <c r="I60" i="41"/>
  <c r="I61" i="41"/>
  <c r="I62" i="41"/>
  <c r="I63" i="41"/>
  <c r="I64" i="41"/>
  <c r="I65" i="41"/>
  <c r="I66" i="41"/>
  <c r="I67" i="41"/>
  <c r="I68" i="41"/>
  <c r="I69" i="41"/>
  <c r="I70" i="41"/>
  <c r="I71" i="41"/>
  <c r="I72" i="41"/>
  <c r="I73" i="41"/>
  <c r="I75" i="41"/>
  <c r="I76" i="41"/>
  <c r="I77" i="41"/>
  <c r="I78" i="41"/>
  <c r="I79" i="41"/>
  <c r="I80" i="41"/>
  <c r="I81" i="41"/>
  <c r="I82" i="41"/>
  <c r="I83" i="41"/>
  <c r="I38" i="41"/>
  <c r="I84" i="41"/>
  <c r="I85" i="41"/>
  <c r="I86" i="41"/>
  <c r="I87" i="41"/>
  <c r="I42" i="41"/>
  <c r="I88" i="41"/>
  <c r="I35" i="41"/>
  <c r="I89" i="41"/>
  <c r="I90" i="41"/>
  <c r="I91" i="41"/>
  <c r="I92" i="41"/>
  <c r="I93" i="41"/>
  <c r="I94" i="41"/>
  <c r="I95" i="41"/>
  <c r="I96" i="41"/>
  <c r="I97" i="41"/>
  <c r="I98" i="41"/>
  <c r="I99" i="41"/>
  <c r="I100" i="41"/>
  <c r="I101" i="41"/>
  <c r="I102" i="41"/>
  <c r="I103" i="41"/>
  <c r="I104" i="41"/>
  <c r="I105" i="41"/>
  <c r="I106" i="41"/>
  <c r="I107" i="41"/>
  <c r="I108" i="41"/>
  <c r="I109" i="41"/>
  <c r="I110" i="41"/>
  <c r="I111" i="41"/>
  <c r="I112" i="41"/>
  <c r="I113" i="41"/>
  <c r="I114" i="41"/>
  <c r="I115" i="41"/>
  <c r="I116" i="41"/>
  <c r="I117" i="41"/>
  <c r="I118" i="41"/>
  <c r="I119" i="41"/>
  <c r="I120" i="41"/>
  <c r="I121" i="41"/>
  <c r="I122" i="41"/>
  <c r="I123" i="41"/>
  <c r="I124" i="41"/>
  <c r="I125" i="41"/>
  <c r="I126" i="41"/>
  <c r="I127" i="41"/>
  <c r="I128" i="41"/>
  <c r="I129" i="41"/>
  <c r="I130" i="41"/>
  <c r="I131" i="41"/>
  <c r="I132" i="41"/>
  <c r="I133" i="41"/>
  <c r="I134" i="41"/>
  <c r="I44" i="41"/>
  <c r="I135" i="41"/>
  <c r="I136" i="41"/>
  <c r="I51" i="41"/>
  <c r="I137" i="41"/>
  <c r="I138" i="41"/>
  <c r="I139" i="41"/>
  <c r="I140" i="41"/>
  <c r="I141" i="41"/>
  <c r="I142" i="41"/>
  <c r="I143" i="41"/>
  <c r="I144" i="41"/>
  <c r="I145" i="41"/>
  <c r="I146" i="41"/>
  <c r="I19" i="41"/>
  <c r="I147" i="41"/>
  <c r="I148" i="41"/>
  <c r="I149" i="41"/>
  <c r="I150" i="41"/>
  <c r="I151" i="41"/>
  <c r="I152" i="41"/>
  <c r="I153" i="41"/>
  <c r="I154" i="41"/>
  <c r="I155" i="41"/>
  <c r="I74" i="41"/>
  <c r="A4" i="61"/>
  <c r="A3" i="61"/>
  <c r="A2" i="61"/>
  <c r="A1" i="61"/>
  <c r="AE21" i="61"/>
  <c r="AA21" i="61"/>
  <c r="Y21" i="61"/>
  <c r="AE20" i="61"/>
  <c r="AA20" i="61"/>
  <c r="Y20" i="61"/>
  <c r="AE19" i="61"/>
  <c r="AA19" i="61"/>
  <c r="Y19" i="61"/>
  <c r="AE18" i="61"/>
  <c r="AA18" i="61"/>
  <c r="Y18" i="61"/>
  <c r="AE17" i="61"/>
  <c r="AA17" i="61"/>
  <c r="Y17" i="61"/>
  <c r="AE16" i="61"/>
  <c r="AA16" i="61"/>
  <c r="Y16" i="61"/>
  <c r="AE15" i="61"/>
  <c r="AA15" i="61"/>
  <c r="Y15" i="61"/>
  <c r="AE14" i="61"/>
  <c r="AA14" i="61"/>
  <c r="Y14" i="61"/>
  <c r="AE13" i="61"/>
  <c r="AA13" i="61"/>
  <c r="Y13" i="61"/>
  <c r="AE12" i="61"/>
  <c r="AA12" i="61"/>
  <c r="Y12" i="61"/>
  <c r="AE11" i="61"/>
  <c r="AA11" i="61"/>
  <c r="Y11" i="61"/>
  <c r="AE10" i="61"/>
  <c r="AA10" i="61"/>
  <c r="Y10" i="61"/>
  <c r="AE9" i="61"/>
  <c r="AA9" i="61"/>
  <c r="Y9" i="61"/>
  <c r="AE8" i="61"/>
  <c r="AA8" i="61"/>
  <c r="Y8" i="61"/>
  <c r="V55" i="5"/>
  <c r="A4" i="60"/>
  <c r="A3" i="60"/>
  <c r="A2" i="60"/>
  <c r="A1" i="60"/>
  <c r="C310" i="60"/>
  <c r="C309" i="60"/>
  <c r="C308" i="60"/>
  <c r="C307" i="60"/>
  <c r="C306" i="60"/>
  <c r="C305" i="60"/>
  <c r="C304" i="60"/>
  <c r="C303" i="60"/>
  <c r="C302" i="60"/>
  <c r="C301" i="60"/>
  <c r="C300" i="60"/>
  <c r="AL18" i="60"/>
  <c r="AK18" i="60" s="1"/>
  <c r="AJ18" i="60"/>
  <c r="AI18" i="60" s="1"/>
  <c r="AH18" i="60"/>
  <c r="AF18" i="60"/>
  <c r="AB18" i="60"/>
  <c r="Z18" i="60"/>
  <c r="W18" i="60"/>
  <c r="AL17" i="60"/>
  <c r="AK17" i="60"/>
  <c r="AJ17" i="60"/>
  <c r="AI17" i="60" s="1"/>
  <c r="AH17" i="60"/>
  <c r="AF17" i="60"/>
  <c r="AB17" i="60"/>
  <c r="Z17" i="60"/>
  <c r="W17" i="60"/>
  <c r="AL16" i="60"/>
  <c r="AK16" i="60" s="1"/>
  <c r="AJ16" i="60"/>
  <c r="AI16" i="60" s="1"/>
  <c r="AH16" i="60"/>
  <c r="AF16" i="60"/>
  <c r="AB16" i="60"/>
  <c r="Z16" i="60"/>
  <c r="W16" i="60"/>
  <c r="AL15" i="60"/>
  <c r="AK15" i="60" s="1"/>
  <c r="AJ15" i="60"/>
  <c r="AI15" i="60" s="1"/>
  <c r="AH15" i="60"/>
  <c r="AF15" i="60"/>
  <c r="AB15" i="60"/>
  <c r="Z15" i="60"/>
  <c r="W15" i="60"/>
  <c r="AL14" i="60"/>
  <c r="AK14" i="60" s="1"/>
  <c r="AJ14" i="60"/>
  <c r="AI14" i="60" s="1"/>
  <c r="AH14" i="60"/>
  <c r="AF14" i="60"/>
  <c r="AB14" i="60"/>
  <c r="Z14" i="60"/>
  <c r="W14" i="60"/>
  <c r="AL13" i="60"/>
  <c r="AK13" i="60" s="1"/>
  <c r="AJ13" i="60"/>
  <c r="AI13" i="60" s="1"/>
  <c r="AH13" i="60"/>
  <c r="AF13" i="60"/>
  <c r="AB13" i="60"/>
  <c r="Z13" i="60"/>
  <c r="W13" i="60"/>
  <c r="AL12" i="60"/>
  <c r="AK12" i="60" s="1"/>
  <c r="AJ12" i="60"/>
  <c r="AI12" i="60" s="1"/>
  <c r="AH12" i="60"/>
  <c r="AF12" i="60"/>
  <c r="AB12" i="60"/>
  <c r="Z12" i="60"/>
  <c r="W12" i="60"/>
  <c r="AL11" i="60"/>
  <c r="AK11" i="60" s="1"/>
  <c r="AJ11" i="60"/>
  <c r="AI11" i="60" s="1"/>
  <c r="AH11" i="60"/>
  <c r="AF11" i="60"/>
  <c r="AB11" i="60"/>
  <c r="Z11" i="60"/>
  <c r="W11" i="60"/>
  <c r="AL10" i="60"/>
  <c r="AK10" i="60" s="1"/>
  <c r="AJ10" i="60"/>
  <c r="AI10" i="60" s="1"/>
  <c r="AH10" i="60"/>
  <c r="AF10" i="60"/>
  <c r="AB10" i="60"/>
  <c r="Z10" i="60"/>
  <c r="W10" i="60"/>
  <c r="AL9" i="60"/>
  <c r="AK9" i="60" s="1"/>
  <c r="AJ9" i="60"/>
  <c r="AI9" i="60" s="1"/>
  <c r="AH9" i="60"/>
  <c r="AF9" i="60"/>
  <c r="AB9" i="60"/>
  <c r="Z9" i="60"/>
  <c r="W9" i="60"/>
  <c r="AL8" i="60"/>
  <c r="AK8" i="60" s="1"/>
  <c r="AJ8" i="60"/>
  <c r="AI8" i="60" s="1"/>
  <c r="AH8" i="60"/>
  <c r="AF8" i="60"/>
  <c r="AB8" i="60"/>
  <c r="Z8" i="60"/>
  <c r="W8" i="60"/>
  <c r="B310" i="60"/>
  <c r="K74" i="3"/>
  <c r="K36" i="3"/>
  <c r="A4" i="59"/>
  <c r="A3" i="59"/>
  <c r="A2" i="59"/>
  <c r="A1" i="59"/>
  <c r="C309" i="59"/>
  <c r="C308" i="59"/>
  <c r="C307" i="59"/>
  <c r="C306" i="59"/>
  <c r="C305" i="59"/>
  <c r="C304" i="59"/>
  <c r="C303" i="59"/>
  <c r="C302" i="59"/>
  <c r="C301" i="59"/>
  <c r="C300" i="59"/>
  <c r="AM17" i="59"/>
  <c r="AL17" i="59" s="1"/>
  <c r="AK17" i="59"/>
  <c r="AJ17" i="59" s="1"/>
  <c r="AI17" i="59"/>
  <c r="AG17" i="59"/>
  <c r="AB17" i="59"/>
  <c r="Z17" i="59"/>
  <c r="W17" i="59"/>
  <c r="AM16" i="59"/>
  <c r="AL16" i="59" s="1"/>
  <c r="AK16" i="59"/>
  <c r="AJ16" i="59" s="1"/>
  <c r="AI16" i="59"/>
  <c r="AG16" i="59"/>
  <c r="AB16" i="59"/>
  <c r="Z16" i="59"/>
  <c r="W16" i="59"/>
  <c r="AM15" i="59"/>
  <c r="AL15" i="59" s="1"/>
  <c r="AK15" i="59"/>
  <c r="AJ15" i="59" s="1"/>
  <c r="AI15" i="59"/>
  <c r="AG15" i="59"/>
  <c r="AB15" i="59"/>
  <c r="Z15" i="59"/>
  <c r="W15" i="59"/>
  <c r="AM14" i="59"/>
  <c r="AL14" i="59" s="1"/>
  <c r="AK14" i="59"/>
  <c r="AJ14" i="59" s="1"/>
  <c r="AI14" i="59"/>
  <c r="AG14" i="59"/>
  <c r="AB14" i="59"/>
  <c r="Z14" i="59"/>
  <c r="W14" i="59"/>
  <c r="AM13" i="59"/>
  <c r="AL13" i="59" s="1"/>
  <c r="AK13" i="59"/>
  <c r="AJ13" i="59" s="1"/>
  <c r="AI13" i="59"/>
  <c r="AG13" i="59"/>
  <c r="AB13" i="59"/>
  <c r="Z13" i="59"/>
  <c r="W13" i="59"/>
  <c r="AM12" i="59"/>
  <c r="AL12" i="59" s="1"/>
  <c r="AK12" i="59"/>
  <c r="AJ12" i="59" s="1"/>
  <c r="AI12" i="59"/>
  <c r="AG12" i="59"/>
  <c r="AB12" i="59"/>
  <c r="Z12" i="59"/>
  <c r="W12" i="59"/>
  <c r="AM11" i="59"/>
  <c r="AL11" i="59" s="1"/>
  <c r="AK11" i="59"/>
  <c r="AJ11" i="59" s="1"/>
  <c r="AI11" i="59"/>
  <c r="AG11" i="59"/>
  <c r="AB11" i="59"/>
  <c r="Z11" i="59"/>
  <c r="AC11" i="59" s="1"/>
  <c r="W11" i="59"/>
  <c r="AM10" i="59"/>
  <c r="AL10" i="59" s="1"/>
  <c r="AK10" i="59"/>
  <c r="AJ10" i="59" s="1"/>
  <c r="AI10" i="59"/>
  <c r="AG10" i="59"/>
  <c r="AB10" i="59"/>
  <c r="Z10" i="59"/>
  <c r="W10" i="59"/>
  <c r="AM9" i="59"/>
  <c r="AL9" i="59" s="1"/>
  <c r="AK9" i="59"/>
  <c r="AJ9" i="59" s="1"/>
  <c r="AI9" i="59"/>
  <c r="AG9" i="59"/>
  <c r="AB9" i="59"/>
  <c r="Z9" i="59"/>
  <c r="AC9" i="59" s="1"/>
  <c r="W9" i="59"/>
  <c r="AM8" i="59"/>
  <c r="AL8" i="59" s="1"/>
  <c r="AK8" i="59"/>
  <c r="AJ8" i="59" s="1"/>
  <c r="AI8" i="59"/>
  <c r="AG8" i="59"/>
  <c r="AB8" i="59"/>
  <c r="Z8" i="59"/>
  <c r="W8" i="59"/>
  <c r="B309" i="59"/>
  <c r="P71" i="4"/>
  <c r="S71" i="4"/>
  <c r="U71" i="4"/>
  <c r="M71" i="4"/>
  <c r="M75" i="4"/>
  <c r="P75" i="4"/>
  <c r="S75" i="4"/>
  <c r="U75" i="4"/>
  <c r="B71" i="4"/>
  <c r="A71" i="4" s="1"/>
  <c r="D71" i="4"/>
  <c r="C71" i="4" s="1"/>
  <c r="B75" i="4"/>
  <c r="A75" i="4" s="1"/>
  <c r="D75" i="4"/>
  <c r="C75" i="4" s="1"/>
  <c r="W17" i="58"/>
  <c r="Z17" i="58"/>
  <c r="AB17" i="58"/>
  <c r="AC17" i="58" s="1"/>
  <c r="AG17" i="58"/>
  <c r="AI17" i="58"/>
  <c r="AK17" i="58"/>
  <c r="AJ17" i="58" s="1"/>
  <c r="AM17" i="58"/>
  <c r="AL17" i="58" s="1"/>
  <c r="W18" i="58"/>
  <c r="Z18" i="58"/>
  <c r="AB18" i="58"/>
  <c r="AG18" i="58"/>
  <c r="AI18" i="58"/>
  <c r="AK18" i="58"/>
  <c r="AJ18" i="58" s="1"/>
  <c r="AM18" i="58"/>
  <c r="AL18" i="58" s="1"/>
  <c r="W19" i="58"/>
  <c r="Z19" i="58"/>
  <c r="AB19" i="58"/>
  <c r="AG19" i="58"/>
  <c r="AI19" i="58"/>
  <c r="AK19" i="58"/>
  <c r="AJ19" i="58" s="1"/>
  <c r="AM19" i="58"/>
  <c r="AL19" i="58" s="1"/>
  <c r="W20" i="58"/>
  <c r="Z20" i="58"/>
  <c r="AB20" i="58"/>
  <c r="AG20" i="58"/>
  <c r="AI20" i="58"/>
  <c r="AK20" i="58"/>
  <c r="AJ20" i="58" s="1"/>
  <c r="AM20" i="58"/>
  <c r="AL20" i="58" s="1"/>
  <c r="W21" i="58"/>
  <c r="Z21" i="58"/>
  <c r="AB21" i="58"/>
  <c r="AC21" i="58" s="1"/>
  <c r="AG21" i="58"/>
  <c r="AI21" i="58"/>
  <c r="AK21" i="58"/>
  <c r="AJ21" i="58" s="1"/>
  <c r="AM21" i="58"/>
  <c r="AL21" i="58" s="1"/>
  <c r="W22" i="58"/>
  <c r="Z22" i="58"/>
  <c r="AB22" i="58"/>
  <c r="AG22" i="58"/>
  <c r="AI22" i="58"/>
  <c r="AK22" i="58"/>
  <c r="AJ22" i="58" s="1"/>
  <c r="AM22" i="58"/>
  <c r="AL22" i="58" s="1"/>
  <c r="A4" i="58"/>
  <c r="A3" i="58"/>
  <c r="A2" i="58"/>
  <c r="A1" i="58"/>
  <c r="AM16" i="58"/>
  <c r="AL16" i="58" s="1"/>
  <c r="AK16" i="58"/>
  <c r="AJ16" i="58" s="1"/>
  <c r="AI16" i="58"/>
  <c r="AG16" i="58"/>
  <c r="AB16" i="58"/>
  <c r="Z16" i="58"/>
  <c r="W16" i="58"/>
  <c r="AM15" i="58"/>
  <c r="AL15" i="58" s="1"/>
  <c r="AK15" i="58"/>
  <c r="AJ15" i="58" s="1"/>
  <c r="AI15" i="58"/>
  <c r="AG15" i="58"/>
  <c r="AB15" i="58"/>
  <c r="Z15" i="58"/>
  <c r="W15" i="58"/>
  <c r="AM14" i="58"/>
  <c r="AL14" i="58" s="1"/>
  <c r="AK14" i="58"/>
  <c r="AJ14" i="58" s="1"/>
  <c r="AI14" i="58"/>
  <c r="AG14" i="58"/>
  <c r="AB14" i="58"/>
  <c r="Z14" i="58"/>
  <c r="W14" i="58"/>
  <c r="AM13" i="58"/>
  <c r="AL13" i="58" s="1"/>
  <c r="AK13" i="58"/>
  <c r="AJ13" i="58" s="1"/>
  <c r="AI13" i="58"/>
  <c r="AG13" i="58"/>
  <c r="AB13" i="58"/>
  <c r="Z13" i="58"/>
  <c r="AC13" i="58" s="1"/>
  <c r="W13" i="58"/>
  <c r="AM12" i="58"/>
  <c r="AL12" i="58" s="1"/>
  <c r="AK12" i="58"/>
  <c r="AJ12" i="58" s="1"/>
  <c r="AI12" i="58"/>
  <c r="AG12" i="58"/>
  <c r="AB12" i="58"/>
  <c r="Z12" i="58"/>
  <c r="W12" i="58"/>
  <c r="AM11" i="58"/>
  <c r="AL11" i="58" s="1"/>
  <c r="AK11" i="58"/>
  <c r="AJ11" i="58" s="1"/>
  <c r="AI11" i="58"/>
  <c r="AG11" i="58"/>
  <c r="AB11" i="58"/>
  <c r="Z11" i="58"/>
  <c r="AC11" i="58" s="1"/>
  <c r="W11" i="58"/>
  <c r="AM10" i="58"/>
  <c r="AL10" i="58" s="1"/>
  <c r="AK10" i="58"/>
  <c r="AJ10" i="58" s="1"/>
  <c r="AI10" i="58"/>
  <c r="AG10" i="58"/>
  <c r="AB10" i="58"/>
  <c r="Z10" i="58"/>
  <c r="W10" i="58"/>
  <c r="AM9" i="58"/>
  <c r="AL9" i="58" s="1"/>
  <c r="AK9" i="58"/>
  <c r="AJ9" i="58" s="1"/>
  <c r="AI9" i="58"/>
  <c r="AG9" i="58"/>
  <c r="AB9" i="58"/>
  <c r="Z9" i="58"/>
  <c r="AC9" i="58" s="1"/>
  <c r="W9" i="58"/>
  <c r="AM8" i="58"/>
  <c r="AL8" i="58" s="1"/>
  <c r="AK8" i="58"/>
  <c r="AJ8" i="58" s="1"/>
  <c r="AI8" i="58"/>
  <c r="AG8" i="58"/>
  <c r="AB8" i="58"/>
  <c r="Z8" i="58"/>
  <c r="AC8" i="58" s="1"/>
  <c r="W8" i="58"/>
  <c r="B308" i="58"/>
  <c r="BQ56" i="5" l="1"/>
  <c r="BQ54" i="5"/>
  <c r="BQ55" i="5"/>
  <c r="BQ53" i="5"/>
  <c r="BQ52" i="5"/>
  <c r="BQ51" i="5"/>
  <c r="BQ50" i="5"/>
  <c r="BQ49" i="5"/>
  <c r="BQ47" i="5"/>
  <c r="BQ48" i="5"/>
  <c r="BQ46" i="5"/>
  <c r="BQ45" i="5"/>
  <c r="BQ43" i="5"/>
  <c r="BQ44" i="5"/>
  <c r="BQ42" i="5"/>
  <c r="BQ41" i="5"/>
  <c r="BQ40" i="5"/>
  <c r="BQ39" i="5"/>
  <c r="BQ38" i="5"/>
  <c r="BQ37" i="5"/>
  <c r="BQ36" i="5"/>
  <c r="BQ35" i="5"/>
  <c r="BQ34" i="5"/>
  <c r="BQ33" i="5"/>
  <c r="BQ32" i="5"/>
  <c r="BQ31" i="5"/>
  <c r="BQ30" i="5"/>
  <c r="BQ29" i="5"/>
  <c r="BQ28" i="5"/>
  <c r="BQ26" i="5"/>
  <c r="BQ27" i="5"/>
  <c r="BQ25" i="5"/>
  <c r="BQ24" i="5"/>
  <c r="BQ23" i="5"/>
  <c r="BQ22" i="5"/>
  <c r="BQ21" i="5"/>
  <c r="BQ19" i="5"/>
  <c r="BQ20" i="5"/>
  <c r="BQ18" i="5"/>
  <c r="BQ17" i="5"/>
  <c r="BQ16" i="5"/>
  <c r="BQ14" i="5"/>
  <c r="BQ15" i="5"/>
  <c r="BQ13" i="5"/>
  <c r="BQ12" i="5"/>
  <c r="BQ11" i="5"/>
  <c r="BQ10" i="5"/>
  <c r="BQ9" i="5"/>
  <c r="BQ8" i="5"/>
  <c r="BQ7" i="5"/>
  <c r="BQ6" i="5"/>
  <c r="B313" i="58"/>
  <c r="B311" i="58"/>
  <c r="B309" i="58"/>
  <c r="B314" i="58"/>
  <c r="B312" i="58"/>
  <c r="B310" i="58"/>
  <c r="B300" i="61"/>
  <c r="B302" i="61"/>
  <c r="B304" i="61"/>
  <c r="B306" i="61"/>
  <c r="B308" i="61"/>
  <c r="B310" i="61"/>
  <c r="B312" i="61"/>
  <c r="B301" i="61"/>
  <c r="B303" i="61"/>
  <c r="B305" i="61"/>
  <c r="B307" i="61"/>
  <c r="B309" i="61"/>
  <c r="B311" i="61"/>
  <c r="B313" i="61"/>
  <c r="AC9" i="60"/>
  <c r="AC11" i="60"/>
  <c r="AC13" i="60"/>
  <c r="AC15" i="60"/>
  <c r="AC17" i="60"/>
  <c r="AC8" i="60"/>
  <c r="AC10" i="60"/>
  <c r="AC12" i="60"/>
  <c r="AC14" i="60"/>
  <c r="AC16" i="60"/>
  <c r="AC18" i="60"/>
  <c r="B300" i="60"/>
  <c r="B301" i="60"/>
  <c r="B302" i="60"/>
  <c r="B303" i="60"/>
  <c r="B304" i="60"/>
  <c r="B305" i="60"/>
  <c r="B306" i="60"/>
  <c r="B307" i="60"/>
  <c r="B308" i="60"/>
  <c r="B309" i="60"/>
  <c r="AC13" i="59"/>
  <c r="AC15" i="59"/>
  <c r="AC17" i="59"/>
  <c r="AC8" i="59"/>
  <c r="AC10" i="59"/>
  <c r="AC12" i="59"/>
  <c r="AC14" i="59"/>
  <c r="AC16" i="59"/>
  <c r="B300" i="59"/>
  <c r="B301" i="59"/>
  <c r="B302" i="59"/>
  <c r="B303" i="59"/>
  <c r="B304" i="59"/>
  <c r="B305" i="59"/>
  <c r="B306" i="59"/>
  <c r="B307" i="59"/>
  <c r="B308" i="59"/>
  <c r="AC10" i="58"/>
  <c r="AC12" i="58"/>
  <c r="AC14" i="58"/>
  <c r="AC16" i="58"/>
  <c r="AC18" i="58"/>
  <c r="AC22" i="58"/>
  <c r="AC20" i="58"/>
  <c r="AC15" i="58"/>
  <c r="AC19" i="58"/>
  <c r="B303" i="58"/>
  <c r="B305" i="58"/>
  <c r="B307" i="58"/>
  <c r="B300" i="58"/>
  <c r="W8" i="4" s="1"/>
  <c r="B304" i="58"/>
  <c r="B306" i="58"/>
  <c r="C67" i="3"/>
  <c r="C57" i="3"/>
  <c r="V40" i="5"/>
  <c r="V44" i="5"/>
  <c r="V41" i="5"/>
  <c r="Z9" i="57"/>
  <c r="AB9" i="57"/>
  <c r="AC9" i="57"/>
  <c r="Z10" i="57"/>
  <c r="AB10" i="57"/>
  <c r="AC10" i="57" s="1"/>
  <c r="Z11" i="57"/>
  <c r="AB11" i="57"/>
  <c r="AC11" i="57" s="1"/>
  <c r="Z12" i="57"/>
  <c r="AB12" i="57"/>
  <c r="AC12" i="57"/>
  <c r="Z13" i="57"/>
  <c r="AB13" i="57"/>
  <c r="AC13" i="57" s="1"/>
  <c r="Z14" i="57"/>
  <c r="AB14" i="57"/>
  <c r="AC14" i="57"/>
  <c r="Z15" i="57"/>
  <c r="AB15" i="57"/>
  <c r="AC15" i="57" s="1"/>
  <c r="Z16" i="57"/>
  <c r="AB16" i="57"/>
  <c r="AC16" i="57" s="1"/>
  <c r="Z17" i="57"/>
  <c r="AB17" i="57"/>
  <c r="Z18" i="57"/>
  <c r="AB18" i="57"/>
  <c r="AC18" i="57"/>
  <c r="Z19" i="57"/>
  <c r="AB19" i="57"/>
  <c r="Z20" i="57"/>
  <c r="AB20" i="57"/>
  <c r="AC20" i="57" s="1"/>
  <c r="AB8" i="57"/>
  <c r="Z8" i="57"/>
  <c r="AC8" i="57" s="1"/>
  <c r="AG18" i="57"/>
  <c r="AI18" i="57"/>
  <c r="AK18" i="57"/>
  <c r="AJ18" i="57" s="1"/>
  <c r="AM18" i="57"/>
  <c r="AL18" i="57" s="1"/>
  <c r="AG19" i="57"/>
  <c r="AI19" i="57"/>
  <c r="AK19" i="57"/>
  <c r="AJ19" i="57" s="1"/>
  <c r="AM19" i="57"/>
  <c r="AL19" i="57" s="1"/>
  <c r="AG20" i="57"/>
  <c r="AI20" i="57"/>
  <c r="AK20" i="57"/>
  <c r="AJ20" i="57" s="1"/>
  <c r="AM20" i="57"/>
  <c r="AL20" i="57" s="1"/>
  <c r="AM17" i="57"/>
  <c r="AL17" i="57" s="1"/>
  <c r="AK17" i="57"/>
  <c r="AJ17" i="57" s="1"/>
  <c r="AI17" i="57"/>
  <c r="AG17" i="57"/>
  <c r="AM16" i="57"/>
  <c r="AL16" i="57" s="1"/>
  <c r="AK16" i="57"/>
  <c r="AJ16" i="57" s="1"/>
  <c r="AI16" i="57"/>
  <c r="AG16" i="57"/>
  <c r="AM15" i="57"/>
  <c r="AL15" i="57" s="1"/>
  <c r="AK15" i="57"/>
  <c r="AJ15" i="57" s="1"/>
  <c r="AI15" i="57"/>
  <c r="AG15" i="57"/>
  <c r="AM14" i="57"/>
  <c r="AL14" i="57" s="1"/>
  <c r="AK14" i="57"/>
  <c r="AJ14" i="57" s="1"/>
  <c r="AI14" i="57"/>
  <c r="AG14" i="57"/>
  <c r="AM13" i="57"/>
  <c r="AL13" i="57" s="1"/>
  <c r="AK13" i="57"/>
  <c r="AJ13" i="57" s="1"/>
  <c r="AI13" i="57"/>
  <c r="AG13" i="57"/>
  <c r="AM12" i="57"/>
  <c r="AL12" i="57" s="1"/>
  <c r="AK12" i="57"/>
  <c r="AJ12" i="57" s="1"/>
  <c r="AI12" i="57"/>
  <c r="AG12" i="57"/>
  <c r="AM11" i="57"/>
  <c r="AL11" i="57" s="1"/>
  <c r="AK11" i="57"/>
  <c r="AJ11" i="57" s="1"/>
  <c r="AI11" i="57"/>
  <c r="AG11" i="57"/>
  <c r="AM10" i="57"/>
  <c r="AL10" i="57" s="1"/>
  <c r="AK10" i="57"/>
  <c r="AJ10" i="57" s="1"/>
  <c r="AI10" i="57"/>
  <c r="AG10" i="57"/>
  <c r="AM9" i="57"/>
  <c r="AL9" i="57" s="1"/>
  <c r="AK9" i="57"/>
  <c r="AJ9" i="57" s="1"/>
  <c r="AI9" i="57"/>
  <c r="AG9" i="57"/>
  <c r="AM8" i="57"/>
  <c r="AK8" i="57"/>
  <c r="AI8" i="57"/>
  <c r="AH8" i="57" s="1"/>
  <c r="AG8" i="57"/>
  <c r="C311" i="57"/>
  <c r="C312" i="57"/>
  <c r="W19" i="57"/>
  <c r="W20" i="57"/>
  <c r="A4" i="57"/>
  <c r="A3" i="57"/>
  <c r="A2" i="57"/>
  <c r="B311" i="57" s="1"/>
  <c r="A1" i="57"/>
  <c r="C310" i="57"/>
  <c r="C309" i="57"/>
  <c r="C308" i="57"/>
  <c r="C307" i="57"/>
  <c r="C306" i="57"/>
  <c r="C305" i="57"/>
  <c r="C304" i="57"/>
  <c r="C303" i="57"/>
  <c r="C302" i="57"/>
  <c r="C301" i="57"/>
  <c r="C300" i="57"/>
  <c r="W18" i="57"/>
  <c r="W17" i="57"/>
  <c r="W16" i="57"/>
  <c r="W15" i="57"/>
  <c r="W14" i="57"/>
  <c r="W13" i="57"/>
  <c r="W12" i="57"/>
  <c r="W11" i="57"/>
  <c r="W10" i="57"/>
  <c r="W9" i="57"/>
  <c r="W8" i="57"/>
  <c r="B310" i="57"/>
  <c r="O50" i="41" l="1"/>
  <c r="AD50" i="41" s="1"/>
  <c r="AG8" i="5"/>
  <c r="AG10" i="5"/>
  <c r="AG12" i="5"/>
  <c r="AG18" i="5"/>
  <c r="AG19" i="5"/>
  <c r="AG16" i="5"/>
  <c r="AG23" i="5"/>
  <c r="AG21" i="5"/>
  <c r="AG22" i="5"/>
  <c r="AG32" i="5"/>
  <c r="AG31" i="5"/>
  <c r="AG25" i="5"/>
  <c r="AG29" i="5"/>
  <c r="AG35" i="5"/>
  <c r="AG37" i="5"/>
  <c r="AG40" i="5"/>
  <c r="AG42" i="5"/>
  <c r="AG43" i="5"/>
  <c r="AG45" i="5"/>
  <c r="AG47" i="5"/>
  <c r="AG28" i="5"/>
  <c r="AG50" i="5"/>
  <c r="AG52" i="5"/>
  <c r="AG54" i="5"/>
  <c r="AG9" i="5"/>
  <c r="AG15" i="5"/>
  <c r="AG14" i="5"/>
  <c r="AG17" i="5"/>
  <c r="AG11" i="5"/>
  <c r="AG13" i="5"/>
  <c r="AG20" i="5"/>
  <c r="AG30" i="5"/>
  <c r="AG26" i="5"/>
  <c r="AG27" i="5"/>
  <c r="AG24" i="5"/>
  <c r="AG33" i="5"/>
  <c r="AG34" i="5"/>
  <c r="AG36" i="5"/>
  <c r="AG39" i="5"/>
  <c r="AG41" i="5"/>
  <c r="AG44" i="5"/>
  <c r="AG38" i="5"/>
  <c r="AG46" i="5"/>
  <c r="AG48" i="5"/>
  <c r="AG49" i="5"/>
  <c r="AG51" i="5"/>
  <c r="AG53" i="5"/>
  <c r="AG56" i="5"/>
  <c r="AG55" i="5"/>
  <c r="AG7" i="5"/>
  <c r="O46" i="41"/>
  <c r="O10" i="41"/>
  <c r="O13" i="41"/>
  <c r="O17" i="41"/>
  <c r="O22" i="41"/>
  <c r="O18" i="41"/>
  <c r="O11" i="41"/>
  <c r="O16" i="41"/>
  <c r="O27" i="41"/>
  <c r="O28" i="41"/>
  <c r="O31" i="41"/>
  <c r="O29" i="41"/>
  <c r="O25" i="41"/>
  <c r="O40" i="41"/>
  <c r="O41" i="41"/>
  <c r="O37" i="41"/>
  <c r="O47" i="41"/>
  <c r="O48" i="41"/>
  <c r="O52" i="41"/>
  <c r="O54" i="41"/>
  <c r="O56" i="41"/>
  <c r="O58" i="41"/>
  <c r="O45" i="41"/>
  <c r="O61" i="41"/>
  <c r="O63" i="41"/>
  <c r="O65" i="41"/>
  <c r="O67" i="41"/>
  <c r="O69" i="41"/>
  <c r="O71" i="41"/>
  <c r="O73" i="41"/>
  <c r="O76" i="41"/>
  <c r="O78" i="41"/>
  <c r="O80" i="41"/>
  <c r="O82" i="41"/>
  <c r="O38" i="41"/>
  <c r="O85" i="41"/>
  <c r="O87" i="41"/>
  <c r="O88" i="41"/>
  <c r="O89" i="41"/>
  <c r="O91" i="41"/>
  <c r="O93" i="41"/>
  <c r="O95" i="41"/>
  <c r="O97" i="41"/>
  <c r="O99" i="41"/>
  <c r="O101" i="41"/>
  <c r="O103" i="41"/>
  <c r="O105" i="41"/>
  <c r="O107" i="41"/>
  <c r="O109" i="41"/>
  <c r="O111" i="41"/>
  <c r="O113" i="41"/>
  <c r="O115" i="41"/>
  <c r="O117" i="41"/>
  <c r="O119" i="41"/>
  <c r="O121" i="41"/>
  <c r="O123" i="41"/>
  <c r="O125" i="41"/>
  <c r="O7" i="41"/>
  <c r="O8" i="41"/>
  <c r="O14" i="41"/>
  <c r="O23" i="41"/>
  <c r="O26" i="41"/>
  <c r="O30" i="41"/>
  <c r="O36" i="41"/>
  <c r="O34" i="41"/>
  <c r="O43" i="41"/>
  <c r="O49" i="41"/>
  <c r="O55" i="41"/>
  <c r="O59" i="41"/>
  <c r="O62" i="41"/>
  <c r="O66" i="41"/>
  <c r="O70" i="41"/>
  <c r="O75" i="41"/>
  <c r="O79" i="41"/>
  <c r="O83" i="41"/>
  <c r="O86" i="41"/>
  <c r="O35" i="41"/>
  <c r="O92" i="41"/>
  <c r="O96" i="41"/>
  <c r="O100" i="41"/>
  <c r="O104" i="41"/>
  <c r="O108" i="41"/>
  <c r="O112" i="41"/>
  <c r="O116" i="41"/>
  <c r="O120" i="41"/>
  <c r="O124" i="41"/>
  <c r="O127" i="41"/>
  <c r="O129" i="41"/>
  <c r="O131" i="41"/>
  <c r="O133" i="41"/>
  <c r="O44" i="41"/>
  <c r="O136" i="41"/>
  <c r="O137" i="41"/>
  <c r="O139" i="41"/>
  <c r="O141" i="41"/>
  <c r="O143" i="41"/>
  <c r="O145" i="41"/>
  <c r="O19" i="41"/>
  <c r="O148" i="41"/>
  <c r="O150" i="41"/>
  <c r="O9" i="41"/>
  <c r="O15" i="41"/>
  <c r="O24" i="41"/>
  <c r="O21" i="41"/>
  <c r="O12" i="41"/>
  <c r="O33" i="41"/>
  <c r="O39" i="41"/>
  <c r="O20" i="41"/>
  <c r="O32" i="41"/>
  <c r="O53" i="41"/>
  <c r="O57" i="41"/>
  <c r="O60" i="41"/>
  <c r="O64" i="41"/>
  <c r="O68" i="41"/>
  <c r="O72" i="41"/>
  <c r="O77" i="41"/>
  <c r="O81" i="41"/>
  <c r="O84" i="41"/>
  <c r="O42" i="41"/>
  <c r="O90" i="41"/>
  <c r="O94" i="41"/>
  <c r="O98" i="41"/>
  <c r="O102" i="41"/>
  <c r="O106" i="41"/>
  <c r="O110" i="41"/>
  <c r="O114" i="41"/>
  <c r="O118" i="41"/>
  <c r="O122" i="41"/>
  <c r="O126" i="41"/>
  <c r="O130" i="41"/>
  <c r="O134" i="41"/>
  <c r="O51" i="41"/>
  <c r="O140" i="41"/>
  <c r="O144" i="41"/>
  <c r="O147" i="41"/>
  <c r="O152" i="41"/>
  <c r="O154" i="41"/>
  <c r="O74" i="41"/>
  <c r="O128" i="41"/>
  <c r="O132" i="41"/>
  <c r="O135" i="41"/>
  <c r="O138" i="41"/>
  <c r="O142" i="41"/>
  <c r="O146" i="41"/>
  <c r="O149" i="41"/>
  <c r="O151" i="41"/>
  <c r="O153" i="41"/>
  <c r="O155" i="41"/>
  <c r="B312" i="57"/>
  <c r="AB55" i="5"/>
  <c r="AB12" i="5"/>
  <c r="AB15" i="5"/>
  <c r="AB18" i="5"/>
  <c r="AB10" i="5"/>
  <c r="AB21" i="5"/>
  <c r="AB23" i="5"/>
  <c r="AB22" i="5"/>
  <c r="AB19" i="5"/>
  <c r="AB20" i="5"/>
  <c r="AB24" i="5"/>
  <c r="AB32" i="5"/>
  <c r="AB29" i="5"/>
  <c r="AB34" i="5"/>
  <c r="AB36" i="5"/>
  <c r="AB39" i="5"/>
  <c r="AB44" i="5"/>
  <c r="AB45" i="5"/>
  <c r="AB41" i="5"/>
  <c r="AB28" i="5"/>
  <c r="AB50" i="5"/>
  <c r="AB51" i="5"/>
  <c r="AB53" i="5"/>
  <c r="AB56" i="5"/>
  <c r="AB8" i="5"/>
  <c r="AB14" i="5"/>
  <c r="AB17" i="5"/>
  <c r="AB9" i="5"/>
  <c r="AB16" i="5"/>
  <c r="AB11" i="5"/>
  <c r="AB30" i="5"/>
  <c r="AB13" i="5"/>
  <c r="AB31" i="5"/>
  <c r="AB26" i="5"/>
  <c r="AB25" i="5"/>
  <c r="AB33" i="5"/>
  <c r="AB27" i="5"/>
  <c r="AB35" i="5"/>
  <c r="AB37" i="5"/>
  <c r="AB42" i="5"/>
  <c r="AB43" i="5"/>
  <c r="AB40" i="5"/>
  <c r="AB47" i="5"/>
  <c r="AB49" i="5"/>
  <c r="AB48" i="5"/>
  <c r="AB52" i="5"/>
  <c r="AB54" i="5"/>
  <c r="AB38" i="5"/>
  <c r="AB46" i="5"/>
  <c r="AB7" i="5"/>
  <c r="W11" i="4"/>
  <c r="W13" i="4"/>
  <c r="W17" i="4"/>
  <c r="W16" i="4"/>
  <c r="W18" i="4"/>
  <c r="W20" i="4"/>
  <c r="W15" i="4"/>
  <c r="W19" i="4"/>
  <c r="W31" i="4"/>
  <c r="W33" i="4"/>
  <c r="W32" i="4"/>
  <c r="W29" i="4"/>
  <c r="W36" i="4"/>
  <c r="W30" i="4"/>
  <c r="W40" i="4"/>
  <c r="W43" i="4"/>
  <c r="W46" i="4"/>
  <c r="W50" i="4"/>
  <c r="W47" i="4"/>
  <c r="W53" i="4"/>
  <c r="W37" i="4"/>
  <c r="W56" i="4"/>
  <c r="W59" i="4"/>
  <c r="W61" i="4"/>
  <c r="W62" i="4"/>
  <c r="W64" i="4"/>
  <c r="W66" i="4"/>
  <c r="W67" i="4"/>
  <c r="W38" i="4"/>
  <c r="W70" i="4"/>
  <c r="W76" i="4"/>
  <c r="W77" i="4"/>
  <c r="W79" i="4"/>
  <c r="W81" i="4"/>
  <c r="W83" i="4"/>
  <c r="W85" i="4"/>
  <c r="W87" i="4"/>
  <c r="W89" i="4"/>
  <c r="W71" i="4"/>
  <c r="W91" i="4"/>
  <c r="W93" i="4"/>
  <c r="W44" i="4"/>
  <c r="W96" i="4"/>
  <c r="W98" i="4"/>
  <c r="W100" i="4"/>
  <c r="W102" i="4"/>
  <c r="W104" i="4"/>
  <c r="W105" i="4"/>
  <c r="W106" i="4"/>
  <c r="W108" i="4"/>
  <c r="W110" i="4"/>
  <c r="W112" i="4"/>
  <c r="W113" i="4"/>
  <c r="W115" i="4"/>
  <c r="W9" i="4"/>
  <c r="W12" i="4"/>
  <c r="W10" i="4"/>
  <c r="W26" i="4"/>
  <c r="W25" i="4"/>
  <c r="W21" i="4"/>
  <c r="W22" i="4"/>
  <c r="W27" i="4"/>
  <c r="W28" i="4"/>
  <c r="W14" i="4"/>
  <c r="W35" i="4"/>
  <c r="W23" i="4"/>
  <c r="W34" i="4"/>
  <c r="W24" i="4"/>
  <c r="W41" i="4"/>
  <c r="W45" i="4"/>
  <c r="W49" i="4"/>
  <c r="W51" i="4"/>
  <c r="W52" i="4"/>
  <c r="W54" i="4"/>
  <c r="W55" i="4"/>
  <c r="W57" i="4"/>
  <c r="W60" i="4"/>
  <c r="W42" i="4"/>
  <c r="W63" i="4"/>
  <c r="W65" i="4"/>
  <c r="W39" i="4"/>
  <c r="W68" i="4"/>
  <c r="W69" i="4"/>
  <c r="W72" i="4"/>
  <c r="W73" i="4"/>
  <c r="W78" i="4"/>
  <c r="W80" i="4"/>
  <c r="W82" i="4"/>
  <c r="W84" i="4"/>
  <c r="W86" i="4"/>
  <c r="W88" i="4"/>
  <c r="W90" i="4"/>
  <c r="W58" i="4"/>
  <c r="W92" i="4"/>
  <c r="W94" i="4"/>
  <c r="W95" i="4"/>
  <c r="W97" i="4"/>
  <c r="W99" i="4"/>
  <c r="W101" i="4"/>
  <c r="W103" i="4"/>
  <c r="W48" i="4"/>
  <c r="W74" i="4"/>
  <c r="W107" i="4"/>
  <c r="W109" i="4"/>
  <c r="W111" i="4"/>
  <c r="W75" i="4"/>
  <c r="W114" i="4"/>
  <c r="AC19" i="57"/>
  <c r="AC17" i="57"/>
  <c r="B300" i="57"/>
  <c r="B301" i="57"/>
  <c r="B302" i="57"/>
  <c r="B303" i="57"/>
  <c r="B304" i="57"/>
  <c r="B305" i="57"/>
  <c r="B306" i="57"/>
  <c r="B307" i="57"/>
  <c r="B308" i="57"/>
  <c r="B309" i="57"/>
  <c r="AB4" i="5"/>
  <c r="F28" i="2"/>
  <c r="E28" i="2"/>
  <c r="C73" i="3"/>
  <c r="C71" i="3"/>
  <c r="BK56" i="5" l="1"/>
  <c r="BK54" i="5"/>
  <c r="BK55" i="5"/>
  <c r="BK53" i="5"/>
  <c r="BK52" i="5"/>
  <c r="BK51" i="5"/>
  <c r="BK50" i="5"/>
  <c r="BK48" i="5"/>
  <c r="BK49" i="5"/>
  <c r="BK47" i="5"/>
  <c r="BK46" i="5"/>
  <c r="BK45" i="5"/>
  <c r="BK43" i="5"/>
  <c r="BK44" i="5"/>
  <c r="BK42" i="5"/>
  <c r="BK41" i="5"/>
  <c r="BK40" i="5"/>
  <c r="BK39" i="5"/>
  <c r="BK38" i="5"/>
  <c r="BK37" i="5"/>
  <c r="BK36" i="5"/>
  <c r="BK35" i="5"/>
  <c r="BK34" i="5"/>
  <c r="BK33" i="5"/>
  <c r="BK32" i="5"/>
  <c r="BK31" i="5"/>
  <c r="BK30" i="5"/>
  <c r="BK29" i="5"/>
  <c r="BK28" i="5"/>
  <c r="BK26" i="5"/>
  <c r="BK27" i="5"/>
  <c r="BK25" i="5"/>
  <c r="BK24" i="5"/>
  <c r="BK23" i="5"/>
  <c r="BK22" i="5"/>
  <c r="BK21" i="5"/>
  <c r="BK19" i="5"/>
  <c r="BK20" i="5"/>
  <c r="BK18" i="5"/>
  <c r="BK17" i="5"/>
  <c r="BK16" i="5"/>
  <c r="BK15" i="5"/>
  <c r="BK14" i="5"/>
  <c r="BK13" i="5"/>
  <c r="BK12" i="5"/>
  <c r="BK11" i="5"/>
  <c r="BK10" i="5"/>
  <c r="BK9" i="5"/>
  <c r="BK8" i="5"/>
  <c r="BK7" i="5"/>
  <c r="BK6" i="5"/>
  <c r="BP56" i="5"/>
  <c r="BP54" i="5"/>
  <c r="BP55" i="5"/>
  <c r="BP53" i="5"/>
  <c r="BP52" i="5"/>
  <c r="BP51" i="5"/>
  <c r="BP50" i="5"/>
  <c r="BP49" i="5"/>
  <c r="BP48" i="5"/>
  <c r="BP47" i="5"/>
  <c r="BP46" i="5"/>
  <c r="BP45" i="5"/>
  <c r="BP43" i="5"/>
  <c r="BP44" i="5"/>
  <c r="BP42" i="5"/>
  <c r="BP41" i="5"/>
  <c r="BP40" i="5"/>
  <c r="BP39" i="5"/>
  <c r="BP38" i="5"/>
  <c r="BP37" i="5"/>
  <c r="BP36" i="5"/>
  <c r="BP35" i="5"/>
  <c r="BP34" i="5"/>
  <c r="BP33" i="5"/>
  <c r="BP32" i="5"/>
  <c r="BP31" i="5"/>
  <c r="BP30" i="5"/>
  <c r="BP29" i="5"/>
  <c r="BP28" i="5"/>
  <c r="BP26" i="5"/>
  <c r="BP27" i="5"/>
  <c r="BP25" i="5"/>
  <c r="BP24" i="5"/>
  <c r="BP23" i="5"/>
  <c r="BP22" i="5"/>
  <c r="BP21" i="5"/>
  <c r="BP19" i="5"/>
  <c r="BP20" i="5"/>
  <c r="BP18" i="5"/>
  <c r="BP17" i="5"/>
  <c r="BP16" i="5"/>
  <c r="BP15" i="5"/>
  <c r="BP14" i="5"/>
  <c r="BP13" i="5"/>
  <c r="BP12" i="5"/>
  <c r="BP11" i="5"/>
  <c r="BP10" i="5"/>
  <c r="BP9" i="5"/>
  <c r="BP8" i="5"/>
  <c r="BP7" i="5"/>
  <c r="BP6" i="5"/>
  <c r="AF55" i="5"/>
  <c r="AF17" i="5"/>
  <c r="AF16" i="5"/>
  <c r="AF14" i="5"/>
  <c r="AF9" i="5"/>
  <c r="AF22" i="5"/>
  <c r="AF11" i="5"/>
  <c r="AF21" i="5"/>
  <c r="AF33" i="5"/>
  <c r="AF31" i="5"/>
  <c r="AF23" i="5"/>
  <c r="AF13" i="5"/>
  <c r="AF27" i="5"/>
  <c r="AF42" i="5"/>
  <c r="AF34" i="5"/>
  <c r="AF24" i="5"/>
  <c r="AF47" i="5"/>
  <c r="AF53" i="5"/>
  <c r="AF49" i="5"/>
  <c r="AF51" i="5"/>
  <c r="AF56" i="5"/>
  <c r="AF44" i="5"/>
  <c r="AF40" i="5"/>
  <c r="AF45" i="5"/>
  <c r="AF46" i="5"/>
  <c r="AF48" i="5"/>
  <c r="AF8" i="5"/>
  <c r="AF15" i="5"/>
  <c r="AF12" i="5"/>
  <c r="AF18" i="5"/>
  <c r="AF10" i="5"/>
  <c r="AF26" i="5"/>
  <c r="AF30" i="5"/>
  <c r="AF37" i="5"/>
  <c r="AF29" i="5"/>
  <c r="AF20" i="5"/>
  <c r="AF36" i="5"/>
  <c r="AF19" i="5"/>
  <c r="AF39" i="5"/>
  <c r="AF43" i="5"/>
  <c r="AF32" i="5"/>
  <c r="AF25" i="5"/>
  <c r="AF52" i="5"/>
  <c r="AF28" i="5"/>
  <c r="AF50" i="5"/>
  <c r="AF54" i="5"/>
  <c r="AF38" i="5"/>
  <c r="AF35" i="5"/>
  <c r="AF41" i="5"/>
  <c r="AF7" i="5"/>
  <c r="K67" i="3"/>
  <c r="BO56" i="5" l="1"/>
  <c r="BO54" i="5"/>
  <c r="BO55" i="5"/>
  <c r="BO53" i="5"/>
  <c r="BO52" i="5"/>
  <c r="BO51" i="5"/>
  <c r="BO50" i="5"/>
  <c r="BO49" i="5"/>
  <c r="BO48" i="5"/>
  <c r="BO47" i="5"/>
  <c r="BO46" i="5"/>
  <c r="BO45" i="5"/>
  <c r="BO43" i="5"/>
  <c r="BO44" i="5"/>
  <c r="BO42" i="5"/>
  <c r="BO41" i="5"/>
  <c r="BO40" i="5"/>
  <c r="BO39" i="5"/>
  <c r="BO38" i="5"/>
  <c r="BO37" i="5"/>
  <c r="BO36" i="5"/>
  <c r="BO35" i="5"/>
  <c r="BO34" i="5"/>
  <c r="BO33" i="5"/>
  <c r="BO32" i="5"/>
  <c r="BO31" i="5"/>
  <c r="BO30" i="5"/>
  <c r="BO29" i="5"/>
  <c r="BO28" i="5"/>
  <c r="BO26" i="5"/>
  <c r="BO27" i="5"/>
  <c r="BO25" i="5"/>
  <c r="BO24" i="5"/>
  <c r="BO23" i="5"/>
  <c r="BO22" i="5"/>
  <c r="BO21" i="5"/>
  <c r="BO19" i="5"/>
  <c r="BO20" i="5"/>
  <c r="BO18" i="5"/>
  <c r="BO17" i="5"/>
  <c r="BO16" i="5"/>
  <c r="BO15" i="5"/>
  <c r="BO14" i="5"/>
  <c r="BO13" i="5"/>
  <c r="BO12" i="5"/>
  <c r="BO11" i="5"/>
  <c r="BO10" i="5"/>
  <c r="BO9" i="5"/>
  <c r="BO8" i="5"/>
  <c r="BO7" i="5"/>
  <c r="BO6" i="5"/>
  <c r="K70" i="3"/>
  <c r="A4" i="56" l="1"/>
  <c r="A3" i="56"/>
  <c r="A2" i="56"/>
  <c r="A1" i="56"/>
  <c r="B309" i="56" s="1"/>
  <c r="V37" i="5"/>
  <c r="V53" i="5"/>
  <c r="C301" i="53"/>
  <c r="C302" i="53"/>
  <c r="C303" i="53"/>
  <c r="C304" i="53"/>
  <c r="C305" i="53"/>
  <c r="C306" i="53"/>
  <c r="C307" i="53"/>
  <c r="C308" i="53"/>
  <c r="C309" i="53"/>
  <c r="C300" i="53"/>
  <c r="C301" i="52"/>
  <c r="C302" i="52"/>
  <c r="C303" i="52"/>
  <c r="C304" i="52"/>
  <c r="C305" i="52"/>
  <c r="C306" i="52"/>
  <c r="C307" i="52"/>
  <c r="C308" i="52"/>
  <c r="C309" i="52"/>
  <c r="C310" i="52"/>
  <c r="C300" i="52"/>
  <c r="C301" i="47"/>
  <c r="C302" i="47"/>
  <c r="C303" i="47"/>
  <c r="C304" i="47"/>
  <c r="C305" i="47"/>
  <c r="C306" i="47"/>
  <c r="C307" i="47"/>
  <c r="C308" i="47"/>
  <c r="C309" i="47"/>
  <c r="C300" i="47"/>
  <c r="C301" i="20"/>
  <c r="C302" i="20"/>
  <c r="C303" i="20"/>
  <c r="C304" i="20"/>
  <c r="C305" i="20"/>
  <c r="C306" i="20"/>
  <c r="C307" i="20"/>
  <c r="C308" i="20"/>
  <c r="C309" i="20"/>
  <c r="C310" i="20"/>
  <c r="C300" i="20"/>
  <c r="C301" i="56"/>
  <c r="C302" i="56"/>
  <c r="C303" i="56"/>
  <c r="C304" i="56"/>
  <c r="C305" i="56"/>
  <c r="C306" i="56"/>
  <c r="C307" i="56"/>
  <c r="C308" i="56"/>
  <c r="C309" i="56"/>
  <c r="C300" i="56"/>
  <c r="AM17" i="56"/>
  <c r="AL17" i="56" s="1"/>
  <c r="AK17" i="56"/>
  <c r="AJ17" i="56" s="1"/>
  <c r="AI17" i="56"/>
  <c r="AG17" i="56"/>
  <c r="AB17" i="56"/>
  <c r="Z17" i="56"/>
  <c r="W17" i="56"/>
  <c r="AM16" i="56"/>
  <c r="AL16" i="56" s="1"/>
  <c r="AK16" i="56"/>
  <c r="AJ16" i="56" s="1"/>
  <c r="AI16" i="56"/>
  <c r="AG16" i="56"/>
  <c r="AB16" i="56"/>
  <c r="Z16" i="56"/>
  <c r="AC16" i="56" s="1"/>
  <c r="W16" i="56"/>
  <c r="AM15" i="56"/>
  <c r="AL15" i="56" s="1"/>
  <c r="AK15" i="56"/>
  <c r="AJ15" i="56" s="1"/>
  <c r="AI15" i="56"/>
  <c r="AG15" i="56"/>
  <c r="AB15" i="56"/>
  <c r="Z15" i="56"/>
  <c r="W15" i="56"/>
  <c r="AM14" i="56"/>
  <c r="AL14" i="56"/>
  <c r="AK14" i="56"/>
  <c r="AJ14" i="56" s="1"/>
  <c r="AI14" i="56"/>
  <c r="AG14" i="56"/>
  <c r="AB14" i="56"/>
  <c r="Z14" i="56"/>
  <c r="W14" i="56"/>
  <c r="AM13" i="56"/>
  <c r="AL13" i="56" s="1"/>
  <c r="AK13" i="56"/>
  <c r="AJ13" i="56" s="1"/>
  <c r="AI13" i="56"/>
  <c r="AG13" i="56"/>
  <c r="AB13" i="56"/>
  <c r="Z13" i="56"/>
  <c r="W13" i="56"/>
  <c r="AM12" i="56"/>
  <c r="AL12" i="56"/>
  <c r="AK12" i="56"/>
  <c r="AJ12" i="56"/>
  <c r="AI12" i="56"/>
  <c r="AG12" i="56"/>
  <c r="AB12" i="56"/>
  <c r="Z12" i="56"/>
  <c r="W12" i="56"/>
  <c r="AM11" i="56"/>
  <c r="AL11" i="56" s="1"/>
  <c r="AK11" i="56"/>
  <c r="AJ11" i="56" s="1"/>
  <c r="AI11" i="56"/>
  <c r="AG11" i="56"/>
  <c r="AB11" i="56"/>
  <c r="Z11" i="56"/>
  <c r="W11" i="56"/>
  <c r="AM10" i="56"/>
  <c r="AL10" i="56"/>
  <c r="AK10" i="56"/>
  <c r="AJ10" i="56"/>
  <c r="AI10" i="56"/>
  <c r="AG10" i="56"/>
  <c r="AB10" i="56"/>
  <c r="Z10" i="56"/>
  <c r="W10" i="56"/>
  <c r="AM9" i="56"/>
  <c r="AL9" i="56" s="1"/>
  <c r="AK9" i="56"/>
  <c r="AJ9" i="56" s="1"/>
  <c r="AI9" i="56"/>
  <c r="AG9" i="56"/>
  <c r="AB9" i="56"/>
  <c r="Z9" i="56"/>
  <c r="W9" i="56"/>
  <c r="AM8" i="56"/>
  <c r="AL8" i="56"/>
  <c r="AK8" i="56"/>
  <c r="AJ8" i="56"/>
  <c r="AI8" i="56"/>
  <c r="AG8" i="56"/>
  <c r="AB8" i="56"/>
  <c r="Z8" i="56"/>
  <c r="W8" i="56"/>
  <c r="A4" i="54"/>
  <c r="A3" i="54"/>
  <c r="A2" i="54"/>
  <c r="A1" i="54"/>
  <c r="A4" i="55"/>
  <c r="A3" i="55"/>
  <c r="A2" i="55"/>
  <c r="A1" i="55"/>
  <c r="C29" i="3"/>
  <c r="C15" i="3"/>
  <c r="M19" i="3"/>
  <c r="M23" i="3"/>
  <c r="C46" i="3"/>
  <c r="M32" i="3"/>
  <c r="C39" i="3"/>
  <c r="G50" i="3"/>
  <c r="M50" i="3"/>
  <c r="M36" i="3"/>
  <c r="C71" i="55"/>
  <c r="C69" i="55"/>
  <c r="C92" i="55" s="1"/>
  <c r="C67" i="55"/>
  <c r="C66" i="55"/>
  <c r="C65" i="55"/>
  <c r="C63" i="55"/>
  <c r="C61" i="55"/>
  <c r="C88" i="55" s="1"/>
  <c r="C59" i="55"/>
  <c r="C58" i="55"/>
  <c r="C57" i="55"/>
  <c r="C55" i="55"/>
  <c r="C53" i="55"/>
  <c r="C54" i="55" s="1"/>
  <c r="E54" i="55" s="1"/>
  <c r="C51" i="55"/>
  <c r="C50" i="55"/>
  <c r="C49" i="55"/>
  <c r="C82" i="55" s="1"/>
  <c r="C47" i="55"/>
  <c r="C45" i="55"/>
  <c r="C80" i="55" s="1"/>
  <c r="C43" i="55"/>
  <c r="C42" i="55"/>
  <c r="C41" i="55"/>
  <c r="C78" i="55" s="1"/>
  <c r="C38" i="55"/>
  <c r="C36" i="55"/>
  <c r="C37" i="55" s="1"/>
  <c r="E37" i="55" s="1"/>
  <c r="C34" i="55"/>
  <c r="C33" i="55"/>
  <c r="C32" i="55"/>
  <c r="C30" i="55"/>
  <c r="C28" i="55"/>
  <c r="C29" i="55" s="1"/>
  <c r="E29" i="55" s="1"/>
  <c r="C26" i="55"/>
  <c r="C25" i="55"/>
  <c r="C24" i="55"/>
  <c r="C22" i="55"/>
  <c r="C20" i="55"/>
  <c r="C21" i="55" s="1"/>
  <c r="E21" i="55" s="1"/>
  <c r="C18" i="55"/>
  <c r="C17" i="55"/>
  <c r="C16" i="55"/>
  <c r="C98" i="55" s="1"/>
  <c r="C14" i="55"/>
  <c r="C12" i="55"/>
  <c r="C13" i="55" s="1"/>
  <c r="C10" i="55"/>
  <c r="C8" i="55"/>
  <c r="B310" i="54"/>
  <c r="B311" i="54"/>
  <c r="B312" i="54"/>
  <c r="B313" i="54"/>
  <c r="AF9" i="54"/>
  <c r="AF10" i="54"/>
  <c r="AF11" i="54"/>
  <c r="AF12" i="54"/>
  <c r="AF13" i="54"/>
  <c r="AF14" i="54"/>
  <c r="AF15" i="54"/>
  <c r="AF16" i="54"/>
  <c r="AF17" i="54"/>
  <c r="AF18" i="54"/>
  <c r="AF19" i="54"/>
  <c r="AF20" i="54"/>
  <c r="AF21" i="54"/>
  <c r="AF22" i="54"/>
  <c r="W75" i="54"/>
  <c r="W74" i="54"/>
  <c r="W73" i="54"/>
  <c r="W72" i="54"/>
  <c r="AC12" i="56" l="1"/>
  <c r="AC14" i="56"/>
  <c r="AC9" i="56"/>
  <c r="AC11" i="56"/>
  <c r="AC13" i="56"/>
  <c r="AC17" i="56"/>
  <c r="AC8" i="56"/>
  <c r="AC10" i="56"/>
  <c r="AC15" i="56"/>
  <c r="B300" i="56"/>
  <c r="B301" i="56"/>
  <c r="B302" i="56"/>
  <c r="B303" i="56"/>
  <c r="B304" i="56"/>
  <c r="B305" i="56"/>
  <c r="B306" i="56"/>
  <c r="B307" i="56"/>
  <c r="B308" i="56"/>
  <c r="C9" i="55"/>
  <c r="E9" i="55" s="1"/>
  <c r="D78" i="55"/>
  <c r="C46" i="55"/>
  <c r="E47" i="55" s="1"/>
  <c r="C62" i="55"/>
  <c r="E62" i="55" s="1"/>
  <c r="E18" i="55"/>
  <c r="E19" i="55" s="1"/>
  <c r="E25" i="55"/>
  <c r="E33" i="55"/>
  <c r="E35" i="55" s="1"/>
  <c r="G35" i="55" s="1"/>
  <c r="E50" i="55"/>
  <c r="E58" i="55"/>
  <c r="E85" i="55"/>
  <c r="E81" i="55"/>
  <c r="E27" i="55"/>
  <c r="E77" i="55"/>
  <c r="D80" i="55"/>
  <c r="I179" i="55" s="1"/>
  <c r="E101" i="55"/>
  <c r="E52" i="55"/>
  <c r="E97" i="55"/>
  <c r="E60" i="55"/>
  <c r="E13" i="55"/>
  <c r="E89" i="55" s="1"/>
  <c r="D79" i="55"/>
  <c r="F79" i="55" s="1"/>
  <c r="C94" i="55"/>
  <c r="C96" i="55"/>
  <c r="D96" i="55" s="1"/>
  <c r="C100" i="55"/>
  <c r="D100" i="55" s="1"/>
  <c r="C102" i="55"/>
  <c r="C104" i="55"/>
  <c r="C106" i="55"/>
  <c r="C108" i="55"/>
  <c r="C84" i="55"/>
  <c r="D84" i="55" s="1"/>
  <c r="C86" i="55"/>
  <c r="D86" i="55" s="1"/>
  <c r="C90" i="55"/>
  <c r="D90" i="55" s="1"/>
  <c r="C70" i="55"/>
  <c r="E70" i="55" s="1"/>
  <c r="D92" i="55"/>
  <c r="W17" i="54"/>
  <c r="W18" i="54"/>
  <c r="W19" i="54"/>
  <c r="W20" i="54"/>
  <c r="W21" i="54"/>
  <c r="W22" i="54"/>
  <c r="AI327" i="54"/>
  <c r="AJ327" i="54" s="1"/>
  <c r="AH327" i="54" s="1"/>
  <c r="AI326" i="54"/>
  <c r="AJ326" i="54" s="1"/>
  <c r="AH326" i="54" s="1"/>
  <c r="AI325" i="54"/>
  <c r="AJ325" i="54" s="1"/>
  <c r="AH325" i="54" s="1"/>
  <c r="AI324" i="54"/>
  <c r="AJ324" i="54" s="1"/>
  <c r="AH324" i="54" s="1"/>
  <c r="AI323" i="54"/>
  <c r="AJ323" i="54" s="1"/>
  <c r="AH323" i="54" s="1"/>
  <c r="AI322" i="54"/>
  <c r="AJ322" i="54" s="1"/>
  <c r="AH322" i="54" s="1"/>
  <c r="AI321" i="54"/>
  <c r="AJ321" i="54" s="1"/>
  <c r="AH321" i="54" s="1"/>
  <c r="AI320" i="54"/>
  <c r="AJ320" i="54" s="1"/>
  <c r="AH320" i="54" s="1"/>
  <c r="AI319" i="54"/>
  <c r="AJ319" i="54" s="1"/>
  <c r="AH319" i="54" s="1"/>
  <c r="AI318" i="54"/>
  <c r="AJ318" i="54" s="1"/>
  <c r="AH318" i="54" s="1"/>
  <c r="AI317" i="54"/>
  <c r="AJ317" i="54" s="1"/>
  <c r="AH317" i="54" s="1"/>
  <c r="AI316" i="54"/>
  <c r="AJ316" i="54" s="1"/>
  <c r="AH316" i="54" s="1"/>
  <c r="AI315" i="54"/>
  <c r="AJ315" i="54" s="1"/>
  <c r="AH315" i="54" s="1"/>
  <c r="AI314" i="54"/>
  <c r="AJ314" i="54" s="1"/>
  <c r="AH314" i="54" s="1"/>
  <c r="W81" i="54"/>
  <c r="W80" i="54"/>
  <c r="W79" i="54"/>
  <c r="W78" i="54"/>
  <c r="W77" i="54"/>
  <c r="W76" i="54"/>
  <c r="W70" i="54"/>
  <c r="W69" i="54"/>
  <c r="W68" i="54"/>
  <c r="W67" i="54"/>
  <c r="W66" i="54"/>
  <c r="W65" i="54"/>
  <c r="Z64" i="54"/>
  <c r="W64" i="54"/>
  <c r="W63" i="54"/>
  <c r="W62" i="54"/>
  <c r="W61" i="54"/>
  <c r="W60" i="54"/>
  <c r="Z60" i="54" s="1"/>
  <c r="W59" i="54"/>
  <c r="W58" i="54"/>
  <c r="W57" i="54"/>
  <c r="W56" i="54"/>
  <c r="Y56" i="54" s="1"/>
  <c r="W55" i="54"/>
  <c r="Y55" i="54" s="1"/>
  <c r="W54" i="54"/>
  <c r="Y54" i="54" s="1"/>
  <c r="W53" i="54"/>
  <c r="Y53" i="54" s="1"/>
  <c r="W52" i="54"/>
  <c r="Y52" i="54" s="1"/>
  <c r="W51" i="54"/>
  <c r="Y51" i="54" s="1"/>
  <c r="W50" i="54"/>
  <c r="Y50" i="54" s="1"/>
  <c r="W49" i="54"/>
  <c r="Y49" i="54" s="1"/>
  <c r="W48" i="54"/>
  <c r="Y48" i="54" s="1"/>
  <c r="W47" i="54"/>
  <c r="Y47" i="54" s="1"/>
  <c r="W46" i="54"/>
  <c r="Y46" i="54" s="1"/>
  <c r="W45" i="54"/>
  <c r="Y45" i="54" s="1"/>
  <c r="W44" i="54"/>
  <c r="Y44" i="54" s="1"/>
  <c r="W43" i="54"/>
  <c r="Y43" i="54" s="1"/>
  <c r="W42" i="54"/>
  <c r="Y42" i="54" s="1"/>
  <c r="W41" i="54"/>
  <c r="Y41" i="54" s="1"/>
  <c r="W40" i="54"/>
  <c r="Y40" i="54" s="1"/>
  <c r="W39" i="54"/>
  <c r="Y39" i="54" s="1"/>
  <c r="W38" i="54"/>
  <c r="Y38" i="54" s="1"/>
  <c r="W37" i="54"/>
  <c r="Y37" i="54" s="1"/>
  <c r="W36" i="54"/>
  <c r="Y36" i="54" s="1"/>
  <c r="W35" i="54"/>
  <c r="Y35" i="54" s="1"/>
  <c r="W34" i="54"/>
  <c r="Y34" i="54" s="1"/>
  <c r="W33" i="54"/>
  <c r="Y33" i="54" s="1"/>
  <c r="W32" i="54"/>
  <c r="Y32" i="54" s="1"/>
  <c r="W31" i="54"/>
  <c r="Y31" i="54" s="1"/>
  <c r="W30" i="54"/>
  <c r="Y30" i="54" s="1"/>
  <c r="W27" i="54"/>
  <c r="W28" i="54"/>
  <c r="W25" i="54"/>
  <c r="W29" i="54"/>
  <c r="W26" i="54"/>
  <c r="W24" i="54"/>
  <c r="W14" i="54"/>
  <c r="W10" i="54"/>
  <c r="W15" i="54"/>
  <c r="W12" i="54"/>
  <c r="W16" i="54"/>
  <c r="W13" i="54"/>
  <c r="W11" i="54"/>
  <c r="W9" i="54"/>
  <c r="X9" i="54" s="1"/>
  <c r="X78" i="54"/>
  <c r="X80" i="54"/>
  <c r="X81" i="54"/>
  <c r="X77" i="54"/>
  <c r="AE55" i="5" l="1"/>
  <c r="AE40" i="5"/>
  <c r="AE44" i="5"/>
  <c r="AE41" i="5"/>
  <c r="AE15" i="5"/>
  <c r="AE8" i="5"/>
  <c r="AE14" i="5"/>
  <c r="AE11" i="5"/>
  <c r="AE21" i="5"/>
  <c r="AE31" i="5"/>
  <c r="AE9" i="5"/>
  <c r="AE36" i="5"/>
  <c r="AE13" i="5"/>
  <c r="AE20" i="5"/>
  <c r="AE39" i="5"/>
  <c r="AE43" i="5"/>
  <c r="AE26" i="5"/>
  <c r="AE29" i="5"/>
  <c r="AE24" i="5"/>
  <c r="AE47" i="5"/>
  <c r="AE49" i="5"/>
  <c r="AE51" i="5"/>
  <c r="AE56" i="5"/>
  <c r="AE52" i="5"/>
  <c r="AE45" i="5"/>
  <c r="AE46" i="5"/>
  <c r="AE48" i="5"/>
  <c r="AE37" i="5"/>
  <c r="AE53" i="5"/>
  <c r="AE7" i="5"/>
  <c r="AE12" i="5"/>
  <c r="AE18" i="5"/>
  <c r="AE30" i="5"/>
  <c r="AE16" i="5"/>
  <c r="AE23" i="5"/>
  <c r="AE10" i="5"/>
  <c r="AE22" i="5"/>
  <c r="AE19" i="5"/>
  <c r="AE27" i="5"/>
  <c r="AE42" i="5"/>
  <c r="AE34" i="5"/>
  <c r="AE33" i="5"/>
  <c r="AE32" i="5"/>
  <c r="AE25" i="5"/>
  <c r="AE28" i="5"/>
  <c r="AE50" i="5"/>
  <c r="AE54" i="5"/>
  <c r="AE38" i="5"/>
  <c r="AE35" i="5"/>
  <c r="AE17" i="5"/>
  <c r="D108" i="55"/>
  <c r="D104" i="55"/>
  <c r="E11" i="55"/>
  <c r="G11" i="55" s="1"/>
  <c r="E42" i="55"/>
  <c r="I185" i="55"/>
  <c r="D91" i="55"/>
  <c r="F91" i="55" s="1"/>
  <c r="D106" i="55"/>
  <c r="D102" i="55"/>
  <c r="D98" i="55"/>
  <c r="D94" i="55"/>
  <c r="D88" i="55"/>
  <c r="G27" i="55"/>
  <c r="G19" i="55"/>
  <c r="I183" i="55"/>
  <c r="K183" i="55" s="1"/>
  <c r="D87" i="55"/>
  <c r="F87" i="55" s="1"/>
  <c r="D82" i="55"/>
  <c r="G100" i="55"/>
  <c r="G15" i="55"/>
  <c r="E66" i="55"/>
  <c r="F77" i="55"/>
  <c r="F85" i="55"/>
  <c r="X13" i="54"/>
  <c r="X12" i="54"/>
  <c r="X10" i="54"/>
  <c r="Y29" i="54"/>
  <c r="X22" i="54"/>
  <c r="X20" i="54"/>
  <c r="X18" i="54"/>
  <c r="X11" i="54"/>
  <c r="X16" i="54"/>
  <c r="X15" i="54"/>
  <c r="X14" i="54"/>
  <c r="Y26" i="54"/>
  <c r="Y25" i="54"/>
  <c r="X21" i="54"/>
  <c r="X19" i="54"/>
  <c r="X17" i="54"/>
  <c r="X67" i="54"/>
  <c r="Z61" i="54"/>
  <c r="X69" i="54"/>
  <c r="AA62" i="54"/>
  <c r="Z65" i="54"/>
  <c r="X68" i="54"/>
  <c r="Y24" i="54"/>
  <c r="Y28" i="54"/>
  <c r="Y27" i="54"/>
  <c r="AA58" i="54"/>
  <c r="AB58" i="54"/>
  <c r="Z59" i="54"/>
  <c r="AB62" i="54"/>
  <c r="Z63" i="54"/>
  <c r="X70" i="54"/>
  <c r="Z58" i="54"/>
  <c r="X58" i="54" s="1"/>
  <c r="AA60" i="54"/>
  <c r="AB60" i="54"/>
  <c r="Z62" i="54"/>
  <c r="AA64" i="54"/>
  <c r="X60" i="54" s="1"/>
  <c r="AB64" i="54"/>
  <c r="BN56" i="5" l="1"/>
  <c r="BN54" i="5"/>
  <c r="BN55" i="5"/>
  <c r="BN53" i="5"/>
  <c r="BN52" i="5"/>
  <c r="BN51" i="5"/>
  <c r="BN50" i="5"/>
  <c r="BN49" i="5"/>
  <c r="BN48" i="5"/>
  <c r="BN47" i="5"/>
  <c r="BN46" i="5"/>
  <c r="BN45" i="5"/>
  <c r="BN43" i="5"/>
  <c r="BN44" i="5"/>
  <c r="BN42" i="5"/>
  <c r="BN41" i="5"/>
  <c r="BN40" i="5"/>
  <c r="BN39" i="5"/>
  <c r="BN38" i="5"/>
  <c r="BN37" i="5"/>
  <c r="BN36" i="5"/>
  <c r="BN35" i="5"/>
  <c r="BN34" i="5"/>
  <c r="BN33" i="5"/>
  <c r="BN32" i="5"/>
  <c r="BN31" i="5"/>
  <c r="BN30" i="5"/>
  <c r="BN29" i="5"/>
  <c r="BN28" i="5"/>
  <c r="BN26" i="5"/>
  <c r="BN27" i="5"/>
  <c r="BN25" i="5"/>
  <c r="BN24" i="5"/>
  <c r="BN23" i="5"/>
  <c r="BN22" i="5"/>
  <c r="BN21" i="5"/>
  <c r="BN19" i="5"/>
  <c r="BN20" i="5"/>
  <c r="BN18" i="5"/>
  <c r="BN17" i="5"/>
  <c r="BN16" i="5"/>
  <c r="BN15" i="5"/>
  <c r="BN14" i="5"/>
  <c r="BN13" i="5"/>
  <c r="BN12" i="5"/>
  <c r="BN11" i="5"/>
  <c r="BN10" i="5"/>
  <c r="BN9" i="5"/>
  <c r="BN8" i="5"/>
  <c r="BN7" i="5"/>
  <c r="BN6" i="5"/>
  <c r="E105" i="55"/>
  <c r="E44" i="55"/>
  <c r="E93" i="55"/>
  <c r="E68" i="55"/>
  <c r="I181" i="55"/>
  <c r="D83" i="55"/>
  <c r="G92" i="55"/>
  <c r="G31" i="55"/>
  <c r="I31" i="55" s="1"/>
  <c r="I189" i="55"/>
  <c r="D99" i="55"/>
  <c r="I193" i="55"/>
  <c r="D107" i="55"/>
  <c r="K185" i="55"/>
  <c r="K184" i="55" s="1"/>
  <c r="J145" i="55"/>
  <c r="F86" i="55"/>
  <c r="J141" i="55"/>
  <c r="F78" i="55"/>
  <c r="I15" i="55"/>
  <c r="I187" i="55"/>
  <c r="K187" i="55" s="1"/>
  <c r="D95" i="55"/>
  <c r="F95" i="55" s="1"/>
  <c r="I191" i="55"/>
  <c r="K191" i="55" s="1"/>
  <c r="D103" i="55"/>
  <c r="F89" i="55"/>
  <c r="X27" i="54"/>
  <c r="X24" i="54"/>
  <c r="X56" i="54"/>
  <c r="X52" i="54"/>
  <c r="X48" i="54"/>
  <c r="X44" i="54"/>
  <c r="X40" i="54"/>
  <c r="X36" i="54"/>
  <c r="X32" i="54"/>
  <c r="X55" i="54"/>
  <c r="X51" i="54"/>
  <c r="X47" i="54"/>
  <c r="X43" i="54"/>
  <c r="X39" i="54"/>
  <c r="X35" i="54"/>
  <c r="X31" i="54"/>
  <c r="X26" i="54"/>
  <c r="X29" i="54"/>
  <c r="X28" i="54"/>
  <c r="X54" i="54"/>
  <c r="X50" i="54"/>
  <c r="X46" i="54"/>
  <c r="X42" i="54"/>
  <c r="X38" i="54"/>
  <c r="X34" i="54"/>
  <c r="X30" i="54"/>
  <c r="X53" i="54"/>
  <c r="X49" i="54"/>
  <c r="X45" i="54"/>
  <c r="X41" i="54"/>
  <c r="X37" i="54"/>
  <c r="X33" i="54"/>
  <c r="X25" i="54"/>
  <c r="X61" i="54"/>
  <c r="X62" i="54"/>
  <c r="X64" i="54"/>
  <c r="X63" i="54"/>
  <c r="X59" i="54"/>
  <c r="X65" i="54"/>
  <c r="B308" i="54"/>
  <c r="G52" i="55" l="1"/>
  <c r="G44" i="55"/>
  <c r="J147" i="55"/>
  <c r="K147" i="55" s="1"/>
  <c r="F90" i="55"/>
  <c r="G90" i="55" s="1"/>
  <c r="G86" i="55"/>
  <c r="K193" i="55"/>
  <c r="K208" i="55" s="1"/>
  <c r="K189" i="55"/>
  <c r="K188" i="55" s="1"/>
  <c r="K204" i="55"/>
  <c r="K181" i="55"/>
  <c r="K179" i="55"/>
  <c r="G68" i="55"/>
  <c r="G60" i="55"/>
  <c r="F103" i="55"/>
  <c r="F101" i="55"/>
  <c r="I75" i="55"/>
  <c r="I23" i="55"/>
  <c r="K145" i="55"/>
  <c r="F107" i="55"/>
  <c r="F105" i="55"/>
  <c r="F99" i="55"/>
  <c r="F97" i="55"/>
  <c r="F83" i="55"/>
  <c r="F81" i="55"/>
  <c r="F93" i="55"/>
  <c r="AI29" i="54"/>
  <c r="AI310" i="54"/>
  <c r="B306" i="54"/>
  <c r="AI306" i="54" s="1"/>
  <c r="B304" i="54"/>
  <c r="AI304" i="54" s="1"/>
  <c r="B80" i="54"/>
  <c r="B300" i="54" s="1"/>
  <c r="AI311" i="54"/>
  <c r="AI24" i="54"/>
  <c r="AI17" i="54"/>
  <c r="B77" i="54"/>
  <c r="B302" i="54" s="1"/>
  <c r="B305" i="54"/>
  <c r="AI14" i="54" s="1"/>
  <c r="B307" i="54"/>
  <c r="AI313" i="54"/>
  <c r="B303" i="54"/>
  <c r="AI308" i="54"/>
  <c r="AI21" i="54"/>
  <c r="AI312" i="54"/>
  <c r="B301" i="54" l="1"/>
  <c r="V11" i="4" s="1"/>
  <c r="G84" i="55"/>
  <c r="G48" i="55"/>
  <c r="J149" i="55"/>
  <c r="F94" i="55"/>
  <c r="J153" i="55"/>
  <c r="F102" i="55"/>
  <c r="G76" i="55"/>
  <c r="G64" i="55"/>
  <c r="K202" i="55"/>
  <c r="L202" i="55" s="1"/>
  <c r="K180" i="55"/>
  <c r="L204" i="55"/>
  <c r="K127" i="55"/>
  <c r="G88" i="55"/>
  <c r="K206" i="55"/>
  <c r="L206" i="55" s="1"/>
  <c r="K192" i="55"/>
  <c r="L192" i="55" s="1"/>
  <c r="J143" i="55"/>
  <c r="F82" i="55"/>
  <c r="J151" i="55"/>
  <c r="K151" i="55" s="1"/>
  <c r="F98" i="55"/>
  <c r="G98" i="55" s="1"/>
  <c r="J155" i="55"/>
  <c r="K155" i="55" s="1"/>
  <c r="F106" i="55"/>
  <c r="G106" i="55" s="1"/>
  <c r="K166" i="55"/>
  <c r="K146" i="55"/>
  <c r="V8" i="4"/>
  <c r="AI12" i="54"/>
  <c r="AI10" i="54"/>
  <c r="AI300" i="54"/>
  <c r="AI25" i="54"/>
  <c r="AI26" i="54"/>
  <c r="AI28" i="54"/>
  <c r="AI23" i="54"/>
  <c r="AI15" i="54"/>
  <c r="AI20" i="54"/>
  <c r="AI9" i="54"/>
  <c r="AI303" i="54"/>
  <c r="AI13" i="54"/>
  <c r="AI302" i="54"/>
  <c r="AI22" i="54"/>
  <c r="AI309" i="54"/>
  <c r="AI16" i="54"/>
  <c r="AI305" i="54"/>
  <c r="AI19" i="54"/>
  <c r="AI11" i="54"/>
  <c r="AI307" i="54"/>
  <c r="AI18" i="54"/>
  <c r="V71" i="4" l="1"/>
  <c r="V75" i="4"/>
  <c r="V114" i="4"/>
  <c r="V100" i="4"/>
  <c r="V86" i="4"/>
  <c r="V68" i="4"/>
  <c r="V54" i="4"/>
  <c r="V23" i="4"/>
  <c r="V26" i="4"/>
  <c r="V107" i="4"/>
  <c r="V94" i="4"/>
  <c r="V79" i="4"/>
  <c r="V106" i="4"/>
  <c r="V93" i="4"/>
  <c r="V78" i="4"/>
  <c r="V42" i="4"/>
  <c r="V45" i="4"/>
  <c r="V27" i="4"/>
  <c r="V115" i="4"/>
  <c r="V101" i="4"/>
  <c r="V87" i="4"/>
  <c r="V38" i="4"/>
  <c r="V110" i="4"/>
  <c r="V104" i="4"/>
  <c r="V96" i="4"/>
  <c r="V90" i="4"/>
  <c r="V82" i="4"/>
  <c r="V72" i="4"/>
  <c r="V65" i="4"/>
  <c r="V57" i="4"/>
  <c r="V51" i="4"/>
  <c r="V24" i="4"/>
  <c r="V14" i="4"/>
  <c r="V21" i="4"/>
  <c r="V12" i="4"/>
  <c r="V111" i="4"/>
  <c r="V48" i="4"/>
  <c r="V97" i="4"/>
  <c r="V58" i="4"/>
  <c r="V83" i="4"/>
  <c r="V76" i="4"/>
  <c r="V66" i="4"/>
  <c r="V62" i="4"/>
  <c r="V59" i="4"/>
  <c r="V37" i="4"/>
  <c r="AI301" i="54"/>
  <c r="V112" i="4"/>
  <c r="V108" i="4"/>
  <c r="V105" i="4"/>
  <c r="V102" i="4"/>
  <c r="V98" i="4"/>
  <c r="V44" i="4"/>
  <c r="V91" i="4"/>
  <c r="V88" i="4"/>
  <c r="V84" i="4"/>
  <c r="V80" i="4"/>
  <c r="V73" i="4"/>
  <c r="V69" i="4"/>
  <c r="V39" i="4"/>
  <c r="V63" i="4"/>
  <c r="V60" i="4"/>
  <c r="V55" i="4"/>
  <c r="V52" i="4"/>
  <c r="V49" i="4"/>
  <c r="V41" i="4"/>
  <c r="V34" i="4"/>
  <c r="V35" i="4"/>
  <c r="V28" i="4"/>
  <c r="V22" i="4"/>
  <c r="V25" i="4"/>
  <c r="V10" i="4"/>
  <c r="V9" i="4"/>
  <c r="V113" i="4"/>
  <c r="V109" i="4"/>
  <c r="V74" i="4"/>
  <c r="V103" i="4"/>
  <c r="V99" i="4"/>
  <c r="V95" i="4"/>
  <c r="V92" i="4"/>
  <c r="V89" i="4"/>
  <c r="V85" i="4"/>
  <c r="V81" i="4"/>
  <c r="V77" i="4"/>
  <c r="V70" i="4"/>
  <c r="V67" i="4"/>
  <c r="V64" i="4"/>
  <c r="V61" i="4"/>
  <c r="V56" i="4"/>
  <c r="V47" i="4"/>
  <c r="V46" i="4"/>
  <c r="V36" i="4"/>
  <c r="V40" i="4"/>
  <c r="V32" i="4"/>
  <c r="V31" i="4"/>
  <c r="V15" i="4"/>
  <c r="V18" i="4"/>
  <c r="V17" i="4"/>
  <c r="V53" i="4"/>
  <c r="V50" i="4"/>
  <c r="V43" i="4"/>
  <c r="V30" i="4"/>
  <c r="V29" i="4"/>
  <c r="V33" i="4"/>
  <c r="V19" i="4"/>
  <c r="V20" i="4"/>
  <c r="V16" i="4"/>
  <c r="V13" i="4"/>
  <c r="G82" i="55"/>
  <c r="G78" i="55"/>
  <c r="H88" i="55"/>
  <c r="H84" i="55"/>
  <c r="L210" i="55"/>
  <c r="L203" i="55"/>
  <c r="K153" i="55"/>
  <c r="G94" i="55"/>
  <c r="L188" i="55"/>
  <c r="K143" i="55"/>
  <c r="K141" i="55"/>
  <c r="L180" i="55"/>
  <c r="L184" i="55"/>
  <c r="I64" i="55"/>
  <c r="I48" i="55"/>
  <c r="G102" i="55"/>
  <c r="K149" i="55"/>
  <c r="L208" i="55"/>
  <c r="L207" i="55" s="1"/>
  <c r="N207" i="55" s="1"/>
  <c r="AJ15" i="54"/>
  <c r="AJ311" i="54"/>
  <c r="AJ23" i="54"/>
  <c r="AJ29" i="54"/>
  <c r="AJ25" i="54"/>
  <c r="AJ308" i="54"/>
  <c r="AJ21" i="54"/>
  <c r="AJ24" i="54"/>
  <c r="AJ16" i="54"/>
  <c r="AJ28" i="54"/>
  <c r="L212" i="55" l="1"/>
  <c r="N212" i="55" s="1"/>
  <c r="K168" i="55"/>
  <c r="K150" i="55"/>
  <c r="K131" i="55"/>
  <c r="G104" i="55"/>
  <c r="L195" i="55"/>
  <c r="L182" i="55"/>
  <c r="K164" i="55"/>
  <c r="K142" i="55"/>
  <c r="K129" i="55"/>
  <c r="L129" i="55" s="1"/>
  <c r="G96" i="55"/>
  <c r="N210" i="55"/>
  <c r="I91" i="55"/>
  <c r="I56" i="55"/>
  <c r="L190" i="55"/>
  <c r="N190" i="55" s="1"/>
  <c r="L197" i="55"/>
  <c r="N197" i="55" s="1"/>
  <c r="K154" i="55"/>
  <c r="L154" i="55" s="1"/>
  <c r="K170" i="55"/>
  <c r="L170" i="55" s="1"/>
  <c r="N203" i="55"/>
  <c r="K112" i="55"/>
  <c r="H86" i="55"/>
  <c r="K125" i="55"/>
  <c r="G80" i="55"/>
  <c r="AJ26" i="54"/>
  <c r="AJ309" i="54"/>
  <c r="AH309" i="54" s="1"/>
  <c r="AJ11" i="54"/>
  <c r="AJ301" i="54"/>
  <c r="AJ9" i="54"/>
  <c r="AJ300" i="54"/>
  <c r="AJ19" i="54"/>
  <c r="AJ305" i="54"/>
  <c r="AJ14" i="54"/>
  <c r="AJ313" i="54"/>
  <c r="AJ20" i="54"/>
  <c r="AJ306" i="54"/>
  <c r="AH15" i="54" s="1"/>
  <c r="AJ18" i="54"/>
  <c r="AJ307" i="54"/>
  <c r="AH16" i="54" s="1"/>
  <c r="AH24" i="54"/>
  <c r="AH29" i="54"/>
  <c r="AH311" i="54"/>
  <c r="AJ13" i="54"/>
  <c r="AJ303" i="54"/>
  <c r="AJ17" i="54"/>
  <c r="AJ304" i="54"/>
  <c r="AJ310" i="54"/>
  <c r="AJ12" i="54"/>
  <c r="AJ22" i="54"/>
  <c r="AJ302" i="54"/>
  <c r="AJ312" i="54"/>
  <c r="AH21" i="54" s="1"/>
  <c r="AJ10" i="54"/>
  <c r="AH308" i="54"/>
  <c r="AH26" i="54"/>
  <c r="AH25" i="54"/>
  <c r="AH23" i="54"/>
  <c r="H80" i="55" l="1"/>
  <c r="H76" i="55"/>
  <c r="P205" i="55"/>
  <c r="P208" i="55"/>
  <c r="H96" i="55"/>
  <c r="H92" i="55"/>
  <c r="L142" i="55"/>
  <c r="L146" i="55"/>
  <c r="N182" i="55"/>
  <c r="H104" i="55"/>
  <c r="H100" i="55"/>
  <c r="L150" i="55"/>
  <c r="L125" i="55"/>
  <c r="L127" i="55"/>
  <c r="K56" i="55"/>
  <c r="K23" i="55"/>
  <c r="P211" i="55"/>
  <c r="P214" i="55"/>
  <c r="L164" i="55"/>
  <c r="L166" i="55"/>
  <c r="N195" i="55"/>
  <c r="L131" i="55"/>
  <c r="L130" i="55" s="1"/>
  <c r="L168" i="55"/>
  <c r="AH28" i="54"/>
  <c r="AH312" i="54"/>
  <c r="AH10" i="54"/>
  <c r="AH310" i="54"/>
  <c r="AH12" i="54"/>
  <c r="AH306" i="54"/>
  <c r="AH20" i="54"/>
  <c r="AH313" i="54"/>
  <c r="AH14" i="54"/>
  <c r="AH305" i="54"/>
  <c r="AH19" i="54"/>
  <c r="AH300" i="54"/>
  <c r="AH9" i="54"/>
  <c r="AH301" i="54"/>
  <c r="AH11" i="54"/>
  <c r="AH302" i="54"/>
  <c r="AH22" i="54"/>
  <c r="AH304" i="54"/>
  <c r="AH17" i="54"/>
  <c r="AH303" i="54"/>
  <c r="AH13" i="54"/>
  <c r="AH307" i="54"/>
  <c r="AH18" i="54"/>
  <c r="L174" i="55" l="1"/>
  <c r="L169" i="55"/>
  <c r="P196" i="55"/>
  <c r="P199" i="55"/>
  <c r="L172" i="55"/>
  <c r="N172" i="55" s="1"/>
  <c r="L165" i="55"/>
  <c r="N165" i="55" s="1"/>
  <c r="L135" i="55"/>
  <c r="L152" i="55"/>
  <c r="L159" i="55"/>
  <c r="H94" i="55"/>
  <c r="K114" i="55"/>
  <c r="K110" i="55"/>
  <c r="H78" i="55"/>
  <c r="K73" i="55"/>
  <c r="K40" i="55"/>
  <c r="L133" i="55"/>
  <c r="L126" i="55"/>
  <c r="N126" i="55" s="1"/>
  <c r="H102" i="55"/>
  <c r="I102" i="55" s="1"/>
  <c r="K116" i="55"/>
  <c r="L116" i="55" s="1"/>
  <c r="P186" i="55"/>
  <c r="P189" i="55"/>
  <c r="L157" i="55"/>
  <c r="N157" i="55" s="1"/>
  <c r="L144" i="55"/>
  <c r="N143" i="55" s="1"/>
  <c r="N133" i="55" l="1"/>
  <c r="P137" i="55" s="1"/>
  <c r="I78" i="55"/>
  <c r="I86" i="55"/>
  <c r="L114" i="55"/>
  <c r="N159" i="55"/>
  <c r="P158" i="55" s="1"/>
  <c r="N135" i="55"/>
  <c r="N174" i="55"/>
  <c r="P173" i="55" s="1"/>
  <c r="P134" i="55"/>
  <c r="L110" i="55"/>
  <c r="L112" i="55"/>
  <c r="I94" i="55"/>
  <c r="N151" i="55"/>
  <c r="P147" i="55" s="1"/>
  <c r="N169" i="55"/>
  <c r="P167" i="55" s="1"/>
  <c r="N130" i="55"/>
  <c r="P128" i="55" s="1"/>
  <c r="P161" i="55" l="1"/>
  <c r="P170" i="55"/>
  <c r="P176" i="55"/>
  <c r="L120" i="55"/>
  <c r="L115" i="55"/>
  <c r="N89" i="55"/>
  <c r="I82" i="55"/>
  <c r="P131" i="55"/>
  <c r="P150" i="55"/>
  <c r="I98" i="55"/>
  <c r="N91" i="55"/>
  <c r="L118" i="55"/>
  <c r="N118" i="55" s="1"/>
  <c r="L111" i="55"/>
  <c r="N111" i="55" s="1"/>
  <c r="O89" i="55" l="1"/>
  <c r="O91" i="55"/>
  <c r="P93" i="55" s="1"/>
  <c r="J82" i="55"/>
  <c r="J75" i="55"/>
  <c r="N115" i="55"/>
  <c r="P116" i="55" s="1"/>
  <c r="J98" i="55"/>
  <c r="J91" i="55"/>
  <c r="P90" i="55"/>
  <c r="N120" i="55"/>
  <c r="P119" i="55" s="1"/>
  <c r="P113" i="55" l="1"/>
  <c r="J95" i="55"/>
  <c r="N84" i="55"/>
  <c r="P122" i="55"/>
  <c r="N82" i="55"/>
  <c r="O82" i="55" s="1"/>
  <c r="J79" i="55"/>
  <c r="K79" i="55" s="1"/>
  <c r="O84" i="55" l="1"/>
  <c r="P86" i="55" s="1"/>
  <c r="K95" i="55"/>
  <c r="K87" i="55" s="1"/>
  <c r="P77" i="55" l="1"/>
  <c r="L87" i="55"/>
  <c r="L73" i="55"/>
  <c r="P83" i="55"/>
  <c r="L80" i="55" l="1"/>
  <c r="P74" i="55"/>
  <c r="M80" i="55" l="1"/>
  <c r="M40" i="55"/>
  <c r="N65" i="55" l="1"/>
  <c r="O65" i="55" s="1"/>
  <c r="P67" i="55" s="1"/>
  <c r="N69" i="55"/>
  <c r="O69" i="55" l="1"/>
  <c r="P70" i="55" s="1"/>
  <c r="B330" i="55" s="1"/>
  <c r="B326" i="55"/>
  <c r="B324" i="55"/>
  <c r="B322" i="55"/>
  <c r="B320" i="55"/>
  <c r="B318" i="55"/>
  <c r="B316" i="55"/>
  <c r="B314" i="55"/>
  <c r="B312" i="55"/>
  <c r="B310" i="55"/>
  <c r="B308" i="55"/>
  <c r="B306" i="55"/>
  <c r="B304" i="55"/>
  <c r="B302" i="55"/>
  <c r="B300" i="55"/>
  <c r="B331" i="55"/>
  <c r="B327" i="55"/>
  <c r="B323" i="55"/>
  <c r="B319" i="55"/>
  <c r="B315" i="55"/>
  <c r="B311" i="55"/>
  <c r="B307" i="55"/>
  <c r="B303" i="55"/>
  <c r="B329" i="55"/>
  <c r="B325" i="55"/>
  <c r="B321" i="55"/>
  <c r="B317" i="55"/>
  <c r="B313" i="55"/>
  <c r="B309" i="55"/>
  <c r="B305" i="55"/>
  <c r="B301" i="55"/>
  <c r="B328" i="55" l="1"/>
  <c r="B322" i="50" l="1"/>
  <c r="B323" i="50"/>
  <c r="B324" i="50"/>
  <c r="B325" i="50"/>
  <c r="B326" i="50"/>
  <c r="B327" i="50"/>
  <c r="B328" i="50"/>
  <c r="B329" i="50"/>
  <c r="B330" i="50"/>
  <c r="B331" i="50"/>
  <c r="A4" i="53" l="1"/>
  <c r="A3" i="53"/>
  <c r="A2" i="53"/>
  <c r="A1" i="53"/>
  <c r="AM17" i="53"/>
  <c r="AK17" i="53"/>
  <c r="AI17" i="53"/>
  <c r="AG17" i="53"/>
  <c r="AB17" i="53"/>
  <c r="Z17" i="53"/>
  <c r="W17" i="53"/>
  <c r="AM16" i="53"/>
  <c r="AL16" i="53" s="1"/>
  <c r="AK16" i="53"/>
  <c r="AJ16" i="53" s="1"/>
  <c r="AI16" i="53"/>
  <c r="AG16" i="53"/>
  <c r="AB16" i="53"/>
  <c r="Z16" i="53"/>
  <c r="AC16" i="53" s="1"/>
  <c r="W16" i="53"/>
  <c r="AM15" i="53"/>
  <c r="AL15" i="53" s="1"/>
  <c r="AK15" i="53"/>
  <c r="AJ15" i="53" s="1"/>
  <c r="AI15" i="53"/>
  <c r="AG15" i="53"/>
  <c r="AB15" i="53"/>
  <c r="Z15" i="53"/>
  <c r="W15" i="53"/>
  <c r="AM14" i="53"/>
  <c r="AK14" i="53"/>
  <c r="AI14" i="53"/>
  <c r="AG14" i="53"/>
  <c r="AB14" i="53"/>
  <c r="Z14" i="53"/>
  <c r="AC14" i="53" s="1"/>
  <c r="W14" i="53"/>
  <c r="AM13" i="53"/>
  <c r="AL13" i="53" s="1"/>
  <c r="AK13" i="53"/>
  <c r="AJ13" i="53" s="1"/>
  <c r="AI13" i="53"/>
  <c r="AG13" i="53"/>
  <c r="AB13" i="53"/>
  <c r="Z13" i="53"/>
  <c r="W13" i="53"/>
  <c r="AM12" i="53"/>
  <c r="AL12" i="53" s="1"/>
  <c r="AK12" i="53"/>
  <c r="AJ12" i="53" s="1"/>
  <c r="AI12" i="53"/>
  <c r="AG12" i="53"/>
  <c r="AB12" i="53"/>
  <c r="Z12" i="53"/>
  <c r="AC12" i="53" s="1"/>
  <c r="W12" i="53"/>
  <c r="AM11" i="53"/>
  <c r="AL11" i="53" s="1"/>
  <c r="AK11" i="53"/>
  <c r="AJ11" i="53" s="1"/>
  <c r="AI11" i="53"/>
  <c r="AG11" i="53"/>
  <c r="AB11" i="53"/>
  <c r="Z11" i="53"/>
  <c r="W11" i="53"/>
  <c r="AM10" i="53"/>
  <c r="AL10" i="53" s="1"/>
  <c r="AK10" i="53"/>
  <c r="AJ10" i="53" s="1"/>
  <c r="AI10" i="53"/>
  <c r="AG10" i="53"/>
  <c r="AB10" i="53"/>
  <c r="Z10" i="53"/>
  <c r="AC10" i="53" s="1"/>
  <c r="W10" i="53"/>
  <c r="AM9" i="53"/>
  <c r="AL9" i="53" s="1"/>
  <c r="AK9" i="53"/>
  <c r="AJ9" i="53" s="1"/>
  <c r="AI9" i="53"/>
  <c r="AG9" i="53"/>
  <c r="AB9" i="53"/>
  <c r="Z9" i="53"/>
  <c r="W9" i="53"/>
  <c r="AM8" i="53"/>
  <c r="AL8" i="53" s="1"/>
  <c r="AK8" i="53"/>
  <c r="AJ8" i="53" s="1"/>
  <c r="AI8" i="53"/>
  <c r="AG8" i="53"/>
  <c r="AB8" i="53"/>
  <c r="Z8" i="53"/>
  <c r="AC8" i="53" s="1"/>
  <c r="W8" i="53"/>
  <c r="B309" i="53"/>
  <c r="AC17" i="53" l="1"/>
  <c r="AC9" i="53"/>
  <c r="AC11" i="53"/>
  <c r="AC13" i="53"/>
  <c r="AC15" i="53"/>
  <c r="B300" i="53"/>
  <c r="B301" i="53"/>
  <c r="B302" i="53"/>
  <c r="B303" i="53"/>
  <c r="B304" i="53"/>
  <c r="B305" i="53"/>
  <c r="B306" i="53"/>
  <c r="B307" i="53"/>
  <c r="B308" i="53"/>
  <c r="L45" i="3"/>
  <c r="M45" i="3"/>
  <c r="K45" i="3"/>
  <c r="L44" i="3"/>
  <c r="AD55" i="5" l="1"/>
  <c r="AD41" i="5"/>
  <c r="AD40" i="5"/>
  <c r="AD44" i="5"/>
  <c r="AD53" i="5"/>
  <c r="AD37" i="5"/>
  <c r="AD17" i="5"/>
  <c r="AD7" i="5"/>
  <c r="AD12" i="5"/>
  <c r="AD30" i="5"/>
  <c r="AD9" i="5"/>
  <c r="AD11" i="5"/>
  <c r="AD36" i="5"/>
  <c r="AD22" i="5"/>
  <c r="AD19" i="5"/>
  <c r="AD27" i="5"/>
  <c r="AD20" i="5"/>
  <c r="AD43" i="5"/>
  <c r="AD47" i="5"/>
  <c r="AD49" i="5"/>
  <c r="AD50" i="5"/>
  <c r="AD51" i="5"/>
  <c r="AD54" i="5"/>
  <c r="AD38" i="5"/>
  <c r="AD52" i="5"/>
  <c r="AD24" i="5"/>
  <c r="AD48" i="5"/>
  <c r="AD15" i="5"/>
  <c r="AD8" i="5"/>
  <c r="AD14" i="5"/>
  <c r="AD21" i="5"/>
  <c r="AD10" i="5"/>
  <c r="AD31" i="5"/>
  <c r="AD23" i="5"/>
  <c r="AD13" i="5"/>
  <c r="AD16" i="5"/>
  <c r="AD39" i="5"/>
  <c r="AD42" i="5"/>
  <c r="AD32" i="5"/>
  <c r="AD28" i="5"/>
  <c r="AD33" i="5"/>
  <c r="AD29" i="5"/>
  <c r="AD34" i="5"/>
  <c r="AD56" i="5"/>
  <c r="AD26" i="5"/>
  <c r="AD35" i="5"/>
  <c r="AD45" i="5"/>
  <c r="AD46" i="5"/>
  <c r="AD25" i="5"/>
  <c r="AD18" i="5"/>
  <c r="A45" i="3"/>
  <c r="BM56" i="5" l="1"/>
  <c r="BM54" i="5"/>
  <c r="BM55" i="5"/>
  <c r="BM53" i="5"/>
  <c r="BM52" i="5"/>
  <c r="BM51" i="5"/>
  <c r="BM50" i="5"/>
  <c r="BM49" i="5"/>
  <c r="BM48" i="5"/>
  <c r="BM47" i="5"/>
  <c r="BM46" i="5"/>
  <c r="BM45" i="5"/>
  <c r="BM43" i="5"/>
  <c r="BM44" i="5"/>
  <c r="BM42" i="5"/>
  <c r="BM41" i="5"/>
  <c r="BM40" i="5"/>
  <c r="BM39" i="5"/>
  <c r="BM38" i="5"/>
  <c r="BM37" i="5"/>
  <c r="BM36" i="5"/>
  <c r="BM35" i="5"/>
  <c r="BM34" i="5"/>
  <c r="BM33" i="5"/>
  <c r="BM32" i="5"/>
  <c r="BM31" i="5"/>
  <c r="BM30" i="5"/>
  <c r="BM29" i="5"/>
  <c r="BM28" i="5"/>
  <c r="BM26" i="5"/>
  <c r="BM27" i="5"/>
  <c r="BM25" i="5"/>
  <c r="BM24" i="5"/>
  <c r="BM23" i="5"/>
  <c r="BM22" i="5"/>
  <c r="BM21" i="5"/>
  <c r="BM19" i="5"/>
  <c r="BM20" i="5"/>
  <c r="BM18" i="5"/>
  <c r="BM17" i="5"/>
  <c r="BM16" i="5"/>
  <c r="BM15" i="5"/>
  <c r="BM14" i="5"/>
  <c r="BM13" i="5"/>
  <c r="BM12" i="5"/>
  <c r="BM11" i="5"/>
  <c r="BM10" i="5"/>
  <c r="BM9" i="5"/>
  <c r="BM8" i="5"/>
  <c r="BM7" i="5"/>
  <c r="BM6" i="5"/>
  <c r="W8" i="52"/>
  <c r="W9" i="52"/>
  <c r="W10" i="52"/>
  <c r="W11" i="52"/>
  <c r="W12" i="52"/>
  <c r="W13" i="52"/>
  <c r="W14" i="52"/>
  <c r="W15" i="52"/>
  <c r="W16" i="52"/>
  <c r="W17" i="52"/>
  <c r="W18" i="52"/>
  <c r="A4" i="52"/>
  <c r="A3" i="52"/>
  <c r="A2" i="52"/>
  <c r="A1" i="52"/>
  <c r="AG8" i="52"/>
  <c r="AI8" i="52"/>
  <c r="AK8" i="52"/>
  <c r="AJ8" i="52" s="1"/>
  <c r="AM8" i="52"/>
  <c r="AL8" i="52" s="1"/>
  <c r="AG9" i="52"/>
  <c r="AI9" i="52"/>
  <c r="AJ9" i="52"/>
  <c r="AK9" i="52"/>
  <c r="AL9" i="52"/>
  <c r="AM9" i="52"/>
  <c r="AG10" i="52"/>
  <c r="AI10" i="52"/>
  <c r="AK10" i="52"/>
  <c r="AJ10" i="52" s="1"/>
  <c r="AM10" i="52"/>
  <c r="AL10" i="52" s="1"/>
  <c r="AG11" i="52"/>
  <c r="AI11" i="52"/>
  <c r="AJ11" i="52"/>
  <c r="AK11" i="52"/>
  <c r="AL11" i="52"/>
  <c r="AM11" i="52"/>
  <c r="AG12" i="52"/>
  <c r="AI12" i="52"/>
  <c r="AK12" i="52"/>
  <c r="AJ12" i="52" s="1"/>
  <c r="AM12" i="52"/>
  <c r="AL12" i="52" s="1"/>
  <c r="AG13" i="52"/>
  <c r="AI13" i="52"/>
  <c r="AJ13" i="52"/>
  <c r="AK13" i="52"/>
  <c r="AL13" i="52"/>
  <c r="AM13" i="52"/>
  <c r="AG14" i="52"/>
  <c r="AI14" i="52"/>
  <c r="AK14" i="52"/>
  <c r="AJ14" i="52" s="1"/>
  <c r="AM14" i="52"/>
  <c r="AL14" i="52" s="1"/>
  <c r="AG15" i="52"/>
  <c r="AI15" i="52"/>
  <c r="AJ15" i="52"/>
  <c r="AK15" i="52"/>
  <c r="AL15" i="52"/>
  <c r="AM15" i="52"/>
  <c r="AG16" i="52"/>
  <c r="AI16" i="52"/>
  <c r="AK16" i="52"/>
  <c r="AJ16" i="52" s="1"/>
  <c r="AM16" i="52"/>
  <c r="AL16" i="52" s="1"/>
  <c r="AG17" i="52"/>
  <c r="AI17" i="52"/>
  <c r="AJ17" i="52"/>
  <c r="AK17" i="52"/>
  <c r="AL17" i="52"/>
  <c r="AM17" i="52"/>
  <c r="AG18" i="52"/>
  <c r="AI18" i="52"/>
  <c r="AK18" i="52"/>
  <c r="AJ18" i="52" s="1"/>
  <c r="AM18" i="52"/>
  <c r="AL18" i="52" s="1"/>
  <c r="V19" i="5"/>
  <c r="V29" i="5"/>
  <c r="V33" i="5"/>
  <c r="V47" i="5"/>
  <c r="Z18" i="52"/>
  <c r="AB18" i="52"/>
  <c r="AB17" i="52"/>
  <c r="Z17" i="52"/>
  <c r="AB16" i="52"/>
  <c r="Z16" i="52"/>
  <c r="AB15" i="52"/>
  <c r="Z15" i="52"/>
  <c r="AB14" i="52"/>
  <c r="Z14" i="52"/>
  <c r="AB13" i="52"/>
  <c r="Z13" i="52"/>
  <c r="AB12" i="52"/>
  <c r="Z12" i="52"/>
  <c r="AB11" i="52"/>
  <c r="Z11" i="52"/>
  <c r="AB10" i="52"/>
  <c r="Z10" i="52"/>
  <c r="AB9" i="52"/>
  <c r="Z9" i="52"/>
  <c r="AB8" i="52"/>
  <c r="Z8" i="52"/>
  <c r="B310" i="52" l="1"/>
  <c r="AC18" i="52"/>
  <c r="AC8" i="52"/>
  <c r="AC10" i="52"/>
  <c r="AC12" i="52"/>
  <c r="AC14" i="52"/>
  <c r="AC16" i="52"/>
  <c r="AC9" i="52"/>
  <c r="AC11" i="52"/>
  <c r="AC13" i="52"/>
  <c r="AC15" i="52"/>
  <c r="AC17" i="52"/>
  <c r="B300" i="52"/>
  <c r="B301" i="52"/>
  <c r="B302" i="52"/>
  <c r="B303" i="52"/>
  <c r="B304" i="52"/>
  <c r="B305" i="52"/>
  <c r="B306" i="52"/>
  <c r="B307" i="52"/>
  <c r="B308" i="52"/>
  <c r="B309" i="52"/>
  <c r="B63" i="4"/>
  <c r="A63" i="4" s="1"/>
  <c r="D63" i="4"/>
  <c r="C63" i="4" s="1"/>
  <c r="M63" i="4"/>
  <c r="P63" i="4"/>
  <c r="S63" i="4"/>
  <c r="U63" i="4"/>
  <c r="U11" i="4"/>
  <c r="U16" i="4"/>
  <c r="U10" i="4"/>
  <c r="U17" i="4"/>
  <c r="U25" i="4"/>
  <c r="U18" i="4"/>
  <c r="U9" i="4"/>
  <c r="U20" i="4"/>
  <c r="U12" i="4"/>
  <c r="U15" i="4"/>
  <c r="U13" i="4"/>
  <c r="U21" i="4"/>
  <c r="U26" i="4"/>
  <c r="U22" i="4"/>
  <c r="U32" i="4"/>
  <c r="U14" i="4"/>
  <c r="U35" i="4"/>
  <c r="U33" i="4"/>
  <c r="U27" i="4"/>
  <c r="U29" i="4"/>
  <c r="U19" i="4"/>
  <c r="U31" i="4"/>
  <c r="U34" i="4"/>
  <c r="U36" i="4"/>
  <c r="U24" i="4"/>
  <c r="U40" i="4"/>
  <c r="U30" i="4"/>
  <c r="U43" i="4"/>
  <c r="U45" i="4"/>
  <c r="U46" i="4"/>
  <c r="U23" i="4"/>
  <c r="U49" i="4"/>
  <c r="U50" i="4"/>
  <c r="U51" i="4"/>
  <c r="U47" i="4"/>
  <c r="U52" i="4"/>
  <c r="U53" i="4"/>
  <c r="U54" i="4"/>
  <c r="U37" i="4"/>
  <c r="U55" i="4"/>
  <c r="U56" i="4"/>
  <c r="U57" i="4"/>
  <c r="U59" i="4"/>
  <c r="U41" i="4"/>
  <c r="U60" i="4"/>
  <c r="U61" i="4"/>
  <c r="U42" i="4"/>
  <c r="U62" i="4"/>
  <c r="U64" i="4"/>
  <c r="U65" i="4"/>
  <c r="U66" i="4"/>
  <c r="U28" i="4"/>
  <c r="U39" i="4"/>
  <c r="U67" i="4"/>
  <c r="U68" i="4"/>
  <c r="U38" i="4"/>
  <c r="U69" i="4"/>
  <c r="U70" i="4"/>
  <c r="U72" i="4"/>
  <c r="U73" i="4"/>
  <c r="U77" i="4"/>
  <c r="U78" i="4"/>
  <c r="U79" i="4"/>
  <c r="U80" i="4"/>
  <c r="U81" i="4"/>
  <c r="U82" i="4"/>
  <c r="U83" i="4"/>
  <c r="U84" i="4"/>
  <c r="U85" i="4"/>
  <c r="U86" i="4"/>
  <c r="U87" i="4"/>
  <c r="U88" i="4"/>
  <c r="U89" i="4"/>
  <c r="U90" i="4"/>
  <c r="U58" i="4"/>
  <c r="U91" i="4"/>
  <c r="U92" i="4"/>
  <c r="U93" i="4"/>
  <c r="U94" i="4"/>
  <c r="U44" i="4"/>
  <c r="U95" i="4"/>
  <c r="U96" i="4"/>
  <c r="U76" i="4"/>
  <c r="U97" i="4"/>
  <c r="U98" i="4"/>
  <c r="U99" i="4"/>
  <c r="U100" i="4"/>
  <c r="U101" i="4"/>
  <c r="U102" i="4"/>
  <c r="U103" i="4"/>
  <c r="U104" i="4"/>
  <c r="U48" i="4"/>
  <c r="U105" i="4"/>
  <c r="U74" i="4"/>
  <c r="U106" i="4"/>
  <c r="U107" i="4"/>
  <c r="U108" i="4"/>
  <c r="U109" i="4"/>
  <c r="U110" i="4"/>
  <c r="U111" i="4"/>
  <c r="U112" i="4"/>
  <c r="U113" i="4"/>
  <c r="U114" i="4"/>
  <c r="U115" i="4"/>
  <c r="U8" i="4"/>
  <c r="AC55" i="5" l="1"/>
  <c r="AC40" i="5"/>
  <c r="AC44" i="5"/>
  <c r="AC41" i="5"/>
  <c r="AC37" i="5"/>
  <c r="AC53" i="5"/>
  <c r="AC18" i="5"/>
  <c r="AC8" i="5"/>
  <c r="AC17" i="5"/>
  <c r="AC16" i="5"/>
  <c r="AC9" i="5"/>
  <c r="AC36" i="5"/>
  <c r="AC14" i="5"/>
  <c r="AC22" i="5"/>
  <c r="AC21" i="5"/>
  <c r="AC42" i="5"/>
  <c r="AC32" i="5"/>
  <c r="AC51" i="5"/>
  <c r="AC49" i="5"/>
  <c r="AC28" i="5"/>
  <c r="AC38" i="5"/>
  <c r="AC34" i="5"/>
  <c r="AC13" i="5"/>
  <c r="AC33" i="5"/>
  <c r="AC45" i="5"/>
  <c r="AC29" i="5"/>
  <c r="AC25" i="5"/>
  <c r="AC7" i="5"/>
  <c r="AC15" i="5"/>
  <c r="AC10" i="5"/>
  <c r="AC31" i="5"/>
  <c r="AC39" i="5"/>
  <c r="AC23" i="5"/>
  <c r="AC50" i="5"/>
  <c r="AC26" i="5"/>
  <c r="AC24" i="5"/>
  <c r="AC19" i="5"/>
  <c r="AC46" i="5"/>
  <c r="AC48" i="5"/>
  <c r="AC11" i="5"/>
  <c r="AC27" i="5"/>
  <c r="AC12" i="5"/>
  <c r="AC30" i="5"/>
  <c r="AC43" i="5"/>
  <c r="AC20" i="5"/>
  <c r="AC54" i="5"/>
  <c r="AC56" i="5"/>
  <c r="AC35" i="5"/>
  <c r="AC47" i="5"/>
  <c r="AC52" i="5"/>
  <c r="H60" i="50"/>
  <c r="L60" i="50" s="1"/>
  <c r="H59" i="50"/>
  <c r="L59" i="50" s="1"/>
  <c r="H58" i="50"/>
  <c r="L58" i="50" s="1"/>
  <c r="H57" i="50"/>
  <c r="L57" i="50" s="1"/>
  <c r="H56" i="50"/>
  <c r="L56" i="50" s="1"/>
  <c r="V39" i="5"/>
  <c r="A4" i="50"/>
  <c r="A2" i="50"/>
  <c r="A1" i="50"/>
  <c r="AG20" i="50"/>
  <c r="AE20" i="50" s="1"/>
  <c r="AF20" i="50"/>
  <c r="M55" i="50"/>
  <c r="I60" i="50" s="1"/>
  <c r="M48" i="50"/>
  <c r="M41" i="50"/>
  <c r="M34" i="50"/>
  <c r="M27" i="50"/>
  <c r="M20" i="50"/>
  <c r="I25" i="50" s="1"/>
  <c r="M13" i="50"/>
  <c r="M6" i="50"/>
  <c r="I24" i="50"/>
  <c r="AL20" i="46"/>
  <c r="AK20" i="46" s="1"/>
  <c r="AJ20" i="46"/>
  <c r="AI20" i="46" s="1"/>
  <c r="AH20" i="46"/>
  <c r="AG20" i="46" s="1"/>
  <c r="AF20" i="46"/>
  <c r="AE20" i="46" s="1"/>
  <c r="T57" i="46"/>
  <c r="R57" i="46"/>
  <c r="R55" i="46"/>
  <c r="R48" i="46"/>
  <c r="R41" i="46"/>
  <c r="R34" i="46"/>
  <c r="R27" i="46"/>
  <c r="R20" i="46"/>
  <c r="S57" i="46" s="1"/>
  <c r="R13" i="46"/>
  <c r="R6" i="46"/>
  <c r="Q57" i="46"/>
  <c r="P57" i="46"/>
  <c r="O60" i="46"/>
  <c r="O59" i="46"/>
  <c r="O58" i="46"/>
  <c r="O57" i="46"/>
  <c r="O56" i="46"/>
  <c r="N57" i="46"/>
  <c r="I57" i="46"/>
  <c r="I25" i="46"/>
  <c r="I24" i="46"/>
  <c r="I23" i="46"/>
  <c r="I22" i="46"/>
  <c r="I21" i="46"/>
  <c r="H60" i="46"/>
  <c r="H59" i="46"/>
  <c r="H58" i="46"/>
  <c r="H57" i="46"/>
  <c r="AB20" i="43"/>
  <c r="Z20" i="43"/>
  <c r="AC20" i="43" s="1"/>
  <c r="W20" i="43"/>
  <c r="AM57" i="21"/>
  <c r="AM20" i="21"/>
  <c r="AN20" i="21" s="1"/>
  <c r="AL57" i="21"/>
  <c r="AK57" i="21"/>
  <c r="AK20" i="21"/>
  <c r="AL20" i="21" s="1"/>
  <c r="AJ57" i="21"/>
  <c r="AI57" i="21"/>
  <c r="AI20" i="21"/>
  <c r="AJ20" i="21" s="1"/>
  <c r="AH57" i="21"/>
  <c r="AG57" i="21"/>
  <c r="AG20" i="21"/>
  <c r="AH20" i="21" s="1"/>
  <c r="AF57" i="21"/>
  <c r="AE57" i="21"/>
  <c r="AE20" i="21"/>
  <c r="AF20" i="21" s="1"/>
  <c r="T57" i="21"/>
  <c r="R57" i="21"/>
  <c r="R55" i="21"/>
  <c r="R48" i="21"/>
  <c r="R41" i="21"/>
  <c r="R34" i="21"/>
  <c r="R27" i="21"/>
  <c r="R20" i="21"/>
  <c r="S57" i="21" s="1"/>
  <c r="R13" i="21"/>
  <c r="R6" i="21"/>
  <c r="Q57" i="21"/>
  <c r="P57" i="21"/>
  <c r="O60" i="21"/>
  <c r="O59" i="21"/>
  <c r="O58" i="21"/>
  <c r="O57" i="21"/>
  <c r="O56" i="21"/>
  <c r="N57" i="21"/>
  <c r="I57" i="21"/>
  <c r="I25" i="21"/>
  <c r="I23" i="21"/>
  <c r="I21" i="21"/>
  <c r="H60" i="21"/>
  <c r="H59" i="21"/>
  <c r="H58" i="21"/>
  <c r="H57" i="21"/>
  <c r="B21" i="4"/>
  <c r="U5" i="4"/>
  <c r="S21" i="4"/>
  <c r="M21" i="4"/>
  <c r="N49" i="3"/>
  <c r="M89" i="3"/>
  <c r="M81" i="3"/>
  <c r="M71" i="3"/>
  <c r="M61" i="3"/>
  <c r="M57" i="3"/>
  <c r="M54" i="3"/>
  <c r="M46" i="3"/>
  <c r="M38" i="3"/>
  <c r="M31" i="3"/>
  <c r="M29" i="3"/>
  <c r="M25" i="3"/>
  <c r="M14" i="3"/>
  <c r="M12" i="3"/>
  <c r="M10" i="3"/>
  <c r="L49" i="3"/>
  <c r="K99" i="3"/>
  <c r="K95" i="3"/>
  <c r="K90" i="3"/>
  <c r="K84" i="3"/>
  <c r="K78" i="3"/>
  <c r="K76" i="3"/>
  <c r="K71" i="3"/>
  <c r="K61" i="3"/>
  <c r="K57" i="3"/>
  <c r="K54" i="3"/>
  <c r="K46" i="3"/>
  <c r="K39" i="3"/>
  <c r="K38" i="3"/>
  <c r="K31" i="3"/>
  <c r="K29" i="3"/>
  <c r="K26" i="3"/>
  <c r="K22" i="3"/>
  <c r="K19" i="3"/>
  <c r="K17" i="3"/>
  <c r="K14" i="3"/>
  <c r="K12" i="3"/>
  <c r="K5" i="3"/>
  <c r="J104" i="3"/>
  <c r="I113" i="3"/>
  <c r="I112" i="3"/>
  <c r="I39" i="3"/>
  <c r="F20" i="2"/>
  <c r="A3" i="50" s="1"/>
  <c r="F19" i="2"/>
  <c r="F15" i="2"/>
  <c r="F14" i="2"/>
  <c r="F12" i="2"/>
  <c r="F7" i="2"/>
  <c r="F5" i="2"/>
  <c r="E14" i="2"/>
  <c r="D50" i="2"/>
  <c r="D49" i="2"/>
  <c r="C15" i="2"/>
  <c r="C14" i="2"/>
  <c r="F40" i="2"/>
  <c r="F37" i="2"/>
  <c r="F35" i="2"/>
  <c r="F30" i="2"/>
  <c r="H11" i="3"/>
  <c r="G52" i="3"/>
  <c r="D21" i="4"/>
  <c r="C21" i="4" s="1"/>
  <c r="H56" i="21"/>
  <c r="AN57" i="21"/>
  <c r="AF20" i="43"/>
  <c r="H56" i="46"/>
  <c r="AF7" i="50"/>
  <c r="AF30" i="50"/>
  <c r="AF31" i="50"/>
  <c r="AG31" i="50" s="1"/>
  <c r="AE31" i="50" s="1"/>
  <c r="AF32" i="50"/>
  <c r="AG32" i="50"/>
  <c r="AE32" i="50" s="1"/>
  <c r="AF33" i="50"/>
  <c r="AG33" i="50" s="1"/>
  <c r="AE33" i="50" s="1"/>
  <c r="AF34" i="50"/>
  <c r="AG34" i="50"/>
  <c r="AE34" i="50" s="1"/>
  <c r="AF35" i="50"/>
  <c r="AF36" i="50"/>
  <c r="AF37" i="50"/>
  <c r="AF38" i="50"/>
  <c r="AG38" i="50"/>
  <c r="AE38" i="50" s="1"/>
  <c r="AF39" i="50"/>
  <c r="AG39" i="50" s="1"/>
  <c r="AE39" i="50" s="1"/>
  <c r="AF40" i="50"/>
  <c r="AG40" i="50"/>
  <c r="AE40" i="50" s="1"/>
  <c r="AF41" i="50"/>
  <c r="AG41" i="50" s="1"/>
  <c r="AE41" i="50" s="1"/>
  <c r="AF42" i="50"/>
  <c r="AF43" i="50"/>
  <c r="AF44" i="50"/>
  <c r="AF45" i="50"/>
  <c r="AG45" i="50" s="1"/>
  <c r="AE45" i="50" s="1"/>
  <c r="AF46" i="50"/>
  <c r="AG46" i="50"/>
  <c r="AE46" i="50" s="1"/>
  <c r="AF47" i="50"/>
  <c r="AG47" i="50" s="1"/>
  <c r="AE47" i="50" s="1"/>
  <c r="AF48" i="50"/>
  <c r="AG48" i="50"/>
  <c r="AE48" i="50" s="1"/>
  <c r="AF49" i="50"/>
  <c r="AF50" i="50"/>
  <c r="AF51" i="50"/>
  <c r="AF52" i="50"/>
  <c r="AG52" i="50" s="1"/>
  <c r="AE52" i="50" s="1"/>
  <c r="AF53" i="50"/>
  <c r="AG53" i="50" s="1"/>
  <c r="AE53" i="50" s="1"/>
  <c r="AF54" i="50"/>
  <c r="AG54" i="50"/>
  <c r="AE54" i="50" s="1"/>
  <c r="AF55" i="50"/>
  <c r="AG55" i="50" s="1"/>
  <c r="AE55" i="50" s="1"/>
  <c r="AF56" i="50"/>
  <c r="AF57" i="50"/>
  <c r="AF58" i="50"/>
  <c r="AF59" i="50"/>
  <c r="AF60" i="50"/>
  <c r="AG60" i="50"/>
  <c r="AE60" i="50" s="1"/>
  <c r="AF29" i="50"/>
  <c r="AF28" i="50"/>
  <c r="AF27" i="50"/>
  <c r="AG27" i="50" s="1"/>
  <c r="AE27" i="50" s="1"/>
  <c r="AG26" i="50"/>
  <c r="AE26" i="50" s="1"/>
  <c r="AF26" i="50"/>
  <c r="AF25" i="50"/>
  <c r="AG25" i="50" s="1"/>
  <c r="AE25" i="50" s="1"/>
  <c r="AF24" i="50"/>
  <c r="AG24" i="50" s="1"/>
  <c r="AE24" i="50" s="1"/>
  <c r="AF23" i="50"/>
  <c r="AF22" i="50"/>
  <c r="AF21" i="50"/>
  <c r="AF19" i="50"/>
  <c r="AG19" i="50" s="1"/>
  <c r="AE19" i="50" s="1"/>
  <c r="AG18" i="50"/>
  <c r="AE18" i="50" s="1"/>
  <c r="AF18" i="50"/>
  <c r="AF17" i="50"/>
  <c r="AG17" i="50" s="1"/>
  <c r="AE17" i="50" s="1"/>
  <c r="AF16" i="50"/>
  <c r="AF15" i="50"/>
  <c r="AF14" i="50"/>
  <c r="AF13" i="50"/>
  <c r="AG13" i="50" s="1"/>
  <c r="AE13" i="50" s="1"/>
  <c r="AF12" i="50"/>
  <c r="AG12" i="50" s="1"/>
  <c r="AE12" i="50" s="1"/>
  <c r="AF11" i="50"/>
  <c r="AG11" i="50" s="1"/>
  <c r="AE11" i="50" s="1"/>
  <c r="AF10" i="50"/>
  <c r="AG10" i="50" s="1"/>
  <c r="AE10" i="50" s="1"/>
  <c r="AF9" i="50"/>
  <c r="AF8" i="50"/>
  <c r="H53" i="50"/>
  <c r="L53" i="50" s="1"/>
  <c r="H52" i="50"/>
  <c r="L52" i="50" s="1"/>
  <c r="H51" i="50"/>
  <c r="L51" i="50" s="1"/>
  <c r="H50" i="50"/>
  <c r="L50" i="50" s="1"/>
  <c r="H49" i="50"/>
  <c r="L49" i="50" s="1"/>
  <c r="I53" i="50"/>
  <c r="H46" i="50"/>
  <c r="L46" i="50" s="1"/>
  <c r="H45" i="50"/>
  <c r="L45" i="50" s="1"/>
  <c r="H44" i="50"/>
  <c r="L44" i="50" s="1"/>
  <c r="H43" i="50"/>
  <c r="L43" i="50" s="1"/>
  <c r="H42" i="50"/>
  <c r="L42" i="50" s="1"/>
  <c r="I46" i="50"/>
  <c r="H39" i="50"/>
  <c r="L39" i="50" s="1"/>
  <c r="H38" i="50"/>
  <c r="L38" i="50" s="1"/>
  <c r="H37" i="50"/>
  <c r="L37" i="50" s="1"/>
  <c r="H36" i="50"/>
  <c r="L36" i="50" s="1"/>
  <c r="H35" i="50"/>
  <c r="L35" i="50" s="1"/>
  <c r="I39" i="50"/>
  <c r="H32" i="50"/>
  <c r="L32" i="50" s="1"/>
  <c r="H31" i="50"/>
  <c r="L31" i="50" s="1"/>
  <c r="H30" i="50"/>
  <c r="L30" i="50" s="1"/>
  <c r="H29" i="50"/>
  <c r="L29" i="50" s="1"/>
  <c r="H28" i="50"/>
  <c r="L28" i="50" s="1"/>
  <c r="I32" i="50"/>
  <c r="H25" i="50"/>
  <c r="L25" i="50" s="1"/>
  <c r="H24" i="50"/>
  <c r="L24" i="50" s="1"/>
  <c r="H23" i="50"/>
  <c r="L23" i="50" s="1"/>
  <c r="H22" i="50"/>
  <c r="L22" i="50" s="1"/>
  <c r="H21" i="50"/>
  <c r="L21" i="50" s="1"/>
  <c r="H18" i="50"/>
  <c r="L18" i="50" s="1"/>
  <c r="H17" i="50"/>
  <c r="L17" i="50" s="1"/>
  <c r="H16" i="50"/>
  <c r="L16" i="50" s="1"/>
  <c r="H15" i="50"/>
  <c r="L15" i="50" s="1"/>
  <c r="H14" i="50"/>
  <c r="L14" i="50" s="1"/>
  <c r="H11" i="50"/>
  <c r="L11" i="50" s="1"/>
  <c r="H10" i="50"/>
  <c r="L10" i="50" s="1"/>
  <c r="H9" i="50"/>
  <c r="L9" i="50" s="1"/>
  <c r="H8" i="50"/>
  <c r="L8" i="50" s="1"/>
  <c r="H7" i="50"/>
  <c r="L7" i="50" s="1"/>
  <c r="I11" i="50"/>
  <c r="BL56" i="5" l="1"/>
  <c r="BL54" i="5"/>
  <c r="BL55" i="5"/>
  <c r="BL53" i="5"/>
  <c r="BL52" i="5"/>
  <c r="BL51" i="5"/>
  <c r="BL50" i="5"/>
  <c r="BL49" i="5"/>
  <c r="BL48" i="5"/>
  <c r="BL47" i="5"/>
  <c r="BL46" i="5"/>
  <c r="BL45" i="5"/>
  <c r="BL43" i="5"/>
  <c r="BL44" i="5"/>
  <c r="BL42" i="5"/>
  <c r="BL41" i="5"/>
  <c r="BL40" i="5"/>
  <c r="BL39" i="5"/>
  <c r="BL38" i="5"/>
  <c r="BL37" i="5"/>
  <c r="BL36" i="5"/>
  <c r="BL35" i="5"/>
  <c r="BL34" i="5"/>
  <c r="BL33" i="5"/>
  <c r="BL32" i="5"/>
  <c r="BL31" i="5"/>
  <c r="BL30" i="5"/>
  <c r="BL29" i="5"/>
  <c r="BL28" i="5"/>
  <c r="BL26" i="5"/>
  <c r="BL27" i="5"/>
  <c r="BL25" i="5"/>
  <c r="BL24" i="5"/>
  <c r="BL23" i="5"/>
  <c r="BL22" i="5"/>
  <c r="BL21" i="5"/>
  <c r="BL19" i="5"/>
  <c r="BL20" i="5"/>
  <c r="BL18" i="5"/>
  <c r="BL17" i="5"/>
  <c r="BL16" i="5"/>
  <c r="BL15" i="5"/>
  <c r="BL14" i="5"/>
  <c r="BL13" i="5"/>
  <c r="BL12" i="5"/>
  <c r="BL11" i="5"/>
  <c r="BL10" i="5"/>
  <c r="BL9" i="5"/>
  <c r="BL8" i="5"/>
  <c r="BL7" i="5"/>
  <c r="BL6" i="5"/>
  <c r="A21" i="4"/>
  <c r="AD20" i="46"/>
  <c r="K56" i="50"/>
  <c r="J56" i="50"/>
  <c r="M56" i="50" s="1"/>
  <c r="K58" i="50"/>
  <c r="J58" i="50"/>
  <c r="M58" i="50" s="1"/>
  <c r="K60" i="50"/>
  <c r="J60" i="50"/>
  <c r="M60" i="50" s="1"/>
  <c r="K57" i="50"/>
  <c r="J57" i="50"/>
  <c r="M57" i="50" s="1"/>
  <c r="I57" i="50" s="1"/>
  <c r="K59" i="50"/>
  <c r="J59" i="50"/>
  <c r="M59" i="50" s="1"/>
  <c r="I59" i="50" s="1"/>
  <c r="AD20" i="21"/>
  <c r="AD57" i="21"/>
  <c r="I22" i="21"/>
  <c r="I24" i="21"/>
  <c r="K8" i="50"/>
  <c r="J8" i="50"/>
  <c r="M8" i="50" s="1"/>
  <c r="K10" i="50"/>
  <c r="J10" i="50"/>
  <c r="M10" i="50" s="1"/>
  <c r="J15" i="50"/>
  <c r="K15" i="50"/>
  <c r="J17" i="50"/>
  <c r="K17" i="50"/>
  <c r="K22" i="50"/>
  <c r="J22" i="50"/>
  <c r="M22" i="50" s="1"/>
  <c r="K24" i="50"/>
  <c r="J24" i="50"/>
  <c r="M24" i="50" s="1"/>
  <c r="J29" i="50"/>
  <c r="K29" i="50"/>
  <c r="J31" i="50"/>
  <c r="M31" i="50" s="1"/>
  <c r="K31" i="50"/>
  <c r="K36" i="50"/>
  <c r="J36" i="50"/>
  <c r="K38" i="50"/>
  <c r="J38" i="50"/>
  <c r="J43" i="50"/>
  <c r="M43" i="50" s="1"/>
  <c r="K43" i="50"/>
  <c r="J45" i="50"/>
  <c r="M45" i="50" s="1"/>
  <c r="K45" i="50"/>
  <c r="K50" i="50"/>
  <c r="J50" i="50"/>
  <c r="K7" i="50"/>
  <c r="J7" i="50"/>
  <c r="K9" i="50"/>
  <c r="J9" i="50"/>
  <c r="K11" i="50"/>
  <c r="J11" i="50"/>
  <c r="J14" i="50"/>
  <c r="K14" i="50"/>
  <c r="J16" i="50"/>
  <c r="K16" i="50"/>
  <c r="J18" i="50"/>
  <c r="K18" i="50"/>
  <c r="K21" i="50"/>
  <c r="J21" i="50"/>
  <c r="M21" i="50" s="1"/>
  <c r="I21" i="50" s="1"/>
  <c r="K23" i="50"/>
  <c r="J23" i="50"/>
  <c r="M23" i="50" s="1"/>
  <c r="I23" i="50" s="1"/>
  <c r="K25" i="50"/>
  <c r="J25" i="50"/>
  <c r="M25" i="50" s="1"/>
  <c r="J28" i="50"/>
  <c r="K28" i="50"/>
  <c r="J30" i="50"/>
  <c r="M30" i="50" s="1"/>
  <c r="K30" i="50"/>
  <c r="J32" i="50"/>
  <c r="K32" i="50"/>
  <c r="K35" i="50"/>
  <c r="J35" i="50"/>
  <c r="M35" i="50" s="1"/>
  <c r="K37" i="50"/>
  <c r="J37" i="50"/>
  <c r="M37" i="50" s="1"/>
  <c r="K39" i="50"/>
  <c r="J39" i="50"/>
  <c r="M39" i="50" s="1"/>
  <c r="J42" i="50"/>
  <c r="K42" i="50"/>
  <c r="J44" i="50"/>
  <c r="M44" i="50" s="1"/>
  <c r="K44" i="50"/>
  <c r="J46" i="50"/>
  <c r="K46" i="50"/>
  <c r="K49" i="50"/>
  <c r="J49" i="50"/>
  <c r="M49" i="50" s="1"/>
  <c r="I17" i="50"/>
  <c r="I18" i="50"/>
  <c r="I31" i="50"/>
  <c r="I45" i="50"/>
  <c r="J51" i="50"/>
  <c r="K51" i="50"/>
  <c r="J52" i="50"/>
  <c r="K52" i="50"/>
  <c r="J53" i="50"/>
  <c r="K53" i="50"/>
  <c r="I10" i="50"/>
  <c r="I38" i="50"/>
  <c r="M51" i="50"/>
  <c r="I52" i="50"/>
  <c r="I22" i="50" l="1"/>
  <c r="M53" i="50"/>
  <c r="M52" i="50"/>
  <c r="I56" i="50"/>
  <c r="I58" i="50"/>
  <c r="M50" i="50"/>
  <c r="M46" i="50"/>
  <c r="M42" i="50"/>
  <c r="M38" i="50"/>
  <c r="M36" i="50"/>
  <c r="M28" i="50"/>
  <c r="M32" i="50"/>
  <c r="M29" i="50"/>
  <c r="I29" i="50" s="1"/>
  <c r="M17" i="50"/>
  <c r="M16" i="50"/>
  <c r="M14" i="50"/>
  <c r="M18" i="50"/>
  <c r="M15" i="50"/>
  <c r="I15" i="50" s="1"/>
  <c r="M11" i="50"/>
  <c r="M9" i="50"/>
  <c r="I9" i="50" s="1"/>
  <c r="M7" i="50"/>
  <c r="I50" i="50" l="1"/>
  <c r="I49" i="50"/>
  <c r="I51" i="50"/>
  <c r="I43" i="50"/>
  <c r="I42" i="50"/>
  <c r="I44" i="50"/>
  <c r="I35" i="50"/>
  <c r="I37" i="50"/>
  <c r="I36" i="50"/>
  <c r="I28" i="50"/>
  <c r="I30" i="50"/>
  <c r="I14" i="50"/>
  <c r="I16" i="50"/>
  <c r="I8" i="50"/>
  <c r="I7" i="50"/>
  <c r="B206" i="50" l="1"/>
  <c r="B202" i="50"/>
  <c r="B120" i="50"/>
  <c r="B200" i="50"/>
  <c r="B110" i="50"/>
  <c r="B196" i="50"/>
  <c r="J247" i="50" s="1"/>
  <c r="B118" i="50"/>
  <c r="B126" i="50"/>
  <c r="B108" i="50"/>
  <c r="B116" i="50"/>
  <c r="B194" i="50"/>
  <c r="B124" i="50"/>
  <c r="B114" i="50"/>
  <c r="B222" i="50"/>
  <c r="B218" i="50"/>
  <c r="B102" i="50"/>
  <c r="B128" i="50"/>
  <c r="B122" i="50"/>
  <c r="B104" i="50"/>
  <c r="B112" i="50"/>
  <c r="B130" i="50"/>
  <c r="B216" i="50"/>
  <c r="B106" i="50"/>
  <c r="B132" i="50"/>
  <c r="B210" i="50"/>
  <c r="C224" i="50" l="1"/>
  <c r="C218" i="50"/>
  <c r="C216" i="50"/>
  <c r="C210" i="50"/>
  <c r="C208" i="50"/>
  <c r="C204" i="50"/>
  <c r="C198" i="50"/>
  <c r="C119" i="50"/>
  <c r="C206" i="50"/>
  <c r="C200" i="50"/>
  <c r="C202" i="50"/>
  <c r="C220" i="50"/>
  <c r="C219" i="50" s="1"/>
  <c r="C214" i="50"/>
  <c r="C215" i="50" s="1"/>
  <c r="C222" i="50"/>
  <c r="C212" i="50"/>
  <c r="C199" i="50" l="1"/>
  <c r="C203" i="50"/>
  <c r="C207" i="50"/>
  <c r="C163" i="50"/>
  <c r="C167" i="50"/>
  <c r="C127" i="50"/>
  <c r="C223" i="50"/>
  <c r="C107" i="50"/>
  <c r="C157" i="50"/>
  <c r="E156" i="50" s="1"/>
  <c r="C123" i="50"/>
  <c r="C165" i="50"/>
  <c r="C211" i="50"/>
  <c r="C195" i="50"/>
  <c r="C161" i="50"/>
  <c r="C115" i="50"/>
  <c r="C159" i="50"/>
  <c r="E179" i="50" s="1"/>
  <c r="C111" i="50"/>
  <c r="C155" i="50"/>
  <c r="E177" i="50" s="1"/>
  <c r="C103" i="50"/>
  <c r="C169" i="50"/>
  <c r="C131" i="50"/>
  <c r="E138" i="50" l="1"/>
  <c r="E232" i="50" l="1"/>
  <c r="E205" i="50"/>
  <c r="E181" i="50"/>
  <c r="E164" i="50"/>
  <c r="E213" i="50"/>
  <c r="E234" i="50"/>
  <c r="E140" i="50"/>
  <c r="E113" i="50"/>
  <c r="E144" i="50"/>
  <c r="E129" i="50"/>
  <c r="E160" i="50"/>
  <c r="E168" i="50"/>
  <c r="E183" i="50"/>
  <c r="E230" i="50"/>
  <c r="E197" i="50"/>
  <c r="E121" i="50"/>
  <c r="E142" i="50"/>
  <c r="E221" i="50"/>
  <c r="E236" i="50"/>
  <c r="E105" i="50"/>
  <c r="G238" i="50" l="1"/>
  <c r="G133" i="50"/>
  <c r="G146" i="50"/>
  <c r="G139" i="50"/>
  <c r="G148" i="50"/>
  <c r="G217" i="50"/>
  <c r="G187" i="50"/>
  <c r="G223" i="50" l="1"/>
  <c r="G235" i="50"/>
  <c r="G240" i="50"/>
  <c r="I238" i="50" s="1"/>
  <c r="G172" i="50"/>
  <c r="G201" i="50"/>
  <c r="G166" i="50"/>
  <c r="G143" i="50"/>
  <c r="I240" i="50"/>
  <c r="G109" i="50"/>
  <c r="G131" i="50"/>
  <c r="G182" i="50"/>
  <c r="G231" i="50"/>
  <c r="G125" i="50"/>
  <c r="G225" i="50"/>
  <c r="G170" i="50"/>
  <c r="G158" i="50"/>
  <c r="G185" i="50"/>
  <c r="G178" i="50"/>
  <c r="J209" i="50" l="1"/>
  <c r="J144" i="50"/>
  <c r="J150" i="50"/>
  <c r="J141" i="50"/>
  <c r="J233" i="50"/>
  <c r="J147" i="50"/>
  <c r="J180" i="50"/>
  <c r="J162" i="50"/>
  <c r="J135" i="50"/>
  <c r="J218" i="50" l="1"/>
  <c r="J174" i="50"/>
  <c r="J171" i="50"/>
  <c r="J227" i="50"/>
  <c r="J224" i="50"/>
  <c r="J117" i="50"/>
  <c r="J126" i="50"/>
  <c r="J189" i="50"/>
  <c r="J186" i="50"/>
  <c r="J167" i="50"/>
  <c r="J183" i="50"/>
  <c r="J132" i="50"/>
  <c r="J236" i="50"/>
  <c r="B310" i="50" l="1"/>
  <c r="B312" i="50"/>
  <c r="B314" i="50"/>
  <c r="B316" i="50"/>
  <c r="B318" i="50"/>
  <c r="B320" i="50"/>
  <c r="B301" i="50"/>
  <c r="B303" i="50"/>
  <c r="B305" i="50"/>
  <c r="B307" i="50"/>
  <c r="B300" i="50"/>
  <c r="B311" i="50"/>
  <c r="B313" i="50"/>
  <c r="B315" i="50"/>
  <c r="B317" i="50"/>
  <c r="B319" i="50"/>
  <c r="B321" i="50"/>
  <c r="B309" i="50"/>
  <c r="B302" i="50"/>
  <c r="B304" i="50"/>
  <c r="B306" i="50"/>
  <c r="B308" i="50"/>
  <c r="AB9" i="49"/>
  <c r="AB10" i="49"/>
  <c r="AB11" i="49"/>
  <c r="AB12" i="49"/>
  <c r="AB13" i="49"/>
  <c r="AB14" i="49"/>
  <c r="AB15" i="49"/>
  <c r="AB16" i="49"/>
  <c r="AB17" i="49"/>
  <c r="AB18" i="49"/>
  <c r="AB19" i="49"/>
  <c r="AB20" i="49"/>
  <c r="AB21" i="49"/>
  <c r="AB22" i="49"/>
  <c r="AB23" i="49"/>
  <c r="AB24" i="49"/>
  <c r="AB25" i="49"/>
  <c r="AB26" i="49"/>
  <c r="AB27" i="49"/>
  <c r="AB28" i="49"/>
  <c r="AB29" i="49"/>
  <c r="AB30" i="49"/>
  <c r="AB31" i="49"/>
  <c r="AB32" i="49"/>
  <c r="AB8" i="49"/>
  <c r="W9" i="49"/>
  <c r="W10" i="49"/>
  <c r="W11" i="49"/>
  <c r="W12" i="49"/>
  <c r="W13" i="49"/>
  <c r="W14" i="49"/>
  <c r="W15" i="49"/>
  <c r="W16" i="49"/>
  <c r="W17" i="49"/>
  <c r="W18" i="49"/>
  <c r="W19" i="49"/>
  <c r="W20" i="49"/>
  <c r="W21" i="49"/>
  <c r="W22" i="49"/>
  <c r="W23" i="49"/>
  <c r="W24" i="49"/>
  <c r="W25" i="49"/>
  <c r="W26" i="49"/>
  <c r="W27" i="49"/>
  <c r="W28" i="49"/>
  <c r="W29" i="49"/>
  <c r="W30" i="49"/>
  <c r="W31" i="49"/>
  <c r="W32" i="49"/>
  <c r="W8" i="49"/>
  <c r="Y26" i="49" l="1"/>
  <c r="AA26" i="49"/>
  <c r="AE26" i="49"/>
  <c r="Y27" i="49"/>
  <c r="AA27" i="49"/>
  <c r="AE27" i="49"/>
  <c r="Y28" i="49"/>
  <c r="AA28" i="49"/>
  <c r="AE28" i="49"/>
  <c r="Y29" i="49"/>
  <c r="AA29" i="49"/>
  <c r="AE29" i="49"/>
  <c r="Y30" i="49"/>
  <c r="AA30" i="49"/>
  <c r="AE30" i="49"/>
  <c r="Y31" i="49"/>
  <c r="AA31" i="49"/>
  <c r="AE31" i="49"/>
  <c r="Y32" i="49"/>
  <c r="AA32" i="49"/>
  <c r="AE32" i="49"/>
  <c r="A1" i="49"/>
  <c r="A4" i="49"/>
  <c r="A3" i="49"/>
  <c r="A2" i="49"/>
  <c r="AE25" i="49"/>
  <c r="AA25" i="49"/>
  <c r="Y25" i="49"/>
  <c r="AE24" i="49"/>
  <c r="AA24" i="49"/>
  <c r="Y24" i="49"/>
  <c r="AE23" i="49"/>
  <c r="AA23" i="49"/>
  <c r="Y23" i="49"/>
  <c r="AE22" i="49"/>
  <c r="AA22" i="49"/>
  <c r="Y22" i="49"/>
  <c r="AE21" i="49"/>
  <c r="AA21" i="49"/>
  <c r="Y21" i="49"/>
  <c r="AE20" i="49"/>
  <c r="AA20" i="49"/>
  <c r="Y20" i="49"/>
  <c r="AE19" i="49"/>
  <c r="AA19" i="49"/>
  <c r="Y19" i="49"/>
  <c r="AE18" i="49"/>
  <c r="AA18" i="49"/>
  <c r="Y18" i="49"/>
  <c r="AE17" i="49"/>
  <c r="AA17" i="49"/>
  <c r="Y17" i="49"/>
  <c r="AE16" i="49"/>
  <c r="AA16" i="49"/>
  <c r="Y16" i="49"/>
  <c r="AE15" i="49"/>
  <c r="AA15" i="49"/>
  <c r="Y15" i="49"/>
  <c r="AE14" i="49"/>
  <c r="AA14" i="49"/>
  <c r="Y14" i="49"/>
  <c r="AE13" i="49"/>
  <c r="AA13" i="49"/>
  <c r="Y13" i="49"/>
  <c r="AE12" i="49"/>
  <c r="AA12" i="49"/>
  <c r="Y12" i="49"/>
  <c r="AE11" i="49"/>
  <c r="AA11" i="49"/>
  <c r="Y11" i="49"/>
  <c r="AE10" i="49"/>
  <c r="AA10" i="49"/>
  <c r="Y10" i="49"/>
  <c r="AE9" i="49"/>
  <c r="AA9" i="49"/>
  <c r="Y9" i="49"/>
  <c r="AE8" i="49"/>
  <c r="AA8" i="49"/>
  <c r="Y8" i="49"/>
  <c r="B317" i="49" l="1"/>
  <c r="B318" i="49"/>
  <c r="B320" i="49"/>
  <c r="B322" i="49"/>
  <c r="B324" i="49"/>
  <c r="B319" i="49"/>
  <c r="B321" i="49"/>
  <c r="B323" i="49"/>
  <c r="B300" i="49"/>
  <c r="B302" i="49"/>
  <c r="B304" i="49"/>
  <c r="B306" i="49"/>
  <c r="B308" i="49"/>
  <c r="B310" i="49"/>
  <c r="B312" i="49"/>
  <c r="B314" i="49"/>
  <c r="B316" i="49"/>
  <c r="B301" i="49"/>
  <c r="B303" i="49"/>
  <c r="B305" i="49"/>
  <c r="B307" i="49"/>
  <c r="B309" i="49"/>
  <c r="B311" i="49"/>
  <c r="B313" i="49"/>
  <c r="B315" i="49"/>
  <c r="M49" i="4"/>
  <c r="S49" i="4"/>
  <c r="M47" i="4"/>
  <c r="S47" i="4"/>
  <c r="M66" i="4"/>
  <c r="S66" i="4"/>
  <c r="M65" i="4"/>
  <c r="S65" i="4"/>
  <c r="M44" i="4"/>
  <c r="S44" i="4"/>
  <c r="D49" i="4"/>
  <c r="C49" i="4" s="1"/>
  <c r="D47" i="4"/>
  <c r="C47" i="4" s="1"/>
  <c r="D66" i="4"/>
  <c r="C66" i="4" s="1"/>
  <c r="D65" i="4"/>
  <c r="C65" i="4" s="1"/>
  <c r="B44" i="4"/>
  <c r="A44" i="4" s="1"/>
  <c r="D44" i="4"/>
  <c r="C44" i="4" s="1"/>
  <c r="D95" i="4"/>
  <c r="C95" i="4" s="1"/>
  <c r="B96" i="4"/>
  <c r="A96" i="4" s="1"/>
  <c r="D96" i="4"/>
  <c r="C96" i="4" s="1"/>
  <c r="B37" i="4"/>
  <c r="A37" i="4" s="1"/>
  <c r="D37" i="4"/>
  <c r="C37" i="4" s="1"/>
  <c r="D76" i="4"/>
  <c r="C76" i="4" s="1"/>
  <c r="D97" i="4"/>
  <c r="C97" i="4" s="1"/>
  <c r="B98" i="4"/>
  <c r="A98" i="4" s="1"/>
  <c r="D98" i="4"/>
  <c r="C98" i="4" s="1"/>
  <c r="B99" i="4"/>
  <c r="A99" i="4" s="1"/>
  <c r="D99" i="4"/>
  <c r="C99" i="4" s="1"/>
  <c r="B100" i="4"/>
  <c r="A100" i="4" s="1"/>
  <c r="D100" i="4"/>
  <c r="C100" i="4" s="1"/>
  <c r="B101" i="4"/>
  <c r="A101" i="4" s="1"/>
  <c r="D101" i="4"/>
  <c r="C101" i="4" s="1"/>
  <c r="B102" i="4"/>
  <c r="A102" i="4" s="1"/>
  <c r="B103" i="4"/>
  <c r="A103" i="4" s="1"/>
  <c r="D103" i="4"/>
  <c r="C103" i="4" s="1"/>
  <c r="D104" i="4"/>
  <c r="C104" i="4" s="1"/>
  <c r="B48" i="4"/>
  <c r="A48" i="4" s="1"/>
  <c r="D48" i="4"/>
  <c r="C48" i="4" s="1"/>
  <c r="B105" i="4"/>
  <c r="A105" i="4" s="1"/>
  <c r="D105" i="4"/>
  <c r="C105" i="4" s="1"/>
  <c r="B74" i="4"/>
  <c r="A74" i="4" s="1"/>
  <c r="D74" i="4"/>
  <c r="C74" i="4" s="1"/>
  <c r="B106" i="4"/>
  <c r="A106" i="4" s="1"/>
  <c r="D106" i="4"/>
  <c r="C106" i="4" s="1"/>
  <c r="B107" i="4"/>
  <c r="A107" i="4" s="1"/>
  <c r="D107" i="4"/>
  <c r="C107" i="4" s="1"/>
  <c r="B108" i="4"/>
  <c r="A108" i="4" s="1"/>
  <c r="D108" i="4"/>
  <c r="C108" i="4" s="1"/>
  <c r="B109" i="4"/>
  <c r="A109" i="4" s="1"/>
  <c r="D109" i="4"/>
  <c r="C109" i="4" s="1"/>
  <c r="B110" i="4"/>
  <c r="A110" i="4" s="1"/>
  <c r="D110" i="4"/>
  <c r="C110" i="4" s="1"/>
  <c r="B111" i="4"/>
  <c r="A111" i="4" s="1"/>
  <c r="D111" i="4"/>
  <c r="C111" i="4" s="1"/>
  <c r="B112" i="4"/>
  <c r="A112" i="4" s="1"/>
  <c r="D112" i="4"/>
  <c r="C112" i="4" s="1"/>
  <c r="B113" i="4"/>
  <c r="A113" i="4" s="1"/>
  <c r="B114" i="4"/>
  <c r="A114" i="4" s="1"/>
  <c r="D114" i="4"/>
  <c r="C114" i="4" s="1"/>
  <c r="B115" i="4"/>
  <c r="A115" i="4" s="1"/>
  <c r="D115" i="4"/>
  <c r="C115" i="4" s="1"/>
  <c r="AG13" i="48"/>
  <c r="AI13" i="48"/>
  <c r="AK13" i="48"/>
  <c r="AJ13" i="48" s="1"/>
  <c r="AM13" i="48"/>
  <c r="AL13" i="48" s="1"/>
  <c r="AG14" i="48"/>
  <c r="AI14" i="48"/>
  <c r="AK14" i="48"/>
  <c r="AJ14" i="48" s="1"/>
  <c r="AM14" i="48"/>
  <c r="AL14" i="48" s="1"/>
  <c r="AG15" i="48"/>
  <c r="AI15" i="48"/>
  <c r="AK15" i="48"/>
  <c r="AJ15" i="48" s="1"/>
  <c r="AM15" i="48"/>
  <c r="AL15" i="48" s="1"/>
  <c r="AG16" i="48"/>
  <c r="AI16" i="48"/>
  <c r="AJ16" i="48"/>
  <c r="AK16" i="48"/>
  <c r="AL16" i="48"/>
  <c r="AM16" i="48"/>
  <c r="AM12" i="48"/>
  <c r="AL12" i="48" s="1"/>
  <c r="AK12" i="48"/>
  <c r="AJ12" i="48" s="1"/>
  <c r="AI12" i="48"/>
  <c r="AG12" i="48"/>
  <c r="AM11" i="48"/>
  <c r="AL11" i="48" s="1"/>
  <c r="AK11" i="48"/>
  <c r="AJ11" i="48" s="1"/>
  <c r="AI11" i="48"/>
  <c r="AG11" i="48"/>
  <c r="AM10" i="48"/>
  <c r="AL10" i="48" s="1"/>
  <c r="AK10" i="48"/>
  <c r="AJ10" i="48" s="1"/>
  <c r="AI10" i="48"/>
  <c r="AG10" i="48"/>
  <c r="AM9" i="48"/>
  <c r="AL9" i="48" s="1"/>
  <c r="AK9" i="48"/>
  <c r="AJ9" i="48" s="1"/>
  <c r="AI9" i="48"/>
  <c r="AG9" i="48"/>
  <c r="AM8" i="48"/>
  <c r="AL8" i="48" s="1"/>
  <c r="AK8" i="48"/>
  <c r="AJ8" i="48" s="1"/>
  <c r="AI8" i="48"/>
  <c r="AG8" i="48"/>
  <c r="A1" i="48"/>
  <c r="A4" i="48"/>
  <c r="A3" i="48"/>
  <c r="A2" i="48"/>
  <c r="AB16" i="48"/>
  <c r="Z16" i="48"/>
  <c r="W16" i="48"/>
  <c r="AB15" i="48"/>
  <c r="Z15" i="48"/>
  <c r="W15" i="48"/>
  <c r="AB14" i="48"/>
  <c r="Z14" i="48"/>
  <c r="W14" i="48"/>
  <c r="AB13" i="48"/>
  <c r="Z13" i="48"/>
  <c r="W13" i="48"/>
  <c r="AB12" i="48"/>
  <c r="Z12" i="48"/>
  <c r="W12" i="48"/>
  <c r="AB11" i="48"/>
  <c r="Z11" i="48"/>
  <c r="W11" i="48"/>
  <c r="AB10" i="48"/>
  <c r="Z10" i="48"/>
  <c r="W10" i="48"/>
  <c r="AB9" i="48"/>
  <c r="Z9" i="48"/>
  <c r="W9" i="48"/>
  <c r="AB8" i="48"/>
  <c r="Z8" i="48"/>
  <c r="W8" i="48"/>
  <c r="N46" i="41" l="1"/>
  <c r="N7" i="41"/>
  <c r="N9" i="41"/>
  <c r="N8" i="41"/>
  <c r="N15" i="41"/>
  <c r="N14" i="41"/>
  <c r="N24" i="41"/>
  <c r="N23" i="41"/>
  <c r="N21" i="41"/>
  <c r="N26" i="41"/>
  <c r="N12" i="41"/>
  <c r="N30" i="41"/>
  <c r="N33" i="41"/>
  <c r="N36" i="41"/>
  <c r="N39" i="41"/>
  <c r="N34" i="41"/>
  <c r="N20" i="41"/>
  <c r="N43" i="41"/>
  <c r="N32" i="41"/>
  <c r="N49" i="41"/>
  <c r="N53" i="41"/>
  <c r="N55" i="41"/>
  <c r="N57" i="41"/>
  <c r="N59" i="41"/>
  <c r="N60" i="41"/>
  <c r="N62" i="41"/>
  <c r="N64" i="41"/>
  <c r="N66" i="41"/>
  <c r="N68" i="41"/>
  <c r="N70" i="41"/>
  <c r="N72" i="41"/>
  <c r="N75" i="41"/>
  <c r="N77" i="41"/>
  <c r="N79" i="41"/>
  <c r="N81" i="41"/>
  <c r="N83" i="41"/>
  <c r="N84" i="41"/>
  <c r="N86" i="41"/>
  <c r="N42" i="41"/>
  <c r="N35" i="41"/>
  <c r="N90" i="41"/>
  <c r="N92" i="41"/>
  <c r="N94" i="41"/>
  <c r="N96" i="41"/>
  <c r="N98" i="41"/>
  <c r="N100" i="41"/>
  <c r="N102" i="41"/>
  <c r="N104" i="41"/>
  <c r="N106" i="41"/>
  <c r="N108" i="41"/>
  <c r="N110" i="41"/>
  <c r="N112" i="41"/>
  <c r="N114" i="41"/>
  <c r="N116" i="41"/>
  <c r="N118" i="41"/>
  <c r="N120" i="41"/>
  <c r="N122" i="41"/>
  <c r="N124" i="41"/>
  <c r="N126" i="41"/>
  <c r="N10" i="41"/>
  <c r="N17" i="41"/>
  <c r="N18" i="41"/>
  <c r="N16" i="41"/>
  <c r="N28" i="41"/>
  <c r="N29" i="41"/>
  <c r="N40" i="41"/>
  <c r="N37" i="41"/>
  <c r="N48" i="41"/>
  <c r="N54" i="41"/>
  <c r="N58" i="41"/>
  <c r="N61" i="41"/>
  <c r="N65" i="41"/>
  <c r="N69" i="41"/>
  <c r="N73" i="41"/>
  <c r="N78" i="41"/>
  <c r="N82" i="41"/>
  <c r="N85" i="41"/>
  <c r="N88" i="41"/>
  <c r="N91" i="41"/>
  <c r="N95" i="41"/>
  <c r="N99" i="41"/>
  <c r="N103" i="41"/>
  <c r="N107" i="41"/>
  <c r="N111" i="41"/>
  <c r="N115" i="41"/>
  <c r="N119" i="41"/>
  <c r="N123" i="41"/>
  <c r="N128" i="41"/>
  <c r="N130" i="41"/>
  <c r="N132" i="41"/>
  <c r="N134" i="41"/>
  <c r="N135" i="41"/>
  <c r="N51" i="41"/>
  <c r="N138" i="41"/>
  <c r="N140" i="41"/>
  <c r="N142" i="41"/>
  <c r="N144" i="41"/>
  <c r="N146" i="41"/>
  <c r="N147" i="41"/>
  <c r="N149" i="41"/>
  <c r="N13" i="41"/>
  <c r="N22" i="41"/>
  <c r="N11" i="41"/>
  <c r="N27" i="41"/>
  <c r="N31" i="41"/>
  <c r="N25" i="41"/>
  <c r="N41" i="41"/>
  <c r="N47" i="41"/>
  <c r="N52" i="41"/>
  <c r="N56" i="41"/>
  <c r="N45" i="41"/>
  <c r="N63" i="41"/>
  <c r="N67" i="41"/>
  <c r="N71" i="41"/>
  <c r="N76" i="41"/>
  <c r="N80" i="41"/>
  <c r="N38" i="41"/>
  <c r="N87" i="41"/>
  <c r="N89" i="41"/>
  <c r="N93" i="41"/>
  <c r="N97" i="41"/>
  <c r="N101" i="41"/>
  <c r="N105" i="41"/>
  <c r="N109" i="41"/>
  <c r="N113" i="41"/>
  <c r="N117" i="41"/>
  <c r="N121" i="41"/>
  <c r="N125" i="41"/>
  <c r="N129" i="41"/>
  <c r="N133" i="41"/>
  <c r="N136" i="41"/>
  <c r="N139" i="41"/>
  <c r="N143" i="41"/>
  <c r="N19" i="41"/>
  <c r="N150" i="41"/>
  <c r="N151" i="41"/>
  <c r="N153" i="41"/>
  <c r="N155" i="41"/>
  <c r="N127" i="41"/>
  <c r="N131" i="41"/>
  <c r="N44" i="41"/>
  <c r="N137" i="41"/>
  <c r="N141" i="41"/>
  <c r="N145" i="41"/>
  <c r="N148" i="41"/>
  <c r="N152" i="41"/>
  <c r="N154" i="41"/>
  <c r="N74" i="41"/>
  <c r="AC9" i="48"/>
  <c r="AC11" i="48"/>
  <c r="AC13" i="48"/>
  <c r="AC15" i="48"/>
  <c r="AC8" i="48"/>
  <c r="AC10" i="48"/>
  <c r="AC12" i="48"/>
  <c r="AC14" i="48"/>
  <c r="AC16" i="48"/>
  <c r="B301" i="48"/>
  <c r="B303" i="48"/>
  <c r="B305" i="48"/>
  <c r="B307" i="48"/>
  <c r="B300" i="48"/>
  <c r="B302" i="48"/>
  <c r="B304" i="48"/>
  <c r="B306" i="48"/>
  <c r="B308" i="48"/>
  <c r="E13" i="2"/>
  <c r="T71" i="4" l="1"/>
  <c r="T75" i="4"/>
  <c r="T63" i="4"/>
  <c r="T21" i="4"/>
  <c r="T10" i="4"/>
  <c r="T9" i="4"/>
  <c r="T13" i="4"/>
  <c r="T26" i="4"/>
  <c r="T20" i="4"/>
  <c r="T14" i="4"/>
  <c r="T33" i="4"/>
  <c r="T22" i="4"/>
  <c r="T34" i="4"/>
  <c r="T40" i="4"/>
  <c r="T32" i="4"/>
  <c r="T43" i="4"/>
  <c r="T45" i="4"/>
  <c r="T19" i="4"/>
  <c r="T50" i="4"/>
  <c r="T52" i="4"/>
  <c r="T54" i="4"/>
  <c r="T56" i="4"/>
  <c r="T59" i="4"/>
  <c r="T60" i="4"/>
  <c r="T42" i="4"/>
  <c r="T64" i="4"/>
  <c r="T39" i="4"/>
  <c r="T68" i="4"/>
  <c r="T69" i="4"/>
  <c r="T72" i="4"/>
  <c r="T24" i="4"/>
  <c r="T78" i="4"/>
  <c r="T80" i="4"/>
  <c r="T82" i="4"/>
  <c r="T84" i="4"/>
  <c r="T86" i="4"/>
  <c r="T88" i="4"/>
  <c r="T90" i="4"/>
  <c r="T91" i="4"/>
  <c r="T93" i="4"/>
  <c r="T49" i="4"/>
  <c r="T66" i="4"/>
  <c r="T44" i="4"/>
  <c r="T96" i="4"/>
  <c r="T76" i="4"/>
  <c r="T98" i="4"/>
  <c r="T100" i="4"/>
  <c r="T102" i="4"/>
  <c r="T104" i="4"/>
  <c r="T105" i="4"/>
  <c r="T106" i="4"/>
  <c r="T108" i="4"/>
  <c r="T110" i="4"/>
  <c r="T112" i="4"/>
  <c r="T114" i="4"/>
  <c r="T8" i="4"/>
  <c r="T11" i="4"/>
  <c r="T25" i="4"/>
  <c r="T15" i="4"/>
  <c r="T17" i="4"/>
  <c r="T18" i="4"/>
  <c r="T16" i="4"/>
  <c r="T35" i="4"/>
  <c r="T12" i="4"/>
  <c r="T31" i="4"/>
  <c r="T36" i="4"/>
  <c r="T30" i="4"/>
  <c r="T27" i="4"/>
  <c r="T29" i="4"/>
  <c r="T46" i="4"/>
  <c r="T23" i="4"/>
  <c r="T51" i="4"/>
  <c r="T53" i="4"/>
  <c r="T55" i="4"/>
  <c r="T57" i="4"/>
  <c r="T41" i="4"/>
  <c r="T61" i="4"/>
  <c r="T62" i="4"/>
  <c r="T28" i="4"/>
  <c r="T67" i="4"/>
  <c r="T38" i="4"/>
  <c r="T70" i="4"/>
  <c r="T73" i="4"/>
  <c r="T77" i="4"/>
  <c r="T79" i="4"/>
  <c r="T81" i="4"/>
  <c r="T83" i="4"/>
  <c r="T85" i="4"/>
  <c r="T87" i="4"/>
  <c r="T89" i="4"/>
  <c r="T58" i="4"/>
  <c r="T92" i="4"/>
  <c r="T94" i="4"/>
  <c r="T47" i="4"/>
  <c r="T65" i="4"/>
  <c r="T95" i="4"/>
  <c r="T37" i="4"/>
  <c r="T97" i="4"/>
  <c r="T99" i="4"/>
  <c r="T101" i="4"/>
  <c r="T103" i="4"/>
  <c r="T48" i="4"/>
  <c r="T74" i="4"/>
  <c r="T107" i="4"/>
  <c r="T109" i="4"/>
  <c r="T111" i="4"/>
  <c r="T113" i="4"/>
  <c r="T115" i="4"/>
  <c r="V20" i="5"/>
  <c r="V54" i="5"/>
  <c r="A1" i="47"/>
  <c r="A4" i="47"/>
  <c r="A3" i="47"/>
  <c r="A2" i="47"/>
  <c r="AM17" i="47"/>
  <c r="AK17" i="47"/>
  <c r="AI17" i="47"/>
  <c r="AH17" i="47" s="1"/>
  <c r="AG17" i="47"/>
  <c r="AB17" i="47"/>
  <c r="Z17" i="47"/>
  <c r="W17" i="47"/>
  <c r="AM16" i="47"/>
  <c r="AL16" i="47" s="1"/>
  <c r="AK16" i="47"/>
  <c r="AJ16" i="47" s="1"/>
  <c r="AI16" i="47"/>
  <c r="AG16" i="47"/>
  <c r="AB16" i="47"/>
  <c r="Z16" i="47"/>
  <c r="W16" i="47"/>
  <c r="AM15" i="47"/>
  <c r="AL15" i="47" s="1"/>
  <c r="AK15" i="47"/>
  <c r="AJ15" i="47" s="1"/>
  <c r="AI15" i="47"/>
  <c r="AG15" i="47"/>
  <c r="AB15" i="47"/>
  <c r="Z15" i="47"/>
  <c r="W15" i="47"/>
  <c r="AM14" i="47"/>
  <c r="AK14" i="47"/>
  <c r="AI14" i="47"/>
  <c r="AG14" i="47"/>
  <c r="AB14" i="47"/>
  <c r="Z14" i="47"/>
  <c r="W14" i="47"/>
  <c r="AM13" i="47"/>
  <c r="AL13" i="47" s="1"/>
  <c r="AK13" i="47"/>
  <c r="AJ13" i="47" s="1"/>
  <c r="AI13" i="47"/>
  <c r="AG13" i="47"/>
  <c r="AB13" i="47"/>
  <c r="Z13" i="47"/>
  <c r="W13" i="47"/>
  <c r="AM12" i="47"/>
  <c r="AL12" i="47" s="1"/>
  <c r="AK12" i="47"/>
  <c r="AJ12" i="47" s="1"/>
  <c r="AI12" i="47"/>
  <c r="AG12" i="47"/>
  <c r="AB12" i="47"/>
  <c r="Z12" i="47"/>
  <c r="W12" i="47"/>
  <c r="AM11" i="47"/>
  <c r="AK11" i="47"/>
  <c r="AI11" i="47"/>
  <c r="AG11" i="47"/>
  <c r="AB11" i="47"/>
  <c r="Z11" i="47"/>
  <c r="W11" i="47"/>
  <c r="AM10" i="47"/>
  <c r="AL10" i="47" s="1"/>
  <c r="AK10" i="47"/>
  <c r="AJ10" i="47" s="1"/>
  <c r="AI10" i="47"/>
  <c r="AG10" i="47"/>
  <c r="AB10" i="47"/>
  <c r="Z10" i="47"/>
  <c r="W10" i="47"/>
  <c r="AM9" i="47"/>
  <c r="AL9" i="47" s="1"/>
  <c r="AK9" i="47"/>
  <c r="AJ9" i="47" s="1"/>
  <c r="AI9" i="47"/>
  <c r="AG9" i="47"/>
  <c r="AB9" i="47"/>
  <c r="Z9" i="47"/>
  <c r="W9" i="47"/>
  <c r="AM8" i="47"/>
  <c r="AL8" i="47" s="1"/>
  <c r="AK8" i="47"/>
  <c r="AJ8" i="47" s="1"/>
  <c r="AI8" i="47"/>
  <c r="AG8" i="47"/>
  <c r="AB8" i="47"/>
  <c r="Z8" i="47"/>
  <c r="W8" i="47"/>
  <c r="AC8" i="47" l="1"/>
  <c r="AC10" i="47"/>
  <c r="AC12" i="47"/>
  <c r="AC14" i="47"/>
  <c r="AC16" i="47"/>
  <c r="AC9" i="47"/>
  <c r="AC11" i="47"/>
  <c r="AC13" i="47"/>
  <c r="AC15" i="47"/>
  <c r="AC17" i="47"/>
  <c r="B300" i="47"/>
  <c r="B301" i="47"/>
  <c r="B302" i="47"/>
  <c r="B303" i="47"/>
  <c r="B304" i="47"/>
  <c r="B305" i="47"/>
  <c r="B306" i="47"/>
  <c r="B307" i="47"/>
  <c r="B308" i="47"/>
  <c r="B309" i="47"/>
  <c r="AL24" i="46"/>
  <c r="AK24" i="46" s="1"/>
  <c r="AJ24" i="46"/>
  <c r="AI24" i="46" s="1"/>
  <c r="AH24" i="46"/>
  <c r="AG24" i="46" s="1"/>
  <c r="AF24" i="46"/>
  <c r="AE24" i="46" s="1"/>
  <c r="AL23" i="46"/>
  <c r="AK23" i="46" s="1"/>
  <c r="AJ23" i="46"/>
  <c r="AI23" i="46" s="1"/>
  <c r="AH23" i="46"/>
  <c r="AG23" i="46" s="1"/>
  <c r="AF23" i="46"/>
  <c r="AE23" i="46" s="1"/>
  <c r="AL22" i="46"/>
  <c r="AK22" i="46"/>
  <c r="AJ22" i="46"/>
  <c r="AI22" i="46"/>
  <c r="AH22" i="46"/>
  <c r="AG22" i="46"/>
  <c r="AF22" i="46"/>
  <c r="AE22" i="46"/>
  <c r="AD22" i="46" s="1"/>
  <c r="AL21" i="46"/>
  <c r="AK21" i="46"/>
  <c r="AJ21" i="46"/>
  <c r="AI21" i="46"/>
  <c r="AH21" i="46"/>
  <c r="AG21" i="46"/>
  <c r="AF21" i="46"/>
  <c r="AE21" i="46"/>
  <c r="AD21" i="46" s="1"/>
  <c r="AL19" i="46"/>
  <c r="AK19" i="46" s="1"/>
  <c r="AJ19" i="46"/>
  <c r="AI19" i="46" s="1"/>
  <c r="AH19" i="46"/>
  <c r="AG19" i="46" s="1"/>
  <c r="AF19" i="46"/>
  <c r="AE19" i="46" s="1"/>
  <c r="AD19" i="46" s="1"/>
  <c r="AL18" i="46"/>
  <c r="AK18" i="46"/>
  <c r="AJ18" i="46"/>
  <c r="AI18" i="46"/>
  <c r="AH18" i="46"/>
  <c r="AF18" i="46"/>
  <c r="AL17" i="46"/>
  <c r="AK17" i="46"/>
  <c r="AJ17" i="46"/>
  <c r="AI17" i="46"/>
  <c r="AH17" i="46"/>
  <c r="AF17" i="46"/>
  <c r="AL16" i="46"/>
  <c r="AK16" i="46" s="1"/>
  <c r="AJ16" i="46"/>
  <c r="AI16" i="46" s="1"/>
  <c r="AH16" i="46"/>
  <c r="AF16" i="46"/>
  <c r="AL15" i="46"/>
  <c r="AK15" i="46" s="1"/>
  <c r="AJ15" i="46"/>
  <c r="AI15" i="46" s="1"/>
  <c r="AH15" i="46"/>
  <c r="AF15" i="46"/>
  <c r="AL14" i="46"/>
  <c r="AK14" i="46"/>
  <c r="AJ14" i="46"/>
  <c r="AI14" i="46"/>
  <c r="AH14" i="46"/>
  <c r="AF14" i="46"/>
  <c r="AL13" i="46"/>
  <c r="AK13" i="46"/>
  <c r="AJ13" i="46"/>
  <c r="AI13" i="46"/>
  <c r="AH13" i="46"/>
  <c r="AG13" i="46"/>
  <c r="AF13" i="46"/>
  <c r="AE13" i="46"/>
  <c r="AL12" i="46"/>
  <c r="AK12" i="46" s="1"/>
  <c r="AJ12" i="46"/>
  <c r="AI12" i="46" s="1"/>
  <c r="AH12" i="46"/>
  <c r="AG12" i="46" s="1"/>
  <c r="AF12" i="46"/>
  <c r="AE12" i="46" s="1"/>
  <c r="AD12" i="46" s="1"/>
  <c r="AL11" i="46"/>
  <c r="AK11" i="46" s="1"/>
  <c r="AJ11" i="46"/>
  <c r="AI11" i="46" s="1"/>
  <c r="AH11" i="46"/>
  <c r="AF11" i="46"/>
  <c r="AL10" i="46"/>
  <c r="AK10" i="46"/>
  <c r="AJ10" i="46"/>
  <c r="AI10" i="46"/>
  <c r="AH10" i="46"/>
  <c r="AF10" i="46"/>
  <c r="AL9" i="46"/>
  <c r="AK9" i="46"/>
  <c r="AJ9" i="46"/>
  <c r="AI9" i="46"/>
  <c r="AH9" i="46"/>
  <c r="AF9" i="46"/>
  <c r="AL8" i="46"/>
  <c r="AK8" i="46" s="1"/>
  <c r="AJ8" i="46"/>
  <c r="AI8" i="46" s="1"/>
  <c r="AH8" i="46"/>
  <c r="AF8" i="46"/>
  <c r="AL7" i="46"/>
  <c r="AK7" i="46" s="1"/>
  <c r="AJ7" i="46"/>
  <c r="AI7" i="46" s="1"/>
  <c r="AH7" i="46"/>
  <c r="AF7" i="46"/>
  <c r="M29" i="4"/>
  <c r="S29" i="4"/>
  <c r="D29" i="4"/>
  <c r="C29" i="4" s="1"/>
  <c r="S9" i="4"/>
  <c r="S11" i="4"/>
  <c r="S20" i="4"/>
  <c r="S10" i="4"/>
  <c r="S26" i="4"/>
  <c r="S15" i="4"/>
  <c r="S17" i="4"/>
  <c r="S25" i="4"/>
  <c r="S14" i="4"/>
  <c r="S18" i="4"/>
  <c r="S35" i="4"/>
  <c r="S22" i="4"/>
  <c r="S16" i="4"/>
  <c r="S34" i="4"/>
  <c r="S13" i="4"/>
  <c r="S40" i="4"/>
  <c r="S30" i="4"/>
  <c r="S33" i="4"/>
  <c r="S27" i="4"/>
  <c r="S43" i="4"/>
  <c r="S45" i="4"/>
  <c r="S46" i="4"/>
  <c r="S23" i="4"/>
  <c r="S50" i="4"/>
  <c r="S36" i="4"/>
  <c r="S31" i="4"/>
  <c r="S51" i="4"/>
  <c r="S52" i="4"/>
  <c r="S53" i="4"/>
  <c r="S54" i="4"/>
  <c r="S55" i="4"/>
  <c r="S56" i="4"/>
  <c r="S57" i="4"/>
  <c r="S59" i="4"/>
  <c r="S41" i="4"/>
  <c r="S60" i="4"/>
  <c r="S12" i="4"/>
  <c r="S61" i="4"/>
  <c r="S42" i="4"/>
  <c r="S62" i="4"/>
  <c r="S28" i="4"/>
  <c r="S39" i="4"/>
  <c r="S67" i="4"/>
  <c r="S38" i="4"/>
  <c r="S69" i="4"/>
  <c r="S70" i="4"/>
  <c r="S72" i="4"/>
  <c r="S73" i="4"/>
  <c r="S24" i="4"/>
  <c r="S68" i="4"/>
  <c r="S77" i="4"/>
  <c r="S78" i="4"/>
  <c r="S79" i="4"/>
  <c r="S80" i="4"/>
  <c r="S81" i="4"/>
  <c r="S82" i="4"/>
  <c r="S83" i="4"/>
  <c r="S84" i="4"/>
  <c r="S85" i="4"/>
  <c r="S86" i="4"/>
  <c r="S87" i="4"/>
  <c r="S88" i="4"/>
  <c r="S64" i="4"/>
  <c r="S89" i="4"/>
  <c r="S90" i="4"/>
  <c r="S58" i="4"/>
  <c r="S91" i="4"/>
  <c r="S92" i="4"/>
  <c r="S93" i="4"/>
  <c r="S94" i="4"/>
  <c r="S95" i="4"/>
  <c r="S96" i="4"/>
  <c r="S37" i="4"/>
  <c r="S76" i="4"/>
  <c r="S97" i="4"/>
  <c r="S98" i="4"/>
  <c r="S99" i="4"/>
  <c r="S100" i="4"/>
  <c r="S101" i="4"/>
  <c r="S102" i="4"/>
  <c r="S103" i="4"/>
  <c r="S104" i="4"/>
  <c r="S32" i="4"/>
  <c r="S48" i="4"/>
  <c r="S105" i="4"/>
  <c r="S74" i="4"/>
  <c r="S106" i="4"/>
  <c r="S107" i="4"/>
  <c r="S19" i="4"/>
  <c r="S108" i="4"/>
  <c r="S109" i="4"/>
  <c r="S110" i="4"/>
  <c r="S111" i="4"/>
  <c r="S112" i="4"/>
  <c r="S113" i="4"/>
  <c r="S114" i="4"/>
  <c r="S115" i="4"/>
  <c r="S8" i="4"/>
  <c r="A1" i="46"/>
  <c r="A4" i="46"/>
  <c r="A3" i="46"/>
  <c r="A2" i="46"/>
  <c r="E12" i="2"/>
  <c r="P60" i="46"/>
  <c r="N60" i="46"/>
  <c r="Q60" i="46"/>
  <c r="P59" i="46"/>
  <c r="N59" i="46"/>
  <c r="Q59" i="46"/>
  <c r="P58" i="46"/>
  <c r="N58" i="46"/>
  <c r="Q58" i="46"/>
  <c r="P56" i="46"/>
  <c r="N56" i="46"/>
  <c r="Q56" i="46"/>
  <c r="P53" i="46"/>
  <c r="O53" i="46"/>
  <c r="N53" i="46"/>
  <c r="H53" i="46"/>
  <c r="Q53" i="46" s="1"/>
  <c r="P52" i="46"/>
  <c r="O52" i="46"/>
  <c r="N52" i="46"/>
  <c r="H52" i="46"/>
  <c r="Q52" i="46" s="1"/>
  <c r="P51" i="46"/>
  <c r="O51" i="46"/>
  <c r="N51" i="46"/>
  <c r="H51" i="46"/>
  <c r="Q51" i="46" s="1"/>
  <c r="P50" i="46"/>
  <c r="O50" i="46"/>
  <c r="N50" i="46"/>
  <c r="H50" i="46"/>
  <c r="Q50" i="46" s="1"/>
  <c r="P49" i="46"/>
  <c r="O49" i="46"/>
  <c r="N49" i="46"/>
  <c r="H49" i="46"/>
  <c r="Q49" i="46" s="1"/>
  <c r="I53" i="46"/>
  <c r="P46" i="46"/>
  <c r="O46" i="46"/>
  <c r="N46" i="46"/>
  <c r="H46" i="46"/>
  <c r="Q46" i="46" s="1"/>
  <c r="P45" i="46"/>
  <c r="O45" i="46"/>
  <c r="N45" i="46"/>
  <c r="H45" i="46"/>
  <c r="Q45" i="46" s="1"/>
  <c r="P44" i="46"/>
  <c r="O44" i="46"/>
  <c r="N44" i="46"/>
  <c r="H44" i="46"/>
  <c r="Q44" i="46" s="1"/>
  <c r="P43" i="46"/>
  <c r="O43" i="46"/>
  <c r="N43" i="46"/>
  <c r="H43" i="46"/>
  <c r="Q43" i="46" s="1"/>
  <c r="P42" i="46"/>
  <c r="O42" i="46"/>
  <c r="N42" i="46"/>
  <c r="H42" i="46"/>
  <c r="Q42" i="46" s="1"/>
  <c r="I43" i="46"/>
  <c r="P39" i="46"/>
  <c r="O39" i="46"/>
  <c r="N39" i="46"/>
  <c r="H39" i="46"/>
  <c r="Q39" i="46" s="1"/>
  <c r="P38" i="46"/>
  <c r="O38" i="46"/>
  <c r="N38" i="46"/>
  <c r="H38" i="46"/>
  <c r="Q38" i="46" s="1"/>
  <c r="P37" i="46"/>
  <c r="O37" i="46"/>
  <c r="N37" i="46"/>
  <c r="H37" i="46"/>
  <c r="Q37" i="46" s="1"/>
  <c r="P36" i="46"/>
  <c r="O36" i="46"/>
  <c r="N36" i="46"/>
  <c r="H36" i="46"/>
  <c r="Q36" i="46" s="1"/>
  <c r="P35" i="46"/>
  <c r="O35" i="46"/>
  <c r="N35" i="46"/>
  <c r="H35" i="46"/>
  <c r="Q35" i="46" s="1"/>
  <c r="I35" i="46"/>
  <c r="P32" i="46"/>
  <c r="O32" i="46"/>
  <c r="N32" i="46"/>
  <c r="H32" i="46"/>
  <c r="Q32" i="46" s="1"/>
  <c r="P31" i="46"/>
  <c r="O31" i="46"/>
  <c r="N31" i="46"/>
  <c r="H31" i="46"/>
  <c r="Q31" i="46" s="1"/>
  <c r="P30" i="46"/>
  <c r="O30" i="46"/>
  <c r="N30" i="46"/>
  <c r="H30" i="46"/>
  <c r="Q30" i="46" s="1"/>
  <c r="P29" i="46"/>
  <c r="O29" i="46"/>
  <c r="N29" i="46"/>
  <c r="H29" i="46"/>
  <c r="Q29" i="46" s="1"/>
  <c r="P28" i="46"/>
  <c r="O28" i="46"/>
  <c r="N28" i="46"/>
  <c r="H28" i="46"/>
  <c r="Q28" i="46" s="1"/>
  <c r="I32" i="46"/>
  <c r="P25" i="46"/>
  <c r="O25" i="46"/>
  <c r="N25" i="46"/>
  <c r="H25" i="46"/>
  <c r="Q25" i="46" s="1"/>
  <c r="P24" i="46"/>
  <c r="O24" i="46"/>
  <c r="N24" i="46"/>
  <c r="H24" i="46"/>
  <c r="Q24" i="46" s="1"/>
  <c r="P23" i="46"/>
  <c r="O23" i="46"/>
  <c r="N23" i="46"/>
  <c r="H23" i="46"/>
  <c r="Q23" i="46" s="1"/>
  <c r="P22" i="46"/>
  <c r="O22" i="46"/>
  <c r="N22" i="46"/>
  <c r="H22" i="46"/>
  <c r="Q22" i="46" s="1"/>
  <c r="P21" i="46"/>
  <c r="O21" i="46"/>
  <c r="N21" i="46"/>
  <c r="H21" i="46"/>
  <c r="Q21" i="46" s="1"/>
  <c r="P18" i="46"/>
  <c r="O18" i="46"/>
  <c r="N18" i="46"/>
  <c r="H18" i="46"/>
  <c r="Q18" i="46" s="1"/>
  <c r="P17" i="46"/>
  <c r="O17" i="46"/>
  <c r="N17" i="46"/>
  <c r="H17" i="46"/>
  <c r="Q17" i="46" s="1"/>
  <c r="P16" i="46"/>
  <c r="O16" i="46"/>
  <c r="N16" i="46"/>
  <c r="H16" i="46"/>
  <c r="Q16" i="46" s="1"/>
  <c r="P15" i="46"/>
  <c r="O15" i="46"/>
  <c r="N15" i="46"/>
  <c r="H15" i="46"/>
  <c r="Q15" i="46" s="1"/>
  <c r="P14" i="46"/>
  <c r="O14" i="46"/>
  <c r="N14" i="46"/>
  <c r="H14" i="46"/>
  <c r="Q14" i="46" s="1"/>
  <c r="P11" i="46"/>
  <c r="O11" i="46"/>
  <c r="N11" i="46"/>
  <c r="H11" i="46"/>
  <c r="Q11" i="46" s="1"/>
  <c r="P10" i="46"/>
  <c r="O10" i="46"/>
  <c r="N10" i="46"/>
  <c r="H10" i="46"/>
  <c r="Q10" i="46" s="1"/>
  <c r="P9" i="46"/>
  <c r="O9" i="46"/>
  <c r="N9" i="46"/>
  <c r="H9" i="46"/>
  <c r="Q9" i="46" s="1"/>
  <c r="P8" i="46"/>
  <c r="O8" i="46"/>
  <c r="N8" i="46"/>
  <c r="H8" i="46"/>
  <c r="Q8" i="46" s="1"/>
  <c r="P7" i="46"/>
  <c r="O7" i="46"/>
  <c r="N7" i="46"/>
  <c r="H7" i="46"/>
  <c r="Q7" i="46" s="1"/>
  <c r="AA55" i="5" l="1"/>
  <c r="AA41" i="5"/>
  <c r="AA40" i="5"/>
  <c r="AA44" i="5"/>
  <c r="AA37" i="5"/>
  <c r="AA53" i="5"/>
  <c r="AA8" i="5"/>
  <c r="AA17" i="5"/>
  <c r="AA16" i="5"/>
  <c r="AA9" i="5"/>
  <c r="AA36" i="5"/>
  <c r="AA14" i="5"/>
  <c r="AA22" i="5"/>
  <c r="AA21" i="5"/>
  <c r="AA42" i="5"/>
  <c r="AA32" i="5"/>
  <c r="AA51" i="5"/>
  <c r="AA7" i="5"/>
  <c r="AA11" i="5"/>
  <c r="AA15" i="5"/>
  <c r="AA27" i="5"/>
  <c r="AA10" i="5"/>
  <c r="AA12" i="5"/>
  <c r="AA31" i="5"/>
  <c r="AA30" i="5"/>
  <c r="AA39" i="5"/>
  <c r="AA43" i="5"/>
  <c r="AA23" i="5"/>
  <c r="AA20" i="5"/>
  <c r="AA50" i="5"/>
  <c r="AA54" i="5"/>
  <c r="AA26" i="5"/>
  <c r="AA56" i="5"/>
  <c r="AA35" i="5"/>
  <c r="AA47" i="5"/>
  <c r="AA49" i="5"/>
  <c r="AA28" i="5"/>
  <c r="AA38" i="5"/>
  <c r="AA34" i="5"/>
  <c r="AA13" i="5"/>
  <c r="AA33" i="5"/>
  <c r="AA52" i="5"/>
  <c r="AA24" i="5"/>
  <c r="AA19" i="5"/>
  <c r="AA45" i="5"/>
  <c r="AA29" i="5"/>
  <c r="AA25" i="5"/>
  <c r="AA46" i="5"/>
  <c r="AA48" i="5"/>
  <c r="AD23" i="46"/>
  <c r="AD13" i="46"/>
  <c r="L58" i="46"/>
  <c r="J58" i="46"/>
  <c r="L60" i="46"/>
  <c r="J60" i="46"/>
  <c r="L56" i="46"/>
  <c r="J56" i="46"/>
  <c r="L57" i="46"/>
  <c r="J57" i="46"/>
  <c r="L59" i="46"/>
  <c r="J59" i="46"/>
  <c r="AD24" i="46"/>
  <c r="T56" i="46"/>
  <c r="AA18" i="5"/>
  <c r="I42" i="46"/>
  <c r="I44" i="46"/>
  <c r="I49" i="46"/>
  <c r="I50" i="46"/>
  <c r="I51" i="46"/>
  <c r="I52" i="46"/>
  <c r="L14" i="46"/>
  <c r="J14" i="46"/>
  <c r="T14" i="46" s="1"/>
  <c r="L15" i="46"/>
  <c r="J15" i="46"/>
  <c r="T15" i="46" s="1"/>
  <c r="L17" i="46"/>
  <c r="J17" i="46"/>
  <c r="L29" i="46"/>
  <c r="J29" i="46"/>
  <c r="L31" i="46"/>
  <c r="J31" i="46"/>
  <c r="T31" i="46" s="1"/>
  <c r="L16" i="46"/>
  <c r="J16" i="46"/>
  <c r="L18" i="46"/>
  <c r="J18" i="46"/>
  <c r="L28" i="46"/>
  <c r="J28" i="46"/>
  <c r="L30" i="46"/>
  <c r="J30" i="46"/>
  <c r="L32" i="46"/>
  <c r="J32" i="46"/>
  <c r="L36" i="46"/>
  <c r="J37" i="46"/>
  <c r="T37" i="46" s="1"/>
  <c r="L38" i="46"/>
  <c r="J39" i="46"/>
  <c r="T39" i="46" s="1"/>
  <c r="J46" i="46"/>
  <c r="T46" i="46" s="1"/>
  <c r="L42" i="46"/>
  <c r="J42" i="46"/>
  <c r="L43" i="46"/>
  <c r="J43" i="46"/>
  <c r="L44" i="46"/>
  <c r="J44" i="46"/>
  <c r="T44" i="46" s="1"/>
  <c r="L45" i="46"/>
  <c r="J7" i="46"/>
  <c r="T7" i="46" s="1"/>
  <c r="L7" i="46"/>
  <c r="J8" i="46"/>
  <c r="T8" i="46" s="1"/>
  <c r="L8" i="46"/>
  <c r="J9" i="46"/>
  <c r="T9" i="46" s="1"/>
  <c r="L9" i="46"/>
  <c r="J10" i="46"/>
  <c r="T10" i="46" s="1"/>
  <c r="L10" i="46"/>
  <c r="J11" i="46"/>
  <c r="T11" i="46" s="1"/>
  <c r="K11" i="46" s="1"/>
  <c r="R11" i="46" s="1"/>
  <c r="L11" i="46"/>
  <c r="J21" i="46"/>
  <c r="T21" i="46" s="1"/>
  <c r="L21" i="46"/>
  <c r="J22" i="46"/>
  <c r="T22" i="46" s="1"/>
  <c r="L22" i="46"/>
  <c r="J23" i="46"/>
  <c r="T23" i="46" s="1"/>
  <c r="L23" i="46"/>
  <c r="J24" i="46"/>
  <c r="T24" i="46" s="1"/>
  <c r="L24" i="46"/>
  <c r="J25" i="46"/>
  <c r="T25" i="46" s="1"/>
  <c r="K25" i="46" s="1"/>
  <c r="R25" i="46" s="1"/>
  <c r="L25" i="46"/>
  <c r="I28" i="46"/>
  <c r="I29" i="46"/>
  <c r="I30" i="46"/>
  <c r="I31" i="46"/>
  <c r="I39" i="46"/>
  <c r="I38" i="46"/>
  <c r="I37" i="46"/>
  <c r="I36" i="46"/>
  <c r="J35" i="46"/>
  <c r="T35" i="46" s="1"/>
  <c r="L35" i="46"/>
  <c r="J36" i="46"/>
  <c r="T36" i="46" s="1"/>
  <c r="L37" i="46"/>
  <c r="J38" i="46"/>
  <c r="T38" i="46" s="1"/>
  <c r="L39" i="46"/>
  <c r="T45" i="46"/>
  <c r="J45" i="46"/>
  <c r="I46" i="46"/>
  <c r="I45" i="46"/>
  <c r="L46" i="46"/>
  <c r="T58" i="46"/>
  <c r="T60" i="46"/>
  <c r="L49" i="46"/>
  <c r="J49" i="46"/>
  <c r="T49" i="46" s="1"/>
  <c r="L50" i="46"/>
  <c r="J50" i="46"/>
  <c r="T50" i="46" s="1"/>
  <c r="L51" i="46"/>
  <c r="J51" i="46"/>
  <c r="T51" i="46" s="1"/>
  <c r="L52" i="46"/>
  <c r="J52" i="46"/>
  <c r="T52" i="46" s="1"/>
  <c r="L53" i="46"/>
  <c r="J53" i="46"/>
  <c r="I60" i="46"/>
  <c r="I59" i="46"/>
  <c r="I58" i="46"/>
  <c r="I56" i="46"/>
  <c r="T59" i="46"/>
  <c r="K59" i="46" s="1"/>
  <c r="BJ56" i="5" l="1"/>
  <c r="BJ54" i="5"/>
  <c r="BJ55" i="5"/>
  <c r="BJ53" i="5"/>
  <c r="BJ52" i="5"/>
  <c r="BJ51" i="5"/>
  <c r="BJ50" i="5"/>
  <c r="BJ49" i="5"/>
  <c r="BJ48" i="5"/>
  <c r="BJ47" i="5"/>
  <c r="BJ46" i="5"/>
  <c r="BJ45" i="5"/>
  <c r="BJ43" i="5"/>
  <c r="BJ44" i="5"/>
  <c r="BJ42" i="5"/>
  <c r="BJ41" i="5"/>
  <c r="BJ40" i="5"/>
  <c r="BJ39" i="5"/>
  <c r="BJ38" i="5"/>
  <c r="BJ37" i="5"/>
  <c r="BJ36" i="5"/>
  <c r="BJ35" i="5"/>
  <c r="BJ34" i="5"/>
  <c r="BJ33" i="5"/>
  <c r="BJ32" i="5"/>
  <c r="BJ31" i="5"/>
  <c r="BJ30" i="5"/>
  <c r="BJ29" i="5"/>
  <c r="BJ28" i="5"/>
  <c r="BJ26" i="5"/>
  <c r="BJ27" i="5"/>
  <c r="BJ25" i="5"/>
  <c r="BJ24" i="5"/>
  <c r="BJ23" i="5"/>
  <c r="BJ22" i="5"/>
  <c r="BJ21" i="5"/>
  <c r="BJ19" i="5"/>
  <c r="BJ20" i="5"/>
  <c r="BJ18" i="5"/>
  <c r="BJ17" i="5"/>
  <c r="BJ16" i="5"/>
  <c r="BJ15" i="5"/>
  <c r="BJ14" i="5"/>
  <c r="BJ13" i="5"/>
  <c r="BJ12" i="5"/>
  <c r="BJ11" i="5"/>
  <c r="BJ10" i="5"/>
  <c r="BJ9" i="5"/>
  <c r="BJ8" i="5"/>
  <c r="BJ7" i="5"/>
  <c r="BJ6" i="5"/>
  <c r="K58" i="46"/>
  <c r="K60" i="46"/>
  <c r="K57" i="46"/>
  <c r="K56" i="46"/>
  <c r="T53" i="46"/>
  <c r="K53" i="46" s="1"/>
  <c r="R53" i="46" s="1"/>
  <c r="K36" i="46"/>
  <c r="K35" i="46"/>
  <c r="R35" i="46" s="1"/>
  <c r="K38" i="46"/>
  <c r="K24" i="46"/>
  <c r="R24" i="46" s="1"/>
  <c r="K23" i="46"/>
  <c r="R23" i="46" s="1"/>
  <c r="K22" i="46"/>
  <c r="R22" i="46" s="1"/>
  <c r="K21" i="46"/>
  <c r="R21" i="46" s="1"/>
  <c r="K10" i="46"/>
  <c r="R10" i="46" s="1"/>
  <c r="K9" i="46"/>
  <c r="R9" i="46" s="1"/>
  <c r="K8" i="46"/>
  <c r="R8" i="46" s="1"/>
  <c r="K7" i="46"/>
  <c r="R7" i="46" s="1"/>
  <c r="R60" i="46"/>
  <c r="T43" i="46"/>
  <c r="K43" i="46" s="1"/>
  <c r="R43" i="46" s="1"/>
  <c r="T42" i="46"/>
  <c r="K39" i="46"/>
  <c r="R39" i="46" s="1"/>
  <c r="R36" i="46"/>
  <c r="T32" i="46"/>
  <c r="T30" i="46"/>
  <c r="T28" i="46"/>
  <c r="K28" i="46" s="1"/>
  <c r="R28" i="46" s="1"/>
  <c r="T18" i="46"/>
  <c r="T16" i="46"/>
  <c r="T29" i="46"/>
  <c r="T17" i="46"/>
  <c r="K17" i="46" s="1"/>
  <c r="R17" i="46" s="1"/>
  <c r="K52" i="46"/>
  <c r="R52" i="46" s="1"/>
  <c r="K51" i="46"/>
  <c r="R51" i="46" s="1"/>
  <c r="K50" i="46"/>
  <c r="R50" i="46" s="1"/>
  <c r="K49" i="46"/>
  <c r="R49" i="46" s="1"/>
  <c r="K45" i="46"/>
  <c r="R45" i="46" s="1"/>
  <c r="K46" i="46"/>
  <c r="R46" i="46" s="1"/>
  <c r="R38" i="46"/>
  <c r="K37" i="46"/>
  <c r="R37" i="46" s="1"/>
  <c r="R59" i="46" l="1"/>
  <c r="R56" i="46"/>
  <c r="R58" i="46"/>
  <c r="M37" i="46"/>
  <c r="S37" i="46" s="1"/>
  <c r="M49" i="46"/>
  <c r="S49" i="46" s="1"/>
  <c r="M53" i="46"/>
  <c r="S53" i="46" s="1"/>
  <c r="M50" i="46"/>
  <c r="S50" i="46"/>
  <c r="M52" i="46"/>
  <c r="S52" i="46" s="1"/>
  <c r="M51" i="46"/>
  <c r="S51" i="46"/>
  <c r="M39" i="46"/>
  <c r="S39" i="46" s="1"/>
  <c r="K16" i="46"/>
  <c r="R16" i="46" s="1"/>
  <c r="M38" i="46"/>
  <c r="S38" i="46" s="1"/>
  <c r="K29" i="46"/>
  <c r="R29" i="46" s="1"/>
  <c r="K18" i="46"/>
  <c r="R18" i="46" s="1"/>
  <c r="K30" i="46"/>
  <c r="R30" i="46" s="1"/>
  <c r="M36" i="46"/>
  <c r="S36" i="46" s="1"/>
  <c r="K42" i="46"/>
  <c r="R42" i="46" s="1"/>
  <c r="K31" i="46"/>
  <c r="R31" i="46" s="1"/>
  <c r="M8" i="46"/>
  <c r="S8" i="46" s="1"/>
  <c r="M10" i="46"/>
  <c r="S10" i="46" s="1"/>
  <c r="M22" i="46"/>
  <c r="S22" i="46" s="1"/>
  <c r="M24" i="46"/>
  <c r="S24" i="46" s="1"/>
  <c r="K15" i="46"/>
  <c r="R15" i="46" s="1"/>
  <c r="K32" i="46"/>
  <c r="R32" i="46" s="1"/>
  <c r="K44" i="46"/>
  <c r="R44" i="46" s="1"/>
  <c r="M7" i="46"/>
  <c r="S7" i="46" s="1"/>
  <c r="M9" i="46"/>
  <c r="S9" i="46" s="1"/>
  <c r="M21" i="46"/>
  <c r="S21" i="46" s="1"/>
  <c r="M23" i="46"/>
  <c r="S23" i="46" s="1"/>
  <c r="M25" i="46"/>
  <c r="S25" i="46" s="1"/>
  <c r="K14" i="46"/>
  <c r="R14" i="46" s="1"/>
  <c r="M11" i="46"/>
  <c r="S11" i="46" s="1"/>
  <c r="M35" i="46"/>
  <c r="S35" i="46" s="1"/>
  <c r="M58" i="46" l="1"/>
  <c r="M59" i="46"/>
  <c r="M57" i="46"/>
  <c r="M56" i="46"/>
  <c r="M60" i="46"/>
  <c r="S60" i="46" s="1"/>
  <c r="S58" i="46"/>
  <c r="S59" i="46"/>
  <c r="S56" i="46"/>
  <c r="I8" i="46"/>
  <c r="I10" i="46"/>
  <c r="I11" i="46"/>
  <c r="I9" i="46"/>
  <c r="M14" i="46"/>
  <c r="S14" i="46" s="1"/>
  <c r="M44" i="46"/>
  <c r="S44" i="46" s="1"/>
  <c r="M46" i="46"/>
  <c r="S46" i="46" s="1"/>
  <c r="M15" i="46"/>
  <c r="S15" i="46" s="1"/>
  <c r="M42" i="46"/>
  <c r="S42" i="46" s="1"/>
  <c r="M18" i="46"/>
  <c r="S18" i="46" s="1"/>
  <c r="M16" i="46"/>
  <c r="S16" i="46" s="1"/>
  <c r="I7" i="46"/>
  <c r="M32" i="46"/>
  <c r="S32" i="46" s="1"/>
  <c r="M31" i="46"/>
  <c r="S31" i="46" s="1"/>
  <c r="M30" i="46"/>
  <c r="S30" i="46" s="1"/>
  <c r="M29" i="46"/>
  <c r="S29" i="46" s="1"/>
  <c r="M43" i="46"/>
  <c r="S43" i="46" s="1"/>
  <c r="M45" i="46"/>
  <c r="S45" i="46" s="1"/>
  <c r="M28" i="46"/>
  <c r="S28" i="46" s="1"/>
  <c r="M17" i="46"/>
  <c r="S17" i="46" s="1"/>
  <c r="I18" i="46" l="1"/>
  <c r="I16" i="46"/>
  <c r="I15" i="46"/>
  <c r="I14" i="46"/>
  <c r="C136" i="46" s="1"/>
  <c r="F140" i="46" s="1"/>
  <c r="I17" i="46"/>
  <c r="C138" i="46"/>
  <c r="F137" i="46" s="1"/>
  <c r="B125" i="46"/>
  <c r="C124" i="46" s="1"/>
  <c r="F122" i="46" s="1"/>
  <c r="B121" i="46"/>
  <c r="C120" i="46" s="1"/>
  <c r="F125" i="46" s="1"/>
  <c r="B108" i="46"/>
  <c r="C107" i="46" s="1"/>
  <c r="F108" i="46" s="1"/>
  <c r="B106" i="46"/>
  <c r="C112" i="46" s="1"/>
  <c r="F114" i="46" s="1"/>
  <c r="B104" i="46"/>
  <c r="C110" i="46" s="1"/>
  <c r="F111" i="46" s="1"/>
  <c r="B102" i="46"/>
  <c r="C103" i="46" s="1"/>
  <c r="F105" i="46" s="1"/>
  <c r="B119" i="46" l="1"/>
  <c r="C127" i="46" s="1"/>
  <c r="F128" i="46" s="1"/>
  <c r="B123" i="46"/>
  <c r="C129" i="46" s="1"/>
  <c r="F131" i="46" s="1"/>
  <c r="M43" i="4" l="1"/>
  <c r="M52" i="4"/>
  <c r="M57" i="4"/>
  <c r="M61" i="4"/>
  <c r="M38" i="4"/>
  <c r="M69" i="4"/>
  <c r="M45" i="4"/>
  <c r="M53" i="4"/>
  <c r="M59" i="4"/>
  <c r="M62" i="4"/>
  <c r="M70" i="4"/>
  <c r="M40" i="4"/>
  <c r="M46" i="4"/>
  <c r="M54" i="4"/>
  <c r="M60" i="4"/>
  <c r="M72" i="4"/>
  <c r="M68" i="4"/>
  <c r="M77" i="4"/>
  <c r="M78" i="4"/>
  <c r="M79" i="4"/>
  <c r="M80" i="4"/>
  <c r="M81" i="4"/>
  <c r="M82" i="4"/>
  <c r="M83" i="4"/>
  <c r="D43" i="4"/>
  <c r="C43" i="4" s="1"/>
  <c r="B52" i="4"/>
  <c r="A52" i="4" s="1"/>
  <c r="D52" i="4"/>
  <c r="C52" i="4" s="1"/>
  <c r="B57" i="4"/>
  <c r="A57" i="4" s="1"/>
  <c r="D57" i="4"/>
  <c r="C57" i="4" s="1"/>
  <c r="B61" i="4"/>
  <c r="A61" i="4" s="1"/>
  <c r="D61" i="4"/>
  <c r="C61" i="4" s="1"/>
  <c r="B69" i="4"/>
  <c r="A69" i="4" s="1"/>
  <c r="D69" i="4"/>
  <c r="C69" i="4" s="1"/>
  <c r="B45" i="4"/>
  <c r="A45" i="4" s="1"/>
  <c r="D45" i="4"/>
  <c r="C45" i="4" s="1"/>
  <c r="B53" i="4"/>
  <c r="A53" i="4" s="1"/>
  <c r="D53" i="4"/>
  <c r="C53" i="4" s="1"/>
  <c r="B59" i="4"/>
  <c r="A59" i="4" s="1"/>
  <c r="D59" i="4"/>
  <c r="C59" i="4" s="1"/>
  <c r="D62" i="4"/>
  <c r="C62" i="4" s="1"/>
  <c r="D70" i="4"/>
  <c r="C70" i="4" s="1"/>
  <c r="D40" i="4"/>
  <c r="C40" i="4" s="1"/>
  <c r="B46" i="4"/>
  <c r="A46" i="4" s="1"/>
  <c r="D46" i="4"/>
  <c r="C46" i="4" s="1"/>
  <c r="B54" i="4"/>
  <c r="A54" i="4" s="1"/>
  <c r="D54" i="4"/>
  <c r="C54" i="4" s="1"/>
  <c r="D60" i="4"/>
  <c r="C60" i="4" s="1"/>
  <c r="B72" i="4"/>
  <c r="A72" i="4" s="1"/>
  <c r="D72" i="4"/>
  <c r="C72" i="4" s="1"/>
  <c r="B68" i="4"/>
  <c r="A68" i="4" s="1"/>
  <c r="D68" i="4"/>
  <c r="C68" i="4" s="1"/>
  <c r="A4" i="45"/>
  <c r="A3" i="45"/>
  <c r="A2" i="45"/>
  <c r="A1" i="45"/>
  <c r="AM18" i="45"/>
  <c r="AK18" i="45"/>
  <c r="AI18" i="45"/>
  <c r="AH18" i="45" s="1"/>
  <c r="AG18" i="45"/>
  <c r="AB18" i="45"/>
  <c r="Z18" i="45"/>
  <c r="W18" i="45"/>
  <c r="AM17" i="45"/>
  <c r="AK17" i="45"/>
  <c r="AI17" i="45"/>
  <c r="AH17" i="45" s="1"/>
  <c r="AG17" i="45"/>
  <c r="AB17" i="45"/>
  <c r="Z17" i="45"/>
  <c r="W17" i="45"/>
  <c r="AM16" i="45"/>
  <c r="AK16" i="45"/>
  <c r="AI16" i="45"/>
  <c r="AH16" i="45" s="1"/>
  <c r="AG16" i="45"/>
  <c r="AB16" i="45"/>
  <c r="Z16" i="45"/>
  <c r="W16" i="45"/>
  <c r="AM15" i="45"/>
  <c r="AK15" i="45"/>
  <c r="AI15" i="45"/>
  <c r="AH15" i="45" s="1"/>
  <c r="AG15" i="45"/>
  <c r="AB15" i="45"/>
  <c r="Z15" i="45"/>
  <c r="W15" i="45"/>
  <c r="AM14" i="45"/>
  <c r="AK14" i="45"/>
  <c r="AI14" i="45"/>
  <c r="AH14" i="45" s="1"/>
  <c r="AG14" i="45"/>
  <c r="AB14" i="45"/>
  <c r="Z14" i="45"/>
  <c r="W14" i="45"/>
  <c r="AM13" i="45"/>
  <c r="AK13" i="45"/>
  <c r="AI13" i="45"/>
  <c r="AH13" i="45" s="1"/>
  <c r="AG13" i="45"/>
  <c r="AB13" i="45"/>
  <c r="Z13" i="45"/>
  <c r="W13" i="45"/>
  <c r="AM12" i="45"/>
  <c r="AK12" i="45"/>
  <c r="AI12" i="45"/>
  <c r="AH12" i="45" s="1"/>
  <c r="AG12" i="45"/>
  <c r="AB12" i="45"/>
  <c r="Z12" i="45"/>
  <c r="W12" i="45"/>
  <c r="AM11" i="45"/>
  <c r="AK11" i="45"/>
  <c r="AI11" i="45"/>
  <c r="AH11" i="45" s="1"/>
  <c r="AG11" i="45"/>
  <c r="AB11" i="45"/>
  <c r="Z11" i="45"/>
  <c r="W11" i="45"/>
  <c r="AM10" i="45"/>
  <c r="AK10" i="45"/>
  <c r="AI10" i="45"/>
  <c r="AH10" i="45" s="1"/>
  <c r="AG10" i="45"/>
  <c r="AB10" i="45"/>
  <c r="Z10" i="45"/>
  <c r="W10" i="45"/>
  <c r="AM9" i="45"/>
  <c r="AK9" i="45"/>
  <c r="AI9" i="45"/>
  <c r="AH9" i="45" s="1"/>
  <c r="AG9" i="45"/>
  <c r="AB9" i="45"/>
  <c r="Z9" i="45"/>
  <c r="W9" i="45"/>
  <c r="AM8" i="45"/>
  <c r="AK8" i="45"/>
  <c r="AI8" i="45"/>
  <c r="AH8" i="45" s="1"/>
  <c r="AG8" i="45"/>
  <c r="AB8" i="45"/>
  <c r="Z8" i="45"/>
  <c r="W8" i="45"/>
  <c r="E8" i="2"/>
  <c r="E11" i="2"/>
  <c r="E5" i="2"/>
  <c r="B310" i="45" l="1"/>
  <c r="AC17" i="45"/>
  <c r="AC15" i="45"/>
  <c r="AC13" i="45"/>
  <c r="AC11" i="45"/>
  <c r="AC9" i="45"/>
  <c r="AC18" i="45"/>
  <c r="AC8" i="45"/>
  <c r="AC10" i="45"/>
  <c r="AC12" i="45"/>
  <c r="AC14" i="45"/>
  <c r="AC16" i="45"/>
  <c r="B300" i="45"/>
  <c r="B301" i="45"/>
  <c r="B302" i="45"/>
  <c r="B303" i="45"/>
  <c r="B304" i="45"/>
  <c r="B305" i="45"/>
  <c r="B306" i="45"/>
  <c r="B307" i="45"/>
  <c r="B308" i="45"/>
  <c r="B309" i="45"/>
  <c r="M15" i="3"/>
  <c r="K15" i="3"/>
  <c r="E7" i="2"/>
  <c r="E6" i="2"/>
  <c r="M8" i="3"/>
  <c r="R63" i="4" l="1"/>
  <c r="R71" i="4"/>
  <c r="R75" i="4"/>
  <c r="R21" i="4"/>
  <c r="R65" i="4"/>
  <c r="R44" i="4"/>
  <c r="R49" i="4"/>
  <c r="R47" i="4"/>
  <c r="R66" i="4"/>
  <c r="R29" i="4"/>
  <c r="R10" i="4"/>
  <c r="R11" i="4"/>
  <c r="R9" i="4"/>
  <c r="R15" i="4"/>
  <c r="R13" i="4"/>
  <c r="R33" i="4"/>
  <c r="R22" i="4"/>
  <c r="R36" i="4"/>
  <c r="R51" i="4"/>
  <c r="R17" i="4"/>
  <c r="R41" i="4"/>
  <c r="R12" i="4"/>
  <c r="R42" i="4"/>
  <c r="R28" i="4"/>
  <c r="R16" i="4"/>
  <c r="R23" i="4"/>
  <c r="R24" i="4"/>
  <c r="R52" i="4"/>
  <c r="R61" i="4"/>
  <c r="R69" i="4"/>
  <c r="R53" i="4"/>
  <c r="R62" i="4"/>
  <c r="R40" i="4"/>
  <c r="R54" i="4"/>
  <c r="R68" i="4"/>
  <c r="R78" i="4"/>
  <c r="R80" i="4"/>
  <c r="R82" i="4"/>
  <c r="R84" i="4"/>
  <c r="R86" i="4"/>
  <c r="R88" i="4"/>
  <c r="R89" i="4"/>
  <c r="R58" i="4"/>
  <c r="R92" i="4"/>
  <c r="R94" i="4"/>
  <c r="R95" i="4"/>
  <c r="R37" i="4"/>
  <c r="R97" i="4"/>
  <c r="R99" i="4"/>
  <c r="R101" i="4"/>
  <c r="R103" i="4"/>
  <c r="R32" i="4"/>
  <c r="R105" i="4"/>
  <c r="R106" i="4"/>
  <c r="R27" i="4"/>
  <c r="R108" i="4"/>
  <c r="R110" i="4"/>
  <c r="R112" i="4"/>
  <c r="R114" i="4"/>
  <c r="R8" i="4"/>
  <c r="R26" i="4"/>
  <c r="R20" i="4"/>
  <c r="R14" i="4"/>
  <c r="R35" i="4"/>
  <c r="R34" i="4"/>
  <c r="R50" i="4"/>
  <c r="R31" i="4"/>
  <c r="R55" i="4"/>
  <c r="R56" i="4"/>
  <c r="R25" i="4"/>
  <c r="R30" i="4"/>
  <c r="R18" i="4"/>
  <c r="R39" i="4"/>
  <c r="R67" i="4"/>
  <c r="R73" i="4"/>
  <c r="R43" i="4"/>
  <c r="R57" i="4"/>
  <c r="R38" i="4"/>
  <c r="R45" i="4"/>
  <c r="R59" i="4"/>
  <c r="R70" i="4"/>
  <c r="R46" i="4"/>
  <c r="R60" i="4"/>
  <c r="R72" i="4"/>
  <c r="R77" i="4"/>
  <c r="R79" i="4"/>
  <c r="R81" i="4"/>
  <c r="R83" i="4"/>
  <c r="R85" i="4"/>
  <c r="R87" i="4"/>
  <c r="R64" i="4"/>
  <c r="R90" i="4"/>
  <c r="R91" i="4"/>
  <c r="R93" i="4"/>
  <c r="R96" i="4"/>
  <c r="R76" i="4"/>
  <c r="R98" i="4"/>
  <c r="R100" i="4"/>
  <c r="R102" i="4"/>
  <c r="R104" i="4"/>
  <c r="R48" i="4"/>
  <c r="R74" i="4"/>
  <c r="R107" i="4"/>
  <c r="R19" i="4"/>
  <c r="R109" i="4"/>
  <c r="R111" i="4"/>
  <c r="R113" i="4"/>
  <c r="R115" i="4"/>
  <c r="W8" i="43"/>
  <c r="W9" i="43"/>
  <c r="Z9" i="43"/>
  <c r="AB9" i="43"/>
  <c r="AC9" i="43" s="1"/>
  <c r="W10" i="43"/>
  <c r="Z10" i="43"/>
  <c r="AB10" i="43"/>
  <c r="W11" i="43"/>
  <c r="Z11" i="43"/>
  <c r="AB11" i="43"/>
  <c r="W12" i="43"/>
  <c r="Z12" i="43"/>
  <c r="AB12" i="43"/>
  <c r="W13" i="43"/>
  <c r="Z13" i="43"/>
  <c r="AB13" i="43"/>
  <c r="AC13" i="43" s="1"/>
  <c r="W14" i="43"/>
  <c r="Z14" i="43"/>
  <c r="AB14" i="43"/>
  <c r="W15" i="43"/>
  <c r="Z15" i="43"/>
  <c r="AB15" i="43"/>
  <c r="AC15" i="43" s="1"/>
  <c r="W16" i="43"/>
  <c r="Z16" i="43"/>
  <c r="AB16" i="43"/>
  <c r="W17" i="43"/>
  <c r="Z17" i="43"/>
  <c r="AB17" i="43"/>
  <c r="AC17" i="43" s="1"/>
  <c r="W18" i="43"/>
  <c r="Z18" i="43"/>
  <c r="AB18" i="43"/>
  <c r="W19" i="43"/>
  <c r="Z19" i="43"/>
  <c r="AB19" i="43"/>
  <c r="AC19" i="43" s="1"/>
  <c r="W21" i="43"/>
  <c r="Z21" i="43"/>
  <c r="AB21" i="43"/>
  <c r="AC21" i="43" s="1"/>
  <c r="W22" i="43"/>
  <c r="Z22" i="43"/>
  <c r="AB22" i="43"/>
  <c r="AC22" i="43" s="1"/>
  <c r="W23" i="43"/>
  <c r="Z23" i="43"/>
  <c r="AB23" i="43"/>
  <c r="AC23" i="43" s="1"/>
  <c r="W24" i="43"/>
  <c r="Z24" i="43"/>
  <c r="AB24" i="43"/>
  <c r="W25" i="43"/>
  <c r="Z25" i="43"/>
  <c r="AB25" i="43"/>
  <c r="AC25" i="43" s="1"/>
  <c r="W26" i="43"/>
  <c r="Z26" i="43"/>
  <c r="AB26" i="43"/>
  <c r="W27" i="43"/>
  <c r="Z27" i="43"/>
  <c r="AB27" i="43"/>
  <c r="AC27" i="43" s="1"/>
  <c r="W28" i="43"/>
  <c r="Z28" i="43"/>
  <c r="AB28" i="43"/>
  <c r="W29" i="43"/>
  <c r="Z29" i="43"/>
  <c r="AB29" i="43"/>
  <c r="AC29" i="43" s="1"/>
  <c r="AB8" i="43"/>
  <c r="Z8" i="43"/>
  <c r="AC8" i="43" s="1"/>
  <c r="D16" i="4"/>
  <c r="C16" i="4" s="1"/>
  <c r="M16" i="4"/>
  <c r="AF29" i="43"/>
  <c r="AF26" i="43"/>
  <c r="AF27" i="43"/>
  <c r="AF28" i="43"/>
  <c r="A1" i="43"/>
  <c r="A4" i="43"/>
  <c r="A3" i="43"/>
  <c r="A2" i="43"/>
  <c r="B320" i="43" s="1"/>
  <c r="AF25" i="43"/>
  <c r="AF24" i="43"/>
  <c r="AF23" i="43"/>
  <c r="AF22" i="43"/>
  <c r="AF21" i="43"/>
  <c r="AF19" i="43"/>
  <c r="AF18" i="43"/>
  <c r="AF17" i="43"/>
  <c r="AF16" i="43"/>
  <c r="AF15" i="43"/>
  <c r="AF14" i="43"/>
  <c r="AF13" i="43"/>
  <c r="AF12" i="43"/>
  <c r="AF11" i="43"/>
  <c r="AF10" i="43"/>
  <c r="AF9" i="43"/>
  <c r="AF8" i="43"/>
  <c r="B317" i="43" l="1"/>
  <c r="B318" i="43"/>
  <c r="AC11" i="43"/>
  <c r="AC28" i="43"/>
  <c r="AC26" i="43"/>
  <c r="AC24" i="43"/>
  <c r="AC18" i="43"/>
  <c r="AC16" i="43"/>
  <c r="AC14" i="43"/>
  <c r="AC12" i="43"/>
  <c r="AC10" i="43"/>
  <c r="B321" i="43"/>
  <c r="B319" i="43"/>
  <c r="B300" i="43"/>
  <c r="B302" i="43"/>
  <c r="B304" i="43"/>
  <c r="B306" i="43"/>
  <c r="B308" i="43"/>
  <c r="B310" i="43"/>
  <c r="B312" i="43"/>
  <c r="B314" i="43"/>
  <c r="B316" i="43"/>
  <c r="B301" i="43"/>
  <c r="B303" i="43"/>
  <c r="B305" i="43"/>
  <c r="B307" i="43"/>
  <c r="B309" i="43"/>
  <c r="B311" i="43"/>
  <c r="B313" i="43"/>
  <c r="B315" i="43"/>
  <c r="AE9" i="42"/>
  <c r="AE10" i="42"/>
  <c r="AE11" i="42"/>
  <c r="AE12" i="42"/>
  <c r="AE13" i="42"/>
  <c r="AE14" i="42"/>
  <c r="AE15" i="42"/>
  <c r="AE16" i="42"/>
  <c r="AE17" i="42"/>
  <c r="AE18" i="42"/>
  <c r="AE19" i="42"/>
  <c r="AE20" i="42"/>
  <c r="AE21" i="42"/>
  <c r="AE22" i="42"/>
  <c r="AE23" i="42"/>
  <c r="AE24" i="42"/>
  <c r="AE25" i="42"/>
  <c r="AE8" i="42"/>
  <c r="Q71" i="4" l="1"/>
  <c r="Q75" i="4"/>
  <c r="Q63" i="4"/>
  <c r="Q21" i="4"/>
  <c r="Q49" i="4"/>
  <c r="Q47" i="4"/>
  <c r="Q66" i="4"/>
  <c r="Q65" i="4"/>
  <c r="Q44" i="4"/>
  <c r="Q29" i="4"/>
  <c r="Q8" i="4"/>
  <c r="Q43" i="4"/>
  <c r="Q61" i="4"/>
  <c r="Q45" i="4"/>
  <c r="Q52" i="4"/>
  <c r="Q57" i="4"/>
  <c r="Q38" i="4"/>
  <c r="Q69" i="4"/>
  <c r="Q53" i="4"/>
  <c r="Q59" i="4"/>
  <c r="Q62" i="4"/>
  <c r="Q70" i="4"/>
  <c r="Q40" i="4"/>
  <c r="Q46" i="4"/>
  <c r="Q54" i="4"/>
  <c r="Q60" i="4"/>
  <c r="Q72" i="4"/>
  <c r="Q68" i="4"/>
  <c r="Q77" i="4"/>
  <c r="Q78" i="4"/>
  <c r="Q79" i="4"/>
  <c r="Q80" i="4"/>
  <c r="Q81" i="4"/>
  <c r="Q82" i="4"/>
  <c r="Q83" i="4"/>
  <c r="Q10" i="4"/>
  <c r="Q20" i="4"/>
  <c r="Q35" i="4"/>
  <c r="Q26" i="4"/>
  <c r="Q15" i="4"/>
  <c r="Q14" i="4"/>
  <c r="Q50" i="4"/>
  <c r="Q51" i="4"/>
  <c r="Q31" i="4"/>
  <c r="Q56" i="4"/>
  <c r="Q42" i="4"/>
  <c r="Q30" i="4"/>
  <c r="Q39" i="4"/>
  <c r="Q25" i="4"/>
  <c r="Q17" i="4"/>
  <c r="Q23" i="4"/>
  <c r="Q84" i="4"/>
  <c r="Q86" i="4"/>
  <c r="Q88" i="4"/>
  <c r="Q89" i="4"/>
  <c r="Q90" i="4"/>
  <c r="Q91" i="4"/>
  <c r="Q93" i="4"/>
  <c r="Q96" i="4"/>
  <c r="Q76" i="4"/>
  <c r="Q98" i="4"/>
  <c r="Q100" i="4"/>
  <c r="Q101" i="4"/>
  <c r="Q103" i="4"/>
  <c r="Q16" i="4"/>
  <c r="Q48" i="4"/>
  <c r="Q74" i="4"/>
  <c r="Q107" i="4"/>
  <c r="Q19" i="4"/>
  <c r="Q109" i="4"/>
  <c r="Q111" i="4"/>
  <c r="Q113" i="4"/>
  <c r="Q115" i="4"/>
  <c r="Q11" i="4"/>
  <c r="Q9" i="4"/>
  <c r="Q34" i="4"/>
  <c r="Q22" i="4"/>
  <c r="Q36" i="4"/>
  <c r="Q33" i="4"/>
  <c r="Q55" i="4"/>
  <c r="Q41" i="4"/>
  <c r="Q12" i="4"/>
  <c r="Q28" i="4"/>
  <c r="Q67" i="4"/>
  <c r="Q18" i="4"/>
  <c r="Q85" i="4"/>
  <c r="Q87" i="4"/>
  <c r="Q64" i="4"/>
  <c r="Q73" i="4"/>
  <c r="Q58" i="4"/>
  <c r="Q92" i="4"/>
  <c r="Q94" i="4"/>
  <c r="Q95" i="4"/>
  <c r="Q37" i="4"/>
  <c r="Q97" i="4"/>
  <c r="Q99" i="4"/>
  <c r="Q24" i="4"/>
  <c r="Q102" i="4"/>
  <c r="Q104" i="4"/>
  <c r="Q32" i="4"/>
  <c r="Q105" i="4"/>
  <c r="Q106" i="4"/>
  <c r="Q27" i="4"/>
  <c r="Q108" i="4"/>
  <c r="Q110" i="4"/>
  <c r="Q112" i="4"/>
  <c r="Q114" i="4"/>
  <c r="Q13" i="4"/>
  <c r="AC75" i="4" l="1"/>
  <c r="AA75" i="4"/>
  <c r="AB75" i="4"/>
  <c r="I75" i="4" a="1"/>
  <c r="I75" i="4" s="1"/>
  <c r="J75" i="4"/>
  <c r="AB71" i="4"/>
  <c r="AC71" i="4"/>
  <c r="I71" i="4" a="1"/>
  <c r="I71" i="4" s="1"/>
  <c r="AA71" i="4"/>
  <c r="J71" i="4"/>
  <c r="AA63" i="4"/>
  <c r="AB63" i="4"/>
  <c r="AC63" i="4"/>
  <c r="I63" i="4" a="1"/>
  <c r="I63" i="4" s="1"/>
  <c r="J63" i="4"/>
  <c r="Y19" i="42"/>
  <c r="AA19" i="42"/>
  <c r="Y20" i="42"/>
  <c r="AA20" i="42"/>
  <c r="Y21" i="42"/>
  <c r="AA21" i="42"/>
  <c r="Y22" i="42"/>
  <c r="AA22" i="42"/>
  <c r="Y23" i="42"/>
  <c r="AA23" i="42"/>
  <c r="Y24" i="42"/>
  <c r="AA24" i="42"/>
  <c r="Y25" i="42"/>
  <c r="AA25" i="42"/>
  <c r="A1" i="42"/>
  <c r="A4" i="42"/>
  <c r="A3" i="42"/>
  <c r="A2" i="42"/>
  <c r="AA18" i="42"/>
  <c r="Y18" i="42"/>
  <c r="AA17" i="42"/>
  <c r="Y17" i="42"/>
  <c r="AA16" i="42"/>
  <c r="Y16" i="42"/>
  <c r="AA15" i="42"/>
  <c r="Y15" i="42"/>
  <c r="AA14" i="42"/>
  <c r="Y14" i="42"/>
  <c r="AA13" i="42"/>
  <c r="Y13" i="42"/>
  <c r="AA12" i="42"/>
  <c r="Y12" i="42"/>
  <c r="AA11" i="42"/>
  <c r="Y11" i="42"/>
  <c r="AA10" i="42"/>
  <c r="Y10" i="42"/>
  <c r="AA9" i="42"/>
  <c r="Y9" i="42"/>
  <c r="AA8" i="42"/>
  <c r="Y8" i="42"/>
  <c r="N71" i="4" l="1"/>
  <c r="K71" i="4"/>
  <c r="N75" i="4"/>
  <c r="K75" i="4"/>
  <c r="N63" i="4"/>
  <c r="K63" i="4"/>
  <c r="B311" i="42"/>
  <c r="B313" i="42"/>
  <c r="B315" i="42"/>
  <c r="B317" i="42"/>
  <c r="B314" i="42"/>
  <c r="B316" i="42"/>
  <c r="B312" i="42"/>
  <c r="B310" i="42"/>
  <c r="B300" i="42"/>
  <c r="M50" i="41" s="1"/>
  <c r="B301" i="42"/>
  <c r="B302" i="42"/>
  <c r="B303" i="42"/>
  <c r="B304" i="42"/>
  <c r="B305" i="42"/>
  <c r="B306" i="42"/>
  <c r="B307" i="42"/>
  <c r="B308" i="42"/>
  <c r="B309" i="42"/>
  <c r="D156" i="41"/>
  <c r="C156" i="41"/>
  <c r="AB50" i="41" l="1"/>
  <c r="AA50" i="41" s="1"/>
  <c r="S50" i="41"/>
  <c r="F50" i="41"/>
  <c r="G50" i="41" s="1"/>
  <c r="E50" i="41"/>
  <c r="T50" i="41"/>
  <c r="R50" i="41"/>
  <c r="M46" i="41"/>
  <c r="M10" i="41"/>
  <c r="M13" i="41"/>
  <c r="M17" i="41"/>
  <c r="M22" i="41"/>
  <c r="M18" i="41"/>
  <c r="M11" i="41"/>
  <c r="M16" i="41"/>
  <c r="M27" i="41"/>
  <c r="M28" i="41"/>
  <c r="M31" i="41"/>
  <c r="M29" i="41"/>
  <c r="M25" i="41"/>
  <c r="M40" i="41"/>
  <c r="M41" i="41"/>
  <c r="M37" i="41"/>
  <c r="M47" i="41"/>
  <c r="M48" i="41"/>
  <c r="M52" i="41"/>
  <c r="M54" i="41"/>
  <c r="M56" i="41"/>
  <c r="M58" i="41"/>
  <c r="M45" i="41"/>
  <c r="M61" i="41"/>
  <c r="M63" i="41"/>
  <c r="M65" i="41"/>
  <c r="M67" i="41"/>
  <c r="M69" i="41"/>
  <c r="M71" i="41"/>
  <c r="M73" i="41"/>
  <c r="M76" i="41"/>
  <c r="M78" i="41"/>
  <c r="M80" i="41"/>
  <c r="M82" i="41"/>
  <c r="M38" i="41"/>
  <c r="M85" i="41"/>
  <c r="M87" i="41"/>
  <c r="M88" i="41"/>
  <c r="M89" i="41"/>
  <c r="M91" i="41"/>
  <c r="M93" i="41"/>
  <c r="M95" i="41"/>
  <c r="M97" i="41"/>
  <c r="M99" i="41"/>
  <c r="M101" i="41"/>
  <c r="M103" i="41"/>
  <c r="M105" i="41"/>
  <c r="M107" i="41"/>
  <c r="M109" i="41"/>
  <c r="M111" i="41"/>
  <c r="M113" i="41"/>
  <c r="M115" i="41"/>
  <c r="M117" i="41"/>
  <c r="M119" i="41"/>
  <c r="M121" i="41"/>
  <c r="M123" i="41"/>
  <c r="M125" i="41"/>
  <c r="M9" i="41"/>
  <c r="M15" i="41"/>
  <c r="M24" i="41"/>
  <c r="M21" i="41"/>
  <c r="M12" i="41"/>
  <c r="M33" i="41"/>
  <c r="M39" i="41"/>
  <c r="M20" i="41"/>
  <c r="M32" i="41"/>
  <c r="M53" i="41"/>
  <c r="M57" i="41"/>
  <c r="M60" i="41"/>
  <c r="M64" i="41"/>
  <c r="M68" i="41"/>
  <c r="M72" i="41"/>
  <c r="M77" i="41"/>
  <c r="M81" i="41"/>
  <c r="M84" i="41"/>
  <c r="M42" i="41"/>
  <c r="M90" i="41"/>
  <c r="M94" i="41"/>
  <c r="M98" i="41"/>
  <c r="M102" i="41"/>
  <c r="M106" i="41"/>
  <c r="M110" i="41"/>
  <c r="M114" i="41"/>
  <c r="M118" i="41"/>
  <c r="M122" i="41"/>
  <c r="M126" i="41"/>
  <c r="M127" i="41"/>
  <c r="M129" i="41"/>
  <c r="M131" i="41"/>
  <c r="M133" i="41"/>
  <c r="M44" i="41"/>
  <c r="M136" i="41"/>
  <c r="M137" i="41"/>
  <c r="M139" i="41"/>
  <c r="M141" i="41"/>
  <c r="M143" i="41"/>
  <c r="M145" i="41"/>
  <c r="M19" i="41"/>
  <c r="M148" i="41"/>
  <c r="M150" i="41"/>
  <c r="M7" i="41"/>
  <c r="M8" i="41"/>
  <c r="M14" i="41"/>
  <c r="M23" i="41"/>
  <c r="M26" i="41"/>
  <c r="M30" i="41"/>
  <c r="M36" i="41"/>
  <c r="M34" i="41"/>
  <c r="M43" i="41"/>
  <c r="M49" i="41"/>
  <c r="M55" i="41"/>
  <c r="M59" i="41"/>
  <c r="M62" i="41"/>
  <c r="M66" i="41"/>
  <c r="M70" i="41"/>
  <c r="M75" i="41"/>
  <c r="M79" i="41"/>
  <c r="M83" i="41"/>
  <c r="M86" i="41"/>
  <c r="M35" i="41"/>
  <c r="M92" i="41"/>
  <c r="M96" i="41"/>
  <c r="M100" i="41"/>
  <c r="M104" i="41"/>
  <c r="M108" i="41"/>
  <c r="M112" i="41"/>
  <c r="M116" i="41"/>
  <c r="M120" i="41"/>
  <c r="M124" i="41"/>
  <c r="M128" i="41"/>
  <c r="M132" i="41"/>
  <c r="M135" i="41"/>
  <c r="M138" i="41"/>
  <c r="M142" i="41"/>
  <c r="M146" i="41"/>
  <c r="M149" i="41"/>
  <c r="M152" i="41"/>
  <c r="M154" i="41"/>
  <c r="M74" i="41"/>
  <c r="M130" i="41"/>
  <c r="M134" i="41"/>
  <c r="M51" i="41"/>
  <c r="M140" i="41"/>
  <c r="M144" i="41"/>
  <c r="M147" i="41"/>
  <c r="M151" i="41"/>
  <c r="M153" i="41"/>
  <c r="M155" i="41"/>
  <c r="Q4" i="41"/>
  <c r="P4" i="41"/>
  <c r="O4" i="41"/>
  <c r="N4" i="41"/>
  <c r="M4" i="41"/>
  <c r="Q6" i="41"/>
  <c r="P6" i="41"/>
  <c r="O6" i="41"/>
  <c r="N6" i="41"/>
  <c r="M6" i="41"/>
  <c r="J50" i="41" l="1"/>
  <c r="AF24" i="69"/>
  <c r="AD24" i="69" s="1"/>
  <c r="E144" i="41"/>
  <c r="S144" i="41"/>
  <c r="R144" i="41"/>
  <c r="T144" i="41"/>
  <c r="F144" i="41"/>
  <c r="G144" i="41" s="1"/>
  <c r="S130" i="41"/>
  <c r="R130" i="41"/>
  <c r="E130" i="41"/>
  <c r="T130" i="41"/>
  <c r="F130" i="41"/>
  <c r="F149" i="41"/>
  <c r="T149" i="41"/>
  <c r="R149" i="41"/>
  <c r="E149" i="41"/>
  <c r="S149" i="41"/>
  <c r="S142" i="41"/>
  <c r="T142" i="41"/>
  <c r="F142" i="41"/>
  <c r="E142" i="41"/>
  <c r="R142" i="41"/>
  <c r="S135" i="41"/>
  <c r="R135" i="41"/>
  <c r="F135" i="41"/>
  <c r="E135" i="41"/>
  <c r="T135" i="41"/>
  <c r="T128" i="41"/>
  <c r="F128" i="41"/>
  <c r="S128" i="41"/>
  <c r="E128" i="41"/>
  <c r="J128" i="41" s="1"/>
  <c r="R128" i="41"/>
  <c r="R120" i="41"/>
  <c r="S120" i="41"/>
  <c r="F120" i="41"/>
  <c r="E120" i="41"/>
  <c r="T120" i="41"/>
  <c r="R112" i="41"/>
  <c r="S112" i="41"/>
  <c r="E112" i="41"/>
  <c r="T112" i="41"/>
  <c r="F112" i="41"/>
  <c r="S104" i="41"/>
  <c r="E104" i="41"/>
  <c r="R104" i="41"/>
  <c r="T104" i="41"/>
  <c r="F104" i="41"/>
  <c r="S96" i="41"/>
  <c r="F96" i="41"/>
  <c r="T96" i="41"/>
  <c r="R96" i="41"/>
  <c r="E96" i="41"/>
  <c r="S35" i="41"/>
  <c r="F35" i="41"/>
  <c r="T35" i="41"/>
  <c r="R35" i="41"/>
  <c r="E35" i="41"/>
  <c r="AF17" i="69" s="1"/>
  <c r="AD17" i="69" s="1"/>
  <c r="F83" i="41"/>
  <c r="T83" i="41"/>
  <c r="S83" i="41"/>
  <c r="R83" i="41"/>
  <c r="E83" i="41"/>
  <c r="S75" i="41"/>
  <c r="E75" i="41"/>
  <c r="T75" i="41"/>
  <c r="F75" i="41"/>
  <c r="G75" i="41" s="1"/>
  <c r="R75" i="41"/>
  <c r="S66" i="41"/>
  <c r="E66" i="41"/>
  <c r="T66" i="41"/>
  <c r="F66" i="41"/>
  <c r="G66" i="41" s="1"/>
  <c r="R66" i="41"/>
  <c r="R59" i="41"/>
  <c r="E59" i="41"/>
  <c r="S59" i="41"/>
  <c r="F59" i="41"/>
  <c r="T59" i="41"/>
  <c r="S49" i="41"/>
  <c r="F49" i="41"/>
  <c r="E49" i="41"/>
  <c r="T49" i="41"/>
  <c r="R49" i="41"/>
  <c r="S34" i="41"/>
  <c r="F34" i="41"/>
  <c r="T34" i="41"/>
  <c r="R34" i="41"/>
  <c r="E34" i="41"/>
  <c r="AF25" i="69" s="1"/>
  <c r="AD25" i="69" s="1"/>
  <c r="S30" i="41"/>
  <c r="E30" i="41"/>
  <c r="R30" i="41"/>
  <c r="T30" i="41"/>
  <c r="F30" i="41"/>
  <c r="S23" i="41"/>
  <c r="F23" i="41"/>
  <c r="R23" i="41"/>
  <c r="E23" i="41"/>
  <c r="AF20" i="69" s="1"/>
  <c r="AD20" i="69" s="1"/>
  <c r="T23" i="41"/>
  <c r="R8" i="41"/>
  <c r="E8" i="41"/>
  <c r="AF12" i="69" s="1"/>
  <c r="AD12" i="69" s="1"/>
  <c r="F8" i="41"/>
  <c r="T8" i="41"/>
  <c r="S8" i="41"/>
  <c r="R150" i="41"/>
  <c r="E150" i="41"/>
  <c r="S150" i="41"/>
  <c r="F150" i="41"/>
  <c r="T150" i="41"/>
  <c r="F19" i="41"/>
  <c r="E19" i="41"/>
  <c r="AF15" i="69" s="1"/>
  <c r="AD15" i="69" s="1"/>
  <c r="T19" i="41"/>
  <c r="S19" i="41"/>
  <c r="R19" i="41"/>
  <c r="S143" i="41"/>
  <c r="F143" i="41"/>
  <c r="T143" i="41"/>
  <c r="E143" i="41"/>
  <c r="R143" i="41"/>
  <c r="F139" i="41"/>
  <c r="S139" i="41"/>
  <c r="R139" i="41"/>
  <c r="E139" i="41"/>
  <c r="T139" i="41"/>
  <c r="F136" i="41"/>
  <c r="S136" i="41"/>
  <c r="R136" i="41"/>
  <c r="E136" i="41"/>
  <c r="T136" i="41"/>
  <c r="S133" i="41"/>
  <c r="T133" i="41"/>
  <c r="F133" i="41"/>
  <c r="J133" i="41" s="1"/>
  <c r="E133" i="41"/>
  <c r="R133" i="41"/>
  <c r="F129" i="41"/>
  <c r="S129" i="41"/>
  <c r="T129" i="41"/>
  <c r="E129" i="41"/>
  <c r="R129" i="41"/>
  <c r="S126" i="41"/>
  <c r="T126" i="41"/>
  <c r="F126" i="41"/>
  <c r="E126" i="41"/>
  <c r="R126" i="41"/>
  <c r="E118" i="41"/>
  <c r="T118" i="41"/>
  <c r="S118" i="41"/>
  <c r="F118" i="41"/>
  <c r="R118" i="41"/>
  <c r="R110" i="41"/>
  <c r="S110" i="41"/>
  <c r="E110" i="41"/>
  <c r="T110" i="41"/>
  <c r="F110" i="41"/>
  <c r="S102" i="41"/>
  <c r="E102" i="41"/>
  <c r="R102" i="41"/>
  <c r="T102" i="41"/>
  <c r="F102" i="41"/>
  <c r="S94" i="41"/>
  <c r="R94" i="41"/>
  <c r="E94" i="41"/>
  <c r="F94" i="41"/>
  <c r="T94" i="41"/>
  <c r="S42" i="41"/>
  <c r="R42" i="41"/>
  <c r="E42" i="41"/>
  <c r="F42" i="41"/>
  <c r="T42" i="41"/>
  <c r="S81" i="41"/>
  <c r="R81" i="41"/>
  <c r="E81" i="41"/>
  <c r="F81" i="41"/>
  <c r="T81" i="41"/>
  <c r="E72" i="41"/>
  <c r="S72" i="41"/>
  <c r="T72" i="41"/>
  <c r="F72" i="41"/>
  <c r="R72" i="41"/>
  <c r="E64" i="41"/>
  <c r="S64" i="41"/>
  <c r="T64" i="41"/>
  <c r="F64" i="41"/>
  <c r="R64" i="41"/>
  <c r="R57" i="41"/>
  <c r="E57" i="41"/>
  <c r="F57" i="41"/>
  <c r="T57" i="41"/>
  <c r="S57" i="41"/>
  <c r="F32" i="41"/>
  <c r="T32" i="41"/>
  <c r="S32" i="41"/>
  <c r="R32" i="41"/>
  <c r="E32" i="41"/>
  <c r="AF16" i="69" s="1"/>
  <c r="AD16" i="69" s="1"/>
  <c r="F39" i="41"/>
  <c r="T39" i="41"/>
  <c r="S39" i="41"/>
  <c r="R39" i="41"/>
  <c r="E39" i="41"/>
  <c r="E12" i="41"/>
  <c r="AF9" i="69" s="1"/>
  <c r="AD9" i="69" s="1"/>
  <c r="S12" i="41"/>
  <c r="R12" i="41"/>
  <c r="T12" i="41"/>
  <c r="F12" i="41"/>
  <c r="J12" i="41" s="1"/>
  <c r="S24" i="41"/>
  <c r="E24" i="41"/>
  <c r="R24" i="41"/>
  <c r="F24" i="41"/>
  <c r="T24" i="41"/>
  <c r="E9" i="41"/>
  <c r="S9" i="41"/>
  <c r="T9" i="41"/>
  <c r="F9" i="41"/>
  <c r="R9" i="41"/>
  <c r="S123" i="41"/>
  <c r="T123" i="41"/>
  <c r="F123" i="41"/>
  <c r="E123" i="41"/>
  <c r="R123" i="41"/>
  <c r="E119" i="41"/>
  <c r="S119" i="41"/>
  <c r="R119" i="41"/>
  <c r="T119" i="41"/>
  <c r="F119" i="41"/>
  <c r="J119" i="41" s="1"/>
  <c r="E115" i="41"/>
  <c r="S115" i="41"/>
  <c r="T115" i="41"/>
  <c r="F115" i="41"/>
  <c r="R115" i="41"/>
  <c r="E111" i="41"/>
  <c r="S111" i="41"/>
  <c r="T111" i="41"/>
  <c r="F111" i="41"/>
  <c r="R111" i="41"/>
  <c r="E107" i="41"/>
  <c r="S107" i="41"/>
  <c r="T107" i="41"/>
  <c r="F107" i="41"/>
  <c r="R107" i="41"/>
  <c r="E103" i="41"/>
  <c r="S103" i="41"/>
  <c r="T103" i="41"/>
  <c r="F103" i="41"/>
  <c r="R103" i="41"/>
  <c r="E99" i="41"/>
  <c r="S99" i="41"/>
  <c r="T99" i="41"/>
  <c r="F99" i="41"/>
  <c r="R99" i="41"/>
  <c r="R95" i="41"/>
  <c r="E95" i="41"/>
  <c r="S95" i="41"/>
  <c r="F95" i="41"/>
  <c r="T95" i="41"/>
  <c r="R91" i="41"/>
  <c r="E91" i="41"/>
  <c r="S91" i="41"/>
  <c r="F91" i="41"/>
  <c r="T91" i="41"/>
  <c r="R88" i="41"/>
  <c r="E88" i="41"/>
  <c r="S88" i="41"/>
  <c r="F88" i="41"/>
  <c r="T88" i="41"/>
  <c r="R85" i="41"/>
  <c r="E85" i="41"/>
  <c r="S85" i="41"/>
  <c r="F85" i="41"/>
  <c r="T85" i="41"/>
  <c r="F82" i="41"/>
  <c r="T82" i="41"/>
  <c r="S82" i="41"/>
  <c r="R82" i="41"/>
  <c r="E82" i="41"/>
  <c r="F78" i="41"/>
  <c r="T78" i="41"/>
  <c r="S78" i="41"/>
  <c r="R78" i="41"/>
  <c r="E78" i="41"/>
  <c r="E73" i="41"/>
  <c r="S73" i="41"/>
  <c r="R73" i="41"/>
  <c r="T73" i="41"/>
  <c r="F73" i="41"/>
  <c r="E69" i="41"/>
  <c r="S69" i="41"/>
  <c r="R69" i="41"/>
  <c r="T69" i="41"/>
  <c r="F69" i="41"/>
  <c r="E65" i="41"/>
  <c r="S65" i="41"/>
  <c r="R65" i="41"/>
  <c r="T65" i="41"/>
  <c r="F65" i="41"/>
  <c r="S61" i="41"/>
  <c r="R61" i="41"/>
  <c r="E61" i="41"/>
  <c r="F61" i="41"/>
  <c r="T61" i="41"/>
  <c r="S58" i="41"/>
  <c r="R58" i="41"/>
  <c r="E58" i="41"/>
  <c r="F58" i="41"/>
  <c r="T58" i="41"/>
  <c r="R54" i="41"/>
  <c r="E54" i="41"/>
  <c r="S54" i="41"/>
  <c r="F54" i="41"/>
  <c r="T54" i="41"/>
  <c r="F48" i="41"/>
  <c r="S48" i="41"/>
  <c r="T48" i="41"/>
  <c r="E48" i="41"/>
  <c r="R48" i="41"/>
  <c r="S37" i="41"/>
  <c r="F37" i="41"/>
  <c r="T37" i="41"/>
  <c r="R37" i="41"/>
  <c r="E37" i="41"/>
  <c r="AF27" i="69" s="1"/>
  <c r="AD27" i="69" s="1"/>
  <c r="S40" i="41"/>
  <c r="F40" i="41"/>
  <c r="T40" i="41"/>
  <c r="R40" i="41"/>
  <c r="E40" i="41"/>
  <c r="S29" i="41"/>
  <c r="F29" i="41"/>
  <c r="T29" i="41"/>
  <c r="R29" i="41"/>
  <c r="E29" i="41"/>
  <c r="AF21" i="69" s="1"/>
  <c r="AD21" i="69" s="1"/>
  <c r="S28" i="41"/>
  <c r="E28" i="41"/>
  <c r="T28" i="41"/>
  <c r="F28" i="41"/>
  <c r="J28" i="41" s="1"/>
  <c r="R28" i="41"/>
  <c r="S16" i="41"/>
  <c r="R16" i="41"/>
  <c r="E16" i="41"/>
  <c r="AF10" i="69" s="1"/>
  <c r="AD10" i="69" s="1"/>
  <c r="F16" i="41"/>
  <c r="T16" i="41"/>
  <c r="S18" i="41"/>
  <c r="F18" i="41"/>
  <c r="E18" i="41"/>
  <c r="R18" i="41"/>
  <c r="T18" i="41"/>
  <c r="S17" i="41"/>
  <c r="F17" i="41"/>
  <c r="T17" i="41"/>
  <c r="R17" i="41"/>
  <c r="E17" i="41"/>
  <c r="S10" i="41"/>
  <c r="E10" i="41"/>
  <c r="AF19" i="69" s="1"/>
  <c r="AD19" i="69" s="1"/>
  <c r="R10" i="41"/>
  <c r="F10" i="41"/>
  <c r="T10" i="41"/>
  <c r="R155" i="41"/>
  <c r="E155" i="41"/>
  <c r="S155" i="41"/>
  <c r="F155" i="41"/>
  <c r="T155" i="41"/>
  <c r="F151" i="41"/>
  <c r="T151" i="41"/>
  <c r="S151" i="41"/>
  <c r="R151" i="41"/>
  <c r="E151" i="41"/>
  <c r="E51" i="41"/>
  <c r="AF26" i="69" s="1"/>
  <c r="AD26" i="69" s="1"/>
  <c r="R51" i="41"/>
  <c r="S51" i="41"/>
  <c r="F51" i="41"/>
  <c r="T51" i="41"/>
  <c r="S154" i="41"/>
  <c r="R154" i="41"/>
  <c r="E154" i="41"/>
  <c r="F154" i="41"/>
  <c r="T154" i="41"/>
  <c r="R153" i="41"/>
  <c r="E153" i="41"/>
  <c r="F153" i="41"/>
  <c r="T153" i="41"/>
  <c r="S153" i="41"/>
  <c r="E147" i="41"/>
  <c r="R147" i="41"/>
  <c r="S147" i="41"/>
  <c r="T147" i="41"/>
  <c r="F147" i="41"/>
  <c r="J147" i="41" s="1"/>
  <c r="S140" i="41"/>
  <c r="T140" i="41"/>
  <c r="F140" i="41"/>
  <c r="E140" i="41"/>
  <c r="R140" i="41"/>
  <c r="F134" i="41"/>
  <c r="S134" i="41"/>
  <c r="E134" i="41"/>
  <c r="T134" i="41"/>
  <c r="R134" i="41"/>
  <c r="S74" i="41"/>
  <c r="E74" i="41"/>
  <c r="R74" i="41"/>
  <c r="T74" i="41"/>
  <c r="F74" i="41"/>
  <c r="F152" i="41"/>
  <c r="T152" i="41"/>
  <c r="S152" i="41"/>
  <c r="R152" i="41"/>
  <c r="E152" i="41"/>
  <c r="E146" i="41"/>
  <c r="T146" i="41"/>
  <c r="F146" i="41"/>
  <c r="G146" i="41" s="1"/>
  <c r="S146" i="41"/>
  <c r="R146" i="41"/>
  <c r="E138" i="41"/>
  <c r="R138" i="41"/>
  <c r="S138" i="41"/>
  <c r="F138" i="41"/>
  <c r="T138" i="41"/>
  <c r="S132" i="41"/>
  <c r="R132" i="41"/>
  <c r="F132" i="41"/>
  <c r="E132" i="41"/>
  <c r="T132" i="41"/>
  <c r="F124" i="41"/>
  <c r="S124" i="41"/>
  <c r="E124" i="41"/>
  <c r="T124" i="41"/>
  <c r="R124" i="41"/>
  <c r="S116" i="41"/>
  <c r="R116" i="41"/>
  <c r="E116" i="41"/>
  <c r="T116" i="41"/>
  <c r="F116" i="41"/>
  <c r="S108" i="41"/>
  <c r="R108" i="41"/>
  <c r="E108" i="41"/>
  <c r="F108" i="41"/>
  <c r="T108" i="41"/>
  <c r="S100" i="41"/>
  <c r="E100" i="41"/>
  <c r="R100" i="41"/>
  <c r="T100" i="41"/>
  <c r="F100" i="41"/>
  <c r="S92" i="41"/>
  <c r="F92" i="41"/>
  <c r="T92" i="41"/>
  <c r="R92" i="41"/>
  <c r="E92" i="41"/>
  <c r="S86" i="41"/>
  <c r="F86" i="41"/>
  <c r="T86" i="41"/>
  <c r="R86" i="41"/>
  <c r="E86" i="41"/>
  <c r="F79" i="41"/>
  <c r="T79" i="41"/>
  <c r="S79" i="41"/>
  <c r="R79" i="41"/>
  <c r="E79" i="41"/>
  <c r="S70" i="41"/>
  <c r="E70" i="41"/>
  <c r="T70" i="41"/>
  <c r="F70" i="41"/>
  <c r="G70" i="41" s="1"/>
  <c r="R70" i="41"/>
  <c r="R62" i="41"/>
  <c r="E62" i="41"/>
  <c r="S62" i="41"/>
  <c r="F62" i="41"/>
  <c r="T62" i="41"/>
  <c r="R55" i="41"/>
  <c r="E55" i="41"/>
  <c r="S55" i="41"/>
  <c r="F55" i="41"/>
  <c r="T55" i="41"/>
  <c r="F43" i="41"/>
  <c r="T43" i="41"/>
  <c r="R43" i="41"/>
  <c r="E43" i="41"/>
  <c r="S43" i="41"/>
  <c r="F36" i="41"/>
  <c r="T36" i="41"/>
  <c r="R36" i="41"/>
  <c r="E36" i="41"/>
  <c r="S36" i="41"/>
  <c r="F26" i="41"/>
  <c r="T26" i="41"/>
  <c r="R26" i="41"/>
  <c r="E26" i="41"/>
  <c r="S26" i="41"/>
  <c r="F14" i="41"/>
  <c r="T14" i="41"/>
  <c r="R14" i="41"/>
  <c r="E14" i="41"/>
  <c r="S14" i="41"/>
  <c r="E7" i="41"/>
  <c r="AF11" i="69" s="1"/>
  <c r="AD11" i="69" s="1"/>
  <c r="R7" i="41"/>
  <c r="T7" i="41"/>
  <c r="F7" i="41"/>
  <c r="S7" i="41"/>
  <c r="F148" i="41"/>
  <c r="T148" i="41"/>
  <c r="S148" i="41"/>
  <c r="R148" i="41"/>
  <c r="E148" i="41"/>
  <c r="R145" i="41"/>
  <c r="F145" i="41"/>
  <c r="S145" i="41"/>
  <c r="E145" i="41"/>
  <c r="T145" i="41"/>
  <c r="S141" i="41"/>
  <c r="E141" i="41"/>
  <c r="T141" i="41"/>
  <c r="F141" i="41"/>
  <c r="R141" i="41"/>
  <c r="S137" i="41"/>
  <c r="R137" i="41"/>
  <c r="F137" i="41"/>
  <c r="E137" i="41"/>
  <c r="T137" i="41"/>
  <c r="S44" i="41"/>
  <c r="R44" i="41"/>
  <c r="E44" i="41"/>
  <c r="AF22" i="69" s="1"/>
  <c r="AD22" i="69" s="1"/>
  <c r="T44" i="41"/>
  <c r="F44" i="41"/>
  <c r="E131" i="41"/>
  <c r="R131" i="41"/>
  <c r="S131" i="41"/>
  <c r="F131" i="41"/>
  <c r="T131" i="41"/>
  <c r="S127" i="41"/>
  <c r="R127" i="41"/>
  <c r="E127" i="41"/>
  <c r="T127" i="41"/>
  <c r="F127" i="41"/>
  <c r="J127" i="41" s="1"/>
  <c r="S122" i="41"/>
  <c r="R122" i="41"/>
  <c r="E122" i="41"/>
  <c r="T122" i="41"/>
  <c r="F122" i="41"/>
  <c r="G122" i="41" s="1"/>
  <c r="S114" i="41"/>
  <c r="R114" i="41"/>
  <c r="E114" i="41"/>
  <c r="T114" i="41"/>
  <c r="F114" i="41"/>
  <c r="S106" i="41"/>
  <c r="R106" i="41"/>
  <c r="E106" i="41"/>
  <c r="T106" i="41"/>
  <c r="F106" i="41"/>
  <c r="S98" i="41"/>
  <c r="E98" i="41"/>
  <c r="R98" i="41"/>
  <c r="T98" i="41"/>
  <c r="F98" i="41"/>
  <c r="S90" i="41"/>
  <c r="R90" i="41"/>
  <c r="E90" i="41"/>
  <c r="F90" i="41"/>
  <c r="T90" i="41"/>
  <c r="S84" i="41"/>
  <c r="R84" i="41"/>
  <c r="E84" i="41"/>
  <c r="F84" i="41"/>
  <c r="T84" i="41"/>
  <c r="S77" i="41"/>
  <c r="R77" i="41"/>
  <c r="E77" i="41"/>
  <c r="F77" i="41"/>
  <c r="T77" i="41"/>
  <c r="S68" i="41"/>
  <c r="E68" i="41"/>
  <c r="T68" i="41"/>
  <c r="F68" i="41"/>
  <c r="R68" i="41"/>
  <c r="R60" i="41"/>
  <c r="E60" i="41"/>
  <c r="F60" i="41"/>
  <c r="T60" i="41"/>
  <c r="S60" i="41"/>
  <c r="F53" i="41"/>
  <c r="T53" i="41"/>
  <c r="R53" i="41"/>
  <c r="E53" i="41"/>
  <c r="S53" i="41"/>
  <c r="S20" i="41"/>
  <c r="F20" i="41"/>
  <c r="T20" i="41"/>
  <c r="R20" i="41"/>
  <c r="E20" i="41"/>
  <c r="AF8" i="69" s="1"/>
  <c r="AD8" i="69" s="1"/>
  <c r="F33" i="41"/>
  <c r="T33" i="41"/>
  <c r="S33" i="41"/>
  <c r="R33" i="41"/>
  <c r="E33" i="41"/>
  <c r="S21" i="41"/>
  <c r="F21" i="41"/>
  <c r="T21" i="41"/>
  <c r="R21" i="41"/>
  <c r="E21" i="41"/>
  <c r="R15" i="41"/>
  <c r="E15" i="41"/>
  <c r="S15" i="41"/>
  <c r="F15" i="41"/>
  <c r="T15" i="41"/>
  <c r="S125" i="41"/>
  <c r="R125" i="41"/>
  <c r="E125" i="41"/>
  <c r="T125" i="41"/>
  <c r="F125" i="41"/>
  <c r="S121" i="41"/>
  <c r="T121" i="41"/>
  <c r="F121" i="41"/>
  <c r="E121" i="41"/>
  <c r="R121" i="41"/>
  <c r="S117" i="41"/>
  <c r="T117" i="41"/>
  <c r="F117" i="41"/>
  <c r="E117" i="41"/>
  <c r="R117" i="41"/>
  <c r="S113" i="41"/>
  <c r="T113" i="41"/>
  <c r="F113" i="41"/>
  <c r="E113" i="41"/>
  <c r="R113" i="41"/>
  <c r="S109" i="41"/>
  <c r="T109" i="41"/>
  <c r="F109" i="41"/>
  <c r="E109" i="41"/>
  <c r="R109" i="41"/>
  <c r="S105" i="41"/>
  <c r="E105" i="41"/>
  <c r="T105" i="41"/>
  <c r="F105" i="41"/>
  <c r="R105" i="41"/>
  <c r="S101" i="41"/>
  <c r="E101" i="41"/>
  <c r="T101" i="41"/>
  <c r="F101" i="41"/>
  <c r="R101" i="41"/>
  <c r="T97" i="41"/>
  <c r="E97" i="41"/>
  <c r="R97" i="41"/>
  <c r="S97" i="41"/>
  <c r="F97" i="41"/>
  <c r="R93" i="41"/>
  <c r="E93" i="41"/>
  <c r="F93" i="41"/>
  <c r="T93" i="41"/>
  <c r="S93" i="41"/>
  <c r="R89" i="41"/>
  <c r="E89" i="41"/>
  <c r="F89" i="41"/>
  <c r="T89" i="41"/>
  <c r="S89" i="41"/>
  <c r="R87" i="41"/>
  <c r="E87" i="41"/>
  <c r="F87" i="41"/>
  <c r="T87" i="41"/>
  <c r="S87" i="41"/>
  <c r="R38" i="41"/>
  <c r="E38" i="41"/>
  <c r="F38" i="41"/>
  <c r="T38" i="41"/>
  <c r="S38" i="41"/>
  <c r="R80" i="41"/>
  <c r="E80" i="41"/>
  <c r="F80" i="41"/>
  <c r="T80" i="41"/>
  <c r="S80" i="41"/>
  <c r="E76" i="41"/>
  <c r="R76" i="41"/>
  <c r="F76" i="41"/>
  <c r="T76" i="41"/>
  <c r="S76" i="41"/>
  <c r="S71" i="41"/>
  <c r="E71" i="41"/>
  <c r="R71" i="41"/>
  <c r="T71" i="41"/>
  <c r="F71" i="41"/>
  <c r="S67" i="41"/>
  <c r="E67" i="41"/>
  <c r="R67" i="41"/>
  <c r="T67" i="41"/>
  <c r="F67" i="41"/>
  <c r="S63" i="41"/>
  <c r="F63" i="41"/>
  <c r="T63" i="41"/>
  <c r="R63" i="41"/>
  <c r="E63" i="41"/>
  <c r="S45" i="41"/>
  <c r="F45" i="41"/>
  <c r="T45" i="41"/>
  <c r="R45" i="41"/>
  <c r="E45" i="41"/>
  <c r="AF23" i="69" s="1"/>
  <c r="AD23" i="69" s="1"/>
  <c r="S56" i="41"/>
  <c r="F56" i="41"/>
  <c r="T56" i="41"/>
  <c r="R56" i="41"/>
  <c r="E56" i="41"/>
  <c r="S52" i="41"/>
  <c r="F52" i="41"/>
  <c r="T52" i="41"/>
  <c r="R52" i="41"/>
  <c r="E52" i="41"/>
  <c r="S47" i="41"/>
  <c r="R47" i="41"/>
  <c r="E47" i="41"/>
  <c r="F47" i="41"/>
  <c r="T47" i="41"/>
  <c r="S41" i="41"/>
  <c r="F41" i="41"/>
  <c r="T41" i="41"/>
  <c r="R41" i="41"/>
  <c r="E41" i="41"/>
  <c r="S25" i="41"/>
  <c r="R25" i="41"/>
  <c r="E25" i="41"/>
  <c r="F25" i="41"/>
  <c r="T25" i="41"/>
  <c r="S31" i="41"/>
  <c r="F31" i="41"/>
  <c r="T31" i="41"/>
  <c r="E31" i="41"/>
  <c r="R31" i="41"/>
  <c r="S27" i="41"/>
  <c r="R27" i="41"/>
  <c r="E27" i="41"/>
  <c r="F27" i="41"/>
  <c r="T27" i="41"/>
  <c r="S11" i="41"/>
  <c r="R11" i="41"/>
  <c r="E11" i="41"/>
  <c r="AF14" i="69" s="1"/>
  <c r="AD14" i="69" s="1"/>
  <c r="F11" i="41"/>
  <c r="T11" i="41"/>
  <c r="R22" i="41"/>
  <c r="E22" i="41"/>
  <c r="S22" i="41"/>
  <c r="F22" i="41"/>
  <c r="T22" i="41"/>
  <c r="S13" i="41"/>
  <c r="R13" i="41"/>
  <c r="E13" i="41"/>
  <c r="AF18" i="69" s="1"/>
  <c r="AD18" i="69" s="1"/>
  <c r="F13" i="41"/>
  <c r="T13" i="41"/>
  <c r="R46" i="41"/>
  <c r="E46" i="41"/>
  <c r="T46" i="41"/>
  <c r="F46" i="41"/>
  <c r="G46" i="41" s="1"/>
  <c r="S46" i="41"/>
  <c r="AB46" i="41"/>
  <c r="AB96" i="41"/>
  <c r="AB97" i="41"/>
  <c r="AB155" i="41"/>
  <c r="AB149" i="41"/>
  <c r="AB154" i="41"/>
  <c r="AB152" i="41"/>
  <c r="AB150" i="41"/>
  <c r="AB148" i="41"/>
  <c r="AB146" i="41"/>
  <c r="AB145" i="41"/>
  <c r="AB142" i="41"/>
  <c r="AB140" i="41"/>
  <c r="AB139" i="41"/>
  <c r="AB137" i="41"/>
  <c r="AB136" i="41"/>
  <c r="AB44" i="41"/>
  <c r="AB134" i="41"/>
  <c r="AB131" i="41"/>
  <c r="AB130" i="41"/>
  <c r="AB129" i="41"/>
  <c r="AB125" i="41"/>
  <c r="AB124" i="41"/>
  <c r="AB121" i="41"/>
  <c r="AB120" i="41"/>
  <c r="AB117" i="41"/>
  <c r="AB116" i="41"/>
  <c r="AB115" i="41"/>
  <c r="AB114" i="41"/>
  <c r="AB113" i="41"/>
  <c r="AB112" i="41"/>
  <c r="AB111" i="41"/>
  <c r="AB110" i="41"/>
  <c r="AB109" i="41"/>
  <c r="AB108" i="41"/>
  <c r="AB107" i="41"/>
  <c r="AB106" i="41"/>
  <c r="AB105" i="41"/>
  <c r="AB104" i="41"/>
  <c r="AB103" i="41"/>
  <c r="AB102" i="41"/>
  <c r="AB101" i="41"/>
  <c r="AB100" i="41"/>
  <c r="AB99" i="41"/>
  <c r="AB98" i="41"/>
  <c r="AB95" i="41"/>
  <c r="AB91" i="41"/>
  <c r="AB88" i="41"/>
  <c r="AB85" i="41"/>
  <c r="AB75" i="41"/>
  <c r="AB73" i="41"/>
  <c r="AB72" i="41"/>
  <c r="AB71" i="41"/>
  <c r="AB70" i="41"/>
  <c r="AB69" i="41"/>
  <c r="AB68" i="41"/>
  <c r="AB67" i="41"/>
  <c r="AB66" i="41"/>
  <c r="AB65" i="41"/>
  <c r="AB64" i="41"/>
  <c r="AB60" i="41"/>
  <c r="AB57" i="41"/>
  <c r="AB63" i="41"/>
  <c r="AB61" i="41"/>
  <c r="AB45" i="41"/>
  <c r="AB58" i="41"/>
  <c r="AB56" i="41"/>
  <c r="AB54" i="41"/>
  <c r="AB52" i="41"/>
  <c r="AB43" i="41"/>
  <c r="AB34" i="41"/>
  <c r="AB36" i="41"/>
  <c r="AB48" i="41"/>
  <c r="AB41" i="41"/>
  <c r="AB31" i="41"/>
  <c r="AB21" i="41"/>
  <c r="AB16" i="41"/>
  <c r="AB8" i="41"/>
  <c r="AB23" i="41"/>
  <c r="AB24" i="41"/>
  <c r="AB22" i="41"/>
  <c r="AB17" i="41"/>
  <c r="AB13" i="41"/>
  <c r="AB9" i="41"/>
  <c r="AB7" i="41"/>
  <c r="AB39" i="41"/>
  <c r="AB40" i="41"/>
  <c r="AB25" i="41"/>
  <c r="AB29" i="41"/>
  <c r="AB11" i="41"/>
  <c r="AB10" i="41"/>
  <c r="AB74" i="41"/>
  <c r="AB153" i="41"/>
  <c r="AB151" i="41"/>
  <c r="AB147" i="41"/>
  <c r="AB19" i="41"/>
  <c r="AB144" i="41"/>
  <c r="AB143" i="41"/>
  <c r="AB141" i="41"/>
  <c r="AB138" i="41"/>
  <c r="AB51" i="41"/>
  <c r="AB135" i="41"/>
  <c r="AB133" i="41"/>
  <c r="AB132" i="41"/>
  <c r="AB128" i="41"/>
  <c r="AB127" i="41"/>
  <c r="AB126" i="41"/>
  <c r="AB123" i="41"/>
  <c r="AB122" i="41"/>
  <c r="AB119" i="41"/>
  <c r="AB118" i="41"/>
  <c r="AB93" i="41"/>
  <c r="AB89" i="41"/>
  <c r="AB87" i="41"/>
  <c r="AB38" i="41"/>
  <c r="AB82" i="41"/>
  <c r="AB80" i="41"/>
  <c r="AB78" i="41"/>
  <c r="AB76" i="41"/>
  <c r="AB94" i="41"/>
  <c r="AB92" i="41"/>
  <c r="AB90" i="41"/>
  <c r="AB35" i="41"/>
  <c r="AB42" i="41"/>
  <c r="AB86" i="41"/>
  <c r="AB84" i="41"/>
  <c r="AB83" i="41"/>
  <c r="AB81" i="41"/>
  <c r="AB79" i="41"/>
  <c r="AB77" i="41"/>
  <c r="AB62" i="41"/>
  <c r="AB59" i="41"/>
  <c r="AB55" i="41"/>
  <c r="AB53" i="41"/>
  <c r="AB32" i="41"/>
  <c r="AB20" i="41"/>
  <c r="AB33" i="41"/>
  <c r="AB49" i="41"/>
  <c r="AB47" i="41"/>
  <c r="AB37" i="41"/>
  <c r="AB30" i="41"/>
  <c r="AB28" i="41"/>
  <c r="AB12" i="41"/>
  <c r="AB27" i="41"/>
  <c r="AB26" i="41"/>
  <c r="AB14" i="41"/>
  <c r="AB15" i="41"/>
  <c r="AB18" i="41"/>
  <c r="AD46" i="41"/>
  <c r="AD96" i="41"/>
  <c r="AD146" i="41"/>
  <c r="AD144" i="41"/>
  <c r="AD74" i="41"/>
  <c r="AD151" i="41"/>
  <c r="AD147" i="41"/>
  <c r="AD19" i="41"/>
  <c r="AD143" i="41"/>
  <c r="AD137" i="41"/>
  <c r="AD51" i="41"/>
  <c r="AD134" i="41"/>
  <c r="AD133" i="41"/>
  <c r="AD128" i="41"/>
  <c r="AD124" i="41"/>
  <c r="AD122" i="41"/>
  <c r="AD115" i="41"/>
  <c r="AD114" i="41"/>
  <c r="AD107" i="41"/>
  <c r="AD106" i="41"/>
  <c r="AD99" i="41"/>
  <c r="AD98" i="41"/>
  <c r="AD94" i="41"/>
  <c r="AD87" i="41"/>
  <c r="AD154" i="41"/>
  <c r="AD139" i="41"/>
  <c r="AD138" i="41"/>
  <c r="AD136" i="41"/>
  <c r="AD135" i="41"/>
  <c r="AD44" i="41"/>
  <c r="AD132" i="41"/>
  <c r="AD131" i="41"/>
  <c r="AD129" i="41"/>
  <c r="AD123" i="41"/>
  <c r="AD120" i="41"/>
  <c r="AD113" i="41"/>
  <c r="AD112" i="41"/>
  <c r="AD105" i="41"/>
  <c r="AD104" i="41"/>
  <c r="AD95" i="41"/>
  <c r="AD92" i="41"/>
  <c r="AD85" i="41"/>
  <c r="AD91" i="41"/>
  <c r="AD42" i="41"/>
  <c r="AD84" i="41"/>
  <c r="AD81" i="41"/>
  <c r="AD77" i="41"/>
  <c r="AD69" i="41"/>
  <c r="AD68" i="41"/>
  <c r="AD62" i="41"/>
  <c r="AD59" i="41"/>
  <c r="AD54" i="41"/>
  <c r="AD78" i="41"/>
  <c r="AD71" i="41"/>
  <c r="AD70" i="41"/>
  <c r="AD152" i="41"/>
  <c r="AD153" i="41"/>
  <c r="AD149" i="41"/>
  <c r="AD145" i="41"/>
  <c r="AD141" i="41"/>
  <c r="AD140" i="41"/>
  <c r="AD130" i="41"/>
  <c r="AD126" i="41"/>
  <c r="AD119" i="41"/>
  <c r="AD118" i="41"/>
  <c r="AD111" i="41"/>
  <c r="AD110" i="41"/>
  <c r="AD103" i="41"/>
  <c r="AD102" i="41"/>
  <c r="AD90" i="41"/>
  <c r="AD38" i="41"/>
  <c r="AD155" i="41"/>
  <c r="AD150" i="41"/>
  <c r="AD148" i="41"/>
  <c r="AD142" i="41"/>
  <c r="AD127" i="41"/>
  <c r="AD117" i="41"/>
  <c r="AD116" i="41"/>
  <c r="AD109" i="41"/>
  <c r="AD108" i="41"/>
  <c r="AD101" i="41"/>
  <c r="AD100" i="41"/>
  <c r="AD97" i="41"/>
  <c r="AD88" i="41"/>
  <c r="AD82" i="41"/>
  <c r="AD93" i="41"/>
  <c r="AD89" i="41"/>
  <c r="AD35" i="41"/>
  <c r="AD86" i="41"/>
  <c r="AD83" i="41"/>
  <c r="AD79" i="41"/>
  <c r="AD73" i="41"/>
  <c r="AD72" i="41"/>
  <c r="AD65" i="41"/>
  <c r="AD64" i="41"/>
  <c r="AD60" i="41"/>
  <c r="AD57" i="41"/>
  <c r="AD80" i="41"/>
  <c r="AD76" i="41"/>
  <c r="AD75" i="41"/>
  <c r="AD66" i="41"/>
  <c r="AD63" i="41"/>
  <c r="AD45" i="41"/>
  <c r="AD56" i="41"/>
  <c r="AD48" i="41"/>
  <c r="AD20" i="41"/>
  <c r="AD39" i="41"/>
  <c r="AD33" i="41"/>
  <c r="AD27" i="41"/>
  <c r="AD16" i="41"/>
  <c r="AD21" i="41"/>
  <c r="AD24" i="41"/>
  <c r="AD15" i="41"/>
  <c r="AD9" i="41"/>
  <c r="AD7" i="41"/>
  <c r="AD55" i="41"/>
  <c r="AD49" i="41"/>
  <c r="AD32" i="41"/>
  <c r="AD47" i="41"/>
  <c r="AD43" i="41"/>
  <c r="AD25" i="41"/>
  <c r="AD31" i="41"/>
  <c r="AD30" i="41"/>
  <c r="AD26" i="41"/>
  <c r="AD17" i="41"/>
  <c r="AD10" i="41"/>
  <c r="AD67" i="41"/>
  <c r="AD61" i="41"/>
  <c r="AD58" i="41"/>
  <c r="AD52" i="41"/>
  <c r="AD37" i="41"/>
  <c r="AD34" i="41"/>
  <c r="AD36" i="41"/>
  <c r="AD28" i="41"/>
  <c r="AD23" i="41"/>
  <c r="AD14" i="41"/>
  <c r="AD8" i="41"/>
  <c r="AD53" i="41"/>
  <c r="AD41" i="41"/>
  <c r="AD40" i="41"/>
  <c r="AD29" i="41"/>
  <c r="AD12" i="41"/>
  <c r="AD11" i="41"/>
  <c r="AD18" i="41"/>
  <c r="AD22" i="41"/>
  <c r="AD13" i="41"/>
  <c r="AD125" i="41"/>
  <c r="AD121" i="41"/>
  <c r="AF46" i="41"/>
  <c r="AF96" i="41"/>
  <c r="AF97" i="41"/>
  <c r="AF155" i="41"/>
  <c r="AF152" i="41"/>
  <c r="AF153" i="41"/>
  <c r="AF149" i="41"/>
  <c r="AF145" i="41"/>
  <c r="AF141" i="41"/>
  <c r="AF140" i="41"/>
  <c r="AF126" i="41"/>
  <c r="AF119" i="41"/>
  <c r="AF118" i="41"/>
  <c r="AF111" i="41"/>
  <c r="AF110" i="41"/>
  <c r="AF103" i="41"/>
  <c r="AF102" i="41"/>
  <c r="AF90" i="41"/>
  <c r="AF38" i="41"/>
  <c r="AF150" i="41"/>
  <c r="AF144" i="41"/>
  <c r="AF142" i="41"/>
  <c r="AF127" i="41"/>
  <c r="AF121" i="41"/>
  <c r="AF117" i="41"/>
  <c r="AF116" i="41"/>
  <c r="AF109" i="41"/>
  <c r="AF108" i="41"/>
  <c r="AF101" i="41"/>
  <c r="AF100" i="41"/>
  <c r="AF93" i="41"/>
  <c r="AF88" i="41"/>
  <c r="AF82" i="41"/>
  <c r="AF89" i="41"/>
  <c r="AF35" i="41"/>
  <c r="AF86" i="41"/>
  <c r="AF83" i="41"/>
  <c r="AF79" i="41"/>
  <c r="AF73" i="41"/>
  <c r="AF72" i="41"/>
  <c r="AF65" i="41"/>
  <c r="AF64" i="41"/>
  <c r="AF60" i="41"/>
  <c r="AF57" i="41"/>
  <c r="AF80" i="41"/>
  <c r="AF76" i="41"/>
  <c r="AF75" i="41"/>
  <c r="AF67" i="41"/>
  <c r="AF66" i="41"/>
  <c r="AF154" i="41"/>
  <c r="AF148" i="41"/>
  <c r="AF146" i="41"/>
  <c r="AF74" i="41"/>
  <c r="AF151" i="41"/>
  <c r="AF147" i="41"/>
  <c r="AF19" i="41"/>
  <c r="AF143" i="41"/>
  <c r="AF137" i="41"/>
  <c r="AF51" i="41"/>
  <c r="AF134" i="41"/>
  <c r="AF133" i="41"/>
  <c r="AF128" i="41"/>
  <c r="AF124" i="41"/>
  <c r="AF122" i="41"/>
  <c r="AF115" i="41"/>
  <c r="AF114" i="41"/>
  <c r="AF107" i="41"/>
  <c r="AF106" i="41"/>
  <c r="AF99" i="41"/>
  <c r="AF98" i="41"/>
  <c r="AF94" i="41"/>
  <c r="AF87" i="41"/>
  <c r="AF139" i="41"/>
  <c r="AF138" i="41"/>
  <c r="AF136" i="41"/>
  <c r="AF135" i="41"/>
  <c r="AF44" i="41"/>
  <c r="AF132" i="41"/>
  <c r="AF131" i="41"/>
  <c r="AF129" i="41"/>
  <c r="AF125" i="41"/>
  <c r="AF123" i="41"/>
  <c r="AF120" i="41"/>
  <c r="AF113" i="41"/>
  <c r="AF112" i="41"/>
  <c r="AF105" i="41"/>
  <c r="AF104" i="41"/>
  <c r="AF95" i="41"/>
  <c r="AF92" i="41"/>
  <c r="AF85" i="41"/>
  <c r="AF91" i="41"/>
  <c r="AF42" i="41"/>
  <c r="AF84" i="41"/>
  <c r="AF81" i="41"/>
  <c r="AF77" i="41"/>
  <c r="AF69" i="41"/>
  <c r="AF68" i="41"/>
  <c r="AF62" i="41"/>
  <c r="AF59" i="41"/>
  <c r="AF54" i="41"/>
  <c r="AF78" i="41"/>
  <c r="AF71" i="41"/>
  <c r="AF70" i="41"/>
  <c r="AF61" i="41"/>
  <c r="AF58" i="41"/>
  <c r="AF52" i="41"/>
  <c r="AF37" i="41"/>
  <c r="AF34" i="41"/>
  <c r="AF36" i="41"/>
  <c r="AF28" i="41"/>
  <c r="AF23" i="41"/>
  <c r="AF14" i="41"/>
  <c r="AF8" i="41"/>
  <c r="AF53" i="41"/>
  <c r="AF41" i="41"/>
  <c r="AF40" i="41"/>
  <c r="AF29" i="41"/>
  <c r="AF12" i="41"/>
  <c r="AF11" i="41"/>
  <c r="AF18" i="41"/>
  <c r="AF22" i="41"/>
  <c r="AF13" i="41"/>
  <c r="AF63" i="41"/>
  <c r="AF45" i="41"/>
  <c r="AF56" i="41"/>
  <c r="AF48" i="41"/>
  <c r="AF20" i="41"/>
  <c r="AF39" i="41"/>
  <c r="AF33" i="41"/>
  <c r="AF27" i="41"/>
  <c r="AF16" i="41"/>
  <c r="AF21" i="41"/>
  <c r="AF24" i="41"/>
  <c r="AF15" i="41"/>
  <c r="AF9" i="41"/>
  <c r="AF7" i="41"/>
  <c r="AF55" i="41"/>
  <c r="AF49" i="41"/>
  <c r="AF32" i="41"/>
  <c r="AF47" i="41"/>
  <c r="AF43" i="41"/>
  <c r="AF25" i="41"/>
  <c r="AF31" i="41"/>
  <c r="AF30" i="41"/>
  <c r="AF26" i="41"/>
  <c r="AF17" i="41"/>
  <c r="AF10" i="41"/>
  <c r="AF130" i="41"/>
  <c r="AC46" i="41"/>
  <c r="AC9" i="41"/>
  <c r="AC8" i="41"/>
  <c r="AC15" i="41"/>
  <c r="AC14" i="41"/>
  <c r="AC21" i="41"/>
  <c r="AC16" i="41"/>
  <c r="AC27" i="41"/>
  <c r="AC33" i="41"/>
  <c r="AC36" i="41"/>
  <c r="AC39" i="41"/>
  <c r="AC20" i="41"/>
  <c r="AC52" i="41"/>
  <c r="AC54" i="41"/>
  <c r="AC10" i="41"/>
  <c r="AC13" i="41"/>
  <c r="AC17" i="41"/>
  <c r="AC22" i="41"/>
  <c r="AC18" i="41"/>
  <c r="AC11" i="41"/>
  <c r="AC12" i="41"/>
  <c r="AC30" i="41"/>
  <c r="AC31" i="41"/>
  <c r="AC29" i="41"/>
  <c r="AC25" i="41"/>
  <c r="AC40" i="41"/>
  <c r="AC41" i="41"/>
  <c r="AC43" i="41"/>
  <c r="AC47" i="41"/>
  <c r="AC32" i="41"/>
  <c r="AC49" i="41"/>
  <c r="AC55" i="41"/>
  <c r="AC57" i="41"/>
  <c r="AC59" i="41"/>
  <c r="AC60" i="41"/>
  <c r="AC62" i="41"/>
  <c r="AC65" i="41"/>
  <c r="AC69" i="41"/>
  <c r="AC73" i="41"/>
  <c r="AC77" i="41"/>
  <c r="AC79" i="41"/>
  <c r="AC53" i="41"/>
  <c r="AC58" i="41"/>
  <c r="AC61" i="41"/>
  <c r="AC67" i="41"/>
  <c r="AC71" i="41"/>
  <c r="AC76" i="41"/>
  <c r="AC78" i="41"/>
  <c r="AC80" i="41"/>
  <c r="AC82" i="41"/>
  <c r="AC38" i="41"/>
  <c r="AC85" i="41"/>
  <c r="AC87" i="41"/>
  <c r="AC88" i="41"/>
  <c r="AC90" i="41"/>
  <c r="AC81" i="41"/>
  <c r="AC84" i="41"/>
  <c r="AC42" i="41"/>
  <c r="AC91" i="41"/>
  <c r="AC94" i="41"/>
  <c r="AC99" i="41"/>
  <c r="AC103" i="41"/>
  <c r="AC107" i="41"/>
  <c r="AC111" i="41"/>
  <c r="AC115" i="41"/>
  <c r="AC119" i="41"/>
  <c r="AC122" i="41"/>
  <c r="AC124" i="41"/>
  <c r="AC130" i="41"/>
  <c r="AC134" i="41"/>
  <c r="AC137" i="41"/>
  <c r="AC141" i="41"/>
  <c r="AC19" i="41"/>
  <c r="AC149" i="41"/>
  <c r="AC153" i="41"/>
  <c r="AC83" i="41"/>
  <c r="AC89" i="41"/>
  <c r="AC93" i="41"/>
  <c r="AC95" i="41"/>
  <c r="AC101" i="41"/>
  <c r="AC105" i="41"/>
  <c r="AC109" i="41"/>
  <c r="AC113" i="41"/>
  <c r="AC117" i="41"/>
  <c r="AC121" i="41"/>
  <c r="AC125" i="41"/>
  <c r="AC127" i="41"/>
  <c r="AC129" i="41"/>
  <c r="AC132" i="41"/>
  <c r="AC136" i="41"/>
  <c r="AC139" i="41"/>
  <c r="AC142" i="41"/>
  <c r="AC144" i="41"/>
  <c r="AC148" i="41"/>
  <c r="AC150" i="41"/>
  <c r="AC152" i="41"/>
  <c r="AC155" i="41"/>
  <c r="AC145" i="41"/>
  <c r="AC151" i="41"/>
  <c r="AC147" i="41"/>
  <c r="AC138" i="41"/>
  <c r="AC135" i="41"/>
  <c r="AC44" i="41"/>
  <c r="AC131" i="41"/>
  <c r="AC123" i="41"/>
  <c r="AC116" i="41"/>
  <c r="AC108" i="41"/>
  <c r="AC100" i="41"/>
  <c r="AC35" i="41"/>
  <c r="AC74" i="41"/>
  <c r="AC140" i="41"/>
  <c r="AC51" i="41"/>
  <c r="AC133" i="41"/>
  <c r="AC126" i="41"/>
  <c r="AC114" i="41"/>
  <c r="AC106" i="41"/>
  <c r="AC98" i="41"/>
  <c r="AC96" i="41"/>
  <c r="AC92" i="41"/>
  <c r="AC70" i="41"/>
  <c r="AC63" i="41"/>
  <c r="AC45" i="41"/>
  <c r="AC56" i="41"/>
  <c r="AC72" i="41"/>
  <c r="AC154" i="41"/>
  <c r="AC146" i="41"/>
  <c r="AC120" i="41"/>
  <c r="AC112" i="41"/>
  <c r="AC104" i="41"/>
  <c r="AC86" i="41"/>
  <c r="AC143" i="41"/>
  <c r="AC128" i="41"/>
  <c r="AC118" i="41"/>
  <c r="AC110" i="41"/>
  <c r="AC102" i="41"/>
  <c r="AC75" i="41"/>
  <c r="AC66" i="41"/>
  <c r="AC68" i="41"/>
  <c r="AC64" i="41"/>
  <c r="AC26" i="41"/>
  <c r="AC48" i="41"/>
  <c r="AC7" i="41"/>
  <c r="AC97" i="41"/>
  <c r="AC37" i="41"/>
  <c r="AC34" i="41"/>
  <c r="AC28" i="41"/>
  <c r="AC23" i="41"/>
  <c r="AC24" i="41"/>
  <c r="AE46" i="41"/>
  <c r="AE37" i="41"/>
  <c r="AE21" i="41"/>
  <c r="AE20" i="41"/>
  <c r="AE56" i="41"/>
  <c r="AE45" i="41"/>
  <c r="AE63" i="41"/>
  <c r="AE92" i="41"/>
  <c r="AE126" i="41"/>
  <c r="AE128" i="41"/>
  <c r="AE143" i="41"/>
  <c r="AE86" i="41"/>
  <c r="AE146" i="41"/>
  <c r="AE147" i="41"/>
  <c r="AE151" i="41"/>
  <c r="AE154" i="41"/>
  <c r="AE152" i="41"/>
  <c r="AE148" i="41"/>
  <c r="AE144" i="41"/>
  <c r="AE139" i="41"/>
  <c r="AE136" i="41"/>
  <c r="AE132" i="41"/>
  <c r="AE129" i="41"/>
  <c r="AE125" i="41"/>
  <c r="AE120" i="41"/>
  <c r="AE117" i="41"/>
  <c r="AE112" i="41"/>
  <c r="AE109" i="41"/>
  <c r="AE104" i="41"/>
  <c r="AE101" i="41"/>
  <c r="AE95" i="41"/>
  <c r="AE89" i="41"/>
  <c r="AE83" i="41"/>
  <c r="AE149" i="41"/>
  <c r="AE141" i="41"/>
  <c r="AE137" i="41"/>
  <c r="AE134" i="41"/>
  <c r="AE130" i="41"/>
  <c r="AE124" i="41"/>
  <c r="AE118" i="41"/>
  <c r="AE115" i="41"/>
  <c r="AE110" i="41"/>
  <c r="AE107" i="41"/>
  <c r="AE102" i="41"/>
  <c r="AE99" i="41"/>
  <c r="AE42" i="41"/>
  <c r="AE81" i="41"/>
  <c r="AE88" i="41"/>
  <c r="AE85" i="41"/>
  <c r="AE82" i="41"/>
  <c r="AE78" i="41"/>
  <c r="AE75" i="41"/>
  <c r="AE71" i="41"/>
  <c r="AE66" i="41"/>
  <c r="AE79" i="41"/>
  <c r="AE73" i="41"/>
  <c r="AE68" i="41"/>
  <c r="AE65" i="41"/>
  <c r="AE19" i="41"/>
  <c r="AE145" i="41"/>
  <c r="AE155" i="41"/>
  <c r="AE150" i="41"/>
  <c r="AE142" i="41"/>
  <c r="AE138" i="41"/>
  <c r="AE135" i="41"/>
  <c r="AE44" i="41"/>
  <c r="AE131" i="41"/>
  <c r="AE127" i="41"/>
  <c r="AE123" i="41"/>
  <c r="AE121" i="41"/>
  <c r="AE116" i="41"/>
  <c r="AE113" i="41"/>
  <c r="AE108" i="41"/>
  <c r="AE105" i="41"/>
  <c r="AE100" i="41"/>
  <c r="AE97" i="41"/>
  <c r="AE93" i="41"/>
  <c r="AE35" i="41"/>
  <c r="AE74" i="41"/>
  <c r="AE153" i="41"/>
  <c r="AE140" i="41"/>
  <c r="AE51" i="41"/>
  <c r="AE133" i="41"/>
  <c r="AE122" i="41"/>
  <c r="AE119" i="41"/>
  <c r="AE114" i="41"/>
  <c r="AE111" i="41"/>
  <c r="AE106" i="41"/>
  <c r="AE103" i="41"/>
  <c r="AE98" i="41"/>
  <c r="AE96" i="41"/>
  <c r="AE94" i="41"/>
  <c r="AE91" i="41"/>
  <c r="AE84" i="41"/>
  <c r="AE90" i="41"/>
  <c r="AE87" i="41"/>
  <c r="AE38" i="41"/>
  <c r="AE80" i="41"/>
  <c r="AE76" i="41"/>
  <c r="AE70" i="41"/>
  <c r="AE67" i="41"/>
  <c r="AE61" i="41"/>
  <c r="AE58" i="41"/>
  <c r="AE53" i="41"/>
  <c r="AE77" i="41"/>
  <c r="AE72" i="41"/>
  <c r="AE69" i="41"/>
  <c r="AE60" i="41"/>
  <c r="AE57" i="41"/>
  <c r="AE49" i="41"/>
  <c r="AE43" i="41"/>
  <c r="AE7" i="41"/>
  <c r="AE40" i="41"/>
  <c r="AE29" i="41"/>
  <c r="AE12" i="41"/>
  <c r="AE18" i="41"/>
  <c r="AE17" i="41"/>
  <c r="AE10" i="41"/>
  <c r="AE52" i="41"/>
  <c r="AE34" i="41"/>
  <c r="AE39" i="41"/>
  <c r="AE33" i="41"/>
  <c r="AE28" i="41"/>
  <c r="AE27" i="41"/>
  <c r="AE23" i="41"/>
  <c r="AE24" i="41"/>
  <c r="AE14" i="41"/>
  <c r="AE8" i="41"/>
  <c r="AE64" i="41"/>
  <c r="AE62" i="41"/>
  <c r="AE59" i="41"/>
  <c r="AE55" i="41"/>
  <c r="AE47" i="41"/>
  <c r="AE30" i="41"/>
  <c r="AE32" i="41"/>
  <c r="AE41" i="41"/>
  <c r="AE25" i="41"/>
  <c r="AE31" i="41"/>
  <c r="AE26" i="41"/>
  <c r="AE11" i="41"/>
  <c r="AE22" i="41"/>
  <c r="AE13" i="41"/>
  <c r="AE54" i="41"/>
  <c r="AE48" i="41"/>
  <c r="AE36" i="41"/>
  <c r="AE16" i="41"/>
  <c r="AE15" i="41"/>
  <c r="AE9" i="41"/>
  <c r="A147" i="41"/>
  <c r="AF27" i="49"/>
  <c r="AD27" i="49" s="1"/>
  <c r="AF20" i="42"/>
  <c r="AD20" i="42" s="1"/>
  <c r="AF21" i="49"/>
  <c r="AD21" i="49" s="1"/>
  <c r="AF12" i="61"/>
  <c r="AD12" i="61" s="1"/>
  <c r="AF22" i="49"/>
  <c r="AD22" i="49" s="1"/>
  <c r="AF24" i="49"/>
  <c r="AD24" i="49" s="1"/>
  <c r="AF9" i="49"/>
  <c r="AD9" i="49" s="1"/>
  <c r="AF18" i="61"/>
  <c r="AD18" i="61" s="1"/>
  <c r="A150" i="41"/>
  <c r="AF8" i="49"/>
  <c r="AD8" i="49" s="1"/>
  <c r="AF11" i="49"/>
  <c r="AD11" i="49" s="1"/>
  <c r="AF15" i="49"/>
  <c r="AD15" i="49" s="1"/>
  <c r="AF28" i="49"/>
  <c r="AD28" i="49" s="1"/>
  <c r="AF19" i="49"/>
  <c r="AD19" i="49" s="1"/>
  <c r="AF14" i="42"/>
  <c r="AD14" i="42" s="1"/>
  <c r="AF12" i="49"/>
  <c r="AD12" i="49" s="1"/>
  <c r="AF29" i="49"/>
  <c r="AD29" i="49" s="1"/>
  <c r="AF18" i="49"/>
  <c r="AD18" i="49" s="1"/>
  <c r="AF31" i="49"/>
  <c r="AD31" i="49" s="1"/>
  <c r="AF20" i="49"/>
  <c r="AD20" i="49" s="1"/>
  <c r="AF10" i="61"/>
  <c r="AD10" i="61" s="1"/>
  <c r="AF23" i="42"/>
  <c r="AD23" i="42" s="1"/>
  <c r="AF22" i="42"/>
  <c r="AD22" i="42" s="1"/>
  <c r="N156" i="41"/>
  <c r="I19" i="2" s="1"/>
  <c r="P156" i="41"/>
  <c r="I37" i="2" s="1"/>
  <c r="M156" i="41"/>
  <c r="I7" i="2" s="1"/>
  <c r="O156" i="41"/>
  <c r="I30" i="2" s="1"/>
  <c r="Q156" i="41"/>
  <c r="I40" i="2" s="1"/>
  <c r="V36" i="5"/>
  <c r="V49" i="5"/>
  <c r="V28" i="5"/>
  <c r="V50" i="5"/>
  <c r="W17" i="20"/>
  <c r="Y17" i="20"/>
  <c r="AA17" i="20"/>
  <c r="AB17" i="20" s="1"/>
  <c r="AF17" i="20"/>
  <c r="AH17" i="20"/>
  <c r="AJ17" i="20"/>
  <c r="AI17" i="20" s="1"/>
  <c r="AL17" i="20"/>
  <c r="AK17" i="20" s="1"/>
  <c r="W18" i="20"/>
  <c r="Y18" i="20"/>
  <c r="AA18" i="20"/>
  <c r="AF18" i="20"/>
  <c r="AH18" i="20"/>
  <c r="AG18" i="20" s="1"/>
  <c r="AJ18" i="20"/>
  <c r="AL18" i="20"/>
  <c r="AF30" i="49" l="1"/>
  <c r="AD30" i="49" s="1"/>
  <c r="J67" i="41"/>
  <c r="G71" i="41"/>
  <c r="J99" i="41"/>
  <c r="G103" i="41"/>
  <c r="J107" i="41"/>
  <c r="G111" i="41"/>
  <c r="J115" i="41"/>
  <c r="J9" i="41"/>
  <c r="AF13" i="69"/>
  <c r="AD13" i="69" s="1"/>
  <c r="G126" i="41"/>
  <c r="G97" i="41"/>
  <c r="G123" i="41"/>
  <c r="J27" i="41"/>
  <c r="G27" i="41"/>
  <c r="AF15" i="61"/>
  <c r="AD15" i="61" s="1"/>
  <c r="G31" i="41"/>
  <c r="J31" i="41"/>
  <c r="AF15" i="67"/>
  <c r="AD15" i="67" s="1"/>
  <c r="J25" i="41"/>
  <c r="G25" i="41"/>
  <c r="J47" i="41"/>
  <c r="G47" i="41"/>
  <c r="J56" i="41"/>
  <c r="G56" i="41"/>
  <c r="J63" i="41"/>
  <c r="G63" i="41"/>
  <c r="AF18" i="67"/>
  <c r="AD18" i="67" s="1"/>
  <c r="J38" i="41"/>
  <c r="G38" i="41"/>
  <c r="J89" i="41"/>
  <c r="G89" i="41"/>
  <c r="J105" i="41"/>
  <c r="G105" i="41"/>
  <c r="J113" i="41"/>
  <c r="G113" i="41"/>
  <c r="J121" i="41"/>
  <c r="G121" i="41"/>
  <c r="J125" i="41"/>
  <c r="G125" i="41"/>
  <c r="J15" i="41"/>
  <c r="G15" i="41"/>
  <c r="AF14" i="67"/>
  <c r="AD14" i="67" s="1"/>
  <c r="J21" i="41"/>
  <c r="G21" i="41"/>
  <c r="J20" i="41"/>
  <c r="G20" i="41"/>
  <c r="J53" i="41"/>
  <c r="G53" i="41"/>
  <c r="J68" i="41"/>
  <c r="G68" i="41"/>
  <c r="J77" i="41"/>
  <c r="G77" i="41"/>
  <c r="J90" i="41"/>
  <c r="G90" i="41"/>
  <c r="G98" i="41"/>
  <c r="J98" i="41"/>
  <c r="G106" i="41"/>
  <c r="J106" i="41"/>
  <c r="J122" i="41"/>
  <c r="J131" i="41"/>
  <c r="G131" i="41"/>
  <c r="G141" i="41"/>
  <c r="J141" i="41"/>
  <c r="AF17" i="67"/>
  <c r="AD17" i="67" s="1"/>
  <c r="J7" i="41"/>
  <c r="AF13" i="67"/>
  <c r="AD13" i="67" s="1"/>
  <c r="J14" i="41"/>
  <c r="G14" i="41"/>
  <c r="AF17" i="61"/>
  <c r="AD17" i="61" s="1"/>
  <c r="J36" i="41"/>
  <c r="G36" i="41"/>
  <c r="J55" i="41"/>
  <c r="G55" i="41"/>
  <c r="J70" i="41"/>
  <c r="J79" i="41"/>
  <c r="G79" i="41"/>
  <c r="J92" i="41"/>
  <c r="G92" i="41"/>
  <c r="J100" i="41"/>
  <c r="G100" i="41"/>
  <c r="J108" i="41"/>
  <c r="G108" i="41"/>
  <c r="J124" i="41"/>
  <c r="G124" i="41"/>
  <c r="J132" i="41"/>
  <c r="G132" i="41"/>
  <c r="J138" i="41"/>
  <c r="G138" i="41"/>
  <c r="J152" i="41"/>
  <c r="G152" i="41"/>
  <c r="A74" i="41"/>
  <c r="J74" i="41"/>
  <c r="J134" i="41"/>
  <c r="G134" i="41"/>
  <c r="G140" i="41"/>
  <c r="J140" i="41"/>
  <c r="G147" i="41"/>
  <c r="G153" i="41"/>
  <c r="J153" i="41"/>
  <c r="J154" i="41"/>
  <c r="G154" i="41"/>
  <c r="G151" i="41"/>
  <c r="J151" i="41"/>
  <c r="J155" i="41"/>
  <c r="G155" i="41"/>
  <c r="AF16" i="67"/>
  <c r="AD16" i="67" s="1"/>
  <c r="J18" i="41"/>
  <c r="G18" i="41"/>
  <c r="J40" i="41"/>
  <c r="G40" i="41"/>
  <c r="J54" i="41"/>
  <c r="G54" i="41"/>
  <c r="J58" i="41"/>
  <c r="G58" i="41"/>
  <c r="G65" i="41"/>
  <c r="J65" i="41"/>
  <c r="J73" i="41"/>
  <c r="G73" i="41"/>
  <c r="J82" i="41"/>
  <c r="G82" i="41"/>
  <c r="J85" i="41"/>
  <c r="G85" i="41"/>
  <c r="J91" i="41"/>
  <c r="G91" i="41"/>
  <c r="G119" i="41"/>
  <c r="AF9" i="61"/>
  <c r="AD9" i="61" s="1"/>
  <c r="J24" i="41"/>
  <c r="G24" i="41"/>
  <c r="AF12" i="67"/>
  <c r="AD12" i="67" s="1"/>
  <c r="G12" i="41"/>
  <c r="J32" i="41"/>
  <c r="G32" i="41"/>
  <c r="J57" i="41"/>
  <c r="G57" i="41"/>
  <c r="J64" i="41"/>
  <c r="G64" i="41"/>
  <c r="J81" i="41"/>
  <c r="G81" i="41"/>
  <c r="J94" i="41"/>
  <c r="G94" i="41"/>
  <c r="J102" i="41"/>
  <c r="G102" i="41"/>
  <c r="J110" i="41"/>
  <c r="G110" i="41"/>
  <c r="G129" i="41"/>
  <c r="J129" i="41"/>
  <c r="J136" i="41"/>
  <c r="G136" i="41"/>
  <c r="J143" i="41"/>
  <c r="G143" i="41"/>
  <c r="J150" i="41"/>
  <c r="G150" i="41"/>
  <c r="J23" i="41"/>
  <c r="G23" i="41"/>
  <c r="J30" i="41"/>
  <c r="J49" i="41"/>
  <c r="G49" i="41"/>
  <c r="J59" i="41"/>
  <c r="G59" i="41"/>
  <c r="J75" i="41"/>
  <c r="J83" i="41"/>
  <c r="G83" i="41"/>
  <c r="J96" i="41"/>
  <c r="G96" i="41"/>
  <c r="J104" i="41"/>
  <c r="G104" i="41"/>
  <c r="J112" i="41"/>
  <c r="G112" i="41"/>
  <c r="J120" i="41"/>
  <c r="G120" i="41"/>
  <c r="J135" i="41"/>
  <c r="G135" i="41"/>
  <c r="J149" i="41"/>
  <c r="G149" i="41"/>
  <c r="J130" i="41"/>
  <c r="G130" i="41"/>
  <c r="AF23" i="67"/>
  <c r="AD23" i="67" s="1"/>
  <c r="J46" i="41"/>
  <c r="AF19" i="67"/>
  <c r="AD19" i="67" s="1"/>
  <c r="J13" i="41"/>
  <c r="G13" i="41"/>
  <c r="J22" i="41"/>
  <c r="G22" i="41"/>
  <c r="AF9" i="67"/>
  <c r="AD9" i="67" s="1"/>
  <c r="J11" i="41"/>
  <c r="G11" i="41"/>
  <c r="AF20" i="61"/>
  <c r="AD20" i="61" s="1"/>
  <c r="J41" i="41"/>
  <c r="G41" i="41"/>
  <c r="J52" i="41"/>
  <c r="G52" i="41"/>
  <c r="J45" i="41"/>
  <c r="G45" i="41"/>
  <c r="G67" i="41"/>
  <c r="J71" i="41"/>
  <c r="G76" i="41"/>
  <c r="J76" i="41"/>
  <c r="J80" i="41"/>
  <c r="G80" i="41"/>
  <c r="J87" i="41"/>
  <c r="G87" i="41"/>
  <c r="J93" i="41"/>
  <c r="G93" i="41"/>
  <c r="J97" i="41"/>
  <c r="J101" i="41"/>
  <c r="G101" i="41"/>
  <c r="J109" i="41"/>
  <c r="G109" i="41"/>
  <c r="J117" i="41"/>
  <c r="G117" i="41"/>
  <c r="AF16" i="61"/>
  <c r="AD16" i="61" s="1"/>
  <c r="J33" i="41"/>
  <c r="G33" i="41"/>
  <c r="J60" i="41"/>
  <c r="G60" i="41"/>
  <c r="J84" i="41"/>
  <c r="G84" i="41"/>
  <c r="G114" i="41"/>
  <c r="J114" i="41"/>
  <c r="G127" i="41"/>
  <c r="G44" i="41"/>
  <c r="J44" i="41"/>
  <c r="G137" i="41"/>
  <c r="J137" i="41"/>
  <c r="G145" i="41"/>
  <c r="J145" i="41"/>
  <c r="J148" i="41"/>
  <c r="G148" i="41"/>
  <c r="G7" i="41"/>
  <c r="AF11" i="61"/>
  <c r="AD11" i="61" s="1"/>
  <c r="J26" i="41"/>
  <c r="G26" i="41"/>
  <c r="J43" i="41"/>
  <c r="G43" i="41"/>
  <c r="J62" i="41"/>
  <c r="G62" i="41"/>
  <c r="J86" i="41"/>
  <c r="G86" i="41"/>
  <c r="J116" i="41"/>
  <c r="G116" i="41"/>
  <c r="J146" i="41"/>
  <c r="G74" i="41"/>
  <c r="G51" i="41"/>
  <c r="J51" i="41"/>
  <c r="AF11" i="67"/>
  <c r="AD11" i="67" s="1"/>
  <c r="G10" i="41"/>
  <c r="J10" i="41"/>
  <c r="G17" i="41"/>
  <c r="J17" i="41"/>
  <c r="J16" i="41"/>
  <c r="G16" i="41"/>
  <c r="G28" i="41"/>
  <c r="J29" i="41"/>
  <c r="G29" i="41"/>
  <c r="AF20" i="67"/>
  <c r="AD20" i="67" s="1"/>
  <c r="J37" i="41"/>
  <c r="G37" i="41"/>
  <c r="J48" i="41"/>
  <c r="G48" i="41"/>
  <c r="J61" i="41"/>
  <c r="G61" i="41"/>
  <c r="G69" i="41"/>
  <c r="J69" i="41"/>
  <c r="J78" i="41"/>
  <c r="G78" i="41"/>
  <c r="J88" i="41"/>
  <c r="G88" i="41"/>
  <c r="J95" i="41"/>
  <c r="G95" i="41"/>
  <c r="G99" i="41"/>
  <c r="J103" i="41"/>
  <c r="G107" i="41"/>
  <c r="J111" i="41"/>
  <c r="G115" i="41"/>
  <c r="J123" i="41"/>
  <c r="G9" i="41"/>
  <c r="AF19" i="61"/>
  <c r="AD19" i="61" s="1"/>
  <c r="J39" i="41"/>
  <c r="G39" i="41"/>
  <c r="J72" i="41"/>
  <c r="G72" i="41"/>
  <c r="AF22" i="67"/>
  <c r="AD22" i="67" s="1"/>
  <c r="J42" i="41"/>
  <c r="G42" i="41"/>
  <c r="J118" i="41"/>
  <c r="G118" i="41"/>
  <c r="J126" i="41"/>
  <c r="G133" i="41"/>
  <c r="J139" i="41"/>
  <c r="G139" i="41"/>
  <c r="AF10" i="67"/>
  <c r="AD10" i="67" s="1"/>
  <c r="J19" i="41"/>
  <c r="G19" i="41"/>
  <c r="AF8" i="67"/>
  <c r="AD8" i="67" s="1"/>
  <c r="J8" i="41"/>
  <c r="G8" i="41"/>
  <c r="AF13" i="61"/>
  <c r="AD13" i="61" s="1"/>
  <c r="G30" i="41"/>
  <c r="AF21" i="67"/>
  <c r="AD21" i="67" s="1"/>
  <c r="J34" i="41"/>
  <c r="G34" i="41"/>
  <c r="J66" i="41"/>
  <c r="J35" i="41"/>
  <c r="G35" i="41"/>
  <c r="G128" i="41"/>
  <c r="J142" i="41"/>
  <c r="G142" i="41"/>
  <c r="J144" i="41"/>
  <c r="AA18" i="41"/>
  <c r="AA14" i="41"/>
  <c r="AA27" i="41"/>
  <c r="AA28" i="41"/>
  <c r="AA37" i="41"/>
  <c r="AA49" i="41"/>
  <c r="AA20" i="41"/>
  <c r="AA53" i="41"/>
  <c r="AA59" i="41"/>
  <c r="AA77" i="41"/>
  <c r="AA81" i="41"/>
  <c r="AA84" i="41"/>
  <c r="AA42" i="41"/>
  <c r="AA90" i="41"/>
  <c r="AA94" i="41"/>
  <c r="AA78" i="41"/>
  <c r="AA82" i="41"/>
  <c r="AA87" i="41"/>
  <c r="AA93" i="41"/>
  <c r="AA119" i="41"/>
  <c r="AA123" i="41"/>
  <c r="AA127" i="41"/>
  <c r="AA132" i="41"/>
  <c r="AA135" i="41"/>
  <c r="AA138" i="41"/>
  <c r="AA143" i="41"/>
  <c r="AA19" i="41"/>
  <c r="AA151" i="41"/>
  <c r="AA74" i="41"/>
  <c r="AA11" i="41"/>
  <c r="AA25" i="41"/>
  <c r="AA39" i="41"/>
  <c r="AA9" i="41"/>
  <c r="AA17" i="41"/>
  <c r="AA24" i="41"/>
  <c r="AA8" i="41"/>
  <c r="AA21" i="41"/>
  <c r="AA41" i="41"/>
  <c r="AA36" i="41"/>
  <c r="AA43" i="41"/>
  <c r="AA54" i="41"/>
  <c r="AA58" i="41"/>
  <c r="AA61" i="41"/>
  <c r="AA57" i="41"/>
  <c r="AA64" i="41"/>
  <c r="AA66" i="41"/>
  <c r="AA68" i="41"/>
  <c r="AA70" i="41"/>
  <c r="AA72" i="41"/>
  <c r="AA75" i="41"/>
  <c r="AA88" i="41"/>
  <c r="AA95" i="41"/>
  <c r="AA99" i="41"/>
  <c r="AA101" i="41"/>
  <c r="AA103" i="41"/>
  <c r="AA105" i="41"/>
  <c r="AA107" i="41"/>
  <c r="AA109" i="41"/>
  <c r="AA111" i="41"/>
  <c r="AA113" i="41"/>
  <c r="AA115" i="41"/>
  <c r="AA117" i="41"/>
  <c r="AA121" i="41"/>
  <c r="AA125" i="41"/>
  <c r="AA130" i="41"/>
  <c r="AA134" i="41"/>
  <c r="AA136" i="41"/>
  <c r="AA139" i="41"/>
  <c r="AA142" i="41"/>
  <c r="AA146" i="41"/>
  <c r="AA150" i="41"/>
  <c r="AA154" i="41"/>
  <c r="AA155" i="41"/>
  <c r="AA96" i="41"/>
  <c r="AA97" i="41"/>
  <c r="AA15" i="41"/>
  <c r="AA26" i="41"/>
  <c r="AA12" i="41"/>
  <c r="AA30" i="41"/>
  <c r="AA47" i="41"/>
  <c r="AA33" i="41"/>
  <c r="AA32" i="41"/>
  <c r="AA55" i="41"/>
  <c r="AA62" i="41"/>
  <c r="AA79" i="41"/>
  <c r="AA83" i="41"/>
  <c r="AA86" i="41"/>
  <c r="AA35" i="41"/>
  <c r="AA92" i="41"/>
  <c r="AA76" i="41"/>
  <c r="AA80" i="41"/>
  <c r="AA38" i="41"/>
  <c r="AA89" i="41"/>
  <c r="AA118" i="41"/>
  <c r="AA122" i="41"/>
  <c r="AA126" i="41"/>
  <c r="AA128" i="41"/>
  <c r="AA133" i="41"/>
  <c r="AA51" i="41"/>
  <c r="AA141" i="41"/>
  <c r="AA144" i="41"/>
  <c r="AA147" i="41"/>
  <c r="AA153" i="41"/>
  <c r="AA10" i="41"/>
  <c r="AA29" i="41"/>
  <c r="AA40" i="41"/>
  <c r="AA7" i="41"/>
  <c r="AA13" i="41"/>
  <c r="AA22" i="41"/>
  <c r="AA23" i="41"/>
  <c r="AA16" i="41"/>
  <c r="AA31" i="41"/>
  <c r="AA48" i="41"/>
  <c r="AA34" i="41"/>
  <c r="AA52" i="41"/>
  <c r="AA56" i="41"/>
  <c r="AA45" i="41"/>
  <c r="AA63" i="41"/>
  <c r="AA60" i="41"/>
  <c r="AA65" i="41"/>
  <c r="AA67" i="41"/>
  <c r="AA69" i="41"/>
  <c r="AA71" i="41"/>
  <c r="AA73" i="41"/>
  <c r="AA85" i="41"/>
  <c r="AA91" i="41"/>
  <c r="AA98" i="41"/>
  <c r="AA100" i="41"/>
  <c r="AA102" i="41"/>
  <c r="AA104" i="41"/>
  <c r="AA106" i="41"/>
  <c r="AA108" i="41"/>
  <c r="AA110" i="41"/>
  <c r="AA112" i="41"/>
  <c r="AA114" i="41"/>
  <c r="AA116" i="41"/>
  <c r="AA120" i="41"/>
  <c r="AA124" i="41"/>
  <c r="AA129" i="41"/>
  <c r="AA131" i="41"/>
  <c r="AA44" i="41"/>
  <c r="AA137" i="41"/>
  <c r="AA140" i="41"/>
  <c r="AA145" i="41"/>
  <c r="AA148" i="41"/>
  <c r="AA152" i="41"/>
  <c r="AA149" i="41"/>
  <c r="AA46" i="41"/>
  <c r="AF26" i="49"/>
  <c r="AD26" i="49" s="1"/>
  <c r="AF21" i="61"/>
  <c r="AD21" i="61" s="1"/>
  <c r="AF17" i="49"/>
  <c r="AD17" i="49" s="1"/>
  <c r="AF8" i="61"/>
  <c r="AD8" i="61" s="1"/>
  <c r="AF14" i="49"/>
  <c r="AD14" i="49" s="1"/>
  <c r="AF14" i="61"/>
  <c r="AD14" i="61" s="1"/>
  <c r="AF32" i="49"/>
  <c r="AD32" i="49" s="1"/>
  <c r="AF23" i="49"/>
  <c r="AD23" i="49" s="1"/>
  <c r="AF16" i="42"/>
  <c r="AD16" i="42" s="1"/>
  <c r="AF12" i="42"/>
  <c r="AD12" i="42" s="1"/>
  <c r="AF24" i="42"/>
  <c r="AD24" i="42" s="1"/>
  <c r="AF25" i="49"/>
  <c r="AD25" i="49" s="1"/>
  <c r="AF8" i="42"/>
  <c r="AD8" i="42" s="1"/>
  <c r="AF10" i="49"/>
  <c r="AD10" i="49" s="1"/>
  <c r="AF15" i="42"/>
  <c r="AD15" i="42" s="1"/>
  <c r="AF13" i="49"/>
  <c r="AD13" i="49" s="1"/>
  <c r="AF25" i="42"/>
  <c r="AD25" i="42" s="1"/>
  <c r="AF16" i="49"/>
  <c r="AD16" i="49" s="1"/>
  <c r="AF10" i="42"/>
  <c r="AD10" i="42" s="1"/>
  <c r="AF13" i="42"/>
  <c r="AD13" i="42" s="1"/>
  <c r="A57" i="41"/>
  <c r="A65" i="41"/>
  <c r="A76" i="41"/>
  <c r="A83" i="41"/>
  <c r="A91" i="41"/>
  <c r="A106" i="41"/>
  <c r="A121" i="41"/>
  <c r="A131" i="41"/>
  <c r="A54" i="41"/>
  <c r="A66" i="41"/>
  <c r="A70" i="41"/>
  <c r="A80" i="41"/>
  <c r="A88" i="41"/>
  <c r="A92" i="41"/>
  <c r="A103" i="41"/>
  <c r="A115" i="41"/>
  <c r="A124" i="41"/>
  <c r="A153" i="41"/>
  <c r="A59" i="41"/>
  <c r="A67" i="41"/>
  <c r="A71" i="41"/>
  <c r="A77" i="41"/>
  <c r="A86" i="41"/>
  <c r="A89" i="41"/>
  <c r="A122" i="41"/>
  <c r="A129" i="41"/>
  <c r="A56" i="41"/>
  <c r="A60" i="41"/>
  <c r="A64" i="41"/>
  <c r="A68" i="41"/>
  <c r="A72" i="41"/>
  <c r="A78" i="41"/>
  <c r="A82" i="41"/>
  <c r="A87" i="41"/>
  <c r="A90" i="41"/>
  <c r="A94" i="41"/>
  <c r="A98" i="41"/>
  <c r="A101" i="41"/>
  <c r="A105" i="41"/>
  <c r="A108" i="41"/>
  <c r="A110" i="41"/>
  <c r="A113" i="41"/>
  <c r="A117" i="41"/>
  <c r="A120" i="41"/>
  <c r="A144" i="41"/>
  <c r="A151" i="41"/>
  <c r="A152" i="41"/>
  <c r="A53" i="41"/>
  <c r="A61" i="41"/>
  <c r="A69" i="41"/>
  <c r="A73" i="41"/>
  <c r="A79" i="41"/>
  <c r="A84" i="41"/>
  <c r="A95" i="41"/>
  <c r="A102" i="41"/>
  <c r="A118" i="41"/>
  <c r="A127" i="41"/>
  <c r="A58" i="41"/>
  <c r="A62" i="41"/>
  <c r="A85" i="41"/>
  <c r="A96" i="41"/>
  <c r="A99" i="41"/>
  <c r="A119" i="41"/>
  <c r="A55" i="41"/>
  <c r="A63" i="41"/>
  <c r="A75" i="41"/>
  <c r="A81" i="41"/>
  <c r="AF9" i="42"/>
  <c r="AD9" i="42" s="1"/>
  <c r="AF21" i="42"/>
  <c r="AD21" i="42" s="1"/>
  <c r="AF18" i="42"/>
  <c r="AD18" i="42" s="1"/>
  <c r="AF19" i="42"/>
  <c r="AD19" i="42" s="1"/>
  <c r="AF11" i="42"/>
  <c r="AD11" i="42" s="1"/>
  <c r="A109" i="41"/>
  <c r="A111" i="41"/>
  <c r="A114" i="41"/>
  <c r="A123" i="41"/>
  <c r="A135" i="41"/>
  <c r="A138" i="41"/>
  <c r="A128" i="41"/>
  <c r="A132" i="41"/>
  <c r="AF17" i="42"/>
  <c r="AD17" i="42" s="1"/>
  <c r="A136" i="41"/>
  <c r="A140" i="41"/>
  <c r="A143" i="41"/>
  <c r="A154" i="41"/>
  <c r="A93" i="41"/>
  <c r="A97" i="41"/>
  <c r="A100" i="41"/>
  <c r="A104" i="41"/>
  <c r="A107" i="41"/>
  <c r="A112" i="41"/>
  <c r="A116" i="41"/>
  <c r="A125" i="41"/>
  <c r="A139" i="41"/>
  <c r="A142" i="41"/>
  <c r="A126" i="41"/>
  <c r="A130" i="41"/>
  <c r="A134" i="41"/>
  <c r="A137" i="41"/>
  <c r="A141" i="41"/>
  <c r="A145" i="41"/>
  <c r="A148" i="41"/>
  <c r="A155" i="41"/>
  <c r="A146" i="41"/>
  <c r="A149" i="41"/>
  <c r="AB18" i="20"/>
  <c r="Y5" i="4"/>
  <c r="X5" i="4"/>
  <c r="E35" i="2"/>
  <c r="E33" i="2"/>
  <c r="H144" i="41" l="1"/>
  <c r="H50" i="41"/>
  <c r="K50" i="41"/>
  <c r="K142" i="41"/>
  <c r="H66" i="41"/>
  <c r="K128" i="41"/>
  <c r="H30" i="41"/>
  <c r="H146" i="41"/>
  <c r="K35" i="41"/>
  <c r="K34" i="41"/>
  <c r="K144" i="41"/>
  <c r="H142" i="41"/>
  <c r="H128" i="41"/>
  <c r="H35" i="41"/>
  <c r="K66" i="41"/>
  <c r="H34" i="41"/>
  <c r="K8" i="41"/>
  <c r="H19" i="41"/>
  <c r="K139" i="41"/>
  <c r="K126" i="41"/>
  <c r="K118" i="41"/>
  <c r="K42" i="41"/>
  <c r="H72" i="41"/>
  <c r="H39" i="41"/>
  <c r="K123" i="41"/>
  <c r="K111" i="41"/>
  <c r="K103" i="41"/>
  <c r="H95" i="41"/>
  <c r="H88" i="41"/>
  <c r="H78" i="41"/>
  <c r="K69" i="41"/>
  <c r="H61" i="41"/>
  <c r="H48" i="41"/>
  <c r="H37" i="41"/>
  <c r="K29" i="41"/>
  <c r="K28" i="41"/>
  <c r="K16" i="41"/>
  <c r="H17" i="41"/>
  <c r="H10" i="41"/>
  <c r="K51" i="41"/>
  <c r="H74" i="41"/>
  <c r="K116" i="41"/>
  <c r="K86" i="41"/>
  <c r="K62" i="41"/>
  <c r="K43" i="41"/>
  <c r="K26" i="41"/>
  <c r="H7" i="41"/>
  <c r="K148" i="41"/>
  <c r="H145" i="41"/>
  <c r="H137" i="41"/>
  <c r="H44" i="41"/>
  <c r="K127" i="41"/>
  <c r="H114" i="41"/>
  <c r="K84" i="41"/>
  <c r="K60" i="41"/>
  <c r="K33" i="41"/>
  <c r="H117" i="41"/>
  <c r="H109" i="41"/>
  <c r="H101" i="41"/>
  <c r="K97" i="41"/>
  <c r="K93" i="41"/>
  <c r="K87" i="41"/>
  <c r="K80" i="41"/>
  <c r="H76" i="41"/>
  <c r="H67" i="41"/>
  <c r="K45" i="41"/>
  <c r="K52" i="41"/>
  <c r="K41" i="41"/>
  <c r="H11" i="41"/>
  <c r="K22" i="41"/>
  <c r="K13" i="41"/>
  <c r="H130" i="41"/>
  <c r="H149" i="41"/>
  <c r="H135" i="41"/>
  <c r="H120" i="41"/>
  <c r="H112" i="41"/>
  <c r="H104" i="41"/>
  <c r="H96" i="41"/>
  <c r="H83" i="41"/>
  <c r="K75" i="41"/>
  <c r="H59" i="41"/>
  <c r="H49" i="41"/>
  <c r="K30" i="41"/>
  <c r="K23" i="41"/>
  <c r="K150" i="41"/>
  <c r="K143" i="41"/>
  <c r="K136" i="41"/>
  <c r="K129" i="41"/>
  <c r="H126" i="41"/>
  <c r="K110" i="41"/>
  <c r="K102" i="41"/>
  <c r="K94" i="41"/>
  <c r="K81" i="41"/>
  <c r="K64" i="41"/>
  <c r="K57" i="41"/>
  <c r="K32" i="41"/>
  <c r="H24" i="41"/>
  <c r="H123" i="41"/>
  <c r="K119" i="41"/>
  <c r="H111" i="41"/>
  <c r="H103" i="41"/>
  <c r="H91" i="41"/>
  <c r="H85" i="41"/>
  <c r="H82" i="41"/>
  <c r="H73" i="41"/>
  <c r="K65" i="41"/>
  <c r="H58" i="41"/>
  <c r="H54" i="41"/>
  <c r="H40" i="41"/>
  <c r="H18" i="41"/>
  <c r="K155" i="41"/>
  <c r="H151" i="41"/>
  <c r="K154" i="41"/>
  <c r="H153" i="41"/>
  <c r="K147" i="41"/>
  <c r="H140" i="41"/>
  <c r="K134" i="41"/>
  <c r="K152" i="41"/>
  <c r="K138" i="41"/>
  <c r="K132" i="41"/>
  <c r="K124" i="41"/>
  <c r="K108" i="41"/>
  <c r="K100" i="41"/>
  <c r="K92" i="41"/>
  <c r="K79" i="41"/>
  <c r="H70" i="41"/>
  <c r="K55" i="41"/>
  <c r="K36" i="41"/>
  <c r="H14" i="41"/>
  <c r="H141" i="41"/>
  <c r="K131" i="41"/>
  <c r="H122" i="41"/>
  <c r="H106" i="41"/>
  <c r="H98" i="41"/>
  <c r="K90" i="41"/>
  <c r="K77" i="41"/>
  <c r="K68" i="41"/>
  <c r="K53" i="41"/>
  <c r="K20" i="41"/>
  <c r="K21" i="41"/>
  <c r="H15" i="41"/>
  <c r="H125" i="41"/>
  <c r="H121" i="41"/>
  <c r="H113" i="41"/>
  <c r="H105" i="41"/>
  <c r="H97" i="41"/>
  <c r="K89" i="41"/>
  <c r="K38" i="41"/>
  <c r="H71" i="41"/>
  <c r="H63" i="41"/>
  <c r="H56" i="41"/>
  <c r="H47" i="41"/>
  <c r="H25" i="41"/>
  <c r="H31" i="41"/>
  <c r="H27" i="41"/>
  <c r="H8" i="41"/>
  <c r="K19" i="41"/>
  <c r="H139" i="41"/>
  <c r="H133" i="41"/>
  <c r="H118" i="41"/>
  <c r="H42" i="41"/>
  <c r="K72" i="41"/>
  <c r="K39" i="41"/>
  <c r="H9" i="41"/>
  <c r="H115" i="41"/>
  <c r="H107" i="41"/>
  <c r="H99" i="41"/>
  <c r="K95" i="41"/>
  <c r="K88" i="41"/>
  <c r="K78" i="41"/>
  <c r="H69" i="41"/>
  <c r="K61" i="41"/>
  <c r="K48" i="41"/>
  <c r="K37" i="41"/>
  <c r="H29" i="41"/>
  <c r="H28" i="41"/>
  <c r="H16" i="41"/>
  <c r="K17" i="41"/>
  <c r="K10" i="41"/>
  <c r="H51" i="41"/>
  <c r="K146" i="41"/>
  <c r="H116" i="41"/>
  <c r="H86" i="41"/>
  <c r="H62" i="41"/>
  <c r="H43" i="41"/>
  <c r="H26" i="41"/>
  <c r="H148" i="41"/>
  <c r="K145" i="41"/>
  <c r="K137" i="41"/>
  <c r="K44" i="41"/>
  <c r="H127" i="41"/>
  <c r="K114" i="41"/>
  <c r="H84" i="41"/>
  <c r="H60" i="41"/>
  <c r="H33" i="41"/>
  <c r="K117" i="41"/>
  <c r="K109" i="41"/>
  <c r="K101" i="41"/>
  <c r="H93" i="41"/>
  <c r="H87" i="41"/>
  <c r="H80" i="41"/>
  <c r="K76" i="41"/>
  <c r="K71" i="41"/>
  <c r="H45" i="41"/>
  <c r="H52" i="41"/>
  <c r="H41" i="41"/>
  <c r="K11" i="41"/>
  <c r="H22" i="41"/>
  <c r="H13" i="41"/>
  <c r="K46" i="41"/>
  <c r="H46" i="41"/>
  <c r="K130" i="41"/>
  <c r="K149" i="41"/>
  <c r="K135" i="41"/>
  <c r="K120" i="41"/>
  <c r="K112" i="41"/>
  <c r="K104" i="41"/>
  <c r="K96" i="41"/>
  <c r="K83" i="41"/>
  <c r="H75" i="41"/>
  <c r="K59" i="41"/>
  <c r="K49" i="41"/>
  <c r="H23" i="41"/>
  <c r="H150" i="41"/>
  <c r="H143" i="41"/>
  <c r="H136" i="41"/>
  <c r="K133" i="41"/>
  <c r="H129" i="41"/>
  <c r="H110" i="41"/>
  <c r="H102" i="41"/>
  <c r="H94" i="41"/>
  <c r="H81" i="41"/>
  <c r="H64" i="41"/>
  <c r="H57" i="41"/>
  <c r="H32" i="41"/>
  <c r="H12" i="41"/>
  <c r="K12" i="41"/>
  <c r="K24" i="41"/>
  <c r="K9" i="41"/>
  <c r="H119" i="41"/>
  <c r="K115" i="41"/>
  <c r="K107" i="41"/>
  <c r="K99" i="41"/>
  <c r="K91" i="41"/>
  <c r="K85" i="41"/>
  <c r="K82" i="41"/>
  <c r="K73" i="41"/>
  <c r="H65" i="41"/>
  <c r="K58" i="41"/>
  <c r="K54" i="41"/>
  <c r="K40" i="41"/>
  <c r="K18" i="41"/>
  <c r="H155" i="41"/>
  <c r="K151" i="41"/>
  <c r="H154" i="41"/>
  <c r="K153" i="41"/>
  <c r="H147" i="41"/>
  <c r="K140" i="41"/>
  <c r="H134" i="41"/>
  <c r="K74" i="41"/>
  <c r="H152" i="41"/>
  <c r="H138" i="41"/>
  <c r="H132" i="41"/>
  <c r="H124" i="41"/>
  <c r="H108" i="41"/>
  <c r="H100" i="41"/>
  <c r="H92" i="41"/>
  <c r="H79" i="41"/>
  <c r="K70" i="41"/>
  <c r="H55" i="41"/>
  <c r="H36" i="41"/>
  <c r="K14" i="41"/>
  <c r="K7" i="41"/>
  <c r="K141" i="41"/>
  <c r="H131" i="41"/>
  <c r="K122" i="41"/>
  <c r="K106" i="41"/>
  <c r="K98" i="41"/>
  <c r="H90" i="41"/>
  <c r="H77" i="41"/>
  <c r="H68" i="41"/>
  <c r="H53" i="41"/>
  <c r="H20" i="41"/>
  <c r="H21" i="41"/>
  <c r="K15" i="41"/>
  <c r="K125" i="41"/>
  <c r="K121" i="41"/>
  <c r="K113" i="41"/>
  <c r="K105" i="41"/>
  <c r="H89" i="41"/>
  <c r="H38" i="41"/>
  <c r="K67" i="41"/>
  <c r="K63" i="41"/>
  <c r="K56" i="41"/>
  <c r="K47" i="41"/>
  <c r="K25" i="41"/>
  <c r="K31" i="41"/>
  <c r="K27" i="41"/>
  <c r="L6" i="3"/>
  <c r="A45" i="41" l="1"/>
  <c r="A51" i="41"/>
  <c r="A35" i="41"/>
  <c r="A50" i="41"/>
  <c r="A44" i="41"/>
  <c r="L50" i="41"/>
  <c r="L27" i="41"/>
  <c r="L56" i="41"/>
  <c r="L125" i="41"/>
  <c r="L98" i="41"/>
  <c r="L122" i="41"/>
  <c r="L141" i="41"/>
  <c r="L14" i="41"/>
  <c r="L140" i="41"/>
  <c r="L153" i="41"/>
  <c r="L151" i="41"/>
  <c r="L18" i="41"/>
  <c r="L54" i="41"/>
  <c r="L82" i="41"/>
  <c r="L91" i="41"/>
  <c r="L107" i="41"/>
  <c r="L24" i="41"/>
  <c r="L49" i="41"/>
  <c r="L96" i="41"/>
  <c r="L112" i="41"/>
  <c r="L135" i="41"/>
  <c r="L130" i="41"/>
  <c r="L46" i="41"/>
  <c r="L76" i="41"/>
  <c r="L101" i="41"/>
  <c r="L117" i="41"/>
  <c r="L114" i="41"/>
  <c r="L44" i="41"/>
  <c r="L145" i="41"/>
  <c r="L17" i="41"/>
  <c r="L37" i="41"/>
  <c r="L61" i="41"/>
  <c r="L78" i="41"/>
  <c r="L95" i="41"/>
  <c r="L72" i="41"/>
  <c r="L89" i="41"/>
  <c r="L20" i="41"/>
  <c r="L68" i="41"/>
  <c r="L90" i="41"/>
  <c r="L131" i="41"/>
  <c r="L55" i="41"/>
  <c r="L79" i="41"/>
  <c r="L100" i="41"/>
  <c r="L124" i="41"/>
  <c r="L138" i="41"/>
  <c r="L134" i="41"/>
  <c r="L147" i="41"/>
  <c r="L154" i="41"/>
  <c r="L155" i="41"/>
  <c r="L119" i="41"/>
  <c r="L57" i="41"/>
  <c r="L81" i="41"/>
  <c r="L102" i="41"/>
  <c r="L136" i="41"/>
  <c r="L150" i="41"/>
  <c r="L30" i="41"/>
  <c r="L13" i="41"/>
  <c r="L52" i="41"/>
  <c r="L80" i="41"/>
  <c r="L93" i="41"/>
  <c r="L60" i="41"/>
  <c r="L43" i="41"/>
  <c r="L86" i="41"/>
  <c r="L16" i="41"/>
  <c r="L29" i="41"/>
  <c r="L69" i="41"/>
  <c r="L103" i="41"/>
  <c r="L123" i="41"/>
  <c r="L118" i="41"/>
  <c r="L139" i="41"/>
  <c r="L8" i="41"/>
  <c r="L66" i="41"/>
  <c r="L144" i="41"/>
  <c r="L35" i="41"/>
  <c r="L25" i="41"/>
  <c r="L67" i="41"/>
  <c r="L113" i="41"/>
  <c r="L31" i="41"/>
  <c r="L47" i="41"/>
  <c r="L63" i="41"/>
  <c r="A38" i="41"/>
  <c r="L105" i="41"/>
  <c r="L121" i="41"/>
  <c r="L15" i="41"/>
  <c r="L106" i="41"/>
  <c r="L7" i="41"/>
  <c r="L70" i="41"/>
  <c r="L40" i="41"/>
  <c r="L58" i="41"/>
  <c r="L73" i="41"/>
  <c r="L85" i="41"/>
  <c r="L99" i="41"/>
  <c r="L115" i="41"/>
  <c r="L9" i="41"/>
  <c r="L12" i="41"/>
  <c r="L133" i="41"/>
  <c r="L59" i="41"/>
  <c r="L83" i="41"/>
  <c r="L104" i="41"/>
  <c r="L120" i="41"/>
  <c r="L149" i="41"/>
  <c r="A46" i="41"/>
  <c r="L11" i="41"/>
  <c r="L71" i="41"/>
  <c r="L109" i="41"/>
  <c r="L137" i="41"/>
  <c r="L146" i="41"/>
  <c r="L10" i="41"/>
  <c r="L48" i="41"/>
  <c r="L88" i="41"/>
  <c r="L39" i="41"/>
  <c r="A42" i="41"/>
  <c r="L19" i="41"/>
  <c r="L128" i="41"/>
  <c r="L38" i="41"/>
  <c r="L21" i="41"/>
  <c r="L53" i="41"/>
  <c r="L77" i="41"/>
  <c r="L36" i="41"/>
  <c r="L92" i="41"/>
  <c r="L108" i="41"/>
  <c r="L132" i="41"/>
  <c r="L152" i="41"/>
  <c r="L65" i="41"/>
  <c r="L32" i="41"/>
  <c r="L64" i="41"/>
  <c r="L94" i="41"/>
  <c r="L110" i="41"/>
  <c r="L129" i="41"/>
  <c r="L143" i="41"/>
  <c r="L23" i="41"/>
  <c r="L75" i="41"/>
  <c r="L22" i="41"/>
  <c r="L41" i="41"/>
  <c r="L45" i="41"/>
  <c r="L87" i="41"/>
  <c r="L97" i="41"/>
  <c r="L33" i="41"/>
  <c r="L84" i="41"/>
  <c r="L127" i="41"/>
  <c r="L148" i="41"/>
  <c r="L26" i="41"/>
  <c r="L62" i="41"/>
  <c r="L116" i="41"/>
  <c r="L51" i="41"/>
  <c r="L28" i="41"/>
  <c r="L111" i="41"/>
  <c r="L42" i="41"/>
  <c r="L126" i="41"/>
  <c r="A19" i="41"/>
  <c r="L34" i="41"/>
  <c r="L142" i="41"/>
  <c r="L74" i="41"/>
  <c r="A26" i="41"/>
  <c r="A33" i="41"/>
  <c r="A41" i="41"/>
  <c r="A39" i="41"/>
  <c r="A30" i="41"/>
  <c r="A24" i="41"/>
  <c r="A15" i="41"/>
  <c r="A36" i="41"/>
  <c r="A31" i="41"/>
  <c r="A27" i="41"/>
  <c r="A133" i="41"/>
  <c r="A52" i="41"/>
  <c r="A48" i="41"/>
  <c r="A20" i="41"/>
  <c r="A49" i="41"/>
  <c r="A21" i="41"/>
  <c r="A12" i="41"/>
  <c r="A16" i="41"/>
  <c r="A43" i="41"/>
  <c r="A25" i="41"/>
  <c r="A47" i="41"/>
  <c r="A18" i="41"/>
  <c r="A10" i="41"/>
  <c r="A37" i="41"/>
  <c r="A11" i="41"/>
  <c r="A23" i="41"/>
  <c r="A29" i="41"/>
  <c r="A14" i="41"/>
  <c r="A9" i="41"/>
  <c r="A13" i="41"/>
  <c r="A40" i="41"/>
  <c r="A28" i="41"/>
  <c r="A32" i="41"/>
  <c r="A34" i="41"/>
  <c r="A8" i="41"/>
  <c r="A17" i="41"/>
  <c r="A22" i="41"/>
  <c r="A7" i="41"/>
  <c r="M50" i="4"/>
  <c r="M42" i="4"/>
  <c r="M39" i="4"/>
  <c r="M11" i="4"/>
  <c r="B50" i="4"/>
  <c r="A50" i="4" s="1"/>
  <c r="D50" i="4"/>
  <c r="C50" i="4" s="1"/>
  <c r="B42" i="4"/>
  <c r="A42" i="4" s="1"/>
  <c r="D42" i="4"/>
  <c r="C42" i="4" s="1"/>
  <c r="B39" i="4"/>
  <c r="A39" i="4" s="1"/>
  <c r="B11" i="4"/>
  <c r="A11" i="4" s="1"/>
  <c r="D11" i="4"/>
  <c r="C11" i="4" s="1"/>
  <c r="A156" i="41" l="1"/>
  <c r="Y116" i="4"/>
  <c r="P7" i="4"/>
  <c r="Q7" i="4"/>
  <c r="R7" i="4"/>
  <c r="S7" i="4"/>
  <c r="T7" i="4"/>
  <c r="U7" i="4"/>
  <c r="V7" i="4"/>
  <c r="W7" i="4"/>
  <c r="X7" i="4"/>
  <c r="Y7" i="4"/>
  <c r="Z7" i="4"/>
  <c r="AV8" i="4"/>
  <c r="BD8" i="4"/>
  <c r="BC8" i="4"/>
  <c r="BB8" i="4"/>
  <c r="AU8" i="4"/>
  <c r="AW8" i="4"/>
  <c r="AX8" i="4"/>
  <c r="AY8" i="4"/>
  <c r="BA8" i="4"/>
  <c r="BC11" i="4" l="1"/>
  <c r="BC13" i="4"/>
  <c r="BC17" i="4"/>
  <c r="BC16" i="4"/>
  <c r="BC18" i="4"/>
  <c r="BC20" i="4"/>
  <c r="BC15" i="4"/>
  <c r="BC19" i="4"/>
  <c r="BC31" i="4"/>
  <c r="BC33" i="4"/>
  <c r="BC32" i="4"/>
  <c r="BC29" i="4"/>
  <c r="BC36" i="4"/>
  <c r="BC30" i="4"/>
  <c r="BC40" i="4"/>
  <c r="BC43" i="4"/>
  <c r="BC46" i="4"/>
  <c r="BC50" i="4"/>
  <c r="BC47" i="4"/>
  <c r="BC53" i="4"/>
  <c r="BC37" i="4"/>
  <c r="BC56" i="4"/>
  <c r="BC59" i="4"/>
  <c r="BC61" i="4"/>
  <c r="BC62" i="4"/>
  <c r="BC64" i="4"/>
  <c r="BC66" i="4"/>
  <c r="BC67" i="4"/>
  <c r="BC38" i="4"/>
  <c r="BC9" i="4"/>
  <c r="BC12" i="4"/>
  <c r="BC10" i="4"/>
  <c r="BC26" i="4"/>
  <c r="BC25" i="4"/>
  <c r="BC21" i="4"/>
  <c r="BC22" i="4"/>
  <c r="BC27" i="4"/>
  <c r="BC28" i="4"/>
  <c r="BC14" i="4"/>
  <c r="BC35" i="4"/>
  <c r="BC23" i="4"/>
  <c r="BC34" i="4"/>
  <c r="BC24" i="4"/>
  <c r="BC41" i="4"/>
  <c r="BC45" i="4"/>
  <c r="BC49" i="4"/>
  <c r="BC51" i="4"/>
  <c r="BC52" i="4"/>
  <c r="BC54" i="4"/>
  <c r="BC55" i="4"/>
  <c r="BC57" i="4"/>
  <c r="BC60" i="4"/>
  <c r="BC42" i="4"/>
  <c r="BC63" i="4"/>
  <c r="BC65" i="4"/>
  <c r="BC39" i="4"/>
  <c r="BC68" i="4"/>
  <c r="BC70" i="4"/>
  <c r="BC76" i="4"/>
  <c r="BC77" i="4"/>
  <c r="BC79" i="4"/>
  <c r="BC81" i="4"/>
  <c r="BC83" i="4"/>
  <c r="BC85" i="4"/>
  <c r="BC87" i="4"/>
  <c r="BC89" i="4"/>
  <c r="BC71" i="4"/>
  <c r="BC91" i="4"/>
  <c r="BC93" i="4"/>
  <c r="BC44" i="4"/>
  <c r="BC96" i="4"/>
  <c r="BC98" i="4"/>
  <c r="BC100" i="4"/>
  <c r="BC102" i="4"/>
  <c r="BC104" i="4"/>
  <c r="BC105" i="4"/>
  <c r="BC106" i="4"/>
  <c r="BC108" i="4"/>
  <c r="BC110" i="4"/>
  <c r="BC112" i="4"/>
  <c r="BC113" i="4"/>
  <c r="BC115" i="4"/>
  <c r="BC69" i="4"/>
  <c r="BC72" i="4"/>
  <c r="BC73" i="4"/>
  <c r="BC78" i="4"/>
  <c r="BC80" i="4"/>
  <c r="BC82" i="4"/>
  <c r="BC84" i="4"/>
  <c r="BC86" i="4"/>
  <c r="BC88" i="4"/>
  <c r="BC90" i="4"/>
  <c r="BC58" i="4"/>
  <c r="BC92" i="4"/>
  <c r="BC94" i="4"/>
  <c r="BC95" i="4"/>
  <c r="BC97" i="4"/>
  <c r="BC99" i="4"/>
  <c r="BC101" i="4"/>
  <c r="BC103" i="4"/>
  <c r="BC48" i="4"/>
  <c r="BC74" i="4"/>
  <c r="BC107" i="4"/>
  <c r="BC109" i="4"/>
  <c r="BC111" i="4"/>
  <c r="BC75" i="4"/>
  <c r="BC114" i="4"/>
  <c r="BA107" i="4"/>
  <c r="BA101" i="4"/>
  <c r="BA94" i="4"/>
  <c r="BA88" i="4"/>
  <c r="BA80" i="4"/>
  <c r="BA69" i="4"/>
  <c r="BA63" i="4"/>
  <c r="BA55" i="4"/>
  <c r="BA49" i="4"/>
  <c r="BA34" i="4"/>
  <c r="BA28" i="4"/>
  <c r="BA25" i="4"/>
  <c r="BA9" i="4"/>
  <c r="BA110" i="4"/>
  <c r="BA104" i="4"/>
  <c r="BA96" i="4"/>
  <c r="BA71" i="4"/>
  <c r="BA83" i="4"/>
  <c r="BA76" i="4"/>
  <c r="BA66" i="4"/>
  <c r="BA59" i="4"/>
  <c r="BA47" i="4"/>
  <c r="BA40" i="4"/>
  <c r="BA32" i="4"/>
  <c r="BA15" i="4"/>
  <c r="BA17" i="4"/>
  <c r="BA114" i="4"/>
  <c r="BA75" i="4"/>
  <c r="BA74" i="4"/>
  <c r="BA99" i="4"/>
  <c r="BA92" i="4"/>
  <c r="BA86" i="4"/>
  <c r="BA78" i="4"/>
  <c r="BA68" i="4"/>
  <c r="BA42" i="4"/>
  <c r="BA54" i="4"/>
  <c r="BA45" i="4"/>
  <c r="BA23" i="4"/>
  <c r="BA27" i="4"/>
  <c r="BA26" i="4"/>
  <c r="BA115" i="4"/>
  <c r="BA108" i="4"/>
  <c r="BA102" i="4"/>
  <c r="BA44" i="4"/>
  <c r="BA89" i="4"/>
  <c r="BA81" i="4"/>
  <c r="BA70" i="4"/>
  <c r="BA64" i="4"/>
  <c r="BA56" i="4"/>
  <c r="BA50" i="4"/>
  <c r="BA30" i="4"/>
  <c r="BA33" i="4"/>
  <c r="BA20" i="4"/>
  <c r="BA13" i="4"/>
  <c r="BA48" i="4"/>
  <c r="BA97" i="4"/>
  <c r="BA58" i="4"/>
  <c r="BA84" i="4"/>
  <c r="BA73" i="4"/>
  <c r="BA39" i="4"/>
  <c r="BA60" i="4"/>
  <c r="BA52" i="4"/>
  <c r="BA41" i="4"/>
  <c r="BA35" i="4"/>
  <c r="BA22" i="4"/>
  <c r="BA10" i="4"/>
  <c r="BA113" i="4"/>
  <c r="BA106" i="4"/>
  <c r="BA100" i="4"/>
  <c r="BA93" i="4"/>
  <c r="BA87" i="4"/>
  <c r="BA79" i="4"/>
  <c r="BA38" i="4"/>
  <c r="BA62" i="4"/>
  <c r="BA37" i="4"/>
  <c r="BA46" i="4"/>
  <c r="BA36" i="4"/>
  <c r="BA31" i="4"/>
  <c r="BA18" i="4"/>
  <c r="BA11" i="4"/>
  <c r="BA111" i="4"/>
  <c r="BA109" i="4"/>
  <c r="BA103" i="4"/>
  <c r="BA95" i="4"/>
  <c r="BA90" i="4"/>
  <c r="BA82" i="4"/>
  <c r="BA72" i="4"/>
  <c r="BA65" i="4"/>
  <c r="BA57" i="4"/>
  <c r="BA51" i="4"/>
  <c r="BA24" i="4"/>
  <c r="BA14" i="4"/>
  <c r="BA21" i="4"/>
  <c r="BA12" i="4"/>
  <c r="BA112" i="4"/>
  <c r="BA105" i="4"/>
  <c r="BA98" i="4"/>
  <c r="BA91" i="4"/>
  <c r="BA85" i="4"/>
  <c r="BA77" i="4"/>
  <c r="BA67" i="4"/>
  <c r="BA61" i="4"/>
  <c r="BA53" i="4"/>
  <c r="BA43" i="4"/>
  <c r="BA29" i="4"/>
  <c r="BA19" i="4"/>
  <c r="BA16" i="4"/>
  <c r="AY71" i="4"/>
  <c r="AY75" i="4"/>
  <c r="AY115" i="4"/>
  <c r="AY109" i="4"/>
  <c r="AY48" i="4"/>
  <c r="AY101" i="4"/>
  <c r="AY97" i="4"/>
  <c r="AY44" i="4"/>
  <c r="AY91" i="4"/>
  <c r="AY88" i="4"/>
  <c r="AY84" i="4"/>
  <c r="AY80" i="4"/>
  <c r="AY73" i="4"/>
  <c r="AY38" i="4"/>
  <c r="AY28" i="4"/>
  <c r="AY62" i="4"/>
  <c r="AY41" i="4"/>
  <c r="AY55" i="4"/>
  <c r="AY52" i="4"/>
  <c r="AY49" i="4"/>
  <c r="AY43" i="4"/>
  <c r="AY36" i="4"/>
  <c r="AY29" i="4"/>
  <c r="AY14" i="4"/>
  <c r="AY21" i="4"/>
  <c r="AY20" i="4"/>
  <c r="AY17" i="4"/>
  <c r="AY63" i="4"/>
  <c r="AY113" i="4"/>
  <c r="AY114" i="4"/>
  <c r="AY110" i="4"/>
  <c r="AY106" i="4"/>
  <c r="AY104" i="4"/>
  <c r="AY100" i="4"/>
  <c r="AY76" i="4"/>
  <c r="AY94" i="4"/>
  <c r="AY58" i="4"/>
  <c r="AY87" i="4"/>
  <c r="AY83" i="4"/>
  <c r="AY79" i="4"/>
  <c r="AY72" i="4"/>
  <c r="AY68" i="4"/>
  <c r="AY66" i="4"/>
  <c r="AY42" i="4"/>
  <c r="AY59" i="4"/>
  <c r="AY37" i="4"/>
  <c r="AY47" i="4"/>
  <c r="AY23" i="4"/>
  <c r="AY30" i="4"/>
  <c r="AY34" i="4"/>
  <c r="AY27" i="4"/>
  <c r="AY32" i="4"/>
  <c r="AY13" i="4"/>
  <c r="AY9" i="4"/>
  <c r="AY10" i="4"/>
  <c r="AY111" i="4"/>
  <c r="AY74" i="4"/>
  <c r="AY103" i="4"/>
  <c r="AY99" i="4"/>
  <c r="AY96" i="4"/>
  <c r="AY93" i="4"/>
  <c r="AY90" i="4"/>
  <c r="AY86" i="4"/>
  <c r="AY82" i="4"/>
  <c r="AY78" i="4"/>
  <c r="AY70" i="4"/>
  <c r="AY67" i="4"/>
  <c r="AY65" i="4"/>
  <c r="AY61" i="4"/>
  <c r="AY57" i="4"/>
  <c r="AY54" i="4"/>
  <c r="AY51" i="4"/>
  <c r="AY46" i="4"/>
  <c r="AY40" i="4"/>
  <c r="AY31" i="4"/>
  <c r="AY33" i="4"/>
  <c r="AY22" i="4"/>
  <c r="AY15" i="4"/>
  <c r="AY18" i="4"/>
  <c r="AY16" i="4"/>
  <c r="AY107" i="4"/>
  <c r="AY112" i="4"/>
  <c r="AY108" i="4"/>
  <c r="AY105" i="4"/>
  <c r="AY102" i="4"/>
  <c r="AY98" i="4"/>
  <c r="AY95" i="4"/>
  <c r="AY92" i="4"/>
  <c r="AY89" i="4"/>
  <c r="AY85" i="4"/>
  <c r="AY81" i="4"/>
  <c r="AY77" i="4"/>
  <c r="AY69" i="4"/>
  <c r="AY39" i="4"/>
  <c r="AY64" i="4"/>
  <c r="AY60" i="4"/>
  <c r="AY56" i="4"/>
  <c r="AY53" i="4"/>
  <c r="AY50" i="4"/>
  <c r="AY45" i="4"/>
  <c r="AY24" i="4"/>
  <c r="AY19" i="4"/>
  <c r="AY35" i="4"/>
  <c r="AY26" i="4"/>
  <c r="AY12" i="4"/>
  <c r="AY25" i="4"/>
  <c r="AY11" i="4"/>
  <c r="AW75" i="4"/>
  <c r="AW71" i="4"/>
  <c r="AW63" i="4"/>
  <c r="AW21" i="4"/>
  <c r="AW44" i="4"/>
  <c r="AW66" i="4"/>
  <c r="AW65" i="4"/>
  <c r="AW47" i="4"/>
  <c r="AW49" i="4"/>
  <c r="AW113" i="4"/>
  <c r="AW112" i="4"/>
  <c r="AW108" i="4"/>
  <c r="AW74" i="4"/>
  <c r="AW104" i="4"/>
  <c r="AW100" i="4"/>
  <c r="AW76" i="4"/>
  <c r="AW94" i="4"/>
  <c r="AW58" i="4"/>
  <c r="AW88" i="4"/>
  <c r="AW84" i="4"/>
  <c r="AW80" i="4"/>
  <c r="AW68" i="4"/>
  <c r="AW70" i="4"/>
  <c r="AW39" i="4"/>
  <c r="AW61" i="4"/>
  <c r="AW59" i="4"/>
  <c r="AW54" i="4"/>
  <c r="AW31" i="4"/>
  <c r="AW46" i="4"/>
  <c r="AW33" i="4"/>
  <c r="AW34" i="4"/>
  <c r="AW18" i="4"/>
  <c r="AW15" i="4"/>
  <c r="AW11" i="4"/>
  <c r="AW111" i="4"/>
  <c r="AW19" i="4"/>
  <c r="AW105" i="4"/>
  <c r="AW103" i="4"/>
  <c r="AW99" i="4"/>
  <c r="AW37" i="4"/>
  <c r="AW93" i="4"/>
  <c r="AW90" i="4"/>
  <c r="AW87" i="4"/>
  <c r="AW83" i="4"/>
  <c r="AW79" i="4"/>
  <c r="AW24" i="4"/>
  <c r="AW69" i="4"/>
  <c r="AW28" i="4"/>
  <c r="AW12" i="4"/>
  <c r="AW57" i="4"/>
  <c r="AW53" i="4"/>
  <c r="AW36" i="4"/>
  <c r="AW45" i="4"/>
  <c r="AW30" i="4"/>
  <c r="AW16" i="4"/>
  <c r="AW14" i="4"/>
  <c r="AW26" i="4"/>
  <c r="AW9" i="4"/>
  <c r="AW114" i="4"/>
  <c r="AW110" i="4"/>
  <c r="AW107" i="4"/>
  <c r="AW48" i="4"/>
  <c r="AW102" i="4"/>
  <c r="AW98" i="4"/>
  <c r="AW96" i="4"/>
  <c r="AW92" i="4"/>
  <c r="AW89" i="4"/>
  <c r="AW86" i="4"/>
  <c r="AW82" i="4"/>
  <c r="AW78" i="4"/>
  <c r="AW73" i="4"/>
  <c r="AW38" i="4"/>
  <c r="AW62" i="4"/>
  <c r="AW60" i="4"/>
  <c r="AW56" i="4"/>
  <c r="AW52" i="4"/>
  <c r="AW50" i="4"/>
  <c r="AW43" i="4"/>
  <c r="AW40" i="4"/>
  <c r="AW22" i="4"/>
  <c r="AW25" i="4"/>
  <c r="AW10" i="4"/>
  <c r="AW115" i="4"/>
  <c r="AW109" i="4"/>
  <c r="AW106" i="4"/>
  <c r="AW32" i="4"/>
  <c r="AW101" i="4"/>
  <c r="AW97" i="4"/>
  <c r="AW95" i="4"/>
  <c r="AW91" i="4"/>
  <c r="AW64" i="4"/>
  <c r="AW85" i="4"/>
  <c r="AW81" i="4"/>
  <c r="AW77" i="4"/>
  <c r="AW72" i="4"/>
  <c r="AW67" i="4"/>
  <c r="AW42" i="4"/>
  <c r="AW41" i="4"/>
  <c r="AW55" i="4"/>
  <c r="AW51" i="4"/>
  <c r="AW23" i="4"/>
  <c r="AW27" i="4"/>
  <c r="AW13" i="4"/>
  <c r="AW35" i="4"/>
  <c r="AW17" i="4"/>
  <c r="AW20" i="4"/>
  <c r="AW29" i="4"/>
  <c r="AU71" i="4"/>
  <c r="AU75" i="4"/>
  <c r="AU110" i="4"/>
  <c r="AU104" i="4"/>
  <c r="AU112" i="4"/>
  <c r="AU106" i="4"/>
  <c r="AU102" i="4"/>
  <c r="AU37" i="4"/>
  <c r="AU58" i="4"/>
  <c r="AU85" i="4"/>
  <c r="AU12" i="4"/>
  <c r="AU36" i="4"/>
  <c r="AU11" i="4"/>
  <c r="AU109" i="4"/>
  <c r="AU48" i="4"/>
  <c r="AU100" i="4"/>
  <c r="AU93" i="4"/>
  <c r="AU88" i="4"/>
  <c r="AU17" i="4"/>
  <c r="AU42" i="4"/>
  <c r="AU50" i="4"/>
  <c r="AU35" i="4"/>
  <c r="AU82" i="4"/>
  <c r="AU78" i="4"/>
  <c r="AU60" i="4"/>
  <c r="AU70" i="4"/>
  <c r="AU69" i="4"/>
  <c r="AU45" i="4"/>
  <c r="AU29" i="4"/>
  <c r="AU47" i="4"/>
  <c r="AU114" i="4"/>
  <c r="AU24" i="4"/>
  <c r="AU95" i="4"/>
  <c r="AU73" i="4"/>
  <c r="AU18" i="4"/>
  <c r="AU41" i="4"/>
  <c r="AU22" i="4"/>
  <c r="AU115" i="4"/>
  <c r="AU19" i="4"/>
  <c r="AU16" i="4"/>
  <c r="AU98" i="4"/>
  <c r="AU91" i="4"/>
  <c r="AU86" i="4"/>
  <c r="AU25" i="4"/>
  <c r="AU56" i="4"/>
  <c r="AU14" i="4"/>
  <c r="AU20" i="4"/>
  <c r="AU81" i="4"/>
  <c r="AU77" i="4"/>
  <c r="AU54" i="4"/>
  <c r="AU62" i="4"/>
  <c r="AU38" i="4"/>
  <c r="AU61" i="4"/>
  <c r="AU66" i="4"/>
  <c r="AU63" i="4"/>
  <c r="AU105" i="4"/>
  <c r="AU13" i="4"/>
  <c r="AU108" i="4"/>
  <c r="AU32" i="4"/>
  <c r="AU99" i="4"/>
  <c r="AU94" i="4"/>
  <c r="AU64" i="4"/>
  <c r="AU67" i="4"/>
  <c r="AU55" i="4"/>
  <c r="AU34" i="4"/>
  <c r="AU113" i="4"/>
  <c r="AU107" i="4"/>
  <c r="AU103" i="4"/>
  <c r="AU76" i="4"/>
  <c r="AU90" i="4"/>
  <c r="AU84" i="4"/>
  <c r="AU39" i="4"/>
  <c r="AU31" i="4"/>
  <c r="AU15" i="4"/>
  <c r="AU10" i="4"/>
  <c r="AU80" i="4"/>
  <c r="AU68" i="4"/>
  <c r="AU46" i="4"/>
  <c r="AU59" i="4"/>
  <c r="AU57" i="4"/>
  <c r="AU43" i="4"/>
  <c r="AU65" i="4"/>
  <c r="AU21" i="4"/>
  <c r="AU27" i="4"/>
  <c r="AU97" i="4"/>
  <c r="AU92" i="4"/>
  <c r="AU87" i="4"/>
  <c r="AU28" i="4"/>
  <c r="AU33" i="4"/>
  <c r="AU9" i="4"/>
  <c r="AU111" i="4"/>
  <c r="AU74" i="4"/>
  <c r="AU101" i="4"/>
  <c r="AU96" i="4"/>
  <c r="AU89" i="4"/>
  <c r="AU23" i="4"/>
  <c r="AU30" i="4"/>
  <c r="AU51" i="4"/>
  <c r="AU26" i="4"/>
  <c r="AU83" i="4"/>
  <c r="AU79" i="4"/>
  <c r="AU72" i="4"/>
  <c r="AU40" i="4"/>
  <c r="AU53" i="4"/>
  <c r="AU52" i="4"/>
  <c r="AU44" i="4"/>
  <c r="AU49" i="4"/>
  <c r="BD9" i="4"/>
  <c r="BD12" i="4"/>
  <c r="BD10" i="4"/>
  <c r="BD26" i="4"/>
  <c r="BD25" i="4"/>
  <c r="BD21" i="4"/>
  <c r="BD22" i="4"/>
  <c r="BD27" i="4"/>
  <c r="BD28" i="4"/>
  <c r="BD14" i="4"/>
  <c r="BD35" i="4"/>
  <c r="BD23" i="4"/>
  <c r="BD34" i="4"/>
  <c r="BD24" i="4"/>
  <c r="BD41" i="4"/>
  <c r="BD45" i="4"/>
  <c r="BD49" i="4"/>
  <c r="BD51" i="4"/>
  <c r="BD52" i="4"/>
  <c r="BD54" i="4"/>
  <c r="BD55" i="4"/>
  <c r="BD57" i="4"/>
  <c r="BD60" i="4"/>
  <c r="BD42" i="4"/>
  <c r="BD63" i="4"/>
  <c r="BD65" i="4"/>
  <c r="BD39" i="4"/>
  <c r="BD68" i="4"/>
  <c r="BD11" i="4"/>
  <c r="BD13" i="4"/>
  <c r="BD17" i="4"/>
  <c r="BD16" i="4"/>
  <c r="BD18" i="4"/>
  <c r="BD20" i="4"/>
  <c r="BD15" i="4"/>
  <c r="BD19" i="4"/>
  <c r="BD31" i="4"/>
  <c r="BD33" i="4"/>
  <c r="BD32" i="4"/>
  <c r="BD29" i="4"/>
  <c r="BD36" i="4"/>
  <c r="BD30" i="4"/>
  <c r="BD40" i="4"/>
  <c r="BD43" i="4"/>
  <c r="BD46" i="4"/>
  <c r="BD50" i="4"/>
  <c r="BD47" i="4"/>
  <c r="BD53" i="4"/>
  <c r="BD37" i="4"/>
  <c r="BD56" i="4"/>
  <c r="BD59" i="4"/>
  <c r="BD61" i="4"/>
  <c r="BD62" i="4"/>
  <c r="BD64" i="4"/>
  <c r="BD66" i="4"/>
  <c r="BD67" i="4"/>
  <c r="BD69" i="4"/>
  <c r="BD72" i="4"/>
  <c r="BD73" i="4"/>
  <c r="BD78" i="4"/>
  <c r="BD80" i="4"/>
  <c r="BD82" i="4"/>
  <c r="BD84" i="4"/>
  <c r="BD86" i="4"/>
  <c r="BD88" i="4"/>
  <c r="BD90" i="4"/>
  <c r="BD58" i="4"/>
  <c r="BD92" i="4"/>
  <c r="BD94" i="4"/>
  <c r="BD95" i="4"/>
  <c r="BD97" i="4"/>
  <c r="BD99" i="4"/>
  <c r="BD101" i="4"/>
  <c r="BD103" i="4"/>
  <c r="BD48" i="4"/>
  <c r="BD74" i="4"/>
  <c r="BD107" i="4"/>
  <c r="BD109" i="4"/>
  <c r="BD111" i="4"/>
  <c r="BD75" i="4"/>
  <c r="BD114" i="4"/>
  <c r="BD38" i="4"/>
  <c r="BD70" i="4"/>
  <c r="BD76" i="4"/>
  <c r="BD77" i="4"/>
  <c r="BD79" i="4"/>
  <c r="BD81" i="4"/>
  <c r="BD83" i="4"/>
  <c r="BD85" i="4"/>
  <c r="BD87" i="4"/>
  <c r="BD89" i="4"/>
  <c r="BD71" i="4"/>
  <c r="BD91" i="4"/>
  <c r="BD93" i="4"/>
  <c r="BD44" i="4"/>
  <c r="BD96" i="4"/>
  <c r="BD98" i="4"/>
  <c r="BD100" i="4"/>
  <c r="BD102" i="4"/>
  <c r="BD104" i="4"/>
  <c r="BD105" i="4"/>
  <c r="BD106" i="4"/>
  <c r="BD108" i="4"/>
  <c r="BD110" i="4"/>
  <c r="BD112" i="4"/>
  <c r="BD113" i="4"/>
  <c r="BD115" i="4"/>
  <c r="BB9" i="4"/>
  <c r="BB12" i="4"/>
  <c r="BB10" i="4"/>
  <c r="BB26" i="4"/>
  <c r="BB25" i="4"/>
  <c r="BB21" i="4"/>
  <c r="BB22" i="4"/>
  <c r="BB27" i="4"/>
  <c r="BB28" i="4"/>
  <c r="BB14" i="4"/>
  <c r="BB35" i="4"/>
  <c r="BB23" i="4"/>
  <c r="BB34" i="4"/>
  <c r="BB24" i="4"/>
  <c r="BB41" i="4"/>
  <c r="BB45" i="4"/>
  <c r="BB49" i="4"/>
  <c r="BB51" i="4"/>
  <c r="BB52" i="4"/>
  <c r="BB54" i="4"/>
  <c r="BB55" i="4"/>
  <c r="BB57" i="4"/>
  <c r="BB60" i="4"/>
  <c r="BB42" i="4"/>
  <c r="BB63" i="4"/>
  <c r="BB65" i="4"/>
  <c r="BB39" i="4"/>
  <c r="BB68" i="4"/>
  <c r="BB11" i="4"/>
  <c r="BB13" i="4"/>
  <c r="BB17" i="4"/>
  <c r="BB16" i="4"/>
  <c r="BB18" i="4"/>
  <c r="BB20" i="4"/>
  <c r="BB15" i="4"/>
  <c r="BB19" i="4"/>
  <c r="BB31" i="4"/>
  <c r="BB33" i="4"/>
  <c r="BB32" i="4"/>
  <c r="BB29" i="4"/>
  <c r="BB36" i="4"/>
  <c r="BB30" i="4"/>
  <c r="BB40" i="4"/>
  <c r="BB43" i="4"/>
  <c r="BB46" i="4"/>
  <c r="BB50" i="4"/>
  <c r="BB47" i="4"/>
  <c r="BB53" i="4"/>
  <c r="BB37" i="4"/>
  <c r="BB56" i="4"/>
  <c r="BB59" i="4"/>
  <c r="BB61" i="4"/>
  <c r="BB62" i="4"/>
  <c r="BB64" i="4"/>
  <c r="BB66" i="4"/>
  <c r="BB67" i="4"/>
  <c r="BB38" i="4"/>
  <c r="BB69" i="4"/>
  <c r="BB72" i="4"/>
  <c r="BB73" i="4"/>
  <c r="BB78" i="4"/>
  <c r="BB80" i="4"/>
  <c r="BB82" i="4"/>
  <c r="BB84" i="4"/>
  <c r="BB86" i="4"/>
  <c r="BB88" i="4"/>
  <c r="BB90" i="4"/>
  <c r="BB58" i="4"/>
  <c r="BB92" i="4"/>
  <c r="BB94" i="4"/>
  <c r="BB95" i="4"/>
  <c r="BB97" i="4"/>
  <c r="BB99" i="4"/>
  <c r="BB101" i="4"/>
  <c r="BB103" i="4"/>
  <c r="BB48" i="4"/>
  <c r="BB74" i="4"/>
  <c r="BB107" i="4"/>
  <c r="BB109" i="4"/>
  <c r="BB111" i="4"/>
  <c r="BB75" i="4"/>
  <c r="BB114" i="4"/>
  <c r="BB70" i="4"/>
  <c r="BB76" i="4"/>
  <c r="BB77" i="4"/>
  <c r="BB79" i="4"/>
  <c r="BB81" i="4"/>
  <c r="BB83" i="4"/>
  <c r="BB85" i="4"/>
  <c r="BB87" i="4"/>
  <c r="BB89" i="4"/>
  <c r="BB71" i="4"/>
  <c r="BB91" i="4"/>
  <c r="BB93" i="4"/>
  <c r="BB44" i="4"/>
  <c r="BB96" i="4"/>
  <c r="BB98" i="4"/>
  <c r="BB100" i="4"/>
  <c r="BB102" i="4"/>
  <c r="BB104" i="4"/>
  <c r="BB105" i="4"/>
  <c r="BB106" i="4"/>
  <c r="BB108" i="4"/>
  <c r="BB110" i="4"/>
  <c r="BB112" i="4"/>
  <c r="BB113" i="4"/>
  <c r="BB115" i="4"/>
  <c r="AZ11" i="4"/>
  <c r="AZ13" i="4"/>
  <c r="AZ33" i="4"/>
  <c r="AZ50" i="4"/>
  <c r="AZ51" i="4"/>
  <c r="AZ82" i="4"/>
  <c r="AZ110" i="4"/>
  <c r="AZ115" i="4"/>
  <c r="AZ78" i="4"/>
  <c r="AZ94" i="4"/>
  <c r="AZ54" i="4"/>
  <c r="AZ114" i="4"/>
  <c r="AZ17" i="4"/>
  <c r="AZ32" i="4"/>
  <c r="AZ47" i="4"/>
  <c r="AZ67" i="4"/>
  <c r="AZ85" i="4"/>
  <c r="AZ99" i="4"/>
  <c r="AZ113" i="4"/>
  <c r="AZ22" i="4"/>
  <c r="AZ41" i="4"/>
  <c r="AZ60" i="4"/>
  <c r="AZ73" i="4"/>
  <c r="AZ91" i="4"/>
  <c r="AZ105" i="4"/>
  <c r="AZ37" i="4"/>
  <c r="AZ76" i="4"/>
  <c r="AZ48" i="4"/>
  <c r="AZ16" i="4"/>
  <c r="AZ29" i="4"/>
  <c r="AZ53" i="4"/>
  <c r="AZ31" i="4"/>
  <c r="AZ46" i="4"/>
  <c r="AZ64" i="4"/>
  <c r="AZ81" i="4"/>
  <c r="AZ95" i="4"/>
  <c r="AZ109" i="4"/>
  <c r="AZ25" i="4"/>
  <c r="AZ34" i="4"/>
  <c r="AZ55" i="4"/>
  <c r="AZ69" i="4"/>
  <c r="AZ88" i="4"/>
  <c r="AZ102" i="4"/>
  <c r="AZ59" i="4"/>
  <c r="AZ83" i="4"/>
  <c r="AZ111" i="4"/>
  <c r="AZ24" i="4"/>
  <c r="AZ72" i="4"/>
  <c r="AZ104" i="4"/>
  <c r="AZ101" i="4"/>
  <c r="AZ42" i="4"/>
  <c r="AZ79" i="4"/>
  <c r="AZ23" i="4"/>
  <c r="AZ100" i="4"/>
  <c r="AZ20" i="4"/>
  <c r="AZ30" i="4"/>
  <c r="AZ14" i="4"/>
  <c r="AZ65" i="4"/>
  <c r="AZ96" i="4"/>
  <c r="AZ87" i="4"/>
  <c r="AZ45" i="4"/>
  <c r="AZ106" i="4"/>
  <c r="AZ26" i="4"/>
  <c r="AZ86" i="4"/>
  <c r="AZ71" i="4"/>
  <c r="AZ15" i="4"/>
  <c r="AZ36" i="4"/>
  <c r="AZ61" i="4"/>
  <c r="AZ77" i="4"/>
  <c r="AZ92" i="4"/>
  <c r="AZ74" i="4"/>
  <c r="AZ10" i="4"/>
  <c r="AZ35" i="4"/>
  <c r="AZ52" i="4"/>
  <c r="AZ39" i="4"/>
  <c r="AZ84" i="4"/>
  <c r="AZ98" i="4"/>
  <c r="AZ112" i="4"/>
  <c r="AZ62" i="4"/>
  <c r="AZ58" i="4"/>
  <c r="AZ12" i="4"/>
  <c r="AZ19" i="4"/>
  <c r="AZ43" i="4"/>
  <c r="AZ18" i="4"/>
  <c r="AZ40" i="4"/>
  <c r="AZ56" i="4"/>
  <c r="AZ70" i="4"/>
  <c r="AZ89" i="4"/>
  <c r="AZ103" i="4"/>
  <c r="AZ9" i="4"/>
  <c r="AZ28" i="4"/>
  <c r="AZ49" i="4"/>
  <c r="AZ63" i="4"/>
  <c r="AZ80" i="4"/>
  <c r="AZ44" i="4"/>
  <c r="AZ108" i="4"/>
  <c r="AZ66" i="4"/>
  <c r="AZ97" i="4"/>
  <c r="AZ21" i="4"/>
  <c r="AZ57" i="4"/>
  <c r="AZ90" i="4"/>
  <c r="AZ38" i="4"/>
  <c r="AZ27" i="4"/>
  <c r="AZ93" i="4"/>
  <c r="AZ107" i="4"/>
  <c r="AZ68" i="4"/>
  <c r="AZ75" i="4"/>
  <c r="AX75" i="4"/>
  <c r="AX71" i="4"/>
  <c r="AX113" i="4"/>
  <c r="AX111" i="4"/>
  <c r="AX48" i="4"/>
  <c r="AX97" i="4"/>
  <c r="AX47" i="4"/>
  <c r="AX89" i="4"/>
  <c r="AX81" i="4"/>
  <c r="AX70" i="4"/>
  <c r="AX62" i="4"/>
  <c r="AX55" i="4"/>
  <c r="AX46" i="4"/>
  <c r="AX36" i="4"/>
  <c r="AX16" i="4"/>
  <c r="AX25" i="4"/>
  <c r="AX108" i="4"/>
  <c r="AX102" i="4"/>
  <c r="AX96" i="4"/>
  <c r="AX93" i="4"/>
  <c r="AX86" i="4"/>
  <c r="AX78" i="4"/>
  <c r="AX68" i="4"/>
  <c r="AX60" i="4"/>
  <c r="AX52" i="4"/>
  <c r="AX43" i="4"/>
  <c r="AX22" i="4"/>
  <c r="AX26" i="4"/>
  <c r="AX21" i="4"/>
  <c r="AX74" i="4"/>
  <c r="AX99" i="4"/>
  <c r="AX65" i="4"/>
  <c r="AX58" i="4"/>
  <c r="AX83" i="4"/>
  <c r="AX73" i="4"/>
  <c r="AX28" i="4"/>
  <c r="AX57" i="4"/>
  <c r="AX23" i="4"/>
  <c r="AX30" i="4"/>
  <c r="AX35" i="4"/>
  <c r="AX15" i="4"/>
  <c r="AX114" i="4"/>
  <c r="AX106" i="4"/>
  <c r="AX100" i="4"/>
  <c r="AX44" i="4"/>
  <c r="AX91" i="4"/>
  <c r="AX84" i="4"/>
  <c r="AX24" i="4"/>
  <c r="AX39" i="4"/>
  <c r="AX59" i="4"/>
  <c r="AX50" i="4"/>
  <c r="AX32" i="4"/>
  <c r="AX33" i="4"/>
  <c r="AX13" i="4"/>
  <c r="AX63" i="4"/>
  <c r="AX115" i="4"/>
  <c r="AX107" i="4"/>
  <c r="AX101" i="4"/>
  <c r="AX95" i="4"/>
  <c r="AX92" i="4"/>
  <c r="AX85" i="4"/>
  <c r="AX77" i="4"/>
  <c r="AX67" i="4"/>
  <c r="AX41" i="4"/>
  <c r="AX51" i="4"/>
  <c r="AX27" i="4"/>
  <c r="AX12" i="4"/>
  <c r="AX17" i="4"/>
  <c r="AX112" i="4"/>
  <c r="AX105" i="4"/>
  <c r="AX98" i="4"/>
  <c r="AX66" i="4"/>
  <c r="AX90" i="4"/>
  <c r="AX82" i="4"/>
  <c r="AX72" i="4"/>
  <c r="AX64" i="4"/>
  <c r="AX56" i="4"/>
  <c r="AX19" i="4"/>
  <c r="AX40" i="4"/>
  <c r="AX14" i="4"/>
  <c r="AX9" i="4"/>
  <c r="AX109" i="4"/>
  <c r="AX103" i="4"/>
  <c r="AX37" i="4"/>
  <c r="AX94" i="4"/>
  <c r="AX87" i="4"/>
  <c r="AX79" i="4"/>
  <c r="AX38" i="4"/>
  <c r="AX61" i="4"/>
  <c r="AX53" i="4"/>
  <c r="AX29" i="4"/>
  <c r="AX31" i="4"/>
  <c r="AX18" i="4"/>
  <c r="AX11" i="4"/>
  <c r="AX110" i="4"/>
  <c r="AX104" i="4"/>
  <c r="AX76" i="4"/>
  <c r="AX49" i="4"/>
  <c r="AX88" i="4"/>
  <c r="AX80" i="4"/>
  <c r="AX69" i="4"/>
  <c r="AX42" i="4"/>
  <c r="AX54" i="4"/>
  <c r="AX45" i="4"/>
  <c r="AX34" i="4"/>
  <c r="AX20" i="4"/>
  <c r="AX10" i="4"/>
  <c r="AV75" i="4"/>
  <c r="AV71" i="4"/>
  <c r="AV63" i="4"/>
  <c r="AV107" i="4"/>
  <c r="AV115" i="4"/>
  <c r="AV19" i="4"/>
  <c r="AV104" i="4"/>
  <c r="AV76" i="4"/>
  <c r="AV90" i="4"/>
  <c r="AV83" i="4"/>
  <c r="AV72" i="4"/>
  <c r="AV59" i="4"/>
  <c r="AV43" i="4"/>
  <c r="AV18" i="4"/>
  <c r="AV55" i="4"/>
  <c r="AV35" i="4"/>
  <c r="AV112" i="4"/>
  <c r="AV106" i="4"/>
  <c r="AV101" i="4"/>
  <c r="AV95" i="4"/>
  <c r="AV89" i="4"/>
  <c r="AV82" i="4"/>
  <c r="AV54" i="4"/>
  <c r="AV69" i="4"/>
  <c r="AV23" i="4"/>
  <c r="AV12" i="4"/>
  <c r="AV36" i="4"/>
  <c r="AV15" i="4"/>
  <c r="AV29" i="4"/>
  <c r="AV44" i="4"/>
  <c r="AV113" i="4"/>
  <c r="AV48" i="4"/>
  <c r="AV96" i="4"/>
  <c r="AV64" i="4"/>
  <c r="AV81" i="4"/>
  <c r="AV60" i="4"/>
  <c r="AV45" i="4"/>
  <c r="AV73" i="4"/>
  <c r="AV30" i="4"/>
  <c r="AV31" i="4"/>
  <c r="AV14" i="4"/>
  <c r="AV114" i="4"/>
  <c r="AV27" i="4"/>
  <c r="AV103" i="4"/>
  <c r="AV37" i="4"/>
  <c r="AV58" i="4"/>
  <c r="AV84" i="4"/>
  <c r="AV68" i="4"/>
  <c r="AV53" i="4"/>
  <c r="AV24" i="4"/>
  <c r="AV42" i="4"/>
  <c r="AV51" i="4"/>
  <c r="AV13" i="4"/>
  <c r="AV10" i="4"/>
  <c r="AV49" i="4"/>
  <c r="AV102" i="4"/>
  <c r="AV111" i="4"/>
  <c r="AV74" i="4"/>
  <c r="AV100" i="4"/>
  <c r="AV93" i="4"/>
  <c r="AV87" i="4"/>
  <c r="AV79" i="4"/>
  <c r="AV46" i="4"/>
  <c r="AV38" i="4"/>
  <c r="AV67" i="4"/>
  <c r="AV25" i="4"/>
  <c r="AV50" i="4"/>
  <c r="AV20" i="4"/>
  <c r="AV108" i="4"/>
  <c r="AV32" i="4"/>
  <c r="AV97" i="4"/>
  <c r="AV92" i="4"/>
  <c r="AV86" i="4"/>
  <c r="AV78" i="4"/>
  <c r="AV62" i="4"/>
  <c r="AV52" i="4"/>
  <c r="AV28" i="4"/>
  <c r="AV17" i="4"/>
  <c r="AV33" i="4"/>
  <c r="AV11" i="4"/>
  <c r="AV47" i="4"/>
  <c r="AV21" i="4"/>
  <c r="AV109" i="4"/>
  <c r="AV98" i="4"/>
  <c r="AV91" i="4"/>
  <c r="AV85" i="4"/>
  <c r="AV77" i="4"/>
  <c r="AV70" i="4"/>
  <c r="AV57" i="4"/>
  <c r="AV39" i="4"/>
  <c r="AV56" i="4"/>
  <c r="AV34" i="4"/>
  <c r="AV26" i="4"/>
  <c r="AV110" i="4"/>
  <c r="AV105" i="4"/>
  <c r="AV99" i="4"/>
  <c r="AV94" i="4"/>
  <c r="AV88" i="4"/>
  <c r="AV80" i="4"/>
  <c r="AV40" i="4"/>
  <c r="AV61" i="4"/>
  <c r="AV16" i="4"/>
  <c r="AV41" i="4"/>
  <c r="AV22" i="4"/>
  <c r="AV9" i="4"/>
  <c r="AV66" i="4"/>
  <c r="AV65" i="4"/>
  <c r="AT75" i="4"/>
  <c r="AT71" i="4"/>
  <c r="AT63" i="4"/>
  <c r="I33" i="2"/>
  <c r="Z5" i="4"/>
  <c r="W5" i="4"/>
  <c r="V5" i="4"/>
  <c r="T5" i="4"/>
  <c r="S5" i="4"/>
  <c r="R5" i="4"/>
  <c r="Q5" i="4"/>
  <c r="AE14" i="21"/>
  <c r="AG14" i="21"/>
  <c r="AI14" i="21"/>
  <c r="AK14" i="21"/>
  <c r="AL14" i="21" s="1"/>
  <c r="AM14" i="21"/>
  <c r="AN14" i="21" s="1"/>
  <c r="AE15" i="21"/>
  <c r="AG15" i="21"/>
  <c r="AI15" i="21"/>
  <c r="AK15" i="21"/>
  <c r="AL15" i="21" s="1"/>
  <c r="AM15" i="21"/>
  <c r="AN15" i="21" s="1"/>
  <c r="AE16" i="21"/>
  <c r="AG16" i="21"/>
  <c r="AI16" i="21"/>
  <c r="AK16" i="21"/>
  <c r="AL16" i="21" s="1"/>
  <c r="AM16" i="21"/>
  <c r="AN16" i="21" s="1"/>
  <c r="AE17" i="21"/>
  <c r="AG17" i="21"/>
  <c r="AI17" i="21"/>
  <c r="AK17" i="21"/>
  <c r="AL17" i="21" s="1"/>
  <c r="AM17" i="21"/>
  <c r="AN17" i="21" s="1"/>
  <c r="AE18" i="21"/>
  <c r="AG18" i="21"/>
  <c r="AI18" i="21"/>
  <c r="AK18" i="21"/>
  <c r="AL18" i="21" s="1"/>
  <c r="AM18" i="21"/>
  <c r="AN18" i="21" s="1"/>
  <c r="AE19" i="21"/>
  <c r="AF19" i="21" s="1"/>
  <c r="AG19" i="21"/>
  <c r="AH19" i="21" s="1"/>
  <c r="AI19" i="21"/>
  <c r="AJ19" i="21" s="1"/>
  <c r="AK19" i="21"/>
  <c r="AL19" i="21" s="1"/>
  <c r="AM19" i="21"/>
  <c r="AN19" i="21" s="1"/>
  <c r="AE21" i="21"/>
  <c r="AF21" i="21" s="1"/>
  <c r="AG21" i="21"/>
  <c r="AH21" i="21" s="1"/>
  <c r="AI21" i="21"/>
  <c r="AJ21" i="21" s="1"/>
  <c r="AK21" i="21"/>
  <c r="AL21" i="21" s="1"/>
  <c r="AM21" i="21"/>
  <c r="AN21" i="21" s="1"/>
  <c r="AE22" i="21"/>
  <c r="AF22" i="21"/>
  <c r="AG22" i="21"/>
  <c r="AH22" i="21"/>
  <c r="AI22" i="21"/>
  <c r="AJ22" i="21"/>
  <c r="AK22" i="21"/>
  <c r="AL22" i="21"/>
  <c r="AM22" i="21"/>
  <c r="AN22" i="21"/>
  <c r="AE23" i="21"/>
  <c r="AF23" i="21" s="1"/>
  <c r="AG23" i="21"/>
  <c r="AH23" i="21" s="1"/>
  <c r="AI23" i="21"/>
  <c r="AJ23" i="21" s="1"/>
  <c r="AK23" i="21"/>
  <c r="AL23" i="21" s="1"/>
  <c r="AM23" i="21"/>
  <c r="AN23" i="21" s="1"/>
  <c r="AE24" i="21"/>
  <c r="AF24" i="21"/>
  <c r="AG24" i="21"/>
  <c r="AH24" i="21"/>
  <c r="AI24" i="21"/>
  <c r="AJ24" i="21"/>
  <c r="AK24" i="21"/>
  <c r="AL24" i="21"/>
  <c r="AM24" i="21"/>
  <c r="AN24" i="21"/>
  <c r="AE25" i="21"/>
  <c r="AF25" i="21" s="1"/>
  <c r="AG25" i="21"/>
  <c r="AH25" i="21" s="1"/>
  <c r="AI25" i="21"/>
  <c r="AJ25" i="21" s="1"/>
  <c r="AK25" i="21"/>
  <c r="AL25" i="21" s="1"/>
  <c r="AM25" i="21"/>
  <c r="AN25" i="21" s="1"/>
  <c r="AE26" i="21"/>
  <c r="AF26" i="21"/>
  <c r="AG26" i="21"/>
  <c r="AH26" i="21"/>
  <c r="AI26" i="21"/>
  <c r="AJ26" i="21"/>
  <c r="AK26" i="21"/>
  <c r="AL26" i="21"/>
  <c r="AM26" i="21"/>
  <c r="AN26" i="21"/>
  <c r="AE27" i="21"/>
  <c r="AF27" i="21" s="1"/>
  <c r="AG27" i="21"/>
  <c r="AH27" i="21" s="1"/>
  <c r="AI27" i="21"/>
  <c r="AJ27" i="21" s="1"/>
  <c r="AK27" i="21"/>
  <c r="AL27" i="21" s="1"/>
  <c r="AM27" i="21"/>
  <c r="AN27" i="21" s="1"/>
  <c r="AE28" i="21"/>
  <c r="AF28" i="21"/>
  <c r="AG28" i="21"/>
  <c r="AH28" i="21"/>
  <c r="AI28" i="21"/>
  <c r="AJ28" i="21"/>
  <c r="AK28" i="21"/>
  <c r="AL28" i="21"/>
  <c r="AM28" i="21"/>
  <c r="AN28" i="21"/>
  <c r="AE29" i="21"/>
  <c r="AF29" i="21" s="1"/>
  <c r="AG29" i="21"/>
  <c r="AH29" i="21" s="1"/>
  <c r="AI29" i="21"/>
  <c r="AJ29" i="21" s="1"/>
  <c r="AK29" i="21"/>
  <c r="AL29" i="21" s="1"/>
  <c r="AM29" i="21"/>
  <c r="AN29" i="21" s="1"/>
  <c r="AE30" i="21"/>
  <c r="AF30" i="21"/>
  <c r="AG30" i="21"/>
  <c r="AH30" i="21"/>
  <c r="AI30" i="21"/>
  <c r="AJ30" i="21"/>
  <c r="AK30" i="21"/>
  <c r="AL30" i="21"/>
  <c r="AM30" i="21"/>
  <c r="AN30" i="21"/>
  <c r="AE31" i="21"/>
  <c r="AF31" i="21" s="1"/>
  <c r="AG31" i="21"/>
  <c r="AH31" i="21" s="1"/>
  <c r="AI31" i="21"/>
  <c r="AJ31" i="21" s="1"/>
  <c r="AK31" i="21"/>
  <c r="AL31" i="21" s="1"/>
  <c r="AM31" i="21"/>
  <c r="AN31" i="21" s="1"/>
  <c r="AE32" i="21"/>
  <c r="AF32" i="21"/>
  <c r="AG32" i="21"/>
  <c r="AH32" i="21"/>
  <c r="AI32" i="21"/>
  <c r="AJ32" i="21"/>
  <c r="AK32" i="21"/>
  <c r="AL32" i="21"/>
  <c r="AM32" i="21"/>
  <c r="AN32" i="21"/>
  <c r="AE33" i="21"/>
  <c r="AF33" i="21" s="1"/>
  <c r="AG33" i="21"/>
  <c r="AH33" i="21" s="1"/>
  <c r="AI33" i="21"/>
  <c r="AJ33" i="21" s="1"/>
  <c r="AK33" i="21"/>
  <c r="AL33" i="21" s="1"/>
  <c r="AM33" i="21"/>
  <c r="AN33" i="21" s="1"/>
  <c r="AE34" i="21"/>
  <c r="AF34" i="21"/>
  <c r="AG34" i="21"/>
  <c r="AH34" i="21"/>
  <c r="AI34" i="21"/>
  <c r="AJ34" i="21"/>
  <c r="AK34" i="21"/>
  <c r="AL34" i="21"/>
  <c r="AM34" i="21"/>
  <c r="AN34" i="21"/>
  <c r="AE35" i="21"/>
  <c r="AF35" i="21" s="1"/>
  <c r="AG35" i="21"/>
  <c r="AH35" i="21" s="1"/>
  <c r="AI35" i="21"/>
  <c r="AJ35" i="21" s="1"/>
  <c r="AK35" i="21"/>
  <c r="AL35" i="21" s="1"/>
  <c r="AM35" i="21"/>
  <c r="AN35" i="21" s="1"/>
  <c r="AE36" i="21"/>
  <c r="AF36" i="21"/>
  <c r="AG36" i="21"/>
  <c r="AH36" i="21"/>
  <c r="AI36" i="21"/>
  <c r="AJ36" i="21"/>
  <c r="AK36" i="21"/>
  <c r="AL36" i="21"/>
  <c r="AM36" i="21"/>
  <c r="AN36" i="21"/>
  <c r="AE37" i="21"/>
  <c r="AF37" i="21" s="1"/>
  <c r="AG37" i="21"/>
  <c r="AH37" i="21" s="1"/>
  <c r="AI37" i="21"/>
  <c r="AJ37" i="21" s="1"/>
  <c r="AK37" i="21"/>
  <c r="AL37" i="21" s="1"/>
  <c r="AM37" i="21"/>
  <c r="AN37" i="21" s="1"/>
  <c r="AE38" i="21"/>
  <c r="AF38" i="21"/>
  <c r="AG38" i="21"/>
  <c r="AH38" i="21"/>
  <c r="AI38" i="21"/>
  <c r="AJ38" i="21"/>
  <c r="AK38" i="21"/>
  <c r="AL38" i="21"/>
  <c r="AM38" i="21"/>
  <c r="AN38" i="21"/>
  <c r="AE39" i="21"/>
  <c r="AF39" i="21" s="1"/>
  <c r="AG39" i="21"/>
  <c r="AH39" i="21" s="1"/>
  <c r="AI39" i="21"/>
  <c r="AJ39" i="21" s="1"/>
  <c r="AK39" i="21"/>
  <c r="AL39" i="21" s="1"/>
  <c r="AM39" i="21"/>
  <c r="AN39" i="21" s="1"/>
  <c r="AE40" i="21"/>
  <c r="AF40" i="21"/>
  <c r="AG40" i="21"/>
  <c r="AH40" i="21"/>
  <c r="AI40" i="21"/>
  <c r="AJ40" i="21"/>
  <c r="AK40" i="21"/>
  <c r="AL40" i="21"/>
  <c r="AM40" i="21"/>
  <c r="AN40" i="21"/>
  <c r="AE41" i="21"/>
  <c r="AF41" i="21"/>
  <c r="AG41" i="21"/>
  <c r="AH41" i="21"/>
  <c r="AI41" i="21"/>
  <c r="AJ41" i="21"/>
  <c r="AK41" i="21"/>
  <c r="AL41" i="21"/>
  <c r="AM41" i="21"/>
  <c r="AN41" i="21"/>
  <c r="AE42" i="21"/>
  <c r="AF42" i="21" s="1"/>
  <c r="AG42" i="21"/>
  <c r="AH42" i="21" s="1"/>
  <c r="AI42" i="21"/>
  <c r="AJ42" i="21" s="1"/>
  <c r="AK42" i="21"/>
  <c r="AL42" i="21" s="1"/>
  <c r="AM42" i="21"/>
  <c r="AN42" i="21" s="1"/>
  <c r="AE43" i="21"/>
  <c r="AF43" i="21"/>
  <c r="AG43" i="21"/>
  <c r="AH43" i="21"/>
  <c r="AI43" i="21"/>
  <c r="AJ43" i="21"/>
  <c r="AK43" i="21"/>
  <c r="AL43" i="21"/>
  <c r="AM43" i="21"/>
  <c r="AN43" i="21"/>
  <c r="AE44" i="21"/>
  <c r="AF44" i="21" s="1"/>
  <c r="AG44" i="21"/>
  <c r="AH44" i="21" s="1"/>
  <c r="AI44" i="21"/>
  <c r="AJ44" i="21" s="1"/>
  <c r="AK44" i="21"/>
  <c r="AL44" i="21" s="1"/>
  <c r="AM44" i="21"/>
  <c r="AN44" i="21" s="1"/>
  <c r="AE45" i="21"/>
  <c r="AF45" i="21"/>
  <c r="AG45" i="21"/>
  <c r="AH45" i="21"/>
  <c r="AI45" i="21"/>
  <c r="AJ45" i="21"/>
  <c r="AK45" i="21"/>
  <c r="AL45" i="21"/>
  <c r="AM45" i="21"/>
  <c r="AN45" i="21"/>
  <c r="AE46" i="21"/>
  <c r="AF46" i="21" s="1"/>
  <c r="AG46" i="21"/>
  <c r="AH46" i="21" s="1"/>
  <c r="AI46" i="21"/>
  <c r="AJ46" i="21" s="1"/>
  <c r="AK46" i="21"/>
  <c r="AL46" i="21" s="1"/>
  <c r="AM46" i="21"/>
  <c r="AN46" i="21" s="1"/>
  <c r="AE47" i="21"/>
  <c r="AF47" i="21"/>
  <c r="AG47" i="21"/>
  <c r="AH47" i="21"/>
  <c r="AI47" i="21"/>
  <c r="AJ47" i="21"/>
  <c r="AK47" i="21"/>
  <c r="AL47" i="21"/>
  <c r="AM47" i="21"/>
  <c r="AN47" i="21"/>
  <c r="AE48" i="21"/>
  <c r="AF48" i="21" s="1"/>
  <c r="AG48" i="21"/>
  <c r="AH48" i="21" s="1"/>
  <c r="AI48" i="21"/>
  <c r="AJ48" i="21" s="1"/>
  <c r="AK48" i="21"/>
  <c r="AL48" i="21" s="1"/>
  <c r="AM48" i="21"/>
  <c r="AN48" i="21" s="1"/>
  <c r="AE49" i="21"/>
  <c r="AF49" i="21"/>
  <c r="AG49" i="21"/>
  <c r="AH49" i="21"/>
  <c r="AI49" i="21"/>
  <c r="AJ49" i="21"/>
  <c r="AK49" i="21"/>
  <c r="AL49" i="21"/>
  <c r="AM49" i="21"/>
  <c r="AN49" i="21"/>
  <c r="AE50" i="21"/>
  <c r="AF50" i="21" s="1"/>
  <c r="AG50" i="21"/>
  <c r="AH50" i="21" s="1"/>
  <c r="AI50" i="21"/>
  <c r="AJ50" i="21" s="1"/>
  <c r="AK50" i="21"/>
  <c r="AL50" i="21" s="1"/>
  <c r="AM50" i="21"/>
  <c r="AN50" i="21" s="1"/>
  <c r="AE51" i="21"/>
  <c r="AF51" i="21"/>
  <c r="AG51" i="21"/>
  <c r="AH51" i="21"/>
  <c r="AI51" i="21"/>
  <c r="AJ51" i="21"/>
  <c r="AK51" i="21"/>
  <c r="AL51" i="21"/>
  <c r="AM51" i="21"/>
  <c r="AN51" i="21"/>
  <c r="AE52" i="21"/>
  <c r="AF52" i="21" s="1"/>
  <c r="AG52" i="21"/>
  <c r="AH52" i="21" s="1"/>
  <c r="AI52" i="21"/>
  <c r="AJ52" i="21" s="1"/>
  <c r="AK52" i="21"/>
  <c r="AL52" i="21" s="1"/>
  <c r="AM52" i="21"/>
  <c r="AN52" i="21" s="1"/>
  <c r="AE53" i="21"/>
  <c r="AF53" i="21"/>
  <c r="AG53" i="21"/>
  <c r="AH53" i="21"/>
  <c r="AI53" i="21"/>
  <c r="AJ53" i="21"/>
  <c r="AK53" i="21"/>
  <c r="AL53" i="21"/>
  <c r="AM53" i="21"/>
  <c r="AN53" i="21"/>
  <c r="AE54" i="21"/>
  <c r="AF54" i="21" s="1"/>
  <c r="AG54" i="21"/>
  <c r="AH54" i="21" s="1"/>
  <c r="AI54" i="21"/>
  <c r="AJ54" i="21" s="1"/>
  <c r="AK54" i="21"/>
  <c r="AL54" i="21" s="1"/>
  <c r="AM54" i="21"/>
  <c r="AN54" i="21" s="1"/>
  <c r="AE55" i="21"/>
  <c r="AF55" i="21"/>
  <c r="AG55" i="21"/>
  <c r="AH55" i="21"/>
  <c r="AI55" i="21"/>
  <c r="AJ55" i="21"/>
  <c r="AK55" i="21"/>
  <c r="AL55" i="21"/>
  <c r="AM55" i="21"/>
  <c r="AN55" i="21"/>
  <c r="AE56" i="21"/>
  <c r="AF56" i="21" s="1"/>
  <c r="AG56" i="21"/>
  <c r="AH56" i="21" s="1"/>
  <c r="AI56" i="21"/>
  <c r="AJ56" i="21" s="1"/>
  <c r="AK56" i="21"/>
  <c r="AL56" i="21" s="1"/>
  <c r="AM56" i="21"/>
  <c r="AN56" i="21" s="1"/>
  <c r="AE58" i="21"/>
  <c r="AF58" i="21" s="1"/>
  <c r="AG58" i="21"/>
  <c r="AH58" i="21" s="1"/>
  <c r="AI58" i="21"/>
  <c r="AJ58" i="21" s="1"/>
  <c r="AK58" i="21"/>
  <c r="AL58" i="21" s="1"/>
  <c r="AM58" i="21"/>
  <c r="AN58" i="21" s="1"/>
  <c r="AE59" i="21"/>
  <c r="AF59" i="21"/>
  <c r="AG59" i="21"/>
  <c r="AH59" i="21"/>
  <c r="AI59" i="21"/>
  <c r="AJ59" i="21"/>
  <c r="AK59" i="21"/>
  <c r="AL59" i="21"/>
  <c r="AM59" i="21"/>
  <c r="AN59" i="21"/>
  <c r="AE60" i="21"/>
  <c r="AF60" i="21" s="1"/>
  <c r="AG60" i="21"/>
  <c r="AH60" i="21" s="1"/>
  <c r="AI60" i="21"/>
  <c r="AJ60" i="21" s="1"/>
  <c r="AK60" i="21"/>
  <c r="AL60" i="21" s="1"/>
  <c r="AM60" i="21"/>
  <c r="AN60" i="21" s="1"/>
  <c r="AE61" i="21"/>
  <c r="AF61" i="21"/>
  <c r="AG61" i="21"/>
  <c r="AH61" i="21"/>
  <c r="AI61" i="21"/>
  <c r="AJ61" i="21"/>
  <c r="AK61" i="21"/>
  <c r="AL61" i="21"/>
  <c r="AM61" i="21"/>
  <c r="AN61" i="21"/>
  <c r="AE62" i="21"/>
  <c r="AF62" i="21" s="1"/>
  <c r="AG62" i="21"/>
  <c r="AH62" i="21" s="1"/>
  <c r="AI62" i="21"/>
  <c r="AJ62" i="21" s="1"/>
  <c r="AK62" i="21"/>
  <c r="AL62" i="21" s="1"/>
  <c r="AM62" i="21"/>
  <c r="AN62" i="21" s="1"/>
  <c r="AE63" i="21"/>
  <c r="AF63" i="21"/>
  <c r="AG63" i="21"/>
  <c r="AH63" i="21"/>
  <c r="AI63" i="21"/>
  <c r="AJ63" i="21"/>
  <c r="AK63" i="21"/>
  <c r="AL63" i="21"/>
  <c r="AM63" i="21"/>
  <c r="AN63" i="21"/>
  <c r="AE64" i="21"/>
  <c r="AF64" i="21" s="1"/>
  <c r="AG64" i="21"/>
  <c r="AH64" i="21" s="1"/>
  <c r="AI64" i="21"/>
  <c r="AJ64" i="21" s="1"/>
  <c r="AK64" i="21"/>
  <c r="AL64" i="21" s="1"/>
  <c r="AM64" i="21"/>
  <c r="AN64" i="21" s="1"/>
  <c r="AE65" i="21"/>
  <c r="AF65" i="21"/>
  <c r="AG65" i="21"/>
  <c r="AH65" i="21"/>
  <c r="AI65" i="21"/>
  <c r="AJ65" i="21"/>
  <c r="AK65" i="21"/>
  <c r="AL65" i="21"/>
  <c r="AM65" i="21"/>
  <c r="AN65" i="21"/>
  <c r="AE66" i="21"/>
  <c r="AF66" i="21" s="1"/>
  <c r="AG66" i="21"/>
  <c r="AH66" i="21" s="1"/>
  <c r="AI66" i="21"/>
  <c r="AJ66" i="21" s="1"/>
  <c r="AK66" i="21"/>
  <c r="AL66" i="21" s="1"/>
  <c r="AM66" i="21"/>
  <c r="AN66" i="21" s="1"/>
  <c r="AE67" i="21"/>
  <c r="AF67" i="21"/>
  <c r="AG67" i="21"/>
  <c r="AH67" i="21"/>
  <c r="AI67" i="21"/>
  <c r="AJ67" i="21"/>
  <c r="AK67" i="21"/>
  <c r="AL67" i="21"/>
  <c r="AM67" i="21"/>
  <c r="AN67" i="21"/>
  <c r="AE68" i="21"/>
  <c r="AF68" i="21" s="1"/>
  <c r="AG68" i="21"/>
  <c r="AH68" i="21" s="1"/>
  <c r="AI68" i="21"/>
  <c r="AJ68" i="21" s="1"/>
  <c r="AK68" i="21"/>
  <c r="AL68" i="21" s="1"/>
  <c r="AM68" i="21"/>
  <c r="AN68" i="21" s="1"/>
  <c r="AE69" i="21"/>
  <c r="AF69" i="21"/>
  <c r="AG69" i="21"/>
  <c r="AH69" i="21"/>
  <c r="AI69" i="21"/>
  <c r="AJ69" i="21"/>
  <c r="AK69" i="21"/>
  <c r="AL69" i="21"/>
  <c r="AM69" i="21"/>
  <c r="AN69" i="21"/>
  <c r="AE70" i="21"/>
  <c r="AF70" i="21" s="1"/>
  <c r="AG70" i="21"/>
  <c r="AH70" i="21" s="1"/>
  <c r="AI70" i="21"/>
  <c r="AJ70" i="21" s="1"/>
  <c r="AK70" i="21"/>
  <c r="AL70" i="21" s="1"/>
  <c r="AM70" i="21"/>
  <c r="AN70" i="21" s="1"/>
  <c r="AE71" i="21"/>
  <c r="AF71" i="21"/>
  <c r="AG71" i="21"/>
  <c r="AH71" i="21"/>
  <c r="AI71" i="21"/>
  <c r="AJ71" i="21"/>
  <c r="AK71" i="21"/>
  <c r="AL71" i="21"/>
  <c r="AM71" i="21"/>
  <c r="AN71" i="21"/>
  <c r="AE72" i="21"/>
  <c r="AF72" i="21" s="1"/>
  <c r="AG72" i="21"/>
  <c r="AH72" i="21" s="1"/>
  <c r="AI72" i="21"/>
  <c r="AJ72" i="21" s="1"/>
  <c r="AK72" i="21"/>
  <c r="AL72" i="21" s="1"/>
  <c r="AM72" i="21"/>
  <c r="AN72" i="21" s="1"/>
  <c r="AE73" i="21"/>
  <c r="AF73" i="21"/>
  <c r="AG73" i="21"/>
  <c r="AH73" i="21"/>
  <c r="AI73" i="21"/>
  <c r="AJ73" i="21"/>
  <c r="AK73" i="21"/>
  <c r="AL73" i="21"/>
  <c r="AM73" i="21"/>
  <c r="AN73" i="21"/>
  <c r="AE74" i="21"/>
  <c r="AF74" i="21" s="1"/>
  <c r="AG74" i="21"/>
  <c r="AH74" i="21" s="1"/>
  <c r="AI74" i="21"/>
  <c r="AJ74" i="21" s="1"/>
  <c r="AK74" i="21"/>
  <c r="AL74" i="21" s="1"/>
  <c r="AM74" i="21"/>
  <c r="AN74" i="21" s="1"/>
  <c r="AE75" i="21"/>
  <c r="AF75" i="21"/>
  <c r="AG75" i="21"/>
  <c r="AH75" i="21"/>
  <c r="AI75" i="21"/>
  <c r="AJ75" i="21"/>
  <c r="AK75" i="21"/>
  <c r="AL75" i="21"/>
  <c r="AM75" i="21"/>
  <c r="AN75" i="21"/>
  <c r="AE76" i="21"/>
  <c r="AF76" i="21" s="1"/>
  <c r="AG76" i="21"/>
  <c r="AH76" i="21" s="1"/>
  <c r="AI76" i="21"/>
  <c r="AJ76" i="21" s="1"/>
  <c r="AK76" i="21"/>
  <c r="AL76" i="21" s="1"/>
  <c r="AM76" i="21"/>
  <c r="AN76" i="21" s="1"/>
  <c r="AE77" i="21"/>
  <c r="AF77" i="21"/>
  <c r="AG77" i="21"/>
  <c r="AH77" i="21"/>
  <c r="AI77" i="21"/>
  <c r="AJ77" i="21"/>
  <c r="AK77" i="21"/>
  <c r="AL77" i="21"/>
  <c r="AM77" i="21"/>
  <c r="AN77" i="21"/>
  <c r="AE78" i="21"/>
  <c r="AF78" i="21" s="1"/>
  <c r="AG78" i="21"/>
  <c r="AH78" i="21" s="1"/>
  <c r="AI78" i="21"/>
  <c r="AJ78" i="21" s="1"/>
  <c r="AK78" i="21"/>
  <c r="AL78" i="21" s="1"/>
  <c r="AM78" i="21"/>
  <c r="AN78" i="21" s="1"/>
  <c r="AE79" i="21"/>
  <c r="AF79" i="21"/>
  <c r="AG79" i="21"/>
  <c r="AH79" i="21"/>
  <c r="AI79" i="21"/>
  <c r="AJ79" i="21"/>
  <c r="AK79" i="21"/>
  <c r="AL79" i="21"/>
  <c r="AM79" i="21"/>
  <c r="AN79" i="21"/>
  <c r="AE80" i="21"/>
  <c r="AF80" i="21" s="1"/>
  <c r="AG80" i="21"/>
  <c r="AH80" i="21" s="1"/>
  <c r="AI80" i="21"/>
  <c r="AJ80" i="21" s="1"/>
  <c r="AK80" i="21"/>
  <c r="AL80" i="21" s="1"/>
  <c r="AM80" i="21"/>
  <c r="AN80" i="21" s="1"/>
  <c r="AE81" i="21"/>
  <c r="AF81" i="21"/>
  <c r="AG81" i="21"/>
  <c r="AH81" i="21"/>
  <c r="AI81" i="21"/>
  <c r="AJ81" i="21"/>
  <c r="AK81" i="21"/>
  <c r="AL81" i="21"/>
  <c r="AM81" i="21"/>
  <c r="AN81" i="21"/>
  <c r="AE82" i="21"/>
  <c r="AF82" i="21" s="1"/>
  <c r="AG82" i="21"/>
  <c r="AH82" i="21" s="1"/>
  <c r="AI82" i="21"/>
  <c r="AJ82" i="21" s="1"/>
  <c r="AK82" i="21"/>
  <c r="AL82" i="21" s="1"/>
  <c r="AM82" i="21"/>
  <c r="AN82" i="21" s="1"/>
  <c r="AE83" i="21"/>
  <c r="AF83" i="21"/>
  <c r="AG83" i="21"/>
  <c r="AH83" i="21"/>
  <c r="AI83" i="21"/>
  <c r="AJ83" i="21"/>
  <c r="AK83" i="21"/>
  <c r="AL83" i="21"/>
  <c r="AM83" i="21"/>
  <c r="AN83" i="21"/>
  <c r="AE84" i="21"/>
  <c r="AF84" i="21" s="1"/>
  <c r="AG84" i="21"/>
  <c r="AH84" i="21" s="1"/>
  <c r="AI84" i="21"/>
  <c r="AJ84" i="21" s="1"/>
  <c r="AK84" i="21"/>
  <c r="AL84" i="21" s="1"/>
  <c r="AM84" i="21"/>
  <c r="AN84" i="21" s="1"/>
  <c r="AE85" i="21"/>
  <c r="AF85" i="21"/>
  <c r="AG85" i="21"/>
  <c r="AH85" i="21"/>
  <c r="AI85" i="21"/>
  <c r="AJ85" i="21"/>
  <c r="AK85" i="21"/>
  <c r="AL85" i="21"/>
  <c r="AM85" i="21"/>
  <c r="AN85" i="21"/>
  <c r="AE86" i="21"/>
  <c r="AF86" i="21" s="1"/>
  <c r="AG86" i="21"/>
  <c r="AH86" i="21" s="1"/>
  <c r="AI86" i="21"/>
  <c r="AJ86" i="21" s="1"/>
  <c r="AK86" i="21"/>
  <c r="AL86" i="21" s="1"/>
  <c r="AM86" i="21"/>
  <c r="AN86" i="21" s="1"/>
  <c r="AE87" i="21"/>
  <c r="AF87" i="21"/>
  <c r="AG87" i="21"/>
  <c r="AH87" i="21"/>
  <c r="AI87" i="21"/>
  <c r="AJ87" i="21"/>
  <c r="AK87" i="21"/>
  <c r="AL87" i="21"/>
  <c r="AM87" i="21"/>
  <c r="AN87" i="21"/>
  <c r="AE88" i="21"/>
  <c r="AF88" i="21" s="1"/>
  <c r="AG88" i="21"/>
  <c r="AH88" i="21" s="1"/>
  <c r="AI88" i="21"/>
  <c r="AJ88" i="21" s="1"/>
  <c r="AK88" i="21"/>
  <c r="AL88" i="21" s="1"/>
  <c r="AM88" i="21"/>
  <c r="AN88" i="21" s="1"/>
  <c r="AE89" i="21"/>
  <c r="AF89" i="21"/>
  <c r="AG89" i="21"/>
  <c r="AH89" i="21"/>
  <c r="AI89" i="21"/>
  <c r="AJ89" i="21"/>
  <c r="AK89" i="21"/>
  <c r="AL89" i="21"/>
  <c r="AM89" i="21"/>
  <c r="AN89" i="21"/>
  <c r="AE90" i="21"/>
  <c r="AF90" i="21" s="1"/>
  <c r="AG90" i="21"/>
  <c r="AH90" i="21" s="1"/>
  <c r="AI90" i="21"/>
  <c r="AJ90" i="21" s="1"/>
  <c r="AK90" i="21"/>
  <c r="AL90" i="21" s="1"/>
  <c r="AM90" i="21"/>
  <c r="AN90" i="21" s="1"/>
  <c r="AE91" i="21"/>
  <c r="AF91" i="21"/>
  <c r="AG91" i="21"/>
  <c r="AH91" i="21"/>
  <c r="AI91" i="21"/>
  <c r="AJ91" i="21"/>
  <c r="AK91" i="21"/>
  <c r="AL91" i="21"/>
  <c r="AM91" i="21"/>
  <c r="AN91" i="21"/>
  <c r="AE92" i="21"/>
  <c r="AF92" i="21" s="1"/>
  <c r="AG92" i="21"/>
  <c r="AH92" i="21" s="1"/>
  <c r="AI92" i="21"/>
  <c r="AJ92" i="21" s="1"/>
  <c r="AK92" i="21"/>
  <c r="AL92" i="21" s="1"/>
  <c r="AM92" i="21"/>
  <c r="AN92" i="21" s="1"/>
  <c r="AE93" i="21"/>
  <c r="AF93" i="21"/>
  <c r="AG93" i="21"/>
  <c r="AH93" i="21"/>
  <c r="AI93" i="21"/>
  <c r="AJ93" i="21"/>
  <c r="AK93" i="21"/>
  <c r="AL93" i="21"/>
  <c r="AM93" i="21"/>
  <c r="AN93" i="21"/>
  <c r="AE94" i="21"/>
  <c r="AF94" i="21" s="1"/>
  <c r="AG94" i="21"/>
  <c r="AH94" i="21" s="1"/>
  <c r="AI94" i="21"/>
  <c r="AJ94" i="21"/>
  <c r="AK94" i="21"/>
  <c r="AL94" i="21"/>
  <c r="AM94" i="21"/>
  <c r="AN94" i="21"/>
  <c r="AE95" i="21"/>
  <c r="AF95" i="21" s="1"/>
  <c r="AG95" i="21"/>
  <c r="AH95" i="21" s="1"/>
  <c r="AI95" i="21"/>
  <c r="AJ95" i="21" s="1"/>
  <c r="AK95" i="21"/>
  <c r="AL95" i="21" s="1"/>
  <c r="AM95" i="21"/>
  <c r="AN95" i="21" s="1"/>
  <c r="AE96" i="21"/>
  <c r="AF96" i="21"/>
  <c r="AG96" i="21"/>
  <c r="AH96" i="21"/>
  <c r="AI96" i="21"/>
  <c r="AJ96" i="21"/>
  <c r="AK96" i="21"/>
  <c r="AL96" i="21"/>
  <c r="AM96" i="21"/>
  <c r="AN96" i="21"/>
  <c r="AE97" i="21"/>
  <c r="AF97" i="21" s="1"/>
  <c r="AG97" i="21"/>
  <c r="AH97" i="21" s="1"/>
  <c r="AI97" i="21"/>
  <c r="AJ97" i="21" s="1"/>
  <c r="AK97" i="21"/>
  <c r="AL97" i="21" s="1"/>
  <c r="AM97" i="21"/>
  <c r="AN97" i="21" s="1"/>
  <c r="AE98" i="21"/>
  <c r="AF98" i="21"/>
  <c r="AG98" i="21"/>
  <c r="AH98" i="21"/>
  <c r="AI98" i="21"/>
  <c r="AJ98" i="21"/>
  <c r="AK98" i="21"/>
  <c r="AL98" i="21"/>
  <c r="AM98" i="21"/>
  <c r="AN98" i="21"/>
  <c r="P60" i="21"/>
  <c r="N60" i="21"/>
  <c r="Q60" i="21"/>
  <c r="P59" i="21"/>
  <c r="N59" i="21"/>
  <c r="Q59" i="21"/>
  <c r="P58" i="21"/>
  <c r="N58" i="21"/>
  <c r="Q58" i="21"/>
  <c r="P56" i="21"/>
  <c r="N56" i="21"/>
  <c r="Q56" i="21"/>
  <c r="I59" i="21"/>
  <c r="P53" i="21"/>
  <c r="O53" i="21"/>
  <c r="N53" i="21"/>
  <c r="H53" i="21"/>
  <c r="Q53" i="21" s="1"/>
  <c r="Q52" i="21"/>
  <c r="P52" i="21"/>
  <c r="O52" i="21"/>
  <c r="N52" i="21"/>
  <c r="H52" i="21"/>
  <c r="P51" i="21"/>
  <c r="O51" i="21"/>
  <c r="N51" i="21"/>
  <c r="H51" i="21"/>
  <c r="Q51" i="21" s="1"/>
  <c r="Q50" i="21"/>
  <c r="P50" i="21"/>
  <c r="O50" i="21"/>
  <c r="N50" i="21"/>
  <c r="I50" i="21"/>
  <c r="H50" i="21"/>
  <c r="P49" i="21"/>
  <c r="O49" i="21"/>
  <c r="N49" i="21"/>
  <c r="H49" i="21"/>
  <c r="Q49" i="21" s="1"/>
  <c r="I52" i="21"/>
  <c r="P46" i="21"/>
  <c r="O46" i="21"/>
  <c r="N46" i="21"/>
  <c r="H46" i="21"/>
  <c r="Q46" i="21" s="1"/>
  <c r="Q45" i="21"/>
  <c r="P45" i="21"/>
  <c r="O45" i="21"/>
  <c r="N45" i="21"/>
  <c r="H45" i="21"/>
  <c r="P44" i="21"/>
  <c r="O44" i="21"/>
  <c r="N44" i="21"/>
  <c r="H44" i="21"/>
  <c r="Q44" i="21" s="1"/>
  <c r="Q43" i="21"/>
  <c r="P43" i="21"/>
  <c r="O43" i="21"/>
  <c r="N43" i="21"/>
  <c r="H43" i="21"/>
  <c r="P42" i="21"/>
  <c r="O42" i="21"/>
  <c r="N42" i="21"/>
  <c r="H42" i="21"/>
  <c r="Q42" i="21" s="1"/>
  <c r="P39" i="21"/>
  <c r="O39" i="21"/>
  <c r="N39" i="21"/>
  <c r="H39" i="21"/>
  <c r="Q39" i="21" s="1"/>
  <c r="P38" i="21"/>
  <c r="O38" i="21"/>
  <c r="N38" i="21"/>
  <c r="H38" i="21"/>
  <c r="Q38" i="21" s="1"/>
  <c r="P37" i="21"/>
  <c r="O37" i="21"/>
  <c r="N37" i="21"/>
  <c r="H37" i="21"/>
  <c r="Q37" i="21" s="1"/>
  <c r="P36" i="21"/>
  <c r="O36" i="21"/>
  <c r="N36" i="21"/>
  <c r="H36" i="21"/>
  <c r="Q36" i="21" s="1"/>
  <c r="P35" i="21"/>
  <c r="O35" i="21"/>
  <c r="N35" i="21"/>
  <c r="H35" i="21"/>
  <c r="Q35" i="21" s="1"/>
  <c r="I38" i="21"/>
  <c r="P32" i="21"/>
  <c r="O32" i="21"/>
  <c r="N32" i="21"/>
  <c r="H32" i="21"/>
  <c r="Q32" i="21" s="1"/>
  <c r="P31" i="21"/>
  <c r="O31" i="21"/>
  <c r="N31" i="21"/>
  <c r="H31" i="21"/>
  <c r="Q31" i="21" s="1"/>
  <c r="P30" i="21"/>
  <c r="O30" i="21"/>
  <c r="N30" i="21"/>
  <c r="H30" i="21"/>
  <c r="Q30" i="21" s="1"/>
  <c r="P29" i="21"/>
  <c r="O29" i="21"/>
  <c r="N29" i="21"/>
  <c r="H29" i="21"/>
  <c r="Q29" i="21" s="1"/>
  <c r="P28" i="21"/>
  <c r="O28" i="21"/>
  <c r="N28" i="21"/>
  <c r="H28" i="21"/>
  <c r="Q28" i="21" s="1"/>
  <c r="I31" i="21"/>
  <c r="P25" i="21"/>
  <c r="O25" i="21"/>
  <c r="N25" i="21"/>
  <c r="H25" i="21"/>
  <c r="Q25" i="21" s="1"/>
  <c r="P24" i="21"/>
  <c r="O24" i="21"/>
  <c r="N24" i="21"/>
  <c r="H24" i="21"/>
  <c r="Q24" i="21" s="1"/>
  <c r="P23" i="21"/>
  <c r="O23" i="21"/>
  <c r="N23" i="21"/>
  <c r="H23" i="21"/>
  <c r="Q23" i="21" s="1"/>
  <c r="P22" i="21"/>
  <c r="O22" i="21"/>
  <c r="N22" i="21"/>
  <c r="H22" i="21"/>
  <c r="Q22" i="21" s="1"/>
  <c r="P21" i="21"/>
  <c r="O21" i="21"/>
  <c r="N21" i="21"/>
  <c r="H21" i="21"/>
  <c r="Q21" i="21" s="1"/>
  <c r="P18" i="21"/>
  <c r="O18" i="21"/>
  <c r="N18" i="21"/>
  <c r="H18" i="21"/>
  <c r="Q18" i="21" s="1"/>
  <c r="P17" i="21"/>
  <c r="O17" i="21"/>
  <c r="N17" i="21"/>
  <c r="H17" i="21"/>
  <c r="Q17" i="21" s="1"/>
  <c r="P16" i="21"/>
  <c r="O16" i="21"/>
  <c r="N16" i="21"/>
  <c r="H16" i="21"/>
  <c r="Q16" i="21" s="1"/>
  <c r="P15" i="21"/>
  <c r="O15" i="21"/>
  <c r="N15" i="21"/>
  <c r="H15" i="21"/>
  <c r="Q15" i="21" s="1"/>
  <c r="P14" i="21"/>
  <c r="O14" i="21"/>
  <c r="N14" i="21"/>
  <c r="H14" i="21"/>
  <c r="Q14" i="21" s="1"/>
  <c r="P11" i="21"/>
  <c r="O11" i="21"/>
  <c r="N11" i="21"/>
  <c r="H11" i="21"/>
  <c r="Q11" i="21" s="1"/>
  <c r="P10" i="21"/>
  <c r="O10" i="21"/>
  <c r="N10" i="21"/>
  <c r="H10" i="21"/>
  <c r="Q10" i="21" s="1"/>
  <c r="P9" i="21"/>
  <c r="O9" i="21"/>
  <c r="N9" i="21"/>
  <c r="H9" i="21"/>
  <c r="Q9" i="21" s="1"/>
  <c r="P8" i="21"/>
  <c r="O8" i="21"/>
  <c r="N8" i="21"/>
  <c r="H8" i="21"/>
  <c r="Q8" i="21" s="1"/>
  <c r="P7" i="21"/>
  <c r="O7" i="21"/>
  <c r="N7" i="21"/>
  <c r="H7" i="21"/>
  <c r="Q7" i="21" s="1"/>
  <c r="AS75" i="4" l="1"/>
  <c r="AS71" i="4"/>
  <c r="AS63" i="4"/>
  <c r="L57" i="21"/>
  <c r="J57" i="21"/>
  <c r="L56" i="21"/>
  <c r="J56" i="21"/>
  <c r="L59" i="21"/>
  <c r="J59" i="21"/>
  <c r="L58" i="21"/>
  <c r="J58" i="21"/>
  <c r="L60" i="21"/>
  <c r="J60" i="21"/>
  <c r="AD98" i="21"/>
  <c r="AD93" i="21"/>
  <c r="AD89" i="21"/>
  <c r="AD85" i="21"/>
  <c r="AD81" i="21"/>
  <c r="AD77" i="21"/>
  <c r="AD73" i="21"/>
  <c r="AD69" i="21"/>
  <c r="AD65" i="21"/>
  <c r="AD61" i="21"/>
  <c r="AD53" i="21"/>
  <c r="AD49" i="21"/>
  <c r="AD45" i="21"/>
  <c r="AD40" i="21"/>
  <c r="AD36" i="21"/>
  <c r="AD32" i="21"/>
  <c r="AD28" i="21"/>
  <c r="AD24" i="21"/>
  <c r="AD96" i="21"/>
  <c r="AD91" i="21"/>
  <c r="AD87" i="21"/>
  <c r="AD83" i="21"/>
  <c r="AD79" i="21"/>
  <c r="AD75" i="21"/>
  <c r="AD71" i="21"/>
  <c r="AD67" i="21"/>
  <c r="AD63" i="21"/>
  <c r="AD59" i="21"/>
  <c r="AD55" i="21"/>
  <c r="AD51" i="21"/>
  <c r="AD47" i="21"/>
  <c r="AD43" i="21"/>
  <c r="AD38" i="21"/>
  <c r="AD34" i="21"/>
  <c r="AD30" i="21"/>
  <c r="AD26" i="21"/>
  <c r="AD22" i="21"/>
  <c r="AD95" i="21"/>
  <c r="AD97" i="21"/>
  <c r="AD94" i="21"/>
  <c r="AD92" i="21"/>
  <c r="AD90" i="21"/>
  <c r="AD88" i="21"/>
  <c r="AD86" i="21"/>
  <c r="AD84" i="21"/>
  <c r="AD82" i="21"/>
  <c r="AD80" i="21"/>
  <c r="AD78" i="21"/>
  <c r="AD76" i="21"/>
  <c r="AD74" i="21"/>
  <c r="AD72" i="21"/>
  <c r="AD70" i="21"/>
  <c r="AD68" i="21"/>
  <c r="AD66" i="21"/>
  <c r="AD64" i="21"/>
  <c r="AD62" i="21"/>
  <c r="AD60" i="21"/>
  <c r="AD58" i="21"/>
  <c r="AD56" i="21"/>
  <c r="AD52" i="21"/>
  <c r="AD48" i="21"/>
  <c r="AD44" i="21"/>
  <c r="AD54" i="21"/>
  <c r="AD50" i="21"/>
  <c r="AD46" i="21"/>
  <c r="AD42" i="21"/>
  <c r="AD41" i="21"/>
  <c r="AD23" i="21"/>
  <c r="AD19" i="21"/>
  <c r="AD39" i="21"/>
  <c r="AD37" i="21"/>
  <c r="AD35" i="21"/>
  <c r="AD33" i="21"/>
  <c r="AD31" i="21"/>
  <c r="AD29" i="21"/>
  <c r="AD27" i="21"/>
  <c r="AD25" i="21"/>
  <c r="AD21" i="21"/>
  <c r="L8" i="21"/>
  <c r="J8" i="21"/>
  <c r="T8" i="21" s="1"/>
  <c r="L15" i="21"/>
  <c r="J15" i="21"/>
  <c r="L10" i="21"/>
  <c r="J10" i="21"/>
  <c r="J17" i="21"/>
  <c r="T17" i="21" s="1"/>
  <c r="L17" i="21"/>
  <c r="L18" i="21"/>
  <c r="J18" i="21"/>
  <c r="T18" i="21" s="1"/>
  <c r="L28" i="21"/>
  <c r="J28" i="21"/>
  <c r="T28" i="21" s="1"/>
  <c r="L29" i="21"/>
  <c r="J29" i="21"/>
  <c r="T29" i="21" s="1"/>
  <c r="L30" i="21"/>
  <c r="J30" i="21"/>
  <c r="T30" i="21" s="1"/>
  <c r="L31" i="21"/>
  <c r="J31" i="21"/>
  <c r="T31" i="21" s="1"/>
  <c r="L32" i="21"/>
  <c r="J32" i="21"/>
  <c r="T32" i="21" s="1"/>
  <c r="K32" i="21" s="1"/>
  <c r="L42" i="21"/>
  <c r="J42" i="21"/>
  <c r="T42" i="21"/>
  <c r="J7" i="21"/>
  <c r="T7" i="21" s="1"/>
  <c r="L7" i="21"/>
  <c r="J9" i="21"/>
  <c r="T9" i="21" s="1"/>
  <c r="L9" i="21"/>
  <c r="J11" i="21"/>
  <c r="T11" i="21" s="1"/>
  <c r="L11" i="21"/>
  <c r="J14" i="21"/>
  <c r="T14" i="21" s="1"/>
  <c r="L14" i="21"/>
  <c r="J16" i="21"/>
  <c r="T16" i="21" s="1"/>
  <c r="L16" i="21"/>
  <c r="L21" i="21"/>
  <c r="J21" i="21"/>
  <c r="T21" i="21" s="1"/>
  <c r="L22" i="21"/>
  <c r="J22" i="21"/>
  <c r="T22" i="21" s="1"/>
  <c r="L23" i="21"/>
  <c r="J23" i="21"/>
  <c r="T23" i="21" s="1"/>
  <c r="L24" i="21"/>
  <c r="J24" i="21"/>
  <c r="T24" i="21" s="1"/>
  <c r="L25" i="21"/>
  <c r="J25" i="21"/>
  <c r="T25" i="21" s="1"/>
  <c r="K25" i="21" s="1"/>
  <c r="L35" i="21"/>
  <c r="J35" i="21"/>
  <c r="T35" i="21" s="1"/>
  <c r="L36" i="21"/>
  <c r="J36" i="21"/>
  <c r="T36" i="21" s="1"/>
  <c r="L37" i="21"/>
  <c r="J37" i="21"/>
  <c r="T37" i="21" s="1"/>
  <c r="L38" i="21"/>
  <c r="J38" i="21"/>
  <c r="T38" i="21" s="1"/>
  <c r="L39" i="21"/>
  <c r="J39" i="21"/>
  <c r="T39" i="21" s="1"/>
  <c r="K39" i="21" s="1"/>
  <c r="I28" i="21"/>
  <c r="I30" i="21"/>
  <c r="I32" i="21"/>
  <c r="I35" i="21"/>
  <c r="I37" i="21"/>
  <c r="I39" i="21"/>
  <c r="I46" i="21"/>
  <c r="I44" i="21"/>
  <c r="I42" i="21"/>
  <c r="I43" i="21"/>
  <c r="L43" i="21"/>
  <c r="J43" i="21"/>
  <c r="T43" i="21" s="1"/>
  <c r="L44" i="21"/>
  <c r="L49" i="21"/>
  <c r="J49" i="21"/>
  <c r="T49" i="21" s="1"/>
  <c r="L51" i="21"/>
  <c r="J51" i="21"/>
  <c r="T51" i="21" s="1"/>
  <c r="I29" i="21"/>
  <c r="I36" i="21"/>
  <c r="J44" i="21"/>
  <c r="T44" i="21" s="1"/>
  <c r="K44" i="21" s="1"/>
  <c r="I45" i="21"/>
  <c r="L45" i="21"/>
  <c r="J45" i="21"/>
  <c r="T45" i="21" s="1"/>
  <c r="L46" i="21"/>
  <c r="J46" i="21"/>
  <c r="T46" i="21" s="1"/>
  <c r="L53" i="21"/>
  <c r="J53" i="21"/>
  <c r="I49" i="21"/>
  <c r="J50" i="21"/>
  <c r="T50" i="21" s="1"/>
  <c r="L50" i="21"/>
  <c r="I51" i="21"/>
  <c r="J52" i="21"/>
  <c r="T52" i="21" s="1"/>
  <c r="L52" i="21"/>
  <c r="I53" i="21"/>
  <c r="I56" i="21"/>
  <c r="I58" i="21"/>
  <c r="I60" i="21"/>
  <c r="K38" i="21" l="1"/>
  <c r="K37" i="21"/>
  <c r="K36" i="21"/>
  <c r="K35" i="21"/>
  <c r="K23" i="21"/>
  <c r="K21" i="21"/>
  <c r="K31" i="21"/>
  <c r="K30" i="21"/>
  <c r="K29" i="21"/>
  <c r="K28" i="21"/>
  <c r="K24" i="21"/>
  <c r="K22" i="21"/>
  <c r="K46" i="21"/>
  <c r="K45" i="21"/>
  <c r="K43" i="21"/>
  <c r="T53" i="21"/>
  <c r="K53" i="21" s="1"/>
  <c r="R53" i="21" s="1"/>
  <c r="R46" i="21"/>
  <c r="R45" i="21"/>
  <c r="T60" i="21"/>
  <c r="T59" i="21"/>
  <c r="T58" i="21"/>
  <c r="K58" i="21" s="1"/>
  <c r="T56" i="21"/>
  <c r="R44" i="21"/>
  <c r="R43" i="21"/>
  <c r="R39" i="21"/>
  <c r="R38" i="21"/>
  <c r="R37" i="21"/>
  <c r="R36" i="21"/>
  <c r="R35" i="21"/>
  <c r="R25" i="21"/>
  <c r="R24" i="21"/>
  <c r="R23" i="21"/>
  <c r="R22" i="21"/>
  <c r="R21" i="21"/>
  <c r="K42" i="21"/>
  <c r="R42" i="21" s="1"/>
  <c r="R32" i="21"/>
  <c r="R31" i="21"/>
  <c r="R30" i="21"/>
  <c r="R29" i="21"/>
  <c r="R28" i="21"/>
  <c r="T10" i="21"/>
  <c r="K10" i="21" s="1"/>
  <c r="R10" i="21" s="1"/>
  <c r="T15" i="21"/>
  <c r="K15" i="21" s="1"/>
  <c r="R15" i="21" s="1"/>
  <c r="K8" i="21"/>
  <c r="R8" i="21" s="1"/>
  <c r="K56" i="21" l="1"/>
  <c r="K57" i="21"/>
  <c r="K59" i="21"/>
  <c r="K60" i="21"/>
  <c r="R56" i="21"/>
  <c r="M42" i="21"/>
  <c r="S42" i="21" s="1"/>
  <c r="M28" i="21"/>
  <c r="S28" i="21" s="1"/>
  <c r="M30" i="21"/>
  <c r="S30" i="21" s="1"/>
  <c r="M32" i="21"/>
  <c r="S32" i="21" s="1"/>
  <c r="M21" i="21"/>
  <c r="S21" i="21" s="1"/>
  <c r="M23" i="21"/>
  <c r="S23" i="21" s="1"/>
  <c r="M25" i="21"/>
  <c r="S25" i="21" s="1"/>
  <c r="M36" i="21"/>
  <c r="S36" i="21" s="1"/>
  <c r="M38" i="21"/>
  <c r="S38" i="21" s="1"/>
  <c r="M43" i="21"/>
  <c r="S43" i="21" s="1"/>
  <c r="R59" i="21"/>
  <c r="M45" i="21"/>
  <c r="S45" i="21" s="1"/>
  <c r="K9" i="21"/>
  <c r="R9" i="21" s="1"/>
  <c r="K14" i="21"/>
  <c r="R14" i="21" s="1"/>
  <c r="K49" i="21"/>
  <c r="R49" i="21" s="1"/>
  <c r="K7" i="21"/>
  <c r="R7" i="21" s="1"/>
  <c r="K52" i="21"/>
  <c r="R52" i="21" s="1"/>
  <c r="M29" i="21"/>
  <c r="S29" i="21" s="1"/>
  <c r="M31" i="21"/>
  <c r="S31" i="21" s="1"/>
  <c r="M22" i="21"/>
  <c r="S22" i="21" s="1"/>
  <c r="M24" i="21"/>
  <c r="S24" i="21" s="1"/>
  <c r="M35" i="21"/>
  <c r="S35" i="21" s="1"/>
  <c r="M37" i="21"/>
  <c r="S37" i="21" s="1"/>
  <c r="M39" i="21"/>
  <c r="S39" i="21" s="1"/>
  <c r="M44" i="21"/>
  <c r="S44" i="21" s="1"/>
  <c r="R58" i="21"/>
  <c r="R60" i="21"/>
  <c r="M60" i="21" s="1"/>
  <c r="M46" i="21"/>
  <c r="S46" i="21" s="1"/>
  <c r="K17" i="21"/>
  <c r="R17" i="21" s="1"/>
  <c r="K11" i="21"/>
  <c r="R11" i="21" s="1"/>
  <c r="K50" i="21"/>
  <c r="R50" i="21" s="1"/>
  <c r="K16" i="21"/>
  <c r="R16" i="21" s="1"/>
  <c r="K51" i="21"/>
  <c r="R51" i="21" s="1"/>
  <c r="K18" i="21"/>
  <c r="R18" i="21" s="1"/>
  <c r="M59" i="21" l="1"/>
  <c r="M58" i="21"/>
  <c r="M56" i="21"/>
  <c r="M57" i="21"/>
  <c r="S56" i="21"/>
  <c r="S59" i="21"/>
  <c r="M15" i="21"/>
  <c r="S15" i="21" s="1"/>
  <c r="M8" i="21"/>
  <c r="S8" i="21" s="1"/>
  <c r="M18" i="21"/>
  <c r="S18" i="21" s="1"/>
  <c r="M11" i="21"/>
  <c r="S11" i="21" s="1"/>
  <c r="M52" i="21"/>
  <c r="S52" i="21" s="1"/>
  <c r="M49" i="21"/>
  <c r="S49" i="21" s="1"/>
  <c r="M9" i="21"/>
  <c r="S9" i="21" s="1"/>
  <c r="M10" i="21"/>
  <c r="S10" i="21" s="1"/>
  <c r="M53" i="21"/>
  <c r="S53" i="21" s="1"/>
  <c r="M16" i="21"/>
  <c r="S16" i="21" s="1"/>
  <c r="S60" i="21"/>
  <c r="M51" i="21"/>
  <c r="S51" i="21" s="1"/>
  <c r="M50" i="21"/>
  <c r="S50" i="21" s="1"/>
  <c r="M17" i="21"/>
  <c r="S17" i="21" s="1"/>
  <c r="I17" i="21" s="1"/>
  <c r="S58" i="21"/>
  <c r="M7" i="21"/>
  <c r="S7" i="21" s="1"/>
  <c r="I7" i="21" s="1"/>
  <c r="M14" i="21"/>
  <c r="S14" i="21" s="1"/>
  <c r="I14" i="21" l="1"/>
  <c r="I16" i="21"/>
  <c r="I18" i="21"/>
  <c r="I15" i="21"/>
  <c r="I10" i="21"/>
  <c r="I11" i="21"/>
  <c r="I9" i="21"/>
  <c r="I8" i="21"/>
  <c r="B121" i="21" s="1"/>
  <c r="B125" i="21" l="1"/>
  <c r="C136" i="21"/>
  <c r="F140" i="21" s="1"/>
  <c r="C138" i="21"/>
  <c r="F137" i="21" s="1"/>
  <c r="B102" i="21"/>
  <c r="B106" i="21"/>
  <c r="B104" i="21"/>
  <c r="B108" i="21"/>
  <c r="B119" i="21"/>
  <c r="B123" i="21"/>
  <c r="C103" i="21" l="1"/>
  <c r="C129" i="21"/>
  <c r="C124" i="21"/>
  <c r="F122" i="21" s="1"/>
  <c r="C112" i="21"/>
  <c r="C127" i="21"/>
  <c r="E38" i="2"/>
  <c r="E31" i="2"/>
  <c r="E23" i="2"/>
  <c r="E20" i="2"/>
  <c r="E17" i="2"/>
  <c r="C107" i="21" l="1"/>
  <c r="C110" i="21"/>
  <c r="F105" i="21"/>
  <c r="C120" i="21"/>
  <c r="F125" i="21" s="1"/>
  <c r="F108" i="21"/>
  <c r="F131" i="21"/>
  <c r="B301" i="21" l="1"/>
  <c r="B300" i="21"/>
  <c r="F111" i="21"/>
  <c r="B302" i="21" s="1"/>
  <c r="F114" i="21"/>
  <c r="B303" i="21" s="1"/>
  <c r="F128" i="21"/>
  <c r="A4" i="20"/>
  <c r="A2" i="20"/>
  <c r="AI4" i="5"/>
  <c r="AH4" i="5"/>
  <c r="AE4" i="5"/>
  <c r="AF4" i="5"/>
  <c r="AG4" i="5"/>
  <c r="AD4" i="5"/>
  <c r="AC4" i="5"/>
  <c r="AA4" i="5"/>
  <c r="Z4" i="5"/>
  <c r="P21" i="4" l="1"/>
  <c r="AT21" i="4" s="1"/>
  <c r="AS21" i="4" s="1"/>
  <c r="B305" i="21"/>
  <c r="F41" i="2"/>
  <c r="F38" i="2"/>
  <c r="F33" i="2"/>
  <c r="F31" i="2"/>
  <c r="E24" i="2"/>
  <c r="F24" i="2"/>
  <c r="F17" i="2"/>
  <c r="F11" i="2"/>
  <c r="F8" i="2"/>
  <c r="E40" i="2"/>
  <c r="E37" i="2"/>
  <c r="E30" i="2"/>
  <c r="E19" i="2"/>
  <c r="E36" i="2"/>
  <c r="E34" i="2"/>
  <c r="F36" i="2"/>
  <c r="F34" i="2"/>
  <c r="E29" i="2"/>
  <c r="F29" i="2"/>
  <c r="E27" i="2"/>
  <c r="F27" i="2"/>
  <c r="E25" i="2"/>
  <c r="E22" i="2"/>
  <c r="F25" i="2"/>
  <c r="F22" i="2"/>
  <c r="E21" i="2"/>
  <c r="F21" i="2"/>
  <c r="E16" i="2"/>
  <c r="F16" i="2"/>
  <c r="F13" i="2"/>
  <c r="F6" i="2"/>
  <c r="A3" i="20" s="1"/>
  <c r="A1" i="20"/>
  <c r="B310" i="20" s="1"/>
  <c r="B309" i="20" l="1"/>
  <c r="AC21" i="4"/>
  <c r="AB21" i="4"/>
  <c r="AA21" i="4"/>
  <c r="I21" i="4" a="1"/>
  <c r="I21" i="4" s="1"/>
  <c r="J21" i="4"/>
  <c r="B309" i="21"/>
  <c r="B308" i="21"/>
  <c r="B306" i="21"/>
  <c r="B304" i="21"/>
  <c r="B307" i="21"/>
  <c r="B300" i="20"/>
  <c r="M80" i="3"/>
  <c r="M34" i="3"/>
  <c r="M17" i="3"/>
  <c r="AF12" i="64" l="1"/>
  <c r="Z7" i="5"/>
  <c r="Z8" i="5"/>
  <c r="N21" i="4"/>
  <c r="K21" i="4"/>
  <c r="P11" i="4"/>
  <c r="AT11" i="4" s="1"/>
  <c r="AS11" i="4" s="1"/>
  <c r="P10" i="4"/>
  <c r="AT10" i="4" s="1"/>
  <c r="AS10" i="4" s="1"/>
  <c r="P15" i="4"/>
  <c r="AT15" i="4" s="1"/>
  <c r="AS15" i="4" s="1"/>
  <c r="P26" i="4"/>
  <c r="AT26" i="4" s="1"/>
  <c r="AS26" i="4" s="1"/>
  <c r="P20" i="4"/>
  <c r="AT20" i="4" s="1"/>
  <c r="AS20" i="4" s="1"/>
  <c r="P34" i="4"/>
  <c r="AT34" i="4" s="1"/>
  <c r="AS34" i="4" s="1"/>
  <c r="P13" i="4"/>
  <c r="AT13" i="4" s="1"/>
  <c r="AS13" i="4" s="1"/>
  <c r="P9" i="4"/>
  <c r="AT9" i="4" s="1"/>
  <c r="AS9" i="4" s="1"/>
  <c r="P35" i="4"/>
  <c r="AT35" i="4" s="1"/>
  <c r="AS35" i="4" s="1"/>
  <c r="P14" i="4"/>
  <c r="AT14" i="4" s="1"/>
  <c r="AS14" i="4" s="1"/>
  <c r="P44" i="4"/>
  <c r="AT44" i="4" s="1"/>
  <c r="AS44" i="4" s="1"/>
  <c r="P66" i="4"/>
  <c r="AT66" i="4" s="1"/>
  <c r="AS66" i="4" s="1"/>
  <c r="P29" i="4"/>
  <c r="AT29" i="4" s="1"/>
  <c r="AS29" i="4" s="1"/>
  <c r="P52" i="4"/>
  <c r="AT52" i="4" s="1"/>
  <c r="AS52" i="4" s="1"/>
  <c r="P61" i="4"/>
  <c r="AT61" i="4" s="1"/>
  <c r="AS61" i="4" s="1"/>
  <c r="P69" i="4"/>
  <c r="AT69" i="4" s="1"/>
  <c r="AS69" i="4" s="1"/>
  <c r="P53" i="4"/>
  <c r="AT53" i="4" s="1"/>
  <c r="AS53" i="4" s="1"/>
  <c r="P62" i="4"/>
  <c r="AT62" i="4" s="1"/>
  <c r="AS62" i="4" s="1"/>
  <c r="P60" i="4"/>
  <c r="AT60" i="4" s="1"/>
  <c r="AS60" i="4" s="1"/>
  <c r="P78" i="4"/>
  <c r="AT78" i="4" s="1"/>
  <c r="AS78" i="4" s="1"/>
  <c r="P82" i="4"/>
  <c r="AT82" i="4" s="1"/>
  <c r="AS82" i="4" s="1"/>
  <c r="P46" i="4"/>
  <c r="AT46" i="4" s="1"/>
  <c r="AS46" i="4" s="1"/>
  <c r="P72" i="4"/>
  <c r="AT72" i="4" s="1"/>
  <c r="AS72" i="4" s="1"/>
  <c r="P79" i="4"/>
  <c r="AT79" i="4" s="1"/>
  <c r="AS79" i="4" s="1"/>
  <c r="P83" i="4"/>
  <c r="AT83" i="4" s="1"/>
  <c r="AS83" i="4" s="1"/>
  <c r="P50" i="4"/>
  <c r="AT50" i="4" s="1"/>
  <c r="AS50" i="4" s="1"/>
  <c r="P39" i="4"/>
  <c r="AT39" i="4" s="1"/>
  <c r="AS39" i="4" s="1"/>
  <c r="P47" i="4"/>
  <c r="AT47" i="4" s="1"/>
  <c r="AS47" i="4" s="1"/>
  <c r="P49" i="4"/>
  <c r="AT49" i="4" s="1"/>
  <c r="AS49" i="4" s="1"/>
  <c r="P65" i="4"/>
  <c r="AT65" i="4" s="1"/>
  <c r="AS65" i="4" s="1"/>
  <c r="P43" i="4"/>
  <c r="AT43" i="4" s="1"/>
  <c r="AS43" i="4" s="1"/>
  <c r="P57" i="4"/>
  <c r="AT57" i="4" s="1"/>
  <c r="AS57" i="4" s="1"/>
  <c r="P38" i="4"/>
  <c r="AT38" i="4" s="1"/>
  <c r="AS38" i="4" s="1"/>
  <c r="P45" i="4"/>
  <c r="AT45" i="4" s="1"/>
  <c r="AS45" i="4" s="1"/>
  <c r="P59" i="4"/>
  <c r="AT59" i="4" s="1"/>
  <c r="AS59" i="4" s="1"/>
  <c r="P40" i="4"/>
  <c r="AT40" i="4" s="1"/>
  <c r="AS40" i="4" s="1"/>
  <c r="P77" i="4"/>
  <c r="AT77" i="4" s="1"/>
  <c r="AS77" i="4" s="1"/>
  <c r="P80" i="4"/>
  <c r="AT80" i="4" s="1"/>
  <c r="AS80" i="4" s="1"/>
  <c r="P70" i="4"/>
  <c r="AT70" i="4" s="1"/>
  <c r="AS70" i="4" s="1"/>
  <c r="P54" i="4"/>
  <c r="AT54" i="4" s="1"/>
  <c r="AS54" i="4" s="1"/>
  <c r="P68" i="4"/>
  <c r="AT68" i="4" s="1"/>
  <c r="AS68" i="4" s="1"/>
  <c r="P81" i="4"/>
  <c r="AT81" i="4" s="1"/>
  <c r="AS81" i="4" s="1"/>
  <c r="P16" i="4"/>
  <c r="AT16" i="4" s="1"/>
  <c r="AS16" i="4" s="1"/>
  <c r="P42" i="4"/>
  <c r="AT42" i="4" s="1"/>
  <c r="AS42" i="4" s="1"/>
  <c r="P107" i="4"/>
  <c r="AT107" i="4" s="1"/>
  <c r="AS107" i="4" s="1"/>
  <c r="P33" i="4"/>
  <c r="AT33" i="4" s="1"/>
  <c r="AS33" i="4" s="1"/>
  <c r="P28" i="4"/>
  <c r="AT28" i="4" s="1"/>
  <c r="AS28" i="4" s="1"/>
  <c r="P58" i="4"/>
  <c r="AT58" i="4" s="1"/>
  <c r="AS58" i="4" s="1"/>
  <c r="P74" i="4"/>
  <c r="AT74" i="4" s="1"/>
  <c r="AS74" i="4" s="1"/>
  <c r="P22" i="4"/>
  <c r="AT22" i="4" s="1"/>
  <c r="AS22" i="4" s="1"/>
  <c r="P73" i="4"/>
  <c r="AT73" i="4" s="1"/>
  <c r="AS73" i="4" s="1"/>
  <c r="P67" i="4"/>
  <c r="AT67" i="4" s="1"/>
  <c r="AS67" i="4" s="1"/>
  <c r="P87" i="4"/>
  <c r="AT87" i="4" s="1"/>
  <c r="AS87" i="4" s="1"/>
  <c r="P37" i="4"/>
  <c r="AT37" i="4" s="1"/>
  <c r="AS37" i="4" s="1"/>
  <c r="P103" i="4"/>
  <c r="AT103" i="4" s="1"/>
  <c r="AS103" i="4" s="1"/>
  <c r="P86" i="4"/>
  <c r="AT86" i="4" s="1"/>
  <c r="AS86" i="4" s="1"/>
  <c r="P90" i="4"/>
  <c r="AT90" i="4" s="1"/>
  <c r="AS90" i="4" s="1"/>
  <c r="P97" i="4"/>
  <c r="AT97" i="4" s="1"/>
  <c r="AS97" i="4" s="1"/>
  <c r="P106" i="4"/>
  <c r="AT106" i="4" s="1"/>
  <c r="AS106" i="4" s="1"/>
  <c r="P30" i="4"/>
  <c r="AT30" i="4" s="1"/>
  <c r="AS30" i="4" s="1"/>
  <c r="P41" i="4"/>
  <c r="AT41" i="4" s="1"/>
  <c r="AS41" i="4" s="1"/>
  <c r="P104" i="4"/>
  <c r="AT104" i="4" s="1"/>
  <c r="AS104" i="4" s="1"/>
  <c r="P17" i="4"/>
  <c r="AT17" i="4" s="1"/>
  <c r="AS17" i="4" s="1"/>
  <c r="P48" i="4"/>
  <c r="AT48" i="4" s="1"/>
  <c r="AS48" i="4" s="1"/>
  <c r="P115" i="4"/>
  <c r="AT115" i="4" s="1"/>
  <c r="AS115" i="4" s="1"/>
  <c r="P36" i="4"/>
  <c r="AT36" i="4" s="1"/>
  <c r="AS36" i="4" s="1"/>
  <c r="P84" i="4"/>
  <c r="AT84" i="4" s="1"/>
  <c r="AS84" i="4" s="1"/>
  <c r="P89" i="4"/>
  <c r="AT89" i="4" s="1"/>
  <c r="AS89" i="4" s="1"/>
  <c r="P76" i="4"/>
  <c r="AT76" i="4" s="1"/>
  <c r="AS76" i="4" s="1"/>
  <c r="P101" i="4"/>
  <c r="AT101" i="4" s="1"/>
  <c r="AS101" i="4" s="1"/>
  <c r="P114" i="4"/>
  <c r="AT114" i="4" s="1"/>
  <c r="AS114" i="4" s="1"/>
  <c r="P56" i="4"/>
  <c r="AT56" i="4" s="1"/>
  <c r="AS56" i="4" s="1"/>
  <c r="P96" i="4"/>
  <c r="AT96" i="4" s="1"/>
  <c r="AS96" i="4" s="1"/>
  <c r="P25" i="4"/>
  <c r="AT25" i="4" s="1"/>
  <c r="AS25" i="4" s="1"/>
  <c r="P31" i="4"/>
  <c r="AT31" i="4" s="1"/>
  <c r="AS31" i="4" s="1"/>
  <c r="P24" i="4"/>
  <c r="AT24" i="4" s="1"/>
  <c r="AS24" i="4" s="1"/>
  <c r="P93" i="4"/>
  <c r="AT93" i="4" s="1"/>
  <c r="AS93" i="4" s="1"/>
  <c r="P102" i="4"/>
  <c r="AT102" i="4" s="1"/>
  <c r="AS102" i="4" s="1"/>
  <c r="P18" i="4"/>
  <c r="AT18" i="4" s="1"/>
  <c r="AS18" i="4" s="1"/>
  <c r="P95" i="4"/>
  <c r="AT95" i="4" s="1"/>
  <c r="AS95" i="4" s="1"/>
  <c r="P94" i="4"/>
  <c r="AT94" i="4" s="1"/>
  <c r="AS94" i="4" s="1"/>
  <c r="P110" i="4"/>
  <c r="AT110" i="4" s="1"/>
  <c r="AS110" i="4" s="1"/>
  <c r="P113" i="4"/>
  <c r="AT113" i="4" s="1"/>
  <c r="AS113" i="4" s="1"/>
  <c r="P100" i="4"/>
  <c r="AT100" i="4" s="1"/>
  <c r="AS100" i="4" s="1"/>
  <c r="P64" i="4"/>
  <c r="AT64" i="4" s="1"/>
  <c r="AS64" i="4" s="1"/>
  <c r="P92" i="4"/>
  <c r="AT92" i="4" s="1"/>
  <c r="AS92" i="4" s="1"/>
  <c r="P99" i="4"/>
  <c r="AT99" i="4" s="1"/>
  <c r="AS99" i="4" s="1"/>
  <c r="P109" i="4"/>
  <c r="AT109" i="4" s="1"/>
  <c r="AS109" i="4" s="1"/>
  <c r="P12" i="4"/>
  <c r="AT12" i="4" s="1"/>
  <c r="AS12" i="4" s="1"/>
  <c r="P23" i="4"/>
  <c r="AT23" i="4" s="1"/>
  <c r="AS23" i="4" s="1"/>
  <c r="P55" i="4"/>
  <c r="AT55" i="4" s="1"/>
  <c r="AS55" i="4" s="1"/>
  <c r="P105" i="4"/>
  <c r="AT105" i="4" s="1"/>
  <c r="AS105" i="4" s="1"/>
  <c r="P51" i="4"/>
  <c r="AT51" i="4" s="1"/>
  <c r="AS51" i="4" s="1"/>
  <c r="P111" i="4"/>
  <c r="AT111" i="4" s="1"/>
  <c r="AS111" i="4" s="1"/>
  <c r="P27" i="4"/>
  <c r="AT27" i="4" s="1"/>
  <c r="AS27" i="4" s="1"/>
  <c r="P19" i="4"/>
  <c r="AT19" i="4" s="1"/>
  <c r="AS19" i="4" s="1"/>
  <c r="P32" i="4"/>
  <c r="AT32" i="4" s="1"/>
  <c r="AS32" i="4" s="1"/>
  <c r="P85" i="4"/>
  <c r="AT85" i="4" s="1"/>
  <c r="AS85" i="4" s="1"/>
  <c r="P112" i="4"/>
  <c r="AT112" i="4" s="1"/>
  <c r="AS112" i="4" s="1"/>
  <c r="P88" i="4"/>
  <c r="AT88" i="4" s="1"/>
  <c r="AS88" i="4" s="1"/>
  <c r="P91" i="4"/>
  <c r="AT91" i="4" s="1"/>
  <c r="AS91" i="4" s="1"/>
  <c r="P98" i="4"/>
  <c r="AT98" i="4" s="1"/>
  <c r="AS98" i="4" s="1"/>
  <c r="P108" i="4"/>
  <c r="AT108" i="4" s="1"/>
  <c r="AS108" i="4" s="1"/>
  <c r="M99" i="3"/>
  <c r="M95" i="3"/>
  <c r="C95" i="3"/>
  <c r="C84" i="3"/>
  <c r="C86" i="3"/>
  <c r="M76" i="3"/>
  <c r="C74" i="3"/>
  <c r="C76" i="3"/>
  <c r="C70" i="3"/>
  <c r="C59" i="3"/>
  <c r="M53" i="3"/>
  <c r="C48" i="3"/>
  <c r="J43" i="3"/>
  <c r="C41" i="3"/>
  <c r="C31" i="3"/>
  <c r="M21" i="3"/>
  <c r="AG36" i="50" l="1"/>
  <c r="AE36" i="50" s="1"/>
  <c r="AA11" i="4"/>
  <c r="J11" i="4"/>
  <c r="AC11" i="4"/>
  <c r="AB11" i="4"/>
  <c r="I11" i="4" a="1"/>
  <c r="I11" i="4" s="1"/>
  <c r="I42" i="4" a="1"/>
  <c r="I42" i="4" s="1"/>
  <c r="AC42" i="4"/>
  <c r="AB42" i="4"/>
  <c r="AA42" i="4"/>
  <c r="J42" i="4"/>
  <c r="N42" i="4" s="1"/>
  <c r="AB81" i="4"/>
  <c r="I81" i="4" a="1"/>
  <c r="I81" i="4" s="1"/>
  <c r="AA81" i="4"/>
  <c r="J81" i="4"/>
  <c r="AC81" i="4"/>
  <c r="AC54" i="4"/>
  <c r="AA54" i="4"/>
  <c r="AB54" i="4"/>
  <c r="I54" i="4" a="1"/>
  <c r="I54" i="4" s="1"/>
  <c r="J54" i="4"/>
  <c r="J80" i="4"/>
  <c r="I80" i="4" a="1"/>
  <c r="I80" i="4" s="1"/>
  <c r="AB80" i="4"/>
  <c r="AA80" i="4"/>
  <c r="AC80" i="4"/>
  <c r="AB40" i="4"/>
  <c r="AA40" i="4"/>
  <c r="AC40" i="4"/>
  <c r="I40" i="4" a="1"/>
  <c r="I40" i="4" s="1"/>
  <c r="J40" i="4"/>
  <c r="I45" i="4" a="1"/>
  <c r="I45" i="4" s="1"/>
  <c r="AJ11" i="65" s="1"/>
  <c r="AA45" i="4"/>
  <c r="AB45" i="4"/>
  <c r="AC45" i="4"/>
  <c r="J45" i="4"/>
  <c r="N45" i="4" s="1"/>
  <c r="AB57" i="4"/>
  <c r="AA57" i="4"/>
  <c r="I57" i="4" a="1"/>
  <c r="I57" i="4" s="1"/>
  <c r="AC57" i="4"/>
  <c r="J57" i="4"/>
  <c r="N57" i="4" s="1"/>
  <c r="AA65" i="4"/>
  <c r="AC65" i="4"/>
  <c r="AB65" i="4"/>
  <c r="I65" i="4" a="1"/>
  <c r="I65" i="4" s="1"/>
  <c r="J65" i="4"/>
  <c r="AC47" i="4"/>
  <c r="AA47" i="4"/>
  <c r="AB47" i="4"/>
  <c r="I47" i="4" a="1"/>
  <c r="I47" i="4" s="1"/>
  <c r="J47" i="4"/>
  <c r="I50" i="4" a="1"/>
  <c r="I50" i="4" s="1"/>
  <c r="AB50" i="4"/>
  <c r="AC50" i="4"/>
  <c r="J50" i="4"/>
  <c r="AA50" i="4"/>
  <c r="J79" i="4"/>
  <c r="AB79" i="4"/>
  <c r="I79" i="4" a="1"/>
  <c r="I79" i="4" s="1"/>
  <c r="AA79" i="4"/>
  <c r="AC79" i="4"/>
  <c r="AC46" i="4"/>
  <c r="I46" i="4" a="1"/>
  <c r="I46" i="4" s="1"/>
  <c r="AB46" i="4"/>
  <c r="AA46" i="4"/>
  <c r="J46" i="4"/>
  <c r="AB78" i="4"/>
  <c r="J78" i="4"/>
  <c r="AA78" i="4"/>
  <c r="AC78" i="4"/>
  <c r="I78" i="4" a="1"/>
  <c r="I78" i="4" s="1"/>
  <c r="I62" i="4" a="1"/>
  <c r="I62" i="4" s="1"/>
  <c r="AC62" i="4"/>
  <c r="AB62" i="4"/>
  <c r="AA62" i="4"/>
  <c r="J62" i="4"/>
  <c r="AC69" i="4"/>
  <c r="AB69" i="4"/>
  <c r="AA69" i="4"/>
  <c r="I69" i="4" a="1"/>
  <c r="I69" i="4" s="1"/>
  <c r="J69" i="4"/>
  <c r="I52" i="4" a="1"/>
  <c r="I52" i="4" s="1"/>
  <c r="AC52" i="4"/>
  <c r="AB52" i="4"/>
  <c r="AA52" i="4"/>
  <c r="J52" i="4"/>
  <c r="AB66" i="4"/>
  <c r="AA66" i="4"/>
  <c r="AC66" i="4"/>
  <c r="J66" i="4"/>
  <c r="I66" i="4" a="1"/>
  <c r="I66" i="4" s="1"/>
  <c r="I16" i="4" a="1"/>
  <c r="I16" i="4" s="1"/>
  <c r="J16" i="4"/>
  <c r="AA16" i="4"/>
  <c r="AC16" i="4"/>
  <c r="AB16" i="4"/>
  <c r="J68" i="4"/>
  <c r="I68" i="4" a="1"/>
  <c r="I68" i="4" s="1"/>
  <c r="AB68" i="4"/>
  <c r="AA68" i="4"/>
  <c r="AC68" i="4"/>
  <c r="AB70" i="4"/>
  <c r="AA70" i="4"/>
  <c r="I70" i="4" a="1"/>
  <c r="I70" i="4" s="1"/>
  <c r="AC70" i="4"/>
  <c r="J70" i="4"/>
  <c r="AB77" i="4"/>
  <c r="I77" i="4" a="1"/>
  <c r="I77" i="4" s="1"/>
  <c r="AA77" i="4"/>
  <c r="J77" i="4"/>
  <c r="AC77" i="4"/>
  <c r="AC59" i="4"/>
  <c r="AB59" i="4"/>
  <c r="I59" i="4" a="1"/>
  <c r="I59" i="4" s="1"/>
  <c r="AA59" i="4"/>
  <c r="J59" i="4"/>
  <c r="K59" i="4" s="1"/>
  <c r="AB38" i="4"/>
  <c r="I38" i="4" a="1"/>
  <c r="I38" i="4" s="1"/>
  <c r="AA38" i="4"/>
  <c r="AC38" i="4"/>
  <c r="J38" i="4"/>
  <c r="I43" i="4" a="1"/>
  <c r="I43" i="4" s="1"/>
  <c r="J43" i="4"/>
  <c r="AA43" i="4"/>
  <c r="AC43" i="4"/>
  <c r="AB43" i="4"/>
  <c r="AC49" i="4"/>
  <c r="AA49" i="4"/>
  <c r="I49" i="4" a="1"/>
  <c r="I49" i="4" s="1"/>
  <c r="AB49" i="4"/>
  <c r="J49" i="4"/>
  <c r="K49" i="4" s="1"/>
  <c r="I39" i="4" a="1"/>
  <c r="I39" i="4" s="1"/>
  <c r="AB39" i="4"/>
  <c r="AC39" i="4"/>
  <c r="J39" i="4"/>
  <c r="AA39" i="4"/>
  <c r="I83" i="4" a="1"/>
  <c r="I83" i="4" s="1"/>
  <c r="J83" i="4"/>
  <c r="AA83" i="4"/>
  <c r="AB83" i="4"/>
  <c r="AC83" i="4"/>
  <c r="J72" i="4"/>
  <c r="AB72" i="4"/>
  <c r="I72" i="4" a="1"/>
  <c r="I72" i="4" s="1"/>
  <c r="AA72" i="4"/>
  <c r="AC72" i="4"/>
  <c r="J82" i="4"/>
  <c r="AA82" i="4"/>
  <c r="AC82" i="4"/>
  <c r="AB82" i="4"/>
  <c r="I82" i="4" a="1"/>
  <c r="I82" i="4" s="1"/>
  <c r="AC60" i="4"/>
  <c r="AA60" i="4"/>
  <c r="I60" i="4" a="1"/>
  <c r="I60" i="4" s="1"/>
  <c r="AL14" i="65" s="1"/>
  <c r="AB60" i="4"/>
  <c r="J60" i="4"/>
  <c r="N60" i="4" s="1"/>
  <c r="I53" i="4" a="1"/>
  <c r="I53" i="4" s="1"/>
  <c r="AB53" i="4"/>
  <c r="AA53" i="4"/>
  <c r="AC53" i="4"/>
  <c r="J53" i="4"/>
  <c r="AA61" i="4"/>
  <c r="I61" i="4" a="1"/>
  <c r="I61" i="4" s="1"/>
  <c r="AC61" i="4"/>
  <c r="AB61" i="4"/>
  <c r="J61" i="4"/>
  <c r="AA29" i="4"/>
  <c r="AB29" i="4"/>
  <c r="J29" i="4"/>
  <c r="AC29" i="4"/>
  <c r="I29" i="4" a="1"/>
  <c r="I29" i="4" s="1"/>
  <c r="AF16" i="64" s="1"/>
  <c r="AB44" i="4"/>
  <c r="I44" i="4" a="1"/>
  <c r="I44" i="4" s="1"/>
  <c r="AH11" i="64" s="1"/>
  <c r="AC44" i="4"/>
  <c r="AA44" i="4"/>
  <c r="J44" i="4"/>
  <c r="C17" i="3"/>
  <c r="AJ13" i="65" l="1"/>
  <c r="AH17" i="64"/>
  <c r="AF12" i="58"/>
  <c r="AH21" i="58"/>
  <c r="AH17" i="58"/>
  <c r="AF16" i="58"/>
  <c r="AF18" i="58"/>
  <c r="AF22" i="58"/>
  <c r="AG16" i="50"/>
  <c r="AE16" i="50" s="1"/>
  <c r="AG21" i="50"/>
  <c r="AE21" i="50" s="1"/>
  <c r="K44" i="4"/>
  <c r="N39" i="4"/>
  <c r="K38" i="4"/>
  <c r="N16" i="4"/>
  <c r="K46" i="4"/>
  <c r="N50" i="4"/>
  <c r="K83" i="4"/>
  <c r="AG14" i="50"/>
  <c r="AE14" i="50" s="1"/>
  <c r="AF10" i="45"/>
  <c r="N11" i="4"/>
  <c r="K11" i="4"/>
  <c r="AF8" i="48"/>
  <c r="AG14" i="43"/>
  <c r="AE14" i="43" s="1"/>
  <c r="AE14" i="46"/>
  <c r="AL15" i="45"/>
  <c r="K60" i="4"/>
  <c r="AL14" i="45"/>
  <c r="K82" i="4"/>
  <c r="N82" i="4"/>
  <c r="AF12" i="48"/>
  <c r="N49" i="4"/>
  <c r="K43" i="4"/>
  <c r="AF11" i="45"/>
  <c r="N59" i="4"/>
  <c r="AJ14" i="45"/>
  <c r="AF13" i="45"/>
  <c r="K52" i="4"/>
  <c r="N52" i="4"/>
  <c r="K62" i="4"/>
  <c r="N62" i="4"/>
  <c r="AJ15" i="45"/>
  <c r="K78" i="4"/>
  <c r="N78" i="4"/>
  <c r="K79" i="4"/>
  <c r="N79" i="4"/>
  <c r="K57" i="4"/>
  <c r="AF14" i="45"/>
  <c r="AE14" i="45" s="1"/>
  <c r="K45" i="4"/>
  <c r="AJ11" i="45"/>
  <c r="K53" i="4"/>
  <c r="N53" i="4"/>
  <c r="AJ13" i="45"/>
  <c r="AL18" i="45"/>
  <c r="N72" i="4"/>
  <c r="K72" i="4"/>
  <c r="K70" i="4"/>
  <c r="N70" i="4"/>
  <c r="AJ18" i="45"/>
  <c r="AF16" i="48"/>
  <c r="N66" i="4"/>
  <c r="N44" i="4"/>
  <c r="AE10" i="46"/>
  <c r="N29" i="4"/>
  <c r="AF11" i="48"/>
  <c r="K29" i="4"/>
  <c r="N61" i="4"/>
  <c r="AF15" i="45"/>
  <c r="AE15" i="45" s="1"/>
  <c r="K61" i="4"/>
  <c r="N83" i="4"/>
  <c r="K39" i="4"/>
  <c r="N43" i="4"/>
  <c r="N38" i="4"/>
  <c r="AF17" i="45"/>
  <c r="N77" i="4"/>
  <c r="K77" i="4"/>
  <c r="AE18" i="46"/>
  <c r="N68" i="4"/>
  <c r="K68" i="4"/>
  <c r="AH8" i="48"/>
  <c r="AJ10" i="45"/>
  <c r="AG16" i="43"/>
  <c r="AE16" i="43" s="1"/>
  <c r="AG14" i="46"/>
  <c r="AD14" i="46" s="1"/>
  <c r="K16" i="4"/>
  <c r="K66" i="4"/>
  <c r="AF18" i="45"/>
  <c r="K69" i="4"/>
  <c r="N69" i="4"/>
  <c r="N46" i="4"/>
  <c r="AL11" i="45"/>
  <c r="K50" i="4"/>
  <c r="AF13" i="48"/>
  <c r="N47" i="4"/>
  <c r="K47" i="4"/>
  <c r="AH15" i="48"/>
  <c r="N65" i="4"/>
  <c r="K65" i="4"/>
  <c r="N40" i="4"/>
  <c r="AL9" i="45"/>
  <c r="K40" i="4"/>
  <c r="N80" i="4"/>
  <c r="K80" i="4"/>
  <c r="K54" i="4"/>
  <c r="N54" i="4"/>
  <c r="AL13" i="45"/>
  <c r="K81" i="4"/>
  <c r="N81" i="4"/>
  <c r="K42" i="4"/>
  <c r="AF18" i="21"/>
  <c r="AE18" i="45" l="1"/>
  <c r="AE8" i="48"/>
  <c r="AE11" i="45"/>
  <c r="AE13" i="45"/>
  <c r="F23" i="2" l="1"/>
  <c r="K28" i="3" l="1"/>
  <c r="M26" i="3"/>
  <c r="M64" i="3" l="1"/>
  <c r="K64" i="3"/>
  <c r="M73" i="3" l="1"/>
  <c r="K8" i="3" l="1"/>
  <c r="K105" i="3"/>
  <c r="M28" i="3"/>
  <c r="N27" i="3"/>
  <c r="M86" i="3"/>
  <c r="M92" i="3"/>
  <c r="K92" i="3"/>
  <c r="K73" i="3"/>
  <c r="N22" i="3"/>
  <c r="M42" i="3"/>
  <c r="K42" i="3"/>
  <c r="J1" i="3" l="1"/>
  <c r="K86" i="3"/>
  <c r="M63" i="3" l="1"/>
  <c r="K63" i="3"/>
  <c r="M59" i="3" l="1"/>
  <c r="K59" i="3"/>
  <c r="M56" i="3"/>
  <c r="K56" i="3"/>
  <c r="I41" i="3" l="1"/>
  <c r="K41" i="3"/>
  <c r="M48" i="3"/>
  <c r="K48" i="3"/>
  <c r="N11" i="3" l="1"/>
  <c r="K21" i="3" l="1"/>
  <c r="A4" i="21" l="1"/>
  <c r="A2" i="21"/>
  <c r="AE8" i="21"/>
  <c r="AG8" i="21"/>
  <c r="AI8" i="21"/>
  <c r="AK8" i="21"/>
  <c r="AL8" i="21" s="1"/>
  <c r="AM8" i="21"/>
  <c r="AN8" i="21" s="1"/>
  <c r="AE9" i="21"/>
  <c r="AG9" i="21"/>
  <c r="AI9" i="21"/>
  <c r="AK9" i="21"/>
  <c r="AL9" i="21" s="1"/>
  <c r="AM9" i="21"/>
  <c r="AN9" i="21" s="1"/>
  <c r="AE10" i="21"/>
  <c r="AG10" i="21"/>
  <c r="AI10" i="21"/>
  <c r="AK10" i="21"/>
  <c r="AL10" i="21" s="1"/>
  <c r="AM10" i="21"/>
  <c r="AN10" i="21" s="1"/>
  <c r="AE11" i="21"/>
  <c r="AG11" i="21"/>
  <c r="AI11" i="21"/>
  <c r="AK11" i="21"/>
  <c r="AL11" i="21" s="1"/>
  <c r="AM11" i="21"/>
  <c r="AN11" i="21" s="1"/>
  <c r="AM7" i="21"/>
  <c r="AN7" i="21" s="1"/>
  <c r="AK7" i="21"/>
  <c r="AL7" i="21" s="1"/>
  <c r="AI7" i="21"/>
  <c r="AG7" i="21"/>
  <c r="AE7" i="21"/>
  <c r="P5" i="4"/>
  <c r="AL16" i="20"/>
  <c r="AK16" i="20" s="1"/>
  <c r="AJ16" i="20"/>
  <c r="AI16" i="20" s="1"/>
  <c r="AH16" i="20"/>
  <c r="AF16" i="20"/>
  <c r="AA16" i="20"/>
  <c r="Y16" i="20"/>
  <c r="W16" i="20"/>
  <c r="AL15" i="20"/>
  <c r="AK15" i="20" s="1"/>
  <c r="AJ15" i="20"/>
  <c r="AI15" i="20" s="1"/>
  <c r="AH15" i="20"/>
  <c r="AF15" i="20"/>
  <c r="AA15" i="20"/>
  <c r="Y15" i="20"/>
  <c r="W15" i="20"/>
  <c r="AL14" i="20"/>
  <c r="AK14" i="20" s="1"/>
  <c r="AJ14" i="20"/>
  <c r="AI14" i="20" s="1"/>
  <c r="AH14" i="20"/>
  <c r="AF14" i="20"/>
  <c r="AA14" i="20"/>
  <c r="Y14" i="20"/>
  <c r="W14" i="20"/>
  <c r="AL13" i="20"/>
  <c r="AK13" i="20" s="1"/>
  <c r="AJ13" i="20"/>
  <c r="AI13" i="20" s="1"/>
  <c r="AH13" i="20"/>
  <c r="AF13" i="20"/>
  <c r="AA13" i="20"/>
  <c r="Y13" i="20"/>
  <c r="W13" i="20"/>
  <c r="AL12" i="20"/>
  <c r="AK12" i="20" s="1"/>
  <c r="AJ12" i="20"/>
  <c r="AI12" i="20" s="1"/>
  <c r="AH12" i="20"/>
  <c r="AF12" i="20"/>
  <c r="AA12" i="20"/>
  <c r="Y12" i="20"/>
  <c r="W12" i="20"/>
  <c r="AL11" i="20"/>
  <c r="AJ11" i="20"/>
  <c r="AH11" i="20"/>
  <c r="AF11" i="20"/>
  <c r="AA11" i="20"/>
  <c r="Y11" i="20"/>
  <c r="W11" i="20"/>
  <c r="AL10" i="20"/>
  <c r="AK10" i="20" s="1"/>
  <c r="AJ10" i="20"/>
  <c r="AI10" i="20" s="1"/>
  <c r="AH10" i="20"/>
  <c r="AF10" i="20"/>
  <c r="AA10" i="20"/>
  <c r="Y10" i="20"/>
  <c r="W10" i="20"/>
  <c r="AL9" i="20"/>
  <c r="AK9" i="20" s="1"/>
  <c r="AJ9" i="20"/>
  <c r="AI9" i="20" s="1"/>
  <c r="AH9" i="20"/>
  <c r="AF9" i="20"/>
  <c r="AA9" i="20"/>
  <c r="Y9" i="20"/>
  <c r="W9" i="20"/>
  <c r="AL8" i="20"/>
  <c r="AK8" i="20" s="1"/>
  <c r="AJ8" i="20"/>
  <c r="AI8" i="20" s="1"/>
  <c r="AH8" i="20"/>
  <c r="AF8" i="20"/>
  <c r="AA8" i="20"/>
  <c r="Y8" i="20"/>
  <c r="W8" i="20"/>
  <c r="AB11" i="20" l="1"/>
  <c r="AB9" i="20"/>
  <c r="AB8" i="20"/>
  <c r="AB10" i="20"/>
  <c r="AB12" i="20"/>
  <c r="AB14" i="20"/>
  <c r="AB16" i="20"/>
  <c r="AB13" i="20"/>
  <c r="AB15" i="20"/>
  <c r="AZ8" i="4" l="1"/>
  <c r="P8" i="4" l="1"/>
  <c r="AT8" i="4" s="1"/>
  <c r="Q57" i="5" l="1"/>
  <c r="P57" i="5"/>
  <c r="O57" i="5"/>
  <c r="M57" i="5"/>
  <c r="V25" i="5"/>
  <c r="N25" i="5"/>
  <c r="V38" i="5"/>
  <c r="V45" i="5"/>
  <c r="N45" i="5"/>
  <c r="V24" i="5"/>
  <c r="N24" i="5"/>
  <c r="V52" i="5"/>
  <c r="N52" i="5"/>
  <c r="V11" i="5"/>
  <c r="V35" i="5"/>
  <c r="N35" i="5"/>
  <c r="V56" i="5"/>
  <c r="N56" i="5"/>
  <c r="V42" i="5"/>
  <c r="N42" i="5"/>
  <c r="V16" i="5"/>
  <c r="V8" i="5"/>
  <c r="V18" i="5"/>
  <c r="N18" i="5"/>
  <c r="V26" i="5"/>
  <c r="N26" i="5"/>
  <c r="V14" i="5"/>
  <c r="N14" i="5"/>
  <c r="V48" i="5"/>
  <c r="N48" i="5"/>
  <c r="V15" i="5"/>
  <c r="V21" i="5"/>
  <c r="N21" i="5"/>
  <c r="V43" i="5"/>
  <c r="N43" i="5"/>
  <c r="V51" i="5"/>
  <c r="N51" i="5"/>
  <c r="V12" i="5"/>
  <c r="N12" i="5"/>
  <c r="V22" i="5"/>
  <c r="N22" i="5"/>
  <c r="V34" i="5"/>
  <c r="N34" i="5"/>
  <c r="V31" i="5"/>
  <c r="N31" i="5"/>
  <c r="V32" i="5"/>
  <c r="N32" i="5"/>
  <c r="V17" i="5"/>
  <c r="N17" i="5"/>
  <c r="V30" i="5"/>
  <c r="N30" i="5"/>
  <c r="V13" i="5"/>
  <c r="V27" i="5"/>
  <c r="V46" i="5"/>
  <c r="N46" i="5"/>
  <c r="V7" i="5"/>
  <c r="N7" i="5"/>
  <c r="V23" i="5"/>
  <c r="N23" i="5"/>
  <c r="V9" i="5"/>
  <c r="V10" i="5"/>
  <c r="N10" i="5"/>
  <c r="AI6" i="5"/>
  <c r="AH6" i="5"/>
  <c r="AG6" i="5"/>
  <c r="AF6" i="5"/>
  <c r="AE6" i="5"/>
  <c r="AD6" i="5"/>
  <c r="AC6" i="5"/>
  <c r="AB6" i="5"/>
  <c r="AA6" i="5"/>
  <c r="Z6" i="5"/>
  <c r="M114" i="4"/>
  <c r="M109" i="4"/>
  <c r="M108" i="4"/>
  <c r="M106" i="4"/>
  <c r="M101" i="4"/>
  <c r="M99" i="4"/>
  <c r="M98" i="4"/>
  <c r="M97" i="4"/>
  <c r="M76" i="4"/>
  <c r="M92" i="4"/>
  <c r="D92" i="4"/>
  <c r="C92" i="4" s="1"/>
  <c r="B92" i="4"/>
  <c r="A92" i="4" s="1"/>
  <c r="M91" i="4"/>
  <c r="D91" i="4"/>
  <c r="C91" i="4" s="1"/>
  <c r="B91" i="4"/>
  <c r="A91" i="4" s="1"/>
  <c r="M90" i="4"/>
  <c r="D90" i="4"/>
  <c r="C90" i="4" s="1"/>
  <c r="B90" i="4"/>
  <c r="A90" i="4" s="1"/>
  <c r="M89" i="4"/>
  <c r="D89" i="4"/>
  <c r="C89" i="4" s="1"/>
  <c r="B89" i="4"/>
  <c r="A89" i="4" s="1"/>
  <c r="M64" i="4"/>
  <c r="D64" i="4"/>
  <c r="C64" i="4" s="1"/>
  <c r="M88" i="4"/>
  <c r="D88" i="4"/>
  <c r="C88" i="4" s="1"/>
  <c r="B88" i="4"/>
  <c r="A88" i="4" s="1"/>
  <c r="M86" i="4"/>
  <c r="D86" i="4"/>
  <c r="C86" i="4" s="1"/>
  <c r="B86" i="4"/>
  <c r="A86" i="4" s="1"/>
  <c r="M84" i="4"/>
  <c r="D84" i="4"/>
  <c r="C84" i="4" s="1"/>
  <c r="B84" i="4"/>
  <c r="A84" i="4" s="1"/>
  <c r="D83" i="4"/>
  <c r="C83" i="4" s="1"/>
  <c r="B83" i="4"/>
  <c r="A83" i="4" s="1"/>
  <c r="D82" i="4"/>
  <c r="C82" i="4" s="1"/>
  <c r="B82" i="4"/>
  <c r="A82" i="4" s="1"/>
  <c r="D79" i="4"/>
  <c r="C79" i="4" s="1"/>
  <c r="D78" i="4"/>
  <c r="C78" i="4" s="1"/>
  <c r="M112" i="4"/>
  <c r="M103" i="4"/>
  <c r="M14" i="4"/>
  <c r="D14" i="4"/>
  <c r="C14" i="4" s="1"/>
  <c r="B14" i="4"/>
  <c r="A14" i="4" s="1"/>
  <c r="M100" i="4"/>
  <c r="M85" i="4"/>
  <c r="D85" i="4"/>
  <c r="C85" i="4" s="1"/>
  <c r="B85" i="4"/>
  <c r="A85" i="4" s="1"/>
  <c r="M37" i="4"/>
  <c r="M36" i="4"/>
  <c r="D36" i="4"/>
  <c r="C36" i="4" s="1"/>
  <c r="B36" i="4"/>
  <c r="A36" i="4" s="1"/>
  <c r="M113" i="4"/>
  <c r="M32" i="4"/>
  <c r="D32" i="4"/>
  <c r="C32" i="4" s="1"/>
  <c r="M87" i="4"/>
  <c r="D87" i="4"/>
  <c r="C87" i="4" s="1"/>
  <c r="B87" i="4"/>
  <c r="A87" i="4" s="1"/>
  <c r="M115" i="4"/>
  <c r="M110" i="4"/>
  <c r="M19" i="4"/>
  <c r="D19" i="4"/>
  <c r="C19" i="4" s="1"/>
  <c r="B19" i="4"/>
  <c r="A19" i="4" s="1"/>
  <c r="M67" i="4"/>
  <c r="D67" i="4"/>
  <c r="C67" i="4" s="1"/>
  <c r="B67" i="4"/>
  <c r="A67" i="4" s="1"/>
  <c r="M48" i="4"/>
  <c r="M94" i="4"/>
  <c r="D94" i="4"/>
  <c r="C94" i="4" s="1"/>
  <c r="M27" i="4"/>
  <c r="D27" i="4"/>
  <c r="C27" i="4" s="1"/>
  <c r="B27" i="4"/>
  <c r="A27" i="4" s="1"/>
  <c r="M73" i="4"/>
  <c r="D73" i="4"/>
  <c r="C73" i="4" s="1"/>
  <c r="B73" i="4"/>
  <c r="A73" i="4" s="1"/>
  <c r="M95" i="4"/>
  <c r="M111" i="4"/>
  <c r="M22" i="4"/>
  <c r="D22" i="4"/>
  <c r="C22" i="4" s="1"/>
  <c r="B22" i="4"/>
  <c r="A22" i="4" s="1"/>
  <c r="M17" i="4"/>
  <c r="D17" i="4"/>
  <c r="C17" i="4" s="1"/>
  <c r="B17" i="4"/>
  <c r="A17" i="4" s="1"/>
  <c r="M18" i="4"/>
  <c r="D18" i="4"/>
  <c r="C18" i="4" s="1"/>
  <c r="M51" i="4"/>
  <c r="D51" i="4"/>
  <c r="C51" i="4" s="1"/>
  <c r="B51" i="4"/>
  <c r="A51" i="4" s="1"/>
  <c r="M13" i="4"/>
  <c r="B13" i="4"/>
  <c r="A13" i="4" s="1"/>
  <c r="M104" i="4"/>
  <c r="M102" i="4"/>
  <c r="M105" i="4"/>
  <c r="M74" i="4"/>
  <c r="D77" i="4"/>
  <c r="C77" i="4" s="1"/>
  <c r="M93" i="4"/>
  <c r="D93" i="4"/>
  <c r="C93" i="4" s="1"/>
  <c r="B93" i="4"/>
  <c r="A93" i="4" s="1"/>
  <c r="M20" i="4"/>
  <c r="D20" i="4"/>
  <c r="C20" i="4" s="1"/>
  <c r="B20" i="4"/>
  <c r="A20" i="4" s="1"/>
  <c r="M58" i="4"/>
  <c r="D58" i="4"/>
  <c r="C58" i="4" s="1"/>
  <c r="B58" i="4"/>
  <c r="A58" i="4" s="1"/>
  <c r="M41" i="4"/>
  <c r="D41" i="4"/>
  <c r="C41" i="4" s="1"/>
  <c r="B41" i="4"/>
  <c r="A41" i="4" s="1"/>
  <c r="M24" i="4"/>
  <c r="D24" i="4"/>
  <c r="C24" i="4" s="1"/>
  <c r="M35" i="4"/>
  <c r="D35" i="4"/>
  <c r="C35" i="4" s="1"/>
  <c r="B35" i="4"/>
  <c r="A35" i="4" s="1"/>
  <c r="M28" i="4"/>
  <c r="B28" i="4"/>
  <c r="A28" i="4" s="1"/>
  <c r="M31" i="4"/>
  <c r="D31" i="4"/>
  <c r="C31" i="4" s="1"/>
  <c r="B31" i="4"/>
  <c r="A31" i="4" s="1"/>
  <c r="D80" i="4"/>
  <c r="C80" i="4" s="1"/>
  <c r="B80" i="4"/>
  <c r="A80" i="4" s="1"/>
  <c r="M33" i="4"/>
  <c r="D33" i="4"/>
  <c r="C33" i="4" s="1"/>
  <c r="B33" i="4"/>
  <c r="A33" i="4" s="1"/>
  <c r="M30" i="4"/>
  <c r="D30" i="4"/>
  <c r="C30" i="4" s="1"/>
  <c r="M25" i="4"/>
  <c r="D25" i="4"/>
  <c r="C25" i="4" s="1"/>
  <c r="B25" i="4"/>
  <c r="A25" i="4" s="1"/>
  <c r="M55" i="4"/>
  <c r="D55" i="4"/>
  <c r="C55" i="4" s="1"/>
  <c r="B55" i="4"/>
  <c r="A55" i="4" s="1"/>
  <c r="M26" i="4"/>
  <c r="D26" i="4"/>
  <c r="C26" i="4" s="1"/>
  <c r="B26" i="4"/>
  <c r="A26" i="4" s="1"/>
  <c r="M96" i="4"/>
  <c r="M23" i="4"/>
  <c r="D23" i="4"/>
  <c r="C23" i="4" s="1"/>
  <c r="B23" i="4"/>
  <c r="A23" i="4" s="1"/>
  <c r="M107" i="4"/>
  <c r="M9" i="4"/>
  <c r="D9" i="4"/>
  <c r="C9" i="4" s="1"/>
  <c r="B9" i="4"/>
  <c r="A9" i="4" s="1"/>
  <c r="M56" i="4"/>
  <c r="D56" i="4"/>
  <c r="C56" i="4" s="1"/>
  <c r="B56" i="4"/>
  <c r="A56" i="4" s="1"/>
  <c r="M12" i="4"/>
  <c r="D12" i="4"/>
  <c r="C12" i="4" s="1"/>
  <c r="B12" i="4"/>
  <c r="A12" i="4" s="1"/>
  <c r="M10" i="4"/>
  <c r="D10" i="4"/>
  <c r="C10" i="4" s="1"/>
  <c r="B10" i="4"/>
  <c r="A10" i="4" s="1"/>
  <c r="M15" i="4"/>
  <c r="D15" i="4"/>
  <c r="C15" i="4" s="1"/>
  <c r="B15" i="4"/>
  <c r="A15" i="4" s="1"/>
  <c r="M34" i="4"/>
  <c r="D34" i="4"/>
  <c r="C34" i="4" s="1"/>
  <c r="B34" i="4"/>
  <c r="A34" i="4" s="1"/>
  <c r="M8" i="4"/>
  <c r="D8" i="4"/>
  <c r="B8" i="4"/>
  <c r="F10" i="2"/>
  <c r="A3" i="21"/>
  <c r="A1" i="21"/>
  <c r="F1" i="2"/>
  <c r="AV41" i="5" l="1"/>
  <c r="AV40" i="5"/>
  <c r="AV55" i="5"/>
  <c r="AV44" i="5"/>
  <c r="AV53" i="5"/>
  <c r="AV37" i="5"/>
  <c r="AV29" i="5"/>
  <c r="AV33" i="5"/>
  <c r="AV47" i="5"/>
  <c r="AV19" i="5"/>
  <c r="AV36" i="5"/>
  <c r="AV28" i="5"/>
  <c r="AV49" i="5"/>
  <c r="AV50" i="5"/>
  <c r="AV20" i="5"/>
  <c r="AV54" i="5"/>
  <c r="AV39" i="5"/>
  <c r="AX37" i="5"/>
  <c r="AX41" i="5"/>
  <c r="AX40" i="5"/>
  <c r="AX19" i="5"/>
  <c r="AX44" i="5"/>
  <c r="AX53" i="5"/>
  <c r="AX55" i="5"/>
  <c r="AX29" i="5"/>
  <c r="AX33" i="5"/>
  <c r="AX47" i="5"/>
  <c r="AX36" i="5"/>
  <c r="AX28" i="5"/>
  <c r="AX49" i="5"/>
  <c r="AX50" i="5"/>
  <c r="AZ55" i="5"/>
  <c r="AZ41" i="5"/>
  <c r="AZ44" i="5"/>
  <c r="AZ40" i="5"/>
  <c r="AZ37" i="5"/>
  <c r="AZ53" i="5"/>
  <c r="AZ19" i="5"/>
  <c r="AZ29" i="5"/>
  <c r="AZ33" i="5"/>
  <c r="AZ47" i="5"/>
  <c r="AZ36" i="5"/>
  <c r="AZ28" i="5"/>
  <c r="AZ49" i="5"/>
  <c r="AZ50" i="5"/>
  <c r="BB55" i="5"/>
  <c r="BB40" i="5"/>
  <c r="BB44" i="5"/>
  <c r="BB41" i="5"/>
  <c r="BB53" i="5"/>
  <c r="BB37" i="5"/>
  <c r="BB29" i="5"/>
  <c r="BB33" i="5"/>
  <c r="BB47" i="5"/>
  <c r="BB19" i="5"/>
  <c r="BB36" i="5"/>
  <c r="BB28" i="5"/>
  <c r="BB49" i="5"/>
  <c r="BB50" i="5"/>
  <c r="AU29" i="5"/>
  <c r="AU53" i="5"/>
  <c r="AU41" i="5"/>
  <c r="AU47" i="5"/>
  <c r="AU40" i="5"/>
  <c r="AU19" i="5"/>
  <c r="AU44" i="5"/>
  <c r="AU33" i="5"/>
  <c r="AU37" i="5"/>
  <c r="AU55" i="5"/>
  <c r="AU39" i="5"/>
  <c r="AU20" i="5"/>
  <c r="AU54" i="5"/>
  <c r="AU49" i="5"/>
  <c r="AU50" i="5"/>
  <c r="AU36" i="5"/>
  <c r="AU28" i="5"/>
  <c r="AW29" i="5"/>
  <c r="AW53" i="5"/>
  <c r="AW40" i="5"/>
  <c r="AW19" i="5"/>
  <c r="AW44" i="5"/>
  <c r="AW33" i="5"/>
  <c r="AW41" i="5"/>
  <c r="AW47" i="5"/>
  <c r="AW37" i="5"/>
  <c r="AW55" i="5"/>
  <c r="AW49" i="5"/>
  <c r="AW50" i="5"/>
  <c r="AW36" i="5"/>
  <c r="AW28" i="5"/>
  <c r="AY41" i="5"/>
  <c r="AY44" i="5"/>
  <c r="AY37" i="5"/>
  <c r="AY40" i="5"/>
  <c r="AY55" i="5"/>
  <c r="AY53" i="5"/>
  <c r="AY19" i="5"/>
  <c r="AY29" i="5"/>
  <c r="AY33" i="5"/>
  <c r="AY47" i="5"/>
  <c r="AY49" i="5"/>
  <c r="AY50" i="5"/>
  <c r="AY36" i="5"/>
  <c r="AY28" i="5"/>
  <c r="BA44" i="5"/>
  <c r="BA40" i="5"/>
  <c r="BA55" i="5"/>
  <c r="BA41" i="5"/>
  <c r="BA37" i="5"/>
  <c r="BA53" i="5"/>
  <c r="BA19" i="5"/>
  <c r="BA29" i="5"/>
  <c r="BA33" i="5"/>
  <c r="BA47" i="5"/>
  <c r="BA49" i="5"/>
  <c r="BA50" i="5"/>
  <c r="BA36" i="5"/>
  <c r="BA28" i="5"/>
  <c r="BC55" i="5"/>
  <c r="BC41" i="5"/>
  <c r="BC40" i="5"/>
  <c r="BC44" i="5"/>
  <c r="BC37" i="5"/>
  <c r="BC53" i="5"/>
  <c r="BC19" i="5"/>
  <c r="BC29" i="5"/>
  <c r="BC33" i="5"/>
  <c r="BC47" i="5"/>
  <c r="BC49" i="5"/>
  <c r="BC50" i="5"/>
  <c r="BC36" i="5"/>
  <c r="BC28" i="5"/>
  <c r="N57" i="5"/>
  <c r="C8" i="4"/>
  <c r="A8" i="4"/>
  <c r="AV32" i="5"/>
  <c r="AV51" i="5"/>
  <c r="AV9" i="5"/>
  <c r="AV23" i="5"/>
  <c r="AV7" i="5"/>
  <c r="AV46" i="5"/>
  <c r="AV27" i="5"/>
  <c r="AV13" i="5"/>
  <c r="AV17" i="5"/>
  <c r="AV31" i="5"/>
  <c r="AV34" i="5"/>
  <c r="AV12" i="5"/>
  <c r="AV43" i="5"/>
  <c r="AV14" i="5"/>
  <c r="AV18" i="5"/>
  <c r="AV8" i="5"/>
  <c r="AV16" i="5"/>
  <c r="AV30" i="5"/>
  <c r="AV22" i="5"/>
  <c r="AV21" i="5"/>
  <c r="AV15" i="5"/>
  <c r="AV48" i="5"/>
  <c r="AV26" i="5"/>
  <c r="B307" i="20"/>
  <c r="B305" i="20"/>
  <c r="B303" i="20"/>
  <c r="B301" i="20"/>
  <c r="B308" i="20"/>
  <c r="B306" i="20"/>
  <c r="B304" i="20"/>
  <c r="B302" i="20"/>
  <c r="P116" i="4"/>
  <c r="R116" i="4"/>
  <c r="T116" i="4"/>
  <c r="I17" i="2" s="1"/>
  <c r="AB57" i="5"/>
  <c r="AV10" i="5"/>
  <c r="AV42" i="5"/>
  <c r="AV35" i="5"/>
  <c r="AV56" i="5"/>
  <c r="AV52" i="5"/>
  <c r="AV11" i="5"/>
  <c r="AV24" i="5"/>
  <c r="AV45" i="5"/>
  <c r="AV38" i="5"/>
  <c r="AV25" i="5"/>
  <c r="Z116" i="4"/>
  <c r="I38" i="2" s="1"/>
  <c r="Z55" i="5" l="1"/>
  <c r="Z44" i="5"/>
  <c r="Z40" i="5"/>
  <c r="Z41" i="5"/>
  <c r="AB58" i="5"/>
  <c r="I28" i="2"/>
  <c r="Z53" i="5"/>
  <c r="Z15" i="5"/>
  <c r="Z10" i="5"/>
  <c r="Z31" i="5"/>
  <c r="Z39" i="5"/>
  <c r="Z23" i="5"/>
  <c r="Z16" i="5"/>
  <c r="Z36" i="5"/>
  <c r="Z22" i="5"/>
  <c r="Z42" i="5"/>
  <c r="Z51" i="5"/>
  <c r="Z28" i="5"/>
  <c r="Z34" i="5"/>
  <c r="Z54" i="5"/>
  <c r="Z56" i="5"/>
  <c r="Z35" i="5"/>
  <c r="Z47" i="5"/>
  <c r="Z52" i="5"/>
  <c r="Z45" i="5"/>
  <c r="Z29" i="5"/>
  <c r="Z37" i="5"/>
  <c r="Z11" i="5"/>
  <c r="Z27" i="5"/>
  <c r="Z12" i="5"/>
  <c r="Z30" i="5"/>
  <c r="Z20" i="5"/>
  <c r="Z17" i="5"/>
  <c r="Z9" i="5"/>
  <c r="Z14" i="5"/>
  <c r="Z21" i="5"/>
  <c r="Z32" i="5"/>
  <c r="Z49" i="5"/>
  <c r="Z38" i="5"/>
  <c r="Z50" i="5"/>
  <c r="Z26" i="5"/>
  <c r="Z13" i="5"/>
  <c r="Z33" i="5"/>
  <c r="Z25" i="5"/>
  <c r="Z24" i="5"/>
  <c r="Z19" i="5"/>
  <c r="Z46" i="5"/>
  <c r="Z48" i="5"/>
  <c r="BC20" i="5"/>
  <c r="BC54" i="5"/>
  <c r="AY20" i="5"/>
  <c r="AY54" i="5"/>
  <c r="AW20" i="5"/>
  <c r="AW54" i="5"/>
  <c r="BB20" i="5"/>
  <c r="BB54" i="5"/>
  <c r="BA54" i="5"/>
  <c r="BA20" i="5"/>
  <c r="AZ20" i="5"/>
  <c r="AZ54" i="5"/>
  <c r="AX20" i="5"/>
  <c r="AX54" i="5"/>
  <c r="I11" i="2"/>
  <c r="I5" i="2"/>
  <c r="I16" i="2"/>
  <c r="Z18" i="5"/>
  <c r="Z117" i="4"/>
  <c r="T117" i="4"/>
  <c r="AW27" i="5"/>
  <c r="AW32" i="5"/>
  <c r="AW22" i="5"/>
  <c r="AW18" i="5"/>
  <c r="AW45" i="5"/>
  <c r="AW38" i="5"/>
  <c r="AW25" i="5"/>
  <c r="AW9" i="5"/>
  <c r="AW7" i="5"/>
  <c r="AW13" i="5"/>
  <c r="AW31" i="5"/>
  <c r="AW12" i="5"/>
  <c r="AW21" i="5"/>
  <c r="AW48" i="5"/>
  <c r="AW8" i="5"/>
  <c r="AW35" i="5"/>
  <c r="AW30" i="5"/>
  <c r="AW51" i="5"/>
  <c r="AW15" i="5"/>
  <c r="AW14" i="5"/>
  <c r="AW16" i="5"/>
  <c r="AW42" i="5"/>
  <c r="AW56" i="5"/>
  <c r="AW52" i="5"/>
  <c r="AW23" i="5"/>
  <c r="AW46" i="5"/>
  <c r="AW17" i="5"/>
  <c r="AW34" i="5"/>
  <c r="AW43" i="5"/>
  <c r="AW26" i="5"/>
  <c r="AW11" i="5"/>
  <c r="AW24" i="5"/>
  <c r="AU30" i="5"/>
  <c r="AU51" i="5"/>
  <c r="AU15" i="5"/>
  <c r="AU14" i="5"/>
  <c r="AU16" i="5"/>
  <c r="AU42" i="5"/>
  <c r="AU56" i="5"/>
  <c r="AU52" i="5"/>
  <c r="AU23" i="5"/>
  <c r="AU46" i="5"/>
  <c r="AU17" i="5"/>
  <c r="AU34" i="5"/>
  <c r="AU43" i="5"/>
  <c r="AU26" i="5"/>
  <c r="AU11" i="5"/>
  <c r="AU24" i="5"/>
  <c r="AU32" i="5"/>
  <c r="AU18" i="5"/>
  <c r="AU38" i="5"/>
  <c r="AU9" i="5"/>
  <c r="AU13" i="5"/>
  <c r="AU12" i="5"/>
  <c r="AU48" i="5"/>
  <c r="AU35" i="5"/>
  <c r="AU27" i="5"/>
  <c r="AU22" i="5"/>
  <c r="AU45" i="5"/>
  <c r="AU25" i="5"/>
  <c r="AU7" i="5"/>
  <c r="AU31" i="5"/>
  <c r="AU21" i="5"/>
  <c r="AU8" i="5"/>
  <c r="BB9" i="5"/>
  <c r="BB23" i="5"/>
  <c r="BB7" i="5"/>
  <c r="BB46" i="5"/>
  <c r="BB13" i="5"/>
  <c r="BB17" i="5"/>
  <c r="BB31" i="5"/>
  <c r="BB34" i="5"/>
  <c r="BB12" i="5"/>
  <c r="BB43" i="5"/>
  <c r="BB21" i="5"/>
  <c r="BB48" i="5"/>
  <c r="BB26" i="5"/>
  <c r="BB8" i="5"/>
  <c r="BB35" i="5"/>
  <c r="BB11" i="5"/>
  <c r="BB45" i="5"/>
  <c r="BB38" i="5"/>
  <c r="BB25" i="5"/>
  <c r="BB27" i="5"/>
  <c r="BB32" i="5"/>
  <c r="BB22" i="5"/>
  <c r="BB18" i="5"/>
  <c r="BB24" i="5"/>
  <c r="BB30" i="5"/>
  <c r="BB51" i="5"/>
  <c r="BB15" i="5"/>
  <c r="BB14" i="5"/>
  <c r="BB16" i="5"/>
  <c r="BB42" i="5"/>
  <c r="BB56" i="5"/>
  <c r="BB52" i="5"/>
  <c r="BA27" i="5"/>
  <c r="BA32" i="5"/>
  <c r="BA22" i="5"/>
  <c r="BA18" i="5"/>
  <c r="BA45" i="5"/>
  <c r="BA38" i="5"/>
  <c r="BA25" i="5"/>
  <c r="BA9" i="5"/>
  <c r="BA7" i="5"/>
  <c r="BA13" i="5"/>
  <c r="BA31" i="5"/>
  <c r="BA12" i="5"/>
  <c r="BA21" i="5"/>
  <c r="BA48" i="5"/>
  <c r="BA8" i="5"/>
  <c r="BA35" i="5"/>
  <c r="BA30" i="5"/>
  <c r="BA51" i="5"/>
  <c r="BA15" i="5"/>
  <c r="BA14" i="5"/>
  <c r="BA16" i="5"/>
  <c r="BA42" i="5"/>
  <c r="BA56" i="5"/>
  <c r="BA52" i="5"/>
  <c r="BA23" i="5"/>
  <c r="BA46" i="5"/>
  <c r="BA17" i="5"/>
  <c r="BA34" i="5"/>
  <c r="BA43" i="5"/>
  <c r="BA26" i="5"/>
  <c r="BA11" i="5"/>
  <c r="BA24" i="5"/>
  <c r="AZ27" i="5"/>
  <c r="AZ30" i="5"/>
  <c r="AZ32" i="5"/>
  <c r="AZ22" i="5"/>
  <c r="AZ51" i="5"/>
  <c r="AZ15" i="5"/>
  <c r="AZ14" i="5"/>
  <c r="AZ18" i="5"/>
  <c r="AZ16" i="5"/>
  <c r="AZ42" i="5"/>
  <c r="AZ56" i="5"/>
  <c r="AZ52" i="5"/>
  <c r="AZ24" i="5"/>
  <c r="AZ9" i="5"/>
  <c r="AZ23" i="5"/>
  <c r="AZ7" i="5"/>
  <c r="AZ46" i="5"/>
  <c r="AZ13" i="5"/>
  <c r="AZ17" i="5"/>
  <c r="AZ31" i="5"/>
  <c r="AZ34" i="5"/>
  <c r="AZ12" i="5"/>
  <c r="AZ43" i="5"/>
  <c r="AZ21" i="5"/>
  <c r="AZ48" i="5"/>
  <c r="AZ26" i="5"/>
  <c r="AZ8" i="5"/>
  <c r="AZ35" i="5"/>
  <c r="AZ11" i="5"/>
  <c r="AZ45" i="5"/>
  <c r="AZ38" i="5"/>
  <c r="AZ25" i="5"/>
  <c r="AX27" i="5"/>
  <c r="AX30" i="5"/>
  <c r="AX32" i="5"/>
  <c r="AX22" i="5"/>
  <c r="AX51" i="5"/>
  <c r="AX15" i="5"/>
  <c r="AX14" i="5"/>
  <c r="AX18" i="5"/>
  <c r="AX16" i="5"/>
  <c r="AX42" i="5"/>
  <c r="AX56" i="5"/>
  <c r="AX9" i="5"/>
  <c r="AX23" i="5"/>
  <c r="AX7" i="5"/>
  <c r="AX13" i="5"/>
  <c r="AX17" i="5"/>
  <c r="AX31" i="5"/>
  <c r="AX34" i="5"/>
  <c r="AX12" i="5"/>
  <c r="AX43" i="5"/>
  <c r="AX21" i="5"/>
  <c r="AX26" i="5"/>
  <c r="AX8" i="5"/>
  <c r="AX11" i="5"/>
  <c r="AX38" i="5"/>
  <c r="BC27" i="5"/>
  <c r="BC32" i="5"/>
  <c r="BC22" i="5"/>
  <c r="BC18" i="5"/>
  <c r="BC9" i="5"/>
  <c r="BC7" i="5"/>
  <c r="BC13" i="5"/>
  <c r="BC31" i="5"/>
  <c r="BC12" i="5"/>
  <c r="BC21" i="5"/>
  <c r="BC48" i="5"/>
  <c r="BC8" i="5"/>
  <c r="BC30" i="5"/>
  <c r="BC51" i="5"/>
  <c r="BC15" i="5"/>
  <c r="BC14" i="5"/>
  <c r="BC16" i="5"/>
  <c r="BC42" i="5"/>
  <c r="BC56" i="5"/>
  <c r="BC23" i="5"/>
  <c r="BC46" i="5"/>
  <c r="BC17" i="5"/>
  <c r="BC34" i="5"/>
  <c r="BC43" i="5"/>
  <c r="BC26" i="5"/>
  <c r="BC45" i="5"/>
  <c r="BC38" i="5"/>
  <c r="BC25" i="5"/>
  <c r="BC11" i="5"/>
  <c r="BC24" i="5"/>
  <c r="BC35" i="5"/>
  <c r="BC52" i="5"/>
  <c r="AY27" i="5"/>
  <c r="AY32" i="5"/>
  <c r="AY22" i="5"/>
  <c r="AY18" i="5"/>
  <c r="AY45" i="5"/>
  <c r="AY38" i="5"/>
  <c r="AY25" i="5"/>
  <c r="AY9" i="5"/>
  <c r="AY7" i="5"/>
  <c r="AY30" i="5"/>
  <c r="AY51" i="5"/>
  <c r="AY15" i="5"/>
  <c r="AY14" i="5"/>
  <c r="AY16" i="5"/>
  <c r="AY42" i="5"/>
  <c r="AY56" i="5"/>
  <c r="AY52" i="5"/>
  <c r="AY23" i="5"/>
  <c r="AY46" i="5"/>
  <c r="AY13" i="5"/>
  <c r="AY31" i="5"/>
  <c r="AY12" i="5"/>
  <c r="AY21" i="5"/>
  <c r="AY48" i="5"/>
  <c r="AY8" i="5"/>
  <c r="AY35" i="5"/>
  <c r="AY17" i="5"/>
  <c r="AY34" i="5"/>
  <c r="AY43" i="5"/>
  <c r="AY26" i="5"/>
  <c r="AY11" i="5"/>
  <c r="AY24" i="5"/>
  <c r="R117" i="4"/>
  <c r="P117" i="4"/>
  <c r="BI56" i="5" l="1"/>
  <c r="S56" i="5" s="1"/>
  <c r="BI54" i="5"/>
  <c r="S54" i="5" s="1"/>
  <c r="BI55" i="5"/>
  <c r="S55" i="5" s="1"/>
  <c r="BI53" i="5"/>
  <c r="S53" i="5" s="1"/>
  <c r="BI52" i="5"/>
  <c r="S52" i="5" s="1"/>
  <c r="BI51" i="5"/>
  <c r="S51" i="5" s="1"/>
  <c r="BI50" i="5"/>
  <c r="S50" i="5" s="1"/>
  <c r="BI49" i="5"/>
  <c r="S49" i="5" s="1"/>
  <c r="BI48" i="5"/>
  <c r="S48" i="5" s="1"/>
  <c r="BI47" i="5"/>
  <c r="S47" i="5" s="1"/>
  <c r="BI46" i="5"/>
  <c r="S46" i="5" s="1"/>
  <c r="BI45" i="5"/>
  <c r="S45" i="5" s="1"/>
  <c r="BI43" i="5"/>
  <c r="S43" i="5" s="1"/>
  <c r="BI44" i="5"/>
  <c r="S44" i="5" s="1"/>
  <c r="BI42" i="5"/>
  <c r="S42" i="5" s="1"/>
  <c r="BI41" i="5"/>
  <c r="S41" i="5" s="1"/>
  <c r="BI40" i="5"/>
  <c r="S40" i="5" s="1"/>
  <c r="BI39" i="5"/>
  <c r="S39" i="5" s="1"/>
  <c r="BI38" i="5"/>
  <c r="S38" i="5" s="1"/>
  <c r="BI37" i="5"/>
  <c r="S37" i="5" s="1"/>
  <c r="BI36" i="5"/>
  <c r="S36" i="5" s="1"/>
  <c r="BI35" i="5"/>
  <c r="S35" i="5" s="1"/>
  <c r="BI34" i="5"/>
  <c r="S34" i="5" s="1"/>
  <c r="BI33" i="5"/>
  <c r="S33" i="5" s="1"/>
  <c r="BI32" i="5"/>
  <c r="S32" i="5" s="1"/>
  <c r="BI31" i="5"/>
  <c r="S31" i="5" s="1"/>
  <c r="BI30" i="5"/>
  <c r="S30" i="5" s="1"/>
  <c r="BI29" i="5"/>
  <c r="S29" i="5" s="1"/>
  <c r="BI28" i="5"/>
  <c r="S28" i="5" s="1"/>
  <c r="BI26" i="5"/>
  <c r="S26" i="5" s="1"/>
  <c r="BI27" i="5"/>
  <c r="S27" i="5" s="1"/>
  <c r="BI25" i="5"/>
  <c r="S25" i="5" s="1"/>
  <c r="BI24" i="5"/>
  <c r="S24" i="5" s="1"/>
  <c r="BI23" i="5"/>
  <c r="S23" i="5" s="1"/>
  <c r="BI22" i="5"/>
  <c r="S22" i="5" s="1"/>
  <c r="BI21" i="5"/>
  <c r="S21" i="5" s="1"/>
  <c r="BI19" i="5"/>
  <c r="S19" i="5" s="1"/>
  <c r="BI20" i="5"/>
  <c r="S20" i="5" s="1"/>
  <c r="BI18" i="5"/>
  <c r="S18" i="5" s="1"/>
  <c r="BI17" i="5"/>
  <c r="S17" i="5" s="1"/>
  <c r="BI16" i="5"/>
  <c r="S16" i="5" s="1"/>
  <c r="BI6" i="5"/>
  <c r="BI15" i="5"/>
  <c r="S15" i="5" s="1"/>
  <c r="BI14" i="5"/>
  <c r="S14" i="5" s="1"/>
  <c r="BI13" i="5"/>
  <c r="S13" i="5" s="1"/>
  <c r="BI12" i="5"/>
  <c r="S12" i="5" s="1"/>
  <c r="BI11" i="5"/>
  <c r="S11" i="5" s="1"/>
  <c r="BI10" i="5"/>
  <c r="S10" i="5" s="1"/>
  <c r="BI9" i="5"/>
  <c r="S9" i="5" s="1"/>
  <c r="BI8" i="5"/>
  <c r="S8" i="5" s="1"/>
  <c r="BI7" i="5"/>
  <c r="S7" i="5" s="1"/>
  <c r="AT41" i="5"/>
  <c r="AS41" i="5" s="1"/>
  <c r="R41" i="5"/>
  <c r="AJ41" i="5"/>
  <c r="AT44" i="5"/>
  <c r="AS44" i="5" s="1"/>
  <c r="AJ44" i="5"/>
  <c r="R44" i="5"/>
  <c r="AT40" i="5"/>
  <c r="AS40" i="5" s="1"/>
  <c r="R40" i="5"/>
  <c r="AJ40" i="5"/>
  <c r="AT55" i="5"/>
  <c r="AS55" i="5" s="1"/>
  <c r="R55" i="5"/>
  <c r="AJ55" i="5"/>
  <c r="T55" i="5"/>
  <c r="AL55" i="5"/>
  <c r="AK55" i="5"/>
  <c r="AK41" i="5"/>
  <c r="AK44" i="5"/>
  <c r="AL41" i="5"/>
  <c r="AL44" i="5"/>
  <c r="AL40" i="5"/>
  <c r="AK40" i="5"/>
  <c r="AT19" i="5"/>
  <c r="AS19" i="5" s="1"/>
  <c r="AJ19" i="5"/>
  <c r="R19" i="5"/>
  <c r="AF10" i="66" s="1"/>
  <c r="AT33" i="5"/>
  <c r="AS33" i="5" s="1"/>
  <c r="AJ33" i="5"/>
  <c r="R33" i="5"/>
  <c r="AT37" i="5"/>
  <c r="AS37" i="5" s="1"/>
  <c r="R37" i="5"/>
  <c r="AJ37" i="5"/>
  <c r="T37" i="5"/>
  <c r="AT29" i="5"/>
  <c r="AS29" i="5" s="1"/>
  <c r="AJ29" i="5"/>
  <c r="R29" i="5"/>
  <c r="AH13" i="62" s="1"/>
  <c r="AT47" i="5"/>
  <c r="AS47" i="5" s="1"/>
  <c r="AJ47" i="5"/>
  <c r="R47" i="5"/>
  <c r="AT53" i="5"/>
  <c r="AS53" i="5" s="1"/>
  <c r="AJ53" i="5"/>
  <c r="R53" i="5"/>
  <c r="AL53" i="5"/>
  <c r="AK37" i="5"/>
  <c r="AL37" i="5"/>
  <c r="AK53" i="5"/>
  <c r="AK15" i="5"/>
  <c r="AK54" i="5"/>
  <c r="AK50" i="5"/>
  <c r="AK47" i="5"/>
  <c r="AK20" i="5"/>
  <c r="AK19" i="5"/>
  <c r="AK36" i="5"/>
  <c r="AK9" i="5"/>
  <c r="AK12" i="5"/>
  <c r="AK17" i="5"/>
  <c r="AK26" i="5"/>
  <c r="AK34" i="5"/>
  <c r="AK33" i="5"/>
  <c r="AK32" i="5"/>
  <c r="AK39" i="5"/>
  <c r="AK13" i="5"/>
  <c r="AK31" i="5"/>
  <c r="AK21" i="5"/>
  <c r="AK8" i="5"/>
  <c r="AL18" i="5"/>
  <c r="AK38" i="5"/>
  <c r="AK51" i="5"/>
  <c r="AK49" i="5"/>
  <c r="AK43" i="5"/>
  <c r="AK27" i="5"/>
  <c r="AK22" i="5"/>
  <c r="AK11" i="5"/>
  <c r="AK30" i="5"/>
  <c r="AK7" i="5"/>
  <c r="AK18" i="5"/>
  <c r="AK56" i="5"/>
  <c r="AK29" i="5"/>
  <c r="AK28" i="5"/>
  <c r="AK42" i="5"/>
  <c r="AK16" i="5"/>
  <c r="AK23" i="5"/>
  <c r="AK10" i="5"/>
  <c r="AK14" i="5"/>
  <c r="AX52" i="5"/>
  <c r="AK52" i="5"/>
  <c r="AX25" i="5"/>
  <c r="AK25" i="5"/>
  <c r="AX45" i="5"/>
  <c r="AK45" i="5"/>
  <c r="AX35" i="5"/>
  <c r="AK35" i="5"/>
  <c r="AX48" i="5"/>
  <c r="AK48" i="5"/>
  <c r="AX46" i="5"/>
  <c r="AK46" i="5"/>
  <c r="AX24" i="5"/>
  <c r="AK24" i="5"/>
  <c r="AL47" i="5"/>
  <c r="AL33" i="5"/>
  <c r="AL29" i="5"/>
  <c r="AL19" i="5"/>
  <c r="AX39" i="5"/>
  <c r="AT39" i="5"/>
  <c r="AL39" i="5"/>
  <c r="AJ39" i="5"/>
  <c r="R39" i="5"/>
  <c r="BC39" i="5"/>
  <c r="AZ39" i="5"/>
  <c r="BA39" i="5"/>
  <c r="BB39" i="5"/>
  <c r="AW39" i="5"/>
  <c r="AY39" i="5"/>
  <c r="AT54" i="5"/>
  <c r="AS54" i="5" s="1"/>
  <c r="AJ54" i="5"/>
  <c r="R54" i="5"/>
  <c r="AT20" i="5"/>
  <c r="AS20" i="5" s="1"/>
  <c r="AJ20" i="5"/>
  <c r="R20" i="5"/>
  <c r="AH10" i="66" s="1"/>
  <c r="AL20" i="5"/>
  <c r="AL54" i="5"/>
  <c r="AT49" i="5"/>
  <c r="AS49" i="5" s="1"/>
  <c r="R49" i="5"/>
  <c r="AJ49" i="5"/>
  <c r="AJ28" i="5"/>
  <c r="AT28" i="5"/>
  <c r="AS28" i="5" s="1"/>
  <c r="R28" i="5"/>
  <c r="AF8" i="66" s="1"/>
  <c r="R50" i="5"/>
  <c r="AJ50" i="5"/>
  <c r="AT50" i="5"/>
  <c r="AS50" i="5" s="1"/>
  <c r="AT36" i="5"/>
  <c r="AS36" i="5" s="1"/>
  <c r="AJ36" i="5"/>
  <c r="R36" i="5"/>
  <c r="AL50" i="5"/>
  <c r="AL49" i="5"/>
  <c r="AL28" i="5"/>
  <c r="AL36" i="5"/>
  <c r="I106" i="4" a="1"/>
  <c r="I106" i="4" s="1"/>
  <c r="I90" i="4" a="1"/>
  <c r="I90" i="4" s="1"/>
  <c r="I37" i="4" a="1"/>
  <c r="I37" i="4" s="1"/>
  <c r="AF17" i="64" s="1"/>
  <c r="AE17" i="64" s="1"/>
  <c r="I67" i="4" a="1"/>
  <c r="I67" i="4" s="1"/>
  <c r="I22" i="4" a="1"/>
  <c r="I22" i="4" s="1"/>
  <c r="AG14" i="68" s="1"/>
  <c r="AE14" i="68" s="1"/>
  <c r="I74" i="4" a="1"/>
  <c r="I74" i="4" s="1"/>
  <c r="I28" i="4" a="1"/>
  <c r="I28" i="4" s="1"/>
  <c r="I10" i="4" a="1"/>
  <c r="I10" i="4" s="1"/>
  <c r="I101" i="4" a="1"/>
  <c r="I101" i="4" s="1"/>
  <c r="I89" i="4" a="1"/>
  <c r="I89" i="4" s="1"/>
  <c r="I36" i="4" a="1"/>
  <c r="I36" i="4" s="1"/>
  <c r="I48" i="4" a="1"/>
  <c r="I48" i="4" s="1"/>
  <c r="AH15" i="64" s="1"/>
  <c r="I17" i="4" a="1"/>
  <c r="I17" i="4" s="1"/>
  <c r="I26" i="4" a="1"/>
  <c r="I26" i="4" s="1"/>
  <c r="I15" i="4" a="1"/>
  <c r="I15" i="4" s="1"/>
  <c r="I109" i="4" a="1"/>
  <c r="I109" i="4" s="1"/>
  <c r="I92" i="4" a="1"/>
  <c r="I92" i="4" s="1"/>
  <c r="I100" i="4" a="1"/>
  <c r="I100" i="4" s="1"/>
  <c r="I110" i="4" a="1"/>
  <c r="I110" i="4" s="1"/>
  <c r="I95" i="4" a="1"/>
  <c r="I95" i="4" s="1"/>
  <c r="I102" i="4" a="1"/>
  <c r="I102" i="4" s="1"/>
  <c r="I24" i="4" a="1"/>
  <c r="I24" i="4" s="1"/>
  <c r="I25" i="4" a="1"/>
  <c r="I25" i="4" s="1"/>
  <c r="I56" i="4" a="1"/>
  <c r="I56" i="4" s="1"/>
  <c r="I108" i="4" a="1"/>
  <c r="I108" i="4" s="1"/>
  <c r="I91" i="4" a="1"/>
  <c r="I91" i="4" s="1"/>
  <c r="I85" i="4" a="1"/>
  <c r="I85" i="4" s="1"/>
  <c r="I19" i="4" a="1"/>
  <c r="I19" i="4" s="1"/>
  <c r="I111" i="4" a="1"/>
  <c r="I111" i="4" s="1"/>
  <c r="I105" i="4" a="1"/>
  <c r="I105" i="4" s="1"/>
  <c r="I35" i="4" a="1"/>
  <c r="I35" i="4" s="1"/>
  <c r="I55" i="4" a="1"/>
  <c r="I55" i="4" s="1"/>
  <c r="I12" i="4" a="1"/>
  <c r="I12" i="4" s="1"/>
  <c r="AG16" i="68" s="1"/>
  <c r="AE16" i="68" s="1"/>
  <c r="I8" i="4" a="1"/>
  <c r="I8" i="4" s="1"/>
  <c r="I97" i="4" a="1"/>
  <c r="I97" i="4" s="1"/>
  <c r="I86" i="4" a="1"/>
  <c r="I86" i="4" s="1"/>
  <c r="I103" i="4" a="1"/>
  <c r="I103" i="4" s="1"/>
  <c r="I87" i="4" a="1"/>
  <c r="I87" i="4" s="1"/>
  <c r="I73" i="4" a="1"/>
  <c r="I73" i="4" s="1"/>
  <c r="I13" i="4" a="1"/>
  <c r="I13" i="4" s="1"/>
  <c r="AF8" i="58" s="1"/>
  <c r="I58" i="4" a="1"/>
  <c r="I58" i="4" s="1"/>
  <c r="I33" i="4" a="1"/>
  <c r="I33" i="4" s="1"/>
  <c r="I107" i="4" a="1"/>
  <c r="I107" i="4" s="1"/>
  <c r="I114" i="4" a="1"/>
  <c r="I114" i="4" s="1"/>
  <c r="I76" i="4" a="1"/>
  <c r="I76" i="4" s="1"/>
  <c r="AG58" i="50" s="1"/>
  <c r="AE58" i="50" s="1"/>
  <c r="I84" i="4" a="1"/>
  <c r="I84" i="4" s="1"/>
  <c r="I14" i="4" a="1"/>
  <c r="I14" i="4" s="1"/>
  <c r="I115" i="4" a="1"/>
  <c r="I115" i="4" s="1"/>
  <c r="I104" i="4" a="1"/>
  <c r="I104" i="4" s="1"/>
  <c r="I41" i="4" a="1"/>
  <c r="I41" i="4" s="1"/>
  <c r="I30" i="4" a="1"/>
  <c r="I30" i="4" s="1"/>
  <c r="I9" i="4" a="1"/>
  <c r="I9" i="4" s="1"/>
  <c r="I99" i="4" a="1"/>
  <c r="I99" i="4" s="1"/>
  <c r="I64" i="4" a="1"/>
  <c r="I64" i="4" s="1"/>
  <c r="AE16" i="46" s="1"/>
  <c r="I113" i="4" a="1"/>
  <c r="I113" i="4" s="1"/>
  <c r="I94" i="4" a="1"/>
  <c r="I94" i="4" s="1"/>
  <c r="I18" i="4" a="1"/>
  <c r="I18" i="4" s="1"/>
  <c r="I93" i="4" a="1"/>
  <c r="I93" i="4" s="1"/>
  <c r="I31" i="4" a="1"/>
  <c r="I31" i="4" s="1"/>
  <c r="I96" i="4" a="1"/>
  <c r="I96" i="4" s="1"/>
  <c r="I34" i="4" a="1"/>
  <c r="I34" i="4" s="1"/>
  <c r="I98" i="4" a="1"/>
  <c r="I98" i="4" s="1"/>
  <c r="I88" i="4" a="1"/>
  <c r="I88" i="4" s="1"/>
  <c r="I112" i="4" a="1"/>
  <c r="I112" i="4" s="1"/>
  <c r="I32" i="4" a="1"/>
  <c r="I32" i="4" s="1"/>
  <c r="AL11" i="65" s="1"/>
  <c r="I27" i="4" a="1"/>
  <c r="I27" i="4" s="1"/>
  <c r="I51" i="4" a="1"/>
  <c r="I51" i="4" s="1"/>
  <c r="AG44" i="50" s="1"/>
  <c r="AE44" i="50" s="1"/>
  <c r="I20" i="4" a="1"/>
  <c r="I20" i="4" s="1"/>
  <c r="I23" i="4" a="1"/>
  <c r="I23" i="4" s="1"/>
  <c r="AG18" i="68" s="1"/>
  <c r="AE18" i="68" s="1"/>
  <c r="R52" i="5"/>
  <c r="AF16" i="56" s="1"/>
  <c r="AJ52" i="5"/>
  <c r="AT52" i="5"/>
  <c r="AS52" i="5" s="1"/>
  <c r="AL52" i="5"/>
  <c r="R56" i="5"/>
  <c r="AT56" i="5"/>
  <c r="AS56" i="5" s="1"/>
  <c r="W56" i="5"/>
  <c r="AJ56" i="5"/>
  <c r="AL56" i="5"/>
  <c r="R24" i="5"/>
  <c r="AJ24" i="5"/>
  <c r="AT24" i="5"/>
  <c r="AS24" i="5" s="1"/>
  <c r="AL24" i="5"/>
  <c r="AT22" i="5"/>
  <c r="AS22" i="5" s="1"/>
  <c r="R22" i="5"/>
  <c r="AH15" i="66" s="1"/>
  <c r="AL22" i="5"/>
  <c r="AJ22" i="5"/>
  <c r="AT27" i="5"/>
  <c r="AS27" i="5" s="1"/>
  <c r="AL27" i="5"/>
  <c r="R27" i="5"/>
  <c r="AE12" i="60" s="1"/>
  <c r="AJ27" i="5"/>
  <c r="R16" i="5"/>
  <c r="AL16" i="5"/>
  <c r="AT16" i="5"/>
  <c r="AS16" i="5" s="1"/>
  <c r="AJ16" i="5"/>
  <c r="AT14" i="5"/>
  <c r="AS14" i="5" s="1"/>
  <c r="R14" i="5"/>
  <c r="AJ14" i="5"/>
  <c r="AL14" i="5"/>
  <c r="AT51" i="5"/>
  <c r="AS51" i="5" s="1"/>
  <c r="R51" i="5"/>
  <c r="AL51" i="5"/>
  <c r="AJ51" i="5"/>
  <c r="AT30" i="5"/>
  <c r="AS30" i="5" s="1"/>
  <c r="R30" i="5"/>
  <c r="AF17" i="56" s="1"/>
  <c r="AL30" i="5"/>
  <c r="AJ30" i="5"/>
  <c r="R18" i="5"/>
  <c r="AJ18" i="5"/>
  <c r="AT18" i="5"/>
  <c r="AS18" i="5" s="1"/>
  <c r="AT32" i="5"/>
  <c r="AS32" i="5" s="1"/>
  <c r="R32" i="5"/>
  <c r="AL32" i="5"/>
  <c r="AJ32" i="5"/>
  <c r="R11" i="5"/>
  <c r="AL11" i="5"/>
  <c r="AJ11" i="5"/>
  <c r="AT11" i="5"/>
  <c r="AS11" i="5" s="1"/>
  <c r="AT26" i="5"/>
  <c r="AS26" i="5" s="1"/>
  <c r="R26" i="5"/>
  <c r="AG16" i="60" s="1"/>
  <c r="AJ26" i="5"/>
  <c r="AL26" i="5"/>
  <c r="AT43" i="5"/>
  <c r="AS43" i="5" s="1"/>
  <c r="R43" i="5"/>
  <c r="AJ43" i="5"/>
  <c r="AL43" i="5"/>
  <c r="AT34" i="5"/>
  <c r="AS34" i="5" s="1"/>
  <c r="R34" i="5"/>
  <c r="AJ14" i="62" s="1"/>
  <c r="AJ34" i="5"/>
  <c r="AL34" i="5"/>
  <c r="AT17" i="5"/>
  <c r="AS17" i="5" s="1"/>
  <c r="R17" i="5"/>
  <c r="AF13" i="66" s="1"/>
  <c r="AJ17" i="5"/>
  <c r="AL17" i="5"/>
  <c r="AT46" i="5"/>
  <c r="AS46" i="5" s="1"/>
  <c r="R46" i="5"/>
  <c r="AH13" i="59" s="1"/>
  <c r="AL46" i="5"/>
  <c r="AJ46" i="5"/>
  <c r="AT23" i="5"/>
  <c r="AS23" i="5" s="1"/>
  <c r="R23" i="5"/>
  <c r="AH14" i="59" s="1"/>
  <c r="AJ23" i="5"/>
  <c r="AL23" i="5"/>
  <c r="W116" i="4"/>
  <c r="AE57" i="5"/>
  <c r="AY10" i="5"/>
  <c r="U116" i="4"/>
  <c r="AD57" i="5"/>
  <c r="AX10" i="5"/>
  <c r="AG57" i="5"/>
  <c r="AG58" i="5" s="1"/>
  <c r="BA10" i="5"/>
  <c r="AA57" i="5"/>
  <c r="AU10" i="5"/>
  <c r="S116" i="4"/>
  <c r="I12" i="2" s="1"/>
  <c r="AC57" i="5"/>
  <c r="AW10" i="5"/>
  <c r="Z57" i="5"/>
  <c r="I6" i="2" s="1"/>
  <c r="AL10" i="5"/>
  <c r="R10" i="5"/>
  <c r="AJ10" i="5"/>
  <c r="AT10" i="5"/>
  <c r="R42" i="5"/>
  <c r="AT42" i="5"/>
  <c r="AS42" i="5" s="1"/>
  <c r="AJ42" i="5"/>
  <c r="AL42" i="5"/>
  <c r="AT15" i="5"/>
  <c r="AS15" i="5" s="1"/>
  <c r="R15" i="5"/>
  <c r="AL15" i="5"/>
  <c r="AJ15" i="5"/>
  <c r="R25" i="5"/>
  <c r="AL25" i="5"/>
  <c r="AJ25" i="5"/>
  <c r="AT25" i="5"/>
  <c r="AS25" i="5" s="1"/>
  <c r="R38" i="5"/>
  <c r="AT38" i="5"/>
  <c r="AS38" i="5" s="1"/>
  <c r="AJ38" i="5"/>
  <c r="AL38" i="5"/>
  <c r="AT45" i="5"/>
  <c r="AS45" i="5" s="1"/>
  <c r="R45" i="5"/>
  <c r="AH15" i="57" s="1"/>
  <c r="AJ45" i="5"/>
  <c r="AL45" i="5"/>
  <c r="AT35" i="5"/>
  <c r="AS35" i="5" s="1"/>
  <c r="R35" i="5"/>
  <c r="AF8" i="57" s="1"/>
  <c r="AJ35" i="5"/>
  <c r="AL35" i="5"/>
  <c r="AT8" i="5"/>
  <c r="AS8" i="5" s="1"/>
  <c r="R8" i="5"/>
  <c r="AL8" i="5"/>
  <c r="AJ8" i="5"/>
  <c r="AT48" i="5"/>
  <c r="AS48" i="5" s="1"/>
  <c r="R48" i="5"/>
  <c r="AJ48" i="5"/>
  <c r="AL48" i="5"/>
  <c r="AT21" i="5"/>
  <c r="AS21" i="5" s="1"/>
  <c r="R21" i="5"/>
  <c r="AH12" i="62" s="1"/>
  <c r="AJ21" i="5"/>
  <c r="AL21" i="5"/>
  <c r="AT12" i="5"/>
  <c r="AS12" i="5" s="1"/>
  <c r="R12" i="5"/>
  <c r="AF11" i="66" s="1"/>
  <c r="AJ12" i="5"/>
  <c r="AL12" i="5"/>
  <c r="AT31" i="5"/>
  <c r="AS31" i="5" s="1"/>
  <c r="R31" i="5"/>
  <c r="AF15" i="66" s="1"/>
  <c r="AJ31" i="5"/>
  <c r="AL31" i="5"/>
  <c r="AT13" i="5"/>
  <c r="AS13" i="5" s="1"/>
  <c r="R13" i="5"/>
  <c r="AJ13" i="5"/>
  <c r="AL13" i="5"/>
  <c r="R7" i="5"/>
  <c r="AJ7" i="5"/>
  <c r="AT7" i="5"/>
  <c r="AS7" i="5" s="1"/>
  <c r="AL7" i="5"/>
  <c r="R9" i="5"/>
  <c r="AL9" i="5"/>
  <c r="AJ9" i="5"/>
  <c r="AT9" i="5"/>
  <c r="AS9" i="5" s="1"/>
  <c r="AI57" i="5"/>
  <c r="AI58" i="5" s="1"/>
  <c r="BC10" i="5"/>
  <c r="X116" i="4"/>
  <c r="AF57" i="5"/>
  <c r="AZ10" i="5"/>
  <c r="AH57" i="5"/>
  <c r="BB10" i="5"/>
  <c r="Q116" i="4"/>
  <c r="I8" i="2" s="1"/>
  <c r="AE15" i="66" l="1"/>
  <c r="AG20" i="68"/>
  <c r="AE20" i="68" s="1"/>
  <c r="C55" i="5"/>
  <c r="AE18" i="60"/>
  <c r="W55" i="5"/>
  <c r="A55" i="5"/>
  <c r="E55" i="5"/>
  <c r="AG18" i="60"/>
  <c r="AD18" i="60" s="1"/>
  <c r="I40" i="5"/>
  <c r="A40" i="5"/>
  <c r="W40" i="5"/>
  <c r="AF15" i="59"/>
  <c r="T40" i="5"/>
  <c r="C40" i="5"/>
  <c r="AF16" i="57"/>
  <c r="E40" i="5"/>
  <c r="AH15" i="59"/>
  <c r="A41" i="5"/>
  <c r="W41" i="5"/>
  <c r="C41" i="5"/>
  <c r="AH16" i="57"/>
  <c r="G41" i="5"/>
  <c r="T41" i="5"/>
  <c r="I41" i="5"/>
  <c r="AF14" i="57"/>
  <c r="C44" i="5"/>
  <c r="T44" i="5"/>
  <c r="G44" i="5"/>
  <c r="W44" i="5"/>
  <c r="I44" i="5"/>
  <c r="A44" i="5"/>
  <c r="AG21" i="68"/>
  <c r="AE21" i="68" s="1"/>
  <c r="AG12" i="68"/>
  <c r="AE12" i="68" s="1"/>
  <c r="AG10" i="68"/>
  <c r="AE10" i="68" s="1"/>
  <c r="AG19" i="68"/>
  <c r="AE19" i="68" s="1"/>
  <c r="AG9" i="68"/>
  <c r="AE9" i="68" s="1"/>
  <c r="AG11" i="68"/>
  <c r="AE11" i="68" s="1"/>
  <c r="AL9" i="65"/>
  <c r="AG15" i="68"/>
  <c r="AE15" i="68" s="1"/>
  <c r="AH13" i="64"/>
  <c r="AF10" i="65"/>
  <c r="AG13" i="68"/>
  <c r="AE13" i="68" s="1"/>
  <c r="AF14" i="65"/>
  <c r="AG17" i="68"/>
  <c r="AE17" i="68" s="1"/>
  <c r="AF11" i="65"/>
  <c r="AE11" i="65" s="1"/>
  <c r="AG8" i="68"/>
  <c r="AE8" i="68" s="1"/>
  <c r="AF13" i="64"/>
  <c r="AF11" i="62"/>
  <c r="AF12" i="66"/>
  <c r="AH8" i="62"/>
  <c r="AH9" i="66"/>
  <c r="AH9" i="62"/>
  <c r="AH14" i="66"/>
  <c r="AG9" i="60"/>
  <c r="AH8" i="66"/>
  <c r="AE10" i="66"/>
  <c r="AH10" i="62"/>
  <c r="AH13" i="66"/>
  <c r="AE13" i="66" s="1"/>
  <c r="AH11" i="62"/>
  <c r="AE11" i="62" s="1"/>
  <c r="AH12" i="66"/>
  <c r="AF8" i="62"/>
  <c r="AF9" i="66"/>
  <c r="AG14" i="60"/>
  <c r="AH11" i="66"/>
  <c r="AE11" i="66" s="1"/>
  <c r="AE8" i="66"/>
  <c r="AF9" i="62"/>
  <c r="AF14" i="66"/>
  <c r="AE14" i="66" s="1"/>
  <c r="AF8" i="65"/>
  <c r="AF13" i="65"/>
  <c r="AJ12" i="65"/>
  <c r="AJ14" i="65"/>
  <c r="AE14" i="65" s="1"/>
  <c r="AH16" i="64"/>
  <c r="AE16" i="64" s="1"/>
  <c r="AL13" i="65"/>
  <c r="AH9" i="64"/>
  <c r="AJ10" i="65"/>
  <c r="AJ16" i="45"/>
  <c r="AF10" i="64"/>
  <c r="AJ8" i="65"/>
  <c r="AH14" i="64"/>
  <c r="AH8" i="64"/>
  <c r="AL12" i="45"/>
  <c r="AL12" i="65"/>
  <c r="AF9" i="64"/>
  <c r="AH10" i="64"/>
  <c r="AL8" i="65"/>
  <c r="AF14" i="64"/>
  <c r="AF15" i="64"/>
  <c r="AE15" i="64" s="1"/>
  <c r="AF12" i="65"/>
  <c r="AE12" i="65" s="1"/>
  <c r="AH12" i="64"/>
  <c r="AE12" i="64" s="1"/>
  <c r="AL10" i="65"/>
  <c r="AF8" i="64"/>
  <c r="AJ9" i="65"/>
  <c r="AF11" i="64"/>
  <c r="AE11" i="64" s="1"/>
  <c r="AF9" i="65"/>
  <c r="AE9" i="65" s="1"/>
  <c r="AH14" i="62"/>
  <c r="AL14" i="62"/>
  <c r="AE9" i="62"/>
  <c r="AH10" i="58"/>
  <c r="AF13" i="58"/>
  <c r="AF14" i="58"/>
  <c r="AH9" i="58"/>
  <c r="AG50" i="50"/>
  <c r="AE50" i="50" s="1"/>
  <c r="AH19" i="58"/>
  <c r="AF11" i="58"/>
  <c r="AF10" i="58"/>
  <c r="AH8" i="58"/>
  <c r="AE8" i="58" s="1"/>
  <c r="AF13" i="56"/>
  <c r="AF10" i="62"/>
  <c r="AE15" i="60"/>
  <c r="AF15" i="62"/>
  <c r="AF20" i="57"/>
  <c r="AF13" i="62"/>
  <c r="AE13" i="62" s="1"/>
  <c r="AE14" i="60"/>
  <c r="AD14" i="60" s="1"/>
  <c r="AF12" i="62"/>
  <c r="AE12" i="62" s="1"/>
  <c r="AF15" i="57"/>
  <c r="AE15" i="57" s="1"/>
  <c r="AF14" i="62"/>
  <c r="AE8" i="62"/>
  <c r="AG15" i="60"/>
  <c r="AH15" i="62"/>
  <c r="AF10" i="59"/>
  <c r="AE10" i="60"/>
  <c r="AH11" i="59"/>
  <c r="AG11" i="60"/>
  <c r="AH9" i="59"/>
  <c r="AG13" i="60"/>
  <c r="AF16" i="59"/>
  <c r="AE17" i="60"/>
  <c r="AF9" i="59"/>
  <c r="AE13" i="60"/>
  <c r="AF12" i="59"/>
  <c r="AE16" i="60"/>
  <c r="AD16" i="60" s="1"/>
  <c r="AH11" i="57"/>
  <c r="AG8" i="60"/>
  <c r="AH16" i="59"/>
  <c r="AG17" i="60"/>
  <c r="AH10" i="59"/>
  <c r="AG10" i="60"/>
  <c r="AF11" i="59"/>
  <c r="AE11" i="59" s="1"/>
  <c r="AE11" i="60"/>
  <c r="AF11" i="57"/>
  <c r="AE11" i="57" s="1"/>
  <c r="AE8" i="60"/>
  <c r="AD8" i="60" s="1"/>
  <c r="AH17" i="52"/>
  <c r="AE9" i="60"/>
  <c r="AH20" i="57"/>
  <c r="AG12" i="60"/>
  <c r="AD12" i="60" s="1"/>
  <c r="AH17" i="59"/>
  <c r="AH18" i="57"/>
  <c r="AF17" i="59"/>
  <c r="AH12" i="57"/>
  <c r="AF14" i="59"/>
  <c r="AE14" i="59" s="1"/>
  <c r="AH10" i="57"/>
  <c r="AF8" i="59"/>
  <c r="AH9" i="56"/>
  <c r="AH12" i="59"/>
  <c r="AE12" i="59" s="1"/>
  <c r="AF17" i="57"/>
  <c r="AF13" i="59"/>
  <c r="AE13" i="59" s="1"/>
  <c r="AH17" i="57"/>
  <c r="AH8" i="59"/>
  <c r="AG22" i="54"/>
  <c r="AE22" i="54" s="1"/>
  <c r="AH15" i="58"/>
  <c r="AG11" i="54"/>
  <c r="AE11" i="54" s="1"/>
  <c r="AF20" i="58"/>
  <c r="AH18" i="58"/>
  <c r="AE18" i="58" s="1"/>
  <c r="AH20" i="58"/>
  <c r="AH22" i="58"/>
  <c r="AE22" i="58" s="1"/>
  <c r="AF21" i="58"/>
  <c r="AE21" i="58" s="1"/>
  <c r="AF17" i="58"/>
  <c r="AE17" i="58" s="1"/>
  <c r="AF19" i="58"/>
  <c r="AG16" i="54"/>
  <c r="AE16" i="54" s="1"/>
  <c r="AH14" i="58"/>
  <c r="AE14" i="58" s="1"/>
  <c r="AG22" i="50"/>
  <c r="AE22" i="50" s="1"/>
  <c r="AH16" i="58"/>
  <c r="AE16" i="58" s="1"/>
  <c r="AH13" i="48"/>
  <c r="AE13" i="48" s="1"/>
  <c r="AH13" i="58"/>
  <c r="AG56" i="50"/>
  <c r="AE56" i="50" s="1"/>
  <c r="AF15" i="58"/>
  <c r="AG20" i="54"/>
  <c r="AE20" i="54" s="1"/>
  <c r="AH12" i="58"/>
  <c r="AE12" i="58" s="1"/>
  <c r="AG17" i="54"/>
  <c r="AE17" i="54" s="1"/>
  <c r="AH11" i="58"/>
  <c r="AF9" i="48"/>
  <c r="AF9" i="58"/>
  <c r="AF10" i="56"/>
  <c r="AJ8" i="57"/>
  <c r="AF8" i="52"/>
  <c r="AF10" i="57"/>
  <c r="AH11" i="56"/>
  <c r="AH9" i="57"/>
  <c r="AF15" i="56"/>
  <c r="AH14" i="57"/>
  <c r="AF9" i="56"/>
  <c r="AE9" i="56" s="1"/>
  <c r="AF19" i="57"/>
  <c r="AF11" i="56"/>
  <c r="AE11" i="56" s="1"/>
  <c r="AF9" i="57"/>
  <c r="AE9" i="57" s="1"/>
  <c r="AF14" i="56"/>
  <c r="AF13" i="57"/>
  <c r="AH17" i="56"/>
  <c r="AE17" i="56" s="1"/>
  <c r="AF18" i="57"/>
  <c r="AH13" i="56"/>
  <c r="AH19" i="57"/>
  <c r="AH10" i="56"/>
  <c r="AL8" i="57"/>
  <c r="AE8" i="57" s="1"/>
  <c r="AF13" i="52"/>
  <c r="AF12" i="57"/>
  <c r="AH14" i="56"/>
  <c r="AH13" i="57"/>
  <c r="I36" i="2"/>
  <c r="I34" i="2"/>
  <c r="I27" i="2"/>
  <c r="I21" i="2"/>
  <c r="AC58" i="5"/>
  <c r="I53" i="5"/>
  <c r="W53" i="5"/>
  <c r="A53" i="5"/>
  <c r="T53" i="5"/>
  <c r="G53" i="5"/>
  <c r="AH16" i="56"/>
  <c r="AE16" i="56" s="1"/>
  <c r="A37" i="5"/>
  <c r="AF8" i="56"/>
  <c r="G37" i="5"/>
  <c r="C37" i="5"/>
  <c r="W37" i="5"/>
  <c r="I37" i="5"/>
  <c r="AF12" i="56"/>
  <c r="AF14" i="53"/>
  <c r="T33" i="5"/>
  <c r="A33" i="5"/>
  <c r="E33" i="5"/>
  <c r="AF16" i="52"/>
  <c r="W33" i="5"/>
  <c r="C33" i="5"/>
  <c r="I33" i="5"/>
  <c r="A19" i="5"/>
  <c r="G19" i="5"/>
  <c r="AH8" i="52"/>
  <c r="I19" i="5"/>
  <c r="W19" i="5"/>
  <c r="T19" i="5"/>
  <c r="E19" i="5"/>
  <c r="I13" i="2"/>
  <c r="AA58" i="5"/>
  <c r="I22" i="2"/>
  <c r="AD58" i="5"/>
  <c r="AF15" i="52"/>
  <c r="T47" i="5"/>
  <c r="A47" i="5"/>
  <c r="E47" i="5"/>
  <c r="W47" i="5"/>
  <c r="C47" i="5"/>
  <c r="I47" i="5"/>
  <c r="AH12" i="56"/>
  <c r="AH14" i="53"/>
  <c r="C29" i="5"/>
  <c r="W29" i="5"/>
  <c r="E29" i="5"/>
  <c r="AH16" i="52"/>
  <c r="T29" i="5"/>
  <c r="G29" i="5"/>
  <c r="A29" i="5"/>
  <c r="I29" i="5"/>
  <c r="I25" i="2"/>
  <c r="AE58" i="5"/>
  <c r="AH8" i="53"/>
  <c r="AH8" i="56"/>
  <c r="AH17" i="53"/>
  <c r="AH15" i="56"/>
  <c r="AG9" i="54"/>
  <c r="AE9" i="54" s="1"/>
  <c r="AG13" i="54"/>
  <c r="AE13" i="54" s="1"/>
  <c r="AG12" i="54"/>
  <c r="AE12" i="54" s="1"/>
  <c r="AG21" i="54"/>
  <c r="AE21" i="54" s="1"/>
  <c r="AG10" i="54"/>
  <c r="AE10" i="54" s="1"/>
  <c r="AG19" i="54"/>
  <c r="AE19" i="54" s="1"/>
  <c r="AG15" i="54"/>
  <c r="AE15" i="54" s="1"/>
  <c r="AG18" i="54"/>
  <c r="AE18" i="54" s="1"/>
  <c r="AG14" i="54"/>
  <c r="AE14" i="54" s="1"/>
  <c r="AL17" i="45"/>
  <c r="AG20" i="43"/>
  <c r="AE20" i="43" s="1"/>
  <c r="AG51" i="50"/>
  <c r="AE51" i="50" s="1"/>
  <c r="AG9" i="50"/>
  <c r="AE9" i="50" s="1"/>
  <c r="AG23" i="50"/>
  <c r="AE23" i="50" s="1"/>
  <c r="AF17" i="53"/>
  <c r="AH11" i="53"/>
  <c r="AF9" i="53"/>
  <c r="AF14" i="52"/>
  <c r="AF12" i="53"/>
  <c r="AH9" i="52"/>
  <c r="AH13" i="53"/>
  <c r="AF18" i="52"/>
  <c r="AF15" i="53"/>
  <c r="AH13" i="52"/>
  <c r="AF11" i="53"/>
  <c r="AH14" i="52"/>
  <c r="AH12" i="53"/>
  <c r="AF10" i="52"/>
  <c r="AF10" i="53"/>
  <c r="AF12" i="52"/>
  <c r="AH9" i="53"/>
  <c r="AE9" i="53" s="1"/>
  <c r="AF9" i="52"/>
  <c r="AE9" i="52" s="1"/>
  <c r="AF13" i="53"/>
  <c r="AE13" i="53" s="1"/>
  <c r="AF11" i="52"/>
  <c r="AJ14" i="53"/>
  <c r="AJ17" i="47"/>
  <c r="AJ17" i="53"/>
  <c r="AH10" i="52"/>
  <c r="AH10" i="53"/>
  <c r="AH18" i="52"/>
  <c r="AE18" i="52" s="1"/>
  <c r="AH15" i="53"/>
  <c r="AL17" i="47"/>
  <c r="AL17" i="53"/>
  <c r="AF17" i="52"/>
  <c r="AF8" i="53"/>
  <c r="AF16" i="47"/>
  <c r="AF16" i="53"/>
  <c r="AH11" i="52"/>
  <c r="AL14" i="53"/>
  <c r="AH12" i="52"/>
  <c r="AE12" i="52" s="1"/>
  <c r="AH16" i="53"/>
  <c r="W7" i="5"/>
  <c r="AH11" i="47"/>
  <c r="AH15" i="52"/>
  <c r="T46" i="5"/>
  <c r="AF9" i="47"/>
  <c r="AH15" i="47"/>
  <c r="AH14" i="47"/>
  <c r="AF14" i="47"/>
  <c r="AF13" i="47"/>
  <c r="AL14" i="47"/>
  <c r="AF8" i="47"/>
  <c r="AF11" i="47"/>
  <c r="AJ14" i="47"/>
  <c r="AH8" i="47"/>
  <c r="AH9" i="47"/>
  <c r="W39" i="5"/>
  <c r="C39" i="5"/>
  <c r="A39" i="5"/>
  <c r="T39" i="5"/>
  <c r="I39" i="5"/>
  <c r="G39" i="5"/>
  <c r="AS39" i="5"/>
  <c r="AJ17" i="45"/>
  <c r="AG59" i="50"/>
  <c r="AE59" i="50" s="1"/>
  <c r="AG11" i="46"/>
  <c r="AG30" i="50"/>
  <c r="AE30" i="50" s="1"/>
  <c r="AF14" i="48"/>
  <c r="AG42" i="50"/>
  <c r="AE42" i="50" s="1"/>
  <c r="AL16" i="45"/>
  <c r="AG15" i="50"/>
  <c r="AE15" i="50" s="1"/>
  <c r="AG57" i="50"/>
  <c r="AH14" i="48"/>
  <c r="AG35" i="50"/>
  <c r="AE35" i="50" s="1"/>
  <c r="AG16" i="46"/>
  <c r="AD16" i="46" s="1"/>
  <c r="AG37" i="50"/>
  <c r="AE37" i="50" s="1"/>
  <c r="T20" i="5"/>
  <c r="T54" i="5"/>
  <c r="W54" i="5"/>
  <c r="I54" i="5"/>
  <c r="E54" i="5"/>
  <c r="C54" i="5"/>
  <c r="AJ9" i="45"/>
  <c r="AG49" i="50"/>
  <c r="AE49" i="50" s="1"/>
  <c r="AE11" i="46"/>
  <c r="AG8" i="50"/>
  <c r="AE8" i="50" s="1"/>
  <c r="AE7" i="46"/>
  <c r="AG43" i="50"/>
  <c r="AE43" i="50" s="1"/>
  <c r="AF10" i="48"/>
  <c r="AG7" i="50"/>
  <c r="AE7" i="50" s="1"/>
  <c r="AG18" i="46"/>
  <c r="AD18" i="46" s="1"/>
  <c r="AG29" i="50"/>
  <c r="AE29" i="50" s="1"/>
  <c r="AG7" i="46"/>
  <c r="AG28" i="50"/>
  <c r="AE28" i="50" s="1"/>
  <c r="W20" i="5"/>
  <c r="I20" i="5"/>
  <c r="E20" i="5"/>
  <c r="C20" i="5"/>
  <c r="AH16" i="47"/>
  <c r="AE16" i="47" s="1"/>
  <c r="AG15" i="46"/>
  <c r="AF12" i="45"/>
  <c r="AF15" i="48"/>
  <c r="AE15" i="48" s="1"/>
  <c r="AL10" i="45"/>
  <c r="AE10" i="45" s="1"/>
  <c r="AH12" i="48"/>
  <c r="AE12" i="48" s="1"/>
  <c r="AG8" i="46"/>
  <c r="AH9" i="48"/>
  <c r="AE9" i="48" s="1"/>
  <c r="AG9" i="46"/>
  <c r="AH10" i="48"/>
  <c r="AG10" i="46"/>
  <c r="AD10" i="46" s="1"/>
  <c r="AH11" i="48"/>
  <c r="AE11" i="48" s="1"/>
  <c r="AJ12" i="45"/>
  <c r="AH16" i="48"/>
  <c r="AE16" i="48" s="1"/>
  <c r="AF12" i="47"/>
  <c r="AF10" i="47"/>
  <c r="AH13" i="47"/>
  <c r="AH12" i="47"/>
  <c r="AH10" i="47"/>
  <c r="AF15" i="47"/>
  <c r="AI18" i="20"/>
  <c r="AE17" i="20"/>
  <c r="AF17" i="47"/>
  <c r="AK11" i="20"/>
  <c r="AL11" i="47"/>
  <c r="AK18" i="20"/>
  <c r="AE18" i="20"/>
  <c r="AI11" i="20"/>
  <c r="AJ11" i="47"/>
  <c r="AF9" i="45"/>
  <c r="AE9" i="46"/>
  <c r="AF8" i="45"/>
  <c r="AE8" i="46"/>
  <c r="AF16" i="45"/>
  <c r="AE15" i="46"/>
  <c r="AJ8" i="45"/>
  <c r="AE17" i="46"/>
  <c r="AL8" i="45"/>
  <c r="AG17" i="46"/>
  <c r="AG25" i="43"/>
  <c r="AE25" i="43" s="1"/>
  <c r="AG22" i="43"/>
  <c r="AE22" i="43" s="1"/>
  <c r="AG12" i="43"/>
  <c r="AE12" i="43" s="1"/>
  <c r="AG10" i="43"/>
  <c r="AE10" i="43" s="1"/>
  <c r="AG15" i="43"/>
  <c r="AE15" i="43" s="1"/>
  <c r="AG26" i="43"/>
  <c r="AE26" i="43" s="1"/>
  <c r="AG27" i="43"/>
  <c r="AE27" i="43" s="1"/>
  <c r="AG24" i="43"/>
  <c r="AE24" i="43" s="1"/>
  <c r="AG29" i="43"/>
  <c r="AE29" i="43" s="1"/>
  <c r="AG13" i="43"/>
  <c r="AE13" i="43" s="1"/>
  <c r="AG11" i="43"/>
  <c r="AE11" i="43" s="1"/>
  <c r="AG18" i="43"/>
  <c r="AE18" i="43" s="1"/>
  <c r="AG17" i="43"/>
  <c r="AE17" i="43" s="1"/>
  <c r="AG28" i="43"/>
  <c r="AE28" i="43" s="1"/>
  <c r="AG19" i="43"/>
  <c r="AE19" i="43" s="1"/>
  <c r="AG8" i="43"/>
  <c r="AE8" i="43" s="1"/>
  <c r="AG23" i="43"/>
  <c r="AE23" i="43" s="1"/>
  <c r="AG21" i="43"/>
  <c r="AE21" i="43" s="1"/>
  <c r="AG9" i="43"/>
  <c r="AE9" i="43" s="1"/>
  <c r="X117" i="4"/>
  <c r="I35" i="2"/>
  <c r="W117" i="4"/>
  <c r="I31" i="2"/>
  <c r="U117" i="4"/>
  <c r="I20" i="2"/>
  <c r="I29" i="2"/>
  <c r="C36" i="5"/>
  <c r="W36" i="5"/>
  <c r="E36" i="5"/>
  <c r="T36" i="5"/>
  <c r="W50" i="5"/>
  <c r="G50" i="5"/>
  <c r="T50" i="5"/>
  <c r="C50" i="5"/>
  <c r="AG17" i="20"/>
  <c r="T28" i="5"/>
  <c r="G28" i="5"/>
  <c r="E28" i="5"/>
  <c r="W28" i="5"/>
  <c r="W49" i="5"/>
  <c r="E49" i="5"/>
  <c r="T49" i="5"/>
  <c r="C49" i="5"/>
  <c r="W9" i="5"/>
  <c r="T38" i="5"/>
  <c r="W25" i="5"/>
  <c r="W42" i="5"/>
  <c r="T23" i="5"/>
  <c r="T34" i="5"/>
  <c r="T43" i="5"/>
  <c r="T51" i="5"/>
  <c r="W12" i="5"/>
  <c r="T52" i="5"/>
  <c r="Q117" i="4"/>
  <c r="G7" i="5"/>
  <c r="I7" i="5"/>
  <c r="T7" i="5"/>
  <c r="T13" i="5"/>
  <c r="T31" i="5"/>
  <c r="AE12" i="20"/>
  <c r="C12" i="5"/>
  <c r="T12" i="5"/>
  <c r="I12" i="5"/>
  <c r="G12" i="5"/>
  <c r="T21" i="5"/>
  <c r="G21" i="5"/>
  <c r="A21" i="5"/>
  <c r="AE16" i="20"/>
  <c r="W21" i="5"/>
  <c r="I21" i="5"/>
  <c r="C21" i="5"/>
  <c r="T8" i="5"/>
  <c r="G38" i="5"/>
  <c r="W38" i="5"/>
  <c r="C25" i="5"/>
  <c r="G25" i="5"/>
  <c r="I25" i="5"/>
  <c r="T25" i="5"/>
  <c r="T15" i="5"/>
  <c r="C42" i="5"/>
  <c r="A42" i="5"/>
  <c r="I42" i="5"/>
  <c r="E42" i="5"/>
  <c r="T42" i="5"/>
  <c r="C23" i="5"/>
  <c r="I23" i="5"/>
  <c r="G23" i="5"/>
  <c r="AE9" i="20"/>
  <c r="W23" i="5"/>
  <c r="T17" i="5"/>
  <c r="I34" i="5"/>
  <c r="G34" i="5"/>
  <c r="W34" i="5"/>
  <c r="C43" i="5"/>
  <c r="G43" i="5"/>
  <c r="I43" i="5"/>
  <c r="W43" i="5"/>
  <c r="AG14" i="20"/>
  <c r="T11" i="5"/>
  <c r="G32" i="5"/>
  <c r="C32" i="5"/>
  <c r="T32" i="5"/>
  <c r="I32" i="5"/>
  <c r="W32" i="5"/>
  <c r="T30" i="5"/>
  <c r="G51" i="5"/>
  <c r="W51" i="5"/>
  <c r="I51" i="5"/>
  <c r="T14" i="5"/>
  <c r="W14" i="5"/>
  <c r="I14" i="5"/>
  <c r="C14" i="5"/>
  <c r="E14" i="5"/>
  <c r="W16" i="5"/>
  <c r="T22" i="5"/>
  <c r="AG10" i="20"/>
  <c r="W24" i="5"/>
  <c r="C24" i="5"/>
  <c r="T24" i="5"/>
  <c r="I24" i="5"/>
  <c r="E24" i="5"/>
  <c r="AE11" i="20"/>
  <c r="E56" i="5"/>
  <c r="I56" i="5"/>
  <c r="T56" i="5"/>
  <c r="I52" i="5"/>
  <c r="E52" i="5"/>
  <c r="W52" i="5"/>
  <c r="C9" i="5"/>
  <c r="I9" i="5"/>
  <c r="E9" i="5"/>
  <c r="T9" i="5"/>
  <c r="C13" i="5"/>
  <c r="G13" i="5"/>
  <c r="W13" i="5"/>
  <c r="AE13" i="20"/>
  <c r="I31" i="5"/>
  <c r="W31" i="5"/>
  <c r="G31" i="5"/>
  <c r="W48" i="5"/>
  <c r="C48" i="5"/>
  <c r="AG16" i="20"/>
  <c r="T48" i="5"/>
  <c r="G48" i="5"/>
  <c r="A48" i="5"/>
  <c r="I48" i="5"/>
  <c r="G8" i="5"/>
  <c r="C8" i="5"/>
  <c r="I8" i="5"/>
  <c r="AG15" i="20"/>
  <c r="W8" i="5"/>
  <c r="T35" i="5"/>
  <c r="W35" i="5"/>
  <c r="G35" i="5"/>
  <c r="I35" i="5"/>
  <c r="A45" i="5"/>
  <c r="W45" i="5"/>
  <c r="C45" i="5"/>
  <c r="T45" i="5"/>
  <c r="I45" i="5"/>
  <c r="E45" i="5"/>
  <c r="G15" i="5"/>
  <c r="I15" i="5"/>
  <c r="W15" i="5"/>
  <c r="AS10" i="5"/>
  <c r="I10" i="5"/>
  <c r="C10" i="5"/>
  <c r="AG8" i="20"/>
  <c r="T10" i="5"/>
  <c r="G10" i="5"/>
  <c r="W10" i="5"/>
  <c r="S117" i="4"/>
  <c r="AG13" i="20"/>
  <c r="I46" i="5"/>
  <c r="W46" i="5"/>
  <c r="G46" i="5"/>
  <c r="AG12" i="20"/>
  <c r="G17" i="5"/>
  <c r="W17" i="5"/>
  <c r="T26" i="5"/>
  <c r="W26" i="5"/>
  <c r="I26" i="5"/>
  <c r="G26" i="5"/>
  <c r="AE14" i="20"/>
  <c r="I11" i="5"/>
  <c r="C11" i="5"/>
  <c r="G11" i="5"/>
  <c r="W11" i="5"/>
  <c r="AG9" i="20"/>
  <c r="W18" i="5"/>
  <c r="I18" i="5"/>
  <c r="AE15" i="20"/>
  <c r="T18" i="5"/>
  <c r="G18" i="5"/>
  <c r="A18" i="5"/>
  <c r="AG11" i="20"/>
  <c r="I30" i="5"/>
  <c r="A30" i="5"/>
  <c r="C30" i="5"/>
  <c r="W30" i="5"/>
  <c r="G30" i="5"/>
  <c r="G16" i="5"/>
  <c r="A16" i="5"/>
  <c r="I16" i="5"/>
  <c r="C16" i="5"/>
  <c r="T16" i="5"/>
  <c r="AE8" i="20"/>
  <c r="W27" i="5"/>
  <c r="I27" i="5"/>
  <c r="C27" i="5"/>
  <c r="G27" i="5"/>
  <c r="T27" i="5"/>
  <c r="I22" i="5"/>
  <c r="AE10" i="20"/>
  <c r="G22" i="5"/>
  <c r="W22" i="5"/>
  <c r="AE14" i="57" l="1"/>
  <c r="AE20" i="57"/>
  <c r="AE12" i="45"/>
  <c r="AE13" i="64"/>
  <c r="AE16" i="57"/>
  <c r="AE15" i="59"/>
  <c r="AD15" i="60"/>
  <c r="AE9" i="64"/>
  <c r="AE12" i="66"/>
  <c r="AE17" i="52"/>
  <c r="AE13" i="56"/>
  <c r="AD9" i="60"/>
  <c r="AE14" i="62"/>
  <c r="AE10" i="62"/>
  <c r="AE8" i="64"/>
  <c r="AE8" i="65"/>
  <c r="AE9" i="66"/>
  <c r="AE10" i="65"/>
  <c r="AE14" i="64"/>
  <c r="AE13" i="65"/>
  <c r="AE10" i="64"/>
  <c r="AE10" i="56"/>
  <c r="AE15" i="52"/>
  <c r="AE13" i="52"/>
  <c r="AE15" i="56"/>
  <c r="AE8" i="52"/>
  <c r="AE12" i="57"/>
  <c r="AE18" i="57"/>
  <c r="AE10" i="57"/>
  <c r="AE9" i="58"/>
  <c r="AE13" i="58"/>
  <c r="AE19" i="58"/>
  <c r="AE10" i="58"/>
  <c r="AE11" i="58"/>
  <c r="AE15" i="62"/>
  <c r="AE16" i="59"/>
  <c r="AD9" i="46"/>
  <c r="AD11" i="60"/>
  <c r="AD13" i="60"/>
  <c r="AE9" i="59"/>
  <c r="AE10" i="59"/>
  <c r="AE17" i="59"/>
  <c r="X55" i="5"/>
  <c r="U55" i="5"/>
  <c r="D55" i="5" s="1"/>
  <c r="AD17" i="60"/>
  <c r="AD10" i="60"/>
  <c r="AE8" i="59"/>
  <c r="AE17" i="57"/>
  <c r="AE8" i="53"/>
  <c r="AE8" i="56"/>
  <c r="AE15" i="58"/>
  <c r="AE20" i="58"/>
  <c r="AE16" i="45"/>
  <c r="U41" i="5"/>
  <c r="U40" i="5"/>
  <c r="U44" i="5"/>
  <c r="X40" i="5"/>
  <c r="X44" i="5"/>
  <c r="X41" i="5"/>
  <c r="AE13" i="57"/>
  <c r="AE19" i="57"/>
  <c r="AE14" i="56"/>
  <c r="AE16" i="52"/>
  <c r="AE12" i="56"/>
  <c r="X53" i="5"/>
  <c r="X37" i="5"/>
  <c r="U37" i="5"/>
  <c r="U53" i="5"/>
  <c r="AE17" i="45"/>
  <c r="AE10" i="52"/>
  <c r="AE14" i="52"/>
  <c r="AD17" i="20"/>
  <c r="AD15" i="46"/>
  <c r="AD11" i="46"/>
  <c r="AE14" i="48"/>
  <c r="AE9" i="45"/>
  <c r="AE10" i="48"/>
  <c r="AD8" i="46"/>
  <c r="AD14" i="20"/>
  <c r="AE17" i="47"/>
  <c r="AE11" i="53"/>
  <c r="AE17" i="53"/>
  <c r="AE16" i="53"/>
  <c r="AE14" i="53"/>
  <c r="AE10" i="53"/>
  <c r="AE15" i="53"/>
  <c r="AE12" i="53"/>
  <c r="AE11" i="52"/>
  <c r="AE15" i="47"/>
  <c r="AE13" i="47"/>
  <c r="AE8" i="47"/>
  <c r="U33" i="5"/>
  <c r="U19" i="5"/>
  <c r="U47" i="5"/>
  <c r="U29" i="5"/>
  <c r="X47" i="5"/>
  <c r="X19" i="5"/>
  <c r="X33" i="5"/>
  <c r="X29" i="5"/>
  <c r="AE14" i="47"/>
  <c r="AD10" i="20"/>
  <c r="AE11" i="47"/>
  <c r="AE9" i="47"/>
  <c r="X39" i="5"/>
  <c r="U39" i="5"/>
  <c r="AD7" i="46"/>
  <c r="AE57" i="50"/>
  <c r="U20" i="5"/>
  <c r="X20" i="5"/>
  <c r="X54" i="5"/>
  <c r="U54" i="5"/>
  <c r="D54" i="5" s="1"/>
  <c r="AD18" i="20"/>
  <c r="AE10" i="47"/>
  <c r="AE12" i="47"/>
  <c r="AE8" i="45"/>
  <c r="AD17" i="46"/>
  <c r="X50" i="5"/>
  <c r="X28" i="5"/>
  <c r="X36" i="5"/>
  <c r="U50" i="5"/>
  <c r="U36" i="5"/>
  <c r="U49" i="5"/>
  <c r="U28" i="5"/>
  <c r="X49" i="5"/>
  <c r="AD8" i="20"/>
  <c r="AD15" i="20"/>
  <c r="X27" i="5"/>
  <c r="U16" i="5"/>
  <c r="X30" i="5"/>
  <c r="U18" i="5"/>
  <c r="X7" i="5"/>
  <c r="X42" i="5"/>
  <c r="X25" i="5"/>
  <c r="X9" i="5"/>
  <c r="X10" i="5"/>
  <c r="X12" i="5"/>
  <c r="X56" i="5"/>
  <c r="U51" i="5"/>
  <c r="U23" i="5"/>
  <c r="U10" i="5"/>
  <c r="U38" i="5"/>
  <c r="U52" i="5"/>
  <c r="U34" i="5"/>
  <c r="U46" i="5"/>
  <c r="U43" i="5"/>
  <c r="U35" i="5"/>
  <c r="X8" i="5"/>
  <c r="X48" i="5"/>
  <c r="X31" i="5"/>
  <c r="X13" i="5"/>
  <c r="X52" i="5"/>
  <c r="AD11" i="20"/>
  <c r="U22" i="5"/>
  <c r="X16" i="5"/>
  <c r="U14" i="5"/>
  <c r="X51" i="5"/>
  <c r="X34" i="5"/>
  <c r="X23" i="5"/>
  <c r="AD9" i="20"/>
  <c r="U15" i="5"/>
  <c r="U8" i="5"/>
  <c r="AD16" i="20"/>
  <c r="AD12" i="20"/>
  <c r="U13" i="5"/>
  <c r="X22" i="5"/>
  <c r="U27" i="5"/>
  <c r="X18" i="5"/>
  <c r="X11" i="5"/>
  <c r="X26" i="5"/>
  <c r="U26" i="5"/>
  <c r="X17" i="5"/>
  <c r="X46" i="5"/>
  <c r="X15" i="5"/>
  <c r="U45" i="5"/>
  <c r="X45" i="5"/>
  <c r="X35" i="5"/>
  <c r="U48" i="5"/>
  <c r="AD13" i="20"/>
  <c r="U9" i="5"/>
  <c r="U56" i="5"/>
  <c r="U24" i="5"/>
  <c r="X24" i="5"/>
  <c r="X14" i="5"/>
  <c r="U30" i="5"/>
  <c r="X32" i="5"/>
  <c r="U32" i="5"/>
  <c r="U11" i="5"/>
  <c r="X43" i="5"/>
  <c r="U17" i="5"/>
  <c r="U42" i="5"/>
  <c r="U25" i="5"/>
  <c r="X38" i="5"/>
  <c r="X21" i="5"/>
  <c r="U21" i="5"/>
  <c r="U12" i="5"/>
  <c r="U31" i="5"/>
  <c r="U7" i="5"/>
  <c r="J55" i="5" l="1"/>
  <c r="B55" i="5"/>
  <c r="F55" i="5"/>
  <c r="H55" i="5"/>
  <c r="K55" i="5"/>
  <c r="Y55" i="5"/>
  <c r="K45" i="5"/>
  <c r="K35" i="5"/>
  <c r="B40" i="5"/>
  <c r="F40" i="5"/>
  <c r="J40" i="5"/>
  <c r="D40" i="5"/>
  <c r="H40" i="5"/>
  <c r="D44" i="5"/>
  <c r="H44" i="5"/>
  <c r="B44" i="5"/>
  <c r="F44" i="5"/>
  <c r="J44" i="5"/>
  <c r="H41" i="5"/>
  <c r="B41" i="5"/>
  <c r="F41" i="5"/>
  <c r="J41" i="5"/>
  <c r="D41" i="5"/>
  <c r="K41" i="5"/>
  <c r="K40" i="5"/>
  <c r="K44" i="5"/>
  <c r="Y40" i="5"/>
  <c r="Y41" i="5"/>
  <c r="Y44" i="5"/>
  <c r="D53" i="5"/>
  <c r="H53" i="5"/>
  <c r="B53" i="5"/>
  <c r="F53" i="5"/>
  <c r="J53" i="5"/>
  <c r="B37" i="5"/>
  <c r="F37" i="5"/>
  <c r="J37" i="5"/>
  <c r="D37" i="5"/>
  <c r="H37" i="5"/>
  <c r="K53" i="5"/>
  <c r="K37" i="5"/>
  <c r="Y53" i="5"/>
  <c r="Y37" i="5"/>
  <c r="K52" i="5"/>
  <c r="K25" i="5"/>
  <c r="K24" i="5"/>
  <c r="K29" i="5"/>
  <c r="K19" i="5"/>
  <c r="K47" i="5"/>
  <c r="K33" i="5"/>
  <c r="D29" i="5"/>
  <c r="H29" i="5"/>
  <c r="B29" i="5"/>
  <c r="F29" i="5"/>
  <c r="J29" i="5"/>
  <c r="B19" i="5"/>
  <c r="J19" i="5"/>
  <c r="F19" i="5"/>
  <c r="D19" i="5"/>
  <c r="H19" i="5"/>
  <c r="B47" i="5"/>
  <c r="F47" i="5"/>
  <c r="J47" i="5"/>
  <c r="D47" i="5"/>
  <c r="H47" i="5"/>
  <c r="F33" i="5"/>
  <c r="D33" i="5"/>
  <c r="B33" i="5"/>
  <c r="J33" i="5"/>
  <c r="H33" i="5"/>
  <c r="Y47" i="5"/>
  <c r="Y33" i="5"/>
  <c r="Y19" i="5"/>
  <c r="Y29" i="5"/>
  <c r="Y39" i="5"/>
  <c r="B39" i="5"/>
  <c r="J39" i="5"/>
  <c r="D39" i="5"/>
  <c r="H39" i="5"/>
  <c r="F39" i="5"/>
  <c r="K39" i="5"/>
  <c r="J54" i="5"/>
  <c r="F54" i="5"/>
  <c r="H54" i="5"/>
  <c r="B20" i="5"/>
  <c r="D20" i="5"/>
  <c r="F20" i="5"/>
  <c r="H20" i="5"/>
  <c r="J20" i="5"/>
  <c r="K20" i="5"/>
  <c r="Y20" i="5"/>
  <c r="K54" i="5"/>
  <c r="K38" i="5"/>
  <c r="B54" i="5"/>
  <c r="Y54" i="5"/>
  <c r="B28" i="5"/>
  <c r="F28" i="5"/>
  <c r="J28" i="5"/>
  <c r="D28" i="5"/>
  <c r="H28" i="5"/>
  <c r="H36" i="5"/>
  <c r="D36" i="5"/>
  <c r="J36" i="5"/>
  <c r="B36" i="5"/>
  <c r="F36" i="5"/>
  <c r="D49" i="5"/>
  <c r="H49" i="5"/>
  <c r="B49" i="5"/>
  <c r="F49" i="5"/>
  <c r="J49" i="5"/>
  <c r="B50" i="5"/>
  <c r="D50" i="5"/>
  <c r="H50" i="5"/>
  <c r="F50" i="5"/>
  <c r="J50" i="5"/>
  <c r="K50" i="5"/>
  <c r="K36" i="5"/>
  <c r="K49" i="5"/>
  <c r="K28" i="5"/>
  <c r="Y50" i="5"/>
  <c r="Y28" i="5"/>
  <c r="Y36" i="5"/>
  <c r="Y49" i="5"/>
  <c r="K11" i="5"/>
  <c r="K31" i="5"/>
  <c r="H31" i="5"/>
  <c r="D31" i="5"/>
  <c r="J31" i="5"/>
  <c r="B31" i="5"/>
  <c r="F31" i="5"/>
  <c r="Y21" i="5"/>
  <c r="H25" i="5"/>
  <c r="D25" i="5"/>
  <c r="F25" i="5"/>
  <c r="J25" i="5"/>
  <c r="B25" i="5"/>
  <c r="H42" i="5"/>
  <c r="D42" i="5"/>
  <c r="K42" i="5"/>
  <c r="J42" i="5"/>
  <c r="F42" i="5"/>
  <c r="B42" i="5"/>
  <c r="Y43" i="5"/>
  <c r="H11" i="5"/>
  <c r="D11" i="5"/>
  <c r="J11" i="5"/>
  <c r="F11" i="5"/>
  <c r="B11" i="5"/>
  <c r="Y32" i="5"/>
  <c r="J30" i="5"/>
  <c r="F30" i="5"/>
  <c r="B30" i="5"/>
  <c r="H30" i="5"/>
  <c r="K30" i="5"/>
  <c r="D30" i="5"/>
  <c r="H24" i="5"/>
  <c r="D24" i="5"/>
  <c r="J24" i="5"/>
  <c r="B24" i="5"/>
  <c r="F24" i="5"/>
  <c r="J48" i="5"/>
  <c r="F48" i="5"/>
  <c r="B48" i="5"/>
  <c r="D48" i="5"/>
  <c r="H48" i="5"/>
  <c r="K48" i="5"/>
  <c r="Y45" i="5"/>
  <c r="Y46" i="5"/>
  <c r="J26" i="5"/>
  <c r="F26" i="5"/>
  <c r="B26" i="5"/>
  <c r="D26" i="5"/>
  <c r="H26" i="5"/>
  <c r="K26" i="5"/>
  <c r="Y11" i="5"/>
  <c r="Y18" i="5"/>
  <c r="Y22" i="5"/>
  <c r="J15" i="5"/>
  <c r="F15" i="5"/>
  <c r="B15" i="5"/>
  <c r="D15" i="5"/>
  <c r="H15" i="5"/>
  <c r="K15" i="5"/>
  <c r="Y23" i="5"/>
  <c r="H14" i="5"/>
  <c r="D14" i="5"/>
  <c r="K14" i="5"/>
  <c r="J14" i="5"/>
  <c r="F14" i="5"/>
  <c r="B14" i="5"/>
  <c r="Y13" i="5"/>
  <c r="Y31" i="5"/>
  <c r="Y8" i="5"/>
  <c r="J35" i="5"/>
  <c r="F35" i="5"/>
  <c r="B35" i="5"/>
  <c r="H35" i="5"/>
  <c r="D35" i="5"/>
  <c r="K43" i="5"/>
  <c r="H43" i="5"/>
  <c r="D43" i="5"/>
  <c r="J43" i="5"/>
  <c r="B43" i="5"/>
  <c r="F43" i="5"/>
  <c r="J34" i="5"/>
  <c r="F34" i="5"/>
  <c r="B34" i="5"/>
  <c r="K34" i="5"/>
  <c r="H34" i="5"/>
  <c r="D34" i="5"/>
  <c r="J52" i="5"/>
  <c r="F52" i="5"/>
  <c r="B52" i="5"/>
  <c r="D52" i="5"/>
  <c r="H52" i="5"/>
  <c r="J10" i="5"/>
  <c r="F10" i="5"/>
  <c r="B10" i="5"/>
  <c r="D10" i="5"/>
  <c r="H10" i="5"/>
  <c r="K10" i="5"/>
  <c r="J23" i="5"/>
  <c r="F23" i="5"/>
  <c r="B23" i="5"/>
  <c r="H23" i="5"/>
  <c r="K23" i="5"/>
  <c r="D23" i="5"/>
  <c r="Y12" i="5"/>
  <c r="Y10" i="5"/>
  <c r="Y7" i="5"/>
  <c r="H18" i="5"/>
  <c r="D18" i="5"/>
  <c r="K18" i="5"/>
  <c r="J18" i="5"/>
  <c r="B18" i="5"/>
  <c r="F18" i="5"/>
  <c r="Y30" i="5"/>
  <c r="J7" i="5"/>
  <c r="F7" i="5"/>
  <c r="B7" i="5"/>
  <c r="H7" i="5"/>
  <c r="K7" i="5"/>
  <c r="D7" i="5"/>
  <c r="J12" i="5"/>
  <c r="F12" i="5"/>
  <c r="B12" i="5"/>
  <c r="K12" i="5"/>
  <c r="D12" i="5"/>
  <c r="H12" i="5"/>
  <c r="J21" i="5"/>
  <c r="F21" i="5"/>
  <c r="B21" i="5"/>
  <c r="D21" i="5"/>
  <c r="K21" i="5"/>
  <c r="H21" i="5"/>
  <c r="Y38" i="5"/>
  <c r="K17" i="5"/>
  <c r="H17" i="5"/>
  <c r="D17" i="5"/>
  <c r="F17" i="5"/>
  <c r="J17" i="5"/>
  <c r="B17" i="5"/>
  <c r="K32" i="5"/>
  <c r="H32" i="5"/>
  <c r="D32" i="5"/>
  <c r="F32" i="5"/>
  <c r="J32" i="5"/>
  <c r="B32" i="5"/>
  <c r="Y14" i="5"/>
  <c r="Y24" i="5"/>
  <c r="J56" i="5"/>
  <c r="F56" i="5"/>
  <c r="B56" i="5"/>
  <c r="D56" i="5"/>
  <c r="K56" i="5"/>
  <c r="H56" i="5"/>
  <c r="H9" i="5"/>
  <c r="J9" i="5"/>
  <c r="F9" i="5"/>
  <c r="B9" i="5"/>
  <c r="D9" i="5"/>
  <c r="K9" i="5"/>
  <c r="Y35" i="5"/>
  <c r="J45" i="5"/>
  <c r="F45" i="5"/>
  <c r="B45" i="5"/>
  <c r="D45" i="5"/>
  <c r="H45" i="5"/>
  <c r="Y15" i="5"/>
  <c r="Y17" i="5"/>
  <c r="Y26" i="5"/>
  <c r="H27" i="5"/>
  <c r="D27" i="5"/>
  <c r="K27" i="5"/>
  <c r="F27" i="5"/>
  <c r="J27" i="5"/>
  <c r="B27" i="5"/>
  <c r="H13" i="5"/>
  <c r="D13" i="5"/>
  <c r="K13" i="5"/>
  <c r="F13" i="5"/>
  <c r="J13" i="5"/>
  <c r="B13" i="5"/>
  <c r="J8" i="5"/>
  <c r="F8" i="5"/>
  <c r="B8" i="5"/>
  <c r="D8" i="5"/>
  <c r="H8" i="5"/>
  <c r="K8" i="5"/>
  <c r="Y34" i="5"/>
  <c r="Y51" i="5"/>
  <c r="Y16" i="5"/>
  <c r="K22" i="5"/>
  <c r="H22" i="5"/>
  <c r="D22" i="5"/>
  <c r="J22" i="5"/>
  <c r="F22" i="5"/>
  <c r="B22" i="5"/>
  <c r="Y52" i="5"/>
  <c r="Y48" i="5"/>
  <c r="K46" i="5"/>
  <c r="H46" i="5"/>
  <c r="D46" i="5"/>
  <c r="J46" i="5"/>
  <c r="F46" i="5"/>
  <c r="B46" i="5"/>
  <c r="D38" i="5"/>
  <c r="F38" i="5"/>
  <c r="J38" i="5"/>
  <c r="H38" i="5"/>
  <c r="B38" i="5"/>
  <c r="J51" i="5"/>
  <c r="F51" i="5"/>
  <c r="B51" i="5"/>
  <c r="K51" i="5"/>
  <c r="D51" i="5"/>
  <c r="H51" i="5"/>
  <c r="Y56" i="5"/>
  <c r="Y9" i="5"/>
  <c r="Y25" i="5"/>
  <c r="Y42" i="5"/>
  <c r="F16" i="5"/>
  <c r="H16" i="5"/>
  <c r="K16" i="5"/>
  <c r="B16" i="5"/>
  <c r="J16" i="5"/>
  <c r="D16" i="5"/>
  <c r="Y27" i="5"/>
  <c r="G55" i="5" l="1"/>
  <c r="I55" i="5"/>
  <c r="C35" i="5"/>
  <c r="A35" i="5"/>
  <c r="G45" i="5"/>
  <c r="E35" i="5"/>
  <c r="E41" i="5"/>
  <c r="E44" i="5"/>
  <c r="G40" i="5"/>
  <c r="E53" i="5"/>
  <c r="E37" i="5"/>
  <c r="C53" i="5"/>
  <c r="G52" i="5"/>
  <c r="A52" i="5"/>
  <c r="C52" i="5"/>
  <c r="G24" i="5"/>
  <c r="A24" i="5"/>
  <c r="A25" i="5"/>
  <c r="E25" i="5"/>
  <c r="G47" i="5"/>
  <c r="G33" i="5"/>
  <c r="C19" i="5"/>
  <c r="E39" i="5"/>
  <c r="G20" i="5"/>
  <c r="A20" i="5"/>
  <c r="G54" i="5"/>
  <c r="E38" i="5"/>
  <c r="A54" i="5"/>
  <c r="A38" i="5"/>
  <c r="I38" i="5"/>
  <c r="C38" i="5"/>
  <c r="I50" i="5"/>
  <c r="A50" i="5"/>
  <c r="E50" i="5"/>
  <c r="I49" i="5"/>
  <c r="A49" i="5"/>
  <c r="C28" i="5"/>
  <c r="A36" i="5"/>
  <c r="A28" i="5"/>
  <c r="G49" i="5"/>
  <c r="G36" i="5"/>
  <c r="I28" i="5"/>
  <c r="I36" i="5"/>
  <c r="E11" i="5"/>
  <c r="A11" i="5"/>
  <c r="C51" i="5"/>
  <c r="A51" i="5"/>
  <c r="E46" i="5"/>
  <c r="C46" i="5"/>
  <c r="A22" i="5"/>
  <c r="A8" i="5"/>
  <c r="I13" i="5"/>
  <c r="A27" i="5"/>
  <c r="E27" i="5"/>
  <c r="G9" i="5"/>
  <c r="G56" i="5"/>
  <c r="C56" i="5"/>
  <c r="A17" i="5"/>
  <c r="E17" i="5"/>
  <c r="A12" i="5"/>
  <c r="A7" i="5"/>
  <c r="E18" i="5"/>
  <c r="C18" i="5"/>
  <c r="E23" i="5"/>
  <c r="K57" i="5"/>
  <c r="E10" i="5"/>
  <c r="A34" i="5"/>
  <c r="E43" i="5"/>
  <c r="A14" i="5"/>
  <c r="A15" i="5"/>
  <c r="C26" i="5"/>
  <c r="E26" i="5"/>
  <c r="E48" i="5"/>
  <c r="E30" i="5"/>
  <c r="G42" i="5"/>
  <c r="A31" i="5"/>
  <c r="C31" i="5"/>
  <c r="E16" i="5"/>
  <c r="E51" i="5"/>
  <c r="A46" i="5"/>
  <c r="E22" i="5"/>
  <c r="C22" i="5"/>
  <c r="E8" i="5"/>
  <c r="A13" i="5"/>
  <c r="E13" i="5"/>
  <c r="A9" i="5"/>
  <c r="A56" i="5"/>
  <c r="A32" i="5"/>
  <c r="E32" i="5"/>
  <c r="I17" i="5"/>
  <c r="C17" i="5"/>
  <c r="E21" i="5"/>
  <c r="E12" i="5"/>
  <c r="C7" i="5"/>
  <c r="E7" i="5"/>
  <c r="A23" i="5"/>
  <c r="A10" i="5"/>
  <c r="C34" i="5"/>
  <c r="E34" i="5"/>
  <c r="A43" i="5"/>
  <c r="G14" i="5"/>
  <c r="C15" i="5"/>
  <c r="E15" i="5"/>
  <c r="A26" i="5"/>
  <c r="E31" i="5"/>
  <c r="J8" i="4"/>
  <c r="I57" i="5" l="1"/>
  <c r="A57" i="5"/>
  <c r="C57" i="5"/>
  <c r="E57" i="5"/>
  <c r="G57" i="5"/>
  <c r="AH14" i="21"/>
  <c r="AA34" i="4"/>
  <c r="AC34" i="4"/>
  <c r="AB34" i="4"/>
  <c r="J34" i="4"/>
  <c r="AB56" i="4"/>
  <c r="AC56" i="4"/>
  <c r="J56" i="4"/>
  <c r="AA56" i="4"/>
  <c r="AB96" i="4"/>
  <c r="J96" i="4"/>
  <c r="AC96" i="4"/>
  <c r="AA96" i="4"/>
  <c r="AB25" i="4"/>
  <c r="J25" i="4"/>
  <c r="AC25" i="4"/>
  <c r="AA25" i="4"/>
  <c r="AJ16" i="21"/>
  <c r="AB31" i="4"/>
  <c r="J31" i="4"/>
  <c r="AC31" i="4"/>
  <c r="AA31" i="4"/>
  <c r="AC24" i="4"/>
  <c r="J24" i="4"/>
  <c r="AB24" i="4"/>
  <c r="AA24" i="4"/>
  <c r="AC93" i="4"/>
  <c r="J93" i="4"/>
  <c r="AB93" i="4"/>
  <c r="AA93" i="4"/>
  <c r="J102" i="4"/>
  <c r="AC102" i="4"/>
  <c r="AA102" i="4"/>
  <c r="AB102" i="4"/>
  <c r="J15" i="4"/>
  <c r="AC15" i="4"/>
  <c r="AA15" i="4"/>
  <c r="AB15" i="4"/>
  <c r="J23" i="4"/>
  <c r="AC23" i="4"/>
  <c r="AB23" i="4"/>
  <c r="AA23" i="4"/>
  <c r="J55" i="4"/>
  <c r="AC55" i="4"/>
  <c r="AB55" i="4"/>
  <c r="AA55" i="4"/>
  <c r="J35" i="4"/>
  <c r="AC35" i="4"/>
  <c r="AB35" i="4"/>
  <c r="AA35" i="4"/>
  <c r="J20" i="4"/>
  <c r="AC20" i="4"/>
  <c r="AB20" i="4"/>
  <c r="AA20" i="4"/>
  <c r="J105" i="4"/>
  <c r="AA105" i="4"/>
  <c r="AC105" i="4"/>
  <c r="AB105" i="4"/>
  <c r="J13" i="4"/>
  <c r="AB13" i="4"/>
  <c r="AC13" i="4"/>
  <c r="AA13" i="4"/>
  <c r="J22" i="4"/>
  <c r="AA22" i="4"/>
  <c r="AC22" i="4"/>
  <c r="AB22" i="4"/>
  <c r="J73" i="4"/>
  <c r="AC73" i="4"/>
  <c r="AA73" i="4"/>
  <c r="AB73" i="4"/>
  <c r="J67" i="4"/>
  <c r="AA67" i="4"/>
  <c r="AC67" i="4"/>
  <c r="AB67" i="4"/>
  <c r="AF16" i="21"/>
  <c r="AA51" i="4"/>
  <c r="AC51" i="4"/>
  <c r="AB51" i="4"/>
  <c r="J51" i="4"/>
  <c r="J111" i="4"/>
  <c r="AC111" i="4"/>
  <c r="AB111" i="4"/>
  <c r="AA111" i="4"/>
  <c r="J27" i="4"/>
  <c r="AC27" i="4"/>
  <c r="AB27" i="4"/>
  <c r="AA27" i="4"/>
  <c r="J19" i="4"/>
  <c r="AC19" i="4"/>
  <c r="AB19" i="4"/>
  <c r="AA19" i="4"/>
  <c r="J113" i="4"/>
  <c r="AA113" i="4"/>
  <c r="AC113" i="4"/>
  <c r="AB113" i="4"/>
  <c r="AB32" i="4"/>
  <c r="AC32" i="4"/>
  <c r="J32" i="4"/>
  <c r="AA32" i="4"/>
  <c r="AB85" i="4"/>
  <c r="AC85" i="4"/>
  <c r="AA85" i="4"/>
  <c r="J85" i="4"/>
  <c r="AB112" i="4"/>
  <c r="AC112" i="4"/>
  <c r="AA112" i="4"/>
  <c r="J112" i="4"/>
  <c r="J37" i="4"/>
  <c r="AC37" i="4"/>
  <c r="AB37" i="4"/>
  <c r="AA37" i="4"/>
  <c r="J103" i="4"/>
  <c r="AC103" i="4"/>
  <c r="AB103" i="4"/>
  <c r="AA103" i="4"/>
  <c r="AB86" i="4"/>
  <c r="AA86" i="4"/>
  <c r="J86" i="4"/>
  <c r="AC86" i="4"/>
  <c r="J90" i="4"/>
  <c r="AA90" i="4"/>
  <c r="AC90" i="4"/>
  <c r="AB90" i="4"/>
  <c r="AC88" i="4"/>
  <c r="J88" i="4"/>
  <c r="AB88" i="4"/>
  <c r="AA88" i="4"/>
  <c r="AC91" i="4"/>
  <c r="J91" i="4"/>
  <c r="AB91" i="4"/>
  <c r="AA91" i="4"/>
  <c r="AA98" i="4"/>
  <c r="AB98" i="4"/>
  <c r="J98" i="4"/>
  <c r="AC98" i="4"/>
  <c r="AA108" i="4"/>
  <c r="AB108" i="4"/>
  <c r="J108" i="4"/>
  <c r="AC108" i="4"/>
  <c r="J97" i="4"/>
  <c r="AB97" i="4"/>
  <c r="AC97" i="4"/>
  <c r="AA97" i="4"/>
  <c r="J106" i="4"/>
  <c r="AB106" i="4"/>
  <c r="AC106" i="4"/>
  <c r="AA106" i="4"/>
  <c r="J12" i="4"/>
  <c r="AC12" i="4"/>
  <c r="AB12" i="4"/>
  <c r="AA12" i="4"/>
  <c r="AC10" i="4"/>
  <c r="J10" i="4"/>
  <c r="AB10" i="4"/>
  <c r="AA10" i="4"/>
  <c r="AA107" i="4"/>
  <c r="AB107" i="4"/>
  <c r="AC107" i="4"/>
  <c r="J107" i="4"/>
  <c r="AA33" i="4"/>
  <c r="AB33" i="4"/>
  <c r="AC33" i="4"/>
  <c r="J33" i="4"/>
  <c r="AA28" i="4"/>
  <c r="AC28" i="4"/>
  <c r="AB28" i="4"/>
  <c r="J28" i="4"/>
  <c r="AB58" i="4"/>
  <c r="AC58" i="4"/>
  <c r="AA58" i="4"/>
  <c r="J58" i="4"/>
  <c r="AA74" i="4"/>
  <c r="AB74" i="4"/>
  <c r="J74" i="4"/>
  <c r="AC74" i="4"/>
  <c r="V116" i="4"/>
  <c r="I23" i="2" s="1"/>
  <c r="AB8" i="4"/>
  <c r="AC8" i="4"/>
  <c r="AA8" i="4"/>
  <c r="AC9" i="4"/>
  <c r="AB9" i="4"/>
  <c r="J9" i="4"/>
  <c r="AA9" i="4"/>
  <c r="J26" i="4"/>
  <c r="AB26" i="4"/>
  <c r="AC26" i="4"/>
  <c r="AH17" i="21"/>
  <c r="AA26" i="4"/>
  <c r="J30" i="4"/>
  <c r="AB30" i="4"/>
  <c r="AC30" i="4"/>
  <c r="AJ18" i="21"/>
  <c r="AA30" i="4"/>
  <c r="J41" i="4"/>
  <c r="AC41" i="4"/>
  <c r="AB41" i="4"/>
  <c r="AA41" i="4"/>
  <c r="AB104" i="4"/>
  <c r="J104" i="4"/>
  <c r="AC104" i="4"/>
  <c r="AA104" i="4"/>
  <c r="J18" i="4"/>
  <c r="AA18" i="4"/>
  <c r="AB18" i="4"/>
  <c r="AC18" i="4"/>
  <c r="AH15" i="21"/>
  <c r="J95" i="4"/>
  <c r="AC95" i="4"/>
  <c r="AB95" i="4"/>
  <c r="AA95" i="4"/>
  <c r="AA94" i="4"/>
  <c r="J94" i="4"/>
  <c r="AC94" i="4"/>
  <c r="AB94" i="4"/>
  <c r="AC110" i="4"/>
  <c r="J110" i="4"/>
  <c r="AB110" i="4"/>
  <c r="AA110" i="4"/>
  <c r="AJ15" i="21"/>
  <c r="AA17" i="4"/>
  <c r="AC17" i="4"/>
  <c r="AB17" i="4"/>
  <c r="J17" i="4"/>
  <c r="J48" i="4"/>
  <c r="AC48" i="4"/>
  <c r="AB48" i="4"/>
  <c r="AA48" i="4"/>
  <c r="J87" i="4"/>
  <c r="AB87" i="4"/>
  <c r="AC87" i="4"/>
  <c r="AA87" i="4"/>
  <c r="AC115" i="4"/>
  <c r="AB115" i="4"/>
  <c r="AA115" i="4"/>
  <c r="J115" i="4"/>
  <c r="AC36" i="4"/>
  <c r="AA36" i="4"/>
  <c r="AB36" i="4"/>
  <c r="J36" i="4"/>
  <c r="AJ14" i="21"/>
  <c r="AC14" i="4"/>
  <c r="J14" i="4"/>
  <c r="AB14" i="4"/>
  <c r="AA14" i="4"/>
  <c r="J84" i="4"/>
  <c r="AA84" i="4"/>
  <c r="AC84" i="4"/>
  <c r="AB84" i="4"/>
  <c r="J100" i="4"/>
  <c r="AC100" i="4"/>
  <c r="AB100" i="4"/>
  <c r="AA100" i="4"/>
  <c r="J64" i="4"/>
  <c r="AA64" i="4"/>
  <c r="AC64" i="4"/>
  <c r="AB64" i="4"/>
  <c r="J92" i="4"/>
  <c r="AA92" i="4"/>
  <c r="AC92" i="4"/>
  <c r="AB92" i="4"/>
  <c r="AC89" i="4"/>
  <c r="J89" i="4"/>
  <c r="AB89" i="4"/>
  <c r="AA89" i="4"/>
  <c r="AB76" i="4"/>
  <c r="J76" i="4"/>
  <c r="AC76" i="4"/>
  <c r="AA76" i="4"/>
  <c r="AA101" i="4"/>
  <c r="AB101" i="4"/>
  <c r="J101" i="4"/>
  <c r="AC101" i="4"/>
  <c r="AA114" i="4"/>
  <c r="AB114" i="4"/>
  <c r="J114" i="4"/>
  <c r="AC114" i="4"/>
  <c r="J99" i="4"/>
  <c r="AB99" i="4"/>
  <c r="AC99" i="4"/>
  <c r="AA99" i="4"/>
  <c r="J109" i="4"/>
  <c r="AB109" i="4"/>
  <c r="AC109" i="4"/>
  <c r="AA109" i="4"/>
  <c r="AH18" i="21" l="1"/>
  <c r="AD18" i="21" s="1"/>
  <c r="AJ17" i="21"/>
  <c r="AF17" i="21"/>
  <c r="AH16" i="21"/>
  <c r="AD16" i="21" s="1"/>
  <c r="AF15" i="21"/>
  <c r="AD15" i="21" s="1"/>
  <c r="AF14" i="21"/>
  <c r="AD14" i="21" s="1"/>
  <c r="E116" i="4"/>
  <c r="AJ7" i="21"/>
  <c r="AJ10" i="21"/>
  <c r="AH7" i="21"/>
  <c r="AJ11" i="21"/>
  <c r="AH10" i="21"/>
  <c r="AF10" i="21"/>
  <c r="AJ8" i="21"/>
  <c r="AH11" i="21"/>
  <c r="AF7" i="21"/>
  <c r="AH9" i="21"/>
  <c r="AF8" i="21"/>
  <c r="AH8" i="21"/>
  <c r="AF9" i="21"/>
  <c r="AF11" i="21"/>
  <c r="AJ9" i="21"/>
  <c r="N109" i="4"/>
  <c r="K109" i="4"/>
  <c r="K114" i="4"/>
  <c r="N114" i="4"/>
  <c r="K101" i="4"/>
  <c r="N101" i="4"/>
  <c r="N76" i="4"/>
  <c r="K76" i="4"/>
  <c r="N89" i="4"/>
  <c r="K89" i="4"/>
  <c r="K92" i="4"/>
  <c r="N92" i="4"/>
  <c r="K64" i="4"/>
  <c r="N64" i="4"/>
  <c r="N100" i="4"/>
  <c r="K100" i="4"/>
  <c r="K14" i="4"/>
  <c r="N14" i="4"/>
  <c r="N115" i="4"/>
  <c r="K115" i="4"/>
  <c r="K87" i="4"/>
  <c r="N87" i="4"/>
  <c r="N48" i="4"/>
  <c r="K48" i="4"/>
  <c r="N17" i="4"/>
  <c r="K17" i="4"/>
  <c r="K94" i="4"/>
  <c r="N94" i="4"/>
  <c r="K95" i="4"/>
  <c r="N95" i="4"/>
  <c r="N104" i="4"/>
  <c r="K104" i="4"/>
  <c r="N41" i="4"/>
  <c r="K41" i="4"/>
  <c r="N30" i="4"/>
  <c r="K30" i="4"/>
  <c r="N26" i="4"/>
  <c r="K26" i="4"/>
  <c r="N9" i="4"/>
  <c r="K9" i="4"/>
  <c r="AC116" i="4"/>
  <c r="AB116" i="4"/>
  <c r="N103" i="4"/>
  <c r="K103" i="4"/>
  <c r="N37" i="4"/>
  <c r="K37" i="4"/>
  <c r="K113" i="4"/>
  <c r="N113" i="4"/>
  <c r="N27" i="4"/>
  <c r="K27" i="4"/>
  <c r="K67" i="4"/>
  <c r="N67" i="4"/>
  <c r="N105" i="4"/>
  <c r="K105" i="4"/>
  <c r="N35" i="4"/>
  <c r="K35" i="4"/>
  <c r="N55" i="4"/>
  <c r="K55" i="4"/>
  <c r="N23" i="4"/>
  <c r="K23" i="4"/>
  <c r="N99" i="4"/>
  <c r="K99" i="4"/>
  <c r="K84" i="4"/>
  <c r="N84" i="4"/>
  <c r="N36" i="4"/>
  <c r="K36" i="4"/>
  <c r="K110" i="4"/>
  <c r="N110" i="4"/>
  <c r="K18" i="4"/>
  <c r="N18" i="4"/>
  <c r="N8" i="4"/>
  <c r="K8" i="4"/>
  <c r="K74" i="4"/>
  <c r="N74" i="4"/>
  <c r="K58" i="4"/>
  <c r="N58" i="4"/>
  <c r="K28" i="4"/>
  <c r="N28" i="4"/>
  <c r="K33" i="4"/>
  <c r="N33" i="4"/>
  <c r="K107" i="4"/>
  <c r="N107" i="4"/>
  <c r="K10" i="4"/>
  <c r="N10" i="4"/>
  <c r="K12" i="4"/>
  <c r="N12" i="4"/>
  <c r="N106" i="4"/>
  <c r="K106" i="4"/>
  <c r="K97" i="4"/>
  <c r="N97" i="4"/>
  <c r="K108" i="4"/>
  <c r="N108" i="4"/>
  <c r="K98" i="4"/>
  <c r="N98" i="4"/>
  <c r="N91" i="4"/>
  <c r="K91" i="4"/>
  <c r="N88" i="4"/>
  <c r="K88" i="4"/>
  <c r="K90" i="4"/>
  <c r="N90" i="4"/>
  <c r="N86" i="4"/>
  <c r="K86" i="4"/>
  <c r="K112" i="4"/>
  <c r="N112" i="4"/>
  <c r="K85" i="4"/>
  <c r="N85" i="4"/>
  <c r="N32" i="4"/>
  <c r="K32" i="4"/>
  <c r="N19" i="4"/>
  <c r="K19" i="4"/>
  <c r="N111" i="4"/>
  <c r="K111" i="4"/>
  <c r="N51" i="4"/>
  <c r="K51" i="4"/>
  <c r="K73" i="4"/>
  <c r="N73" i="4"/>
  <c r="K22" i="4"/>
  <c r="N22" i="4"/>
  <c r="K13" i="4"/>
  <c r="N13" i="4"/>
  <c r="N20" i="4"/>
  <c r="K20" i="4"/>
  <c r="N15" i="4"/>
  <c r="K15" i="4"/>
  <c r="K102" i="4"/>
  <c r="N102" i="4"/>
  <c r="K93" i="4"/>
  <c r="N93" i="4"/>
  <c r="K24" i="4"/>
  <c r="N24" i="4"/>
  <c r="K31" i="4"/>
  <c r="N31" i="4"/>
  <c r="K25" i="4"/>
  <c r="N25" i="4"/>
  <c r="K96" i="4"/>
  <c r="N96" i="4"/>
  <c r="K56" i="4"/>
  <c r="N56" i="4"/>
  <c r="K34" i="4"/>
  <c r="N34" i="4"/>
  <c r="L71" i="4" l="1"/>
  <c r="L75" i="4"/>
  <c r="O71" i="4"/>
  <c r="O75" i="4"/>
  <c r="AD17" i="21"/>
  <c r="L63" i="4"/>
  <c r="O63" i="4"/>
  <c r="L21" i="4"/>
  <c r="O21" i="4"/>
  <c r="AD10" i="21"/>
  <c r="O49" i="4"/>
  <c r="O47" i="4"/>
  <c r="O66" i="4"/>
  <c r="O44" i="4"/>
  <c r="O65" i="4"/>
  <c r="L65" i="4"/>
  <c r="B65" i="4" s="1"/>
  <c r="L66" i="4"/>
  <c r="B66" i="4" s="1"/>
  <c r="L49" i="4"/>
  <c r="B49" i="4" s="1"/>
  <c r="L47" i="4"/>
  <c r="B47" i="4" s="1"/>
  <c r="L44" i="4"/>
  <c r="O29" i="4"/>
  <c r="L29" i="4"/>
  <c r="B29" i="4" s="1"/>
  <c r="O43" i="4"/>
  <c r="O40" i="4"/>
  <c r="O78" i="4"/>
  <c r="O38" i="4"/>
  <c r="O77" i="4"/>
  <c r="O52" i="4"/>
  <c r="O68" i="4"/>
  <c r="O59" i="4"/>
  <c r="O79" i="4"/>
  <c r="O60" i="4"/>
  <c r="O45" i="4"/>
  <c r="O82" i="4"/>
  <c r="O46" i="4"/>
  <c r="O81" i="4"/>
  <c r="O53" i="4"/>
  <c r="O61" i="4"/>
  <c r="O54" i="4"/>
  <c r="O62" i="4"/>
  <c r="O69" i="4"/>
  <c r="O80" i="4"/>
  <c r="O83" i="4"/>
  <c r="O72" i="4"/>
  <c r="O70" i="4"/>
  <c r="O57" i="4"/>
  <c r="L72" i="4"/>
  <c r="L52" i="4"/>
  <c r="L77" i="4"/>
  <c r="L68" i="4"/>
  <c r="L57" i="4"/>
  <c r="L59" i="4"/>
  <c r="L62" i="4"/>
  <c r="B62" i="4" s="1"/>
  <c r="L69" i="4"/>
  <c r="L40" i="4"/>
  <c r="B40" i="4" s="1"/>
  <c r="L53" i="4"/>
  <c r="L79" i="4"/>
  <c r="L45" i="4"/>
  <c r="L82" i="4"/>
  <c r="L38" i="4"/>
  <c r="L81" i="4"/>
  <c r="L80" i="4"/>
  <c r="L70" i="4"/>
  <c r="B70" i="4" s="1"/>
  <c r="L46" i="4"/>
  <c r="L54" i="4"/>
  <c r="L61" i="4"/>
  <c r="L83" i="4"/>
  <c r="L60" i="4"/>
  <c r="B60" i="4" s="1"/>
  <c r="L43" i="4"/>
  <c r="B43" i="4" s="1"/>
  <c r="L78" i="4"/>
  <c r="O16" i="4"/>
  <c r="L16" i="4"/>
  <c r="B16" i="4" s="1"/>
  <c r="L50" i="4"/>
  <c r="L39" i="4"/>
  <c r="D39" i="4" s="1"/>
  <c r="L11" i="4"/>
  <c r="L42" i="4"/>
  <c r="O39" i="4"/>
  <c r="O11" i="4"/>
  <c r="O50" i="4"/>
  <c r="O42" i="4"/>
  <c r="AD9" i="21"/>
  <c r="AD11" i="21"/>
  <c r="AD7" i="21"/>
  <c r="AD8" i="21"/>
  <c r="L34" i="4"/>
  <c r="O34" i="4"/>
  <c r="O56" i="4"/>
  <c r="O96" i="4"/>
  <c r="O25" i="4"/>
  <c r="O31" i="4"/>
  <c r="O24" i="4"/>
  <c r="O93" i="4"/>
  <c r="O102" i="4"/>
  <c r="L15" i="4"/>
  <c r="L20" i="4"/>
  <c r="O13" i="4"/>
  <c r="O22" i="4"/>
  <c r="O73" i="4"/>
  <c r="L51" i="4"/>
  <c r="L111" i="4"/>
  <c r="L19" i="4"/>
  <c r="L32" i="4"/>
  <c r="O85" i="4"/>
  <c r="O112" i="4"/>
  <c r="L86" i="4"/>
  <c r="O90" i="4"/>
  <c r="L88" i="4"/>
  <c r="L91" i="4"/>
  <c r="O98" i="4"/>
  <c r="O108" i="4"/>
  <c r="O97" i="4"/>
  <c r="L106" i="4"/>
  <c r="O12" i="4"/>
  <c r="O10" i="4"/>
  <c r="O107" i="4"/>
  <c r="O33" i="4"/>
  <c r="O28" i="4"/>
  <c r="O58" i="4"/>
  <c r="O74" i="4"/>
  <c r="L8" i="4"/>
  <c r="O18" i="4"/>
  <c r="O110" i="4"/>
  <c r="L36" i="4"/>
  <c r="O84" i="4"/>
  <c r="L99" i="4"/>
  <c r="L23" i="4"/>
  <c r="L55" i="4"/>
  <c r="L35" i="4"/>
  <c r="L105" i="4"/>
  <c r="O67" i="4"/>
  <c r="L27" i="4"/>
  <c r="O113" i="4"/>
  <c r="L37" i="4"/>
  <c r="L103" i="4"/>
  <c r="L9" i="4"/>
  <c r="L26" i="4"/>
  <c r="L30" i="4"/>
  <c r="L41" i="4"/>
  <c r="L104" i="4"/>
  <c r="O95" i="4"/>
  <c r="O94" i="4"/>
  <c r="L17" i="4"/>
  <c r="L48" i="4"/>
  <c r="O87" i="4"/>
  <c r="L115" i="4"/>
  <c r="O14" i="4"/>
  <c r="L100" i="4"/>
  <c r="O64" i="4"/>
  <c r="O92" i="4"/>
  <c r="L89" i="4"/>
  <c r="L76" i="4"/>
  <c r="O101" i="4"/>
  <c r="O114" i="4"/>
  <c r="L109" i="4"/>
  <c r="L56" i="4"/>
  <c r="L96" i="4"/>
  <c r="L25" i="4"/>
  <c r="L31" i="4"/>
  <c r="L24" i="4"/>
  <c r="L93" i="4"/>
  <c r="L102" i="4"/>
  <c r="O15" i="4"/>
  <c r="O20" i="4"/>
  <c r="L13" i="4"/>
  <c r="L22" i="4"/>
  <c r="L73" i="4"/>
  <c r="O51" i="4"/>
  <c r="O111" i="4"/>
  <c r="O19" i="4"/>
  <c r="O32" i="4"/>
  <c r="L85" i="4"/>
  <c r="L112" i="4"/>
  <c r="O86" i="4"/>
  <c r="L90" i="4"/>
  <c r="O88" i="4"/>
  <c r="O91" i="4"/>
  <c r="L98" i="4"/>
  <c r="L108" i="4"/>
  <c r="L97" i="4"/>
  <c r="O106" i="4"/>
  <c r="L12" i="4"/>
  <c r="L10" i="4"/>
  <c r="L107" i="4"/>
  <c r="L33" i="4"/>
  <c r="L28" i="4"/>
  <c r="L58" i="4"/>
  <c r="L74" i="4"/>
  <c r="O8" i="4"/>
  <c r="L18" i="4"/>
  <c r="L110" i="4"/>
  <c r="O36" i="4"/>
  <c r="L84" i="4"/>
  <c r="O99" i="4"/>
  <c r="O23" i="4"/>
  <c r="O55" i="4"/>
  <c r="O35" i="4"/>
  <c r="O105" i="4"/>
  <c r="L67" i="4"/>
  <c r="O27" i="4"/>
  <c r="L113" i="4"/>
  <c r="O37" i="4"/>
  <c r="O103" i="4"/>
  <c r="O9" i="4"/>
  <c r="O26" i="4"/>
  <c r="O30" i="4"/>
  <c r="O41" i="4"/>
  <c r="O104" i="4"/>
  <c r="L95" i="4"/>
  <c r="L94" i="4"/>
  <c r="O17" i="4"/>
  <c r="O48" i="4"/>
  <c r="L87" i="4"/>
  <c r="O115" i="4"/>
  <c r="L14" i="4"/>
  <c r="O100" i="4"/>
  <c r="L64" i="4"/>
  <c r="L92" i="4"/>
  <c r="O89" i="4"/>
  <c r="O76" i="4"/>
  <c r="L101" i="4"/>
  <c r="L114" i="4"/>
  <c r="O109" i="4"/>
  <c r="E71" i="4" l="1"/>
  <c r="E75" i="4"/>
  <c r="E63" i="4"/>
  <c r="E21" i="4"/>
  <c r="E114" i="4"/>
  <c r="B95" i="4"/>
  <c r="E95" i="4"/>
  <c r="D113" i="4"/>
  <c r="E113" i="4"/>
  <c r="E110" i="4"/>
  <c r="E108" i="4"/>
  <c r="E112" i="4"/>
  <c r="E96" i="4"/>
  <c r="E109" i="4"/>
  <c r="B104" i="4"/>
  <c r="E104" i="4"/>
  <c r="E37" i="4"/>
  <c r="E105" i="4"/>
  <c r="E99" i="4"/>
  <c r="E101" i="4"/>
  <c r="E74" i="4"/>
  <c r="E107" i="4"/>
  <c r="E97" i="4"/>
  <c r="B97" i="4"/>
  <c r="E98" i="4"/>
  <c r="D102" i="4"/>
  <c r="E102" i="4"/>
  <c r="B76" i="4"/>
  <c r="E76" i="4"/>
  <c r="E100" i="4"/>
  <c r="E115" i="4"/>
  <c r="E48" i="4"/>
  <c r="E103" i="4"/>
  <c r="E65" i="4"/>
  <c r="E44" i="4"/>
  <c r="E47" i="4"/>
  <c r="E49" i="4"/>
  <c r="E66" i="4"/>
  <c r="E106" i="4"/>
  <c r="E111" i="4"/>
  <c r="E29" i="4"/>
  <c r="D38" i="4"/>
  <c r="B38" i="4"/>
  <c r="E38" i="4"/>
  <c r="E72" i="4"/>
  <c r="E61" i="4"/>
  <c r="E59" i="4"/>
  <c r="E68" i="4"/>
  <c r="E53" i="4"/>
  <c r="E69" i="4"/>
  <c r="E62" i="4"/>
  <c r="E43" i="4"/>
  <c r="E60" i="4"/>
  <c r="E54" i="4"/>
  <c r="E57" i="4"/>
  <c r="E52" i="4"/>
  <c r="E45" i="4"/>
  <c r="E40" i="4"/>
  <c r="E46" i="4"/>
  <c r="E70" i="4"/>
  <c r="E16" i="4"/>
  <c r="E39" i="4"/>
  <c r="E50" i="4"/>
  <c r="E42" i="4"/>
  <c r="E11" i="4"/>
  <c r="E92" i="4"/>
  <c r="B79" i="4"/>
  <c r="E79" i="4"/>
  <c r="B18" i="4"/>
  <c r="E18" i="4"/>
  <c r="D28" i="4"/>
  <c r="E28" i="4"/>
  <c r="E10" i="4"/>
  <c r="E90" i="4"/>
  <c r="E82" i="4"/>
  <c r="E85" i="4"/>
  <c r="E22" i="4"/>
  <c r="B24" i="4"/>
  <c r="E24" i="4"/>
  <c r="E25" i="4"/>
  <c r="E56" i="4"/>
  <c r="E89" i="4"/>
  <c r="E41" i="4"/>
  <c r="E30" i="4"/>
  <c r="B30" i="4"/>
  <c r="E9" i="4"/>
  <c r="E35" i="4"/>
  <c r="E55" i="4"/>
  <c r="E8" i="4"/>
  <c r="E88" i="4"/>
  <c r="E86" i="4"/>
  <c r="E32" i="4"/>
  <c r="B32" i="4"/>
  <c r="E15" i="4"/>
  <c r="B64" i="4"/>
  <c r="E64" i="4"/>
  <c r="E14" i="4"/>
  <c r="E87" i="4"/>
  <c r="B94" i="4"/>
  <c r="E94" i="4"/>
  <c r="E67" i="4"/>
  <c r="E84" i="4"/>
  <c r="E58" i="4"/>
  <c r="E33" i="4"/>
  <c r="E12" i="4"/>
  <c r="E73" i="4"/>
  <c r="D13" i="4"/>
  <c r="E13" i="4"/>
  <c r="E93" i="4"/>
  <c r="E31" i="4"/>
  <c r="E34" i="4"/>
  <c r="E78" i="4"/>
  <c r="B78" i="4"/>
  <c r="E17" i="4"/>
  <c r="E77" i="4"/>
  <c r="B77" i="4"/>
  <c r="E26" i="4"/>
  <c r="E81" i="4"/>
  <c r="D81" i="4"/>
  <c r="B81" i="4"/>
  <c r="E27" i="4"/>
  <c r="E80" i="4"/>
  <c r="E23" i="4"/>
  <c r="E83" i="4"/>
  <c r="E36" i="4"/>
  <c r="E91" i="4"/>
  <c r="E19" i="4"/>
  <c r="E51" i="4"/>
  <c r="E20" i="4"/>
  <c r="A65" i="4" l="1"/>
  <c r="A47" i="4"/>
  <c r="A66" i="4"/>
  <c r="A49" i="4"/>
  <c r="A104" i="4"/>
  <c r="A76" i="4"/>
  <c r="C102" i="4"/>
  <c r="A97" i="4"/>
  <c r="C113" i="4"/>
  <c r="A95" i="4"/>
  <c r="A29" i="4"/>
  <c r="C38" i="4"/>
  <c r="A62" i="4"/>
  <c r="A43" i="4"/>
  <c r="A60" i="4"/>
  <c r="A38" i="4"/>
  <c r="A40" i="4"/>
  <c r="A70" i="4"/>
  <c r="A16" i="4"/>
  <c r="C39" i="4"/>
  <c r="B116" i="4"/>
  <c r="A81" i="4"/>
  <c r="C81" i="4"/>
  <c r="A77" i="4"/>
  <c r="C13" i="4"/>
  <c r="A94" i="4"/>
  <c r="A64" i="4"/>
  <c r="A30" i="4"/>
  <c r="C28" i="4"/>
  <c r="A78" i="4"/>
  <c r="A32" i="4"/>
  <c r="A24" i="4"/>
  <c r="A18" i="4"/>
  <c r="A79" i="4"/>
  <c r="A116" i="4" l="1"/>
  <c r="C116" i="4"/>
  <c r="AS8" i="4"/>
  <c r="S85" i="54"/>
  <c r="S83" i="54"/>
  <c r="S84" i="54"/>
  <c r="K84" i="54"/>
  <c r="K85" i="54"/>
  <c r="K83" i="54"/>
  <c r="C85" i="54"/>
  <c r="C83" i="54"/>
  <c r="C84" i="54"/>
  <c r="U83" i="54"/>
  <c r="U84" i="54"/>
  <c r="Q83" i="54"/>
  <c r="Q84" i="54"/>
  <c r="O84" i="54"/>
  <c r="O83" i="54"/>
  <c r="O85" i="54"/>
  <c r="M84" i="54"/>
  <c r="M83" i="54"/>
  <c r="I84" i="54"/>
  <c r="I83" i="54"/>
  <c r="G84" i="54"/>
  <c r="G85" i="54"/>
  <c r="G83" i="54"/>
  <c r="E83" i="54"/>
  <c r="E84" i="54"/>
  <c r="V83" i="54"/>
  <c r="V84" i="54"/>
  <c r="T83" i="54"/>
  <c r="T84" i="54"/>
  <c r="R83" i="54"/>
  <c r="R84" i="54"/>
  <c r="P83" i="54"/>
  <c r="P84" i="54"/>
  <c r="N83" i="54"/>
  <c r="N84" i="54"/>
  <c r="L83" i="54"/>
  <c r="L84" i="54"/>
  <c r="J83" i="54"/>
  <c r="J84" i="54"/>
  <c r="H83" i="54"/>
  <c r="H84" i="54"/>
  <c r="F83" i="54"/>
  <c r="F84" i="54"/>
  <c r="D84" i="54"/>
  <c r="D83" i="54"/>
</calcChain>
</file>

<file path=xl/comments1.xml><?xml version="1.0" encoding="utf-8"?>
<comments xmlns="http://schemas.openxmlformats.org/spreadsheetml/2006/main">
  <authors>
    <author>Author</author>
    <author>Robert</author>
  </authors>
  <commentList>
    <comment ref="I3" authorId="0">
      <text>
        <r>
          <rPr>
            <b/>
            <sz val="8"/>
            <color indexed="81"/>
            <rFont val="Tahoma"/>
            <family val="2"/>
            <charset val="186"/>
          </rPr>
          <t>Osalejate arv</t>
        </r>
      </text>
    </comment>
    <comment ref="F5" authorId="0">
      <text>
        <r>
          <rPr>
            <b/>
            <sz val="8"/>
            <color indexed="81"/>
            <rFont val="Tahoma"/>
            <family val="2"/>
            <charset val="186"/>
          </rPr>
          <t>Kohtla-Järve, Järveküla tee 44
Spordihoone taga</t>
        </r>
      </text>
    </comment>
    <comment ref="H5" authorId="1">
      <text>
        <r>
          <rPr>
            <b/>
            <sz val="8"/>
            <color indexed="81"/>
            <rFont val="Tahoma"/>
            <family val="2"/>
            <charset val="186"/>
          </rPr>
          <t>Juuniorid 1 €</t>
        </r>
      </text>
    </comment>
    <comment ref="F6" authorId="0">
      <text>
        <r>
          <rPr>
            <b/>
            <sz val="8"/>
            <color indexed="81"/>
            <rFont val="Tahoma"/>
            <family val="2"/>
            <charset val="186"/>
          </rPr>
          <t>Voka, Metsa 2
Voka staadion</t>
        </r>
      </text>
    </comment>
    <comment ref="F7" authorId="0">
      <text>
        <r>
          <rPr>
            <b/>
            <sz val="8"/>
            <color indexed="81"/>
            <rFont val="Tahoma"/>
            <family val="2"/>
            <charset val="186"/>
          </rPr>
          <t>Kohtla-Järve, Järveküla tee 44
Spordihoone taga</t>
        </r>
      </text>
    </comment>
    <comment ref="F8" authorId="0">
      <text>
        <r>
          <rPr>
            <b/>
            <sz val="8"/>
            <color indexed="81"/>
            <rFont val="Tahoma"/>
            <family val="2"/>
            <charset val="186"/>
          </rPr>
          <t>Voka, Metsa 2
Voka staadion</t>
        </r>
      </text>
    </comment>
    <comment ref="H8" authorId="1">
      <text>
        <r>
          <rPr>
            <b/>
            <sz val="8"/>
            <color indexed="81"/>
            <rFont val="Tahoma"/>
            <family val="2"/>
            <charset val="186"/>
          </rPr>
          <t>Juuniorid 1 €</t>
        </r>
      </text>
    </comment>
    <comment ref="F10" authorId="0">
      <text>
        <r>
          <rPr>
            <b/>
            <sz val="8"/>
            <color indexed="81"/>
            <rFont val="Tahoma"/>
            <family val="2"/>
            <charset val="186"/>
          </rPr>
          <t>Voka, Metsa 2
Voka staadion</t>
        </r>
      </text>
    </comment>
    <comment ref="F11" authorId="0">
      <text>
        <r>
          <rPr>
            <b/>
            <sz val="8"/>
            <color indexed="81"/>
            <rFont val="Tahoma"/>
            <family val="2"/>
            <charset val="186"/>
          </rPr>
          <t>Voka, Metsa 2
Voka staadion</t>
        </r>
      </text>
    </comment>
    <comment ref="F12" authorId="0">
      <text>
        <r>
          <rPr>
            <b/>
            <sz val="8"/>
            <color indexed="81"/>
            <rFont val="Tahoma"/>
            <family val="2"/>
            <charset val="186"/>
          </rPr>
          <t>Kohtla-Järve, Järveküla tee 44
Spordihoone taga</t>
        </r>
      </text>
    </comment>
    <comment ref="H12" authorId="1">
      <text>
        <r>
          <rPr>
            <b/>
            <sz val="8"/>
            <color indexed="81"/>
            <rFont val="Tahoma"/>
            <family val="2"/>
            <charset val="186"/>
          </rPr>
          <t>Juuniorid 1 €</t>
        </r>
      </text>
    </comment>
    <comment ref="F13" authorId="0">
      <text>
        <r>
          <rPr>
            <b/>
            <sz val="8"/>
            <color indexed="81"/>
            <rFont val="Tahoma"/>
            <family val="2"/>
            <charset val="186"/>
          </rPr>
          <t>Voka, Metsa 2
Voka staadion</t>
        </r>
      </text>
    </comment>
    <comment ref="F14" authorId="0">
      <text>
        <r>
          <rPr>
            <b/>
            <sz val="8"/>
            <color indexed="81"/>
            <rFont val="Tahoma"/>
            <family val="2"/>
            <charset val="186"/>
          </rPr>
          <t>Kohtla-Järve, Järveküla tee 44
Spordihoone taga</t>
        </r>
      </text>
    </comment>
    <comment ref="H14" authorId="0">
      <text>
        <r>
          <rPr>
            <b/>
            <sz val="8"/>
            <color indexed="81"/>
            <rFont val="Tahoma"/>
            <family val="2"/>
            <charset val="186"/>
          </rPr>
          <t>Juunioridel 5 €
Eesti meistrivõistlustel osalemiseks peavad olema: 
 - petankeri litsents, 
 - võistluskuulid.</t>
        </r>
      </text>
    </comment>
    <comment ref="F15" authorId="0">
      <text>
        <r>
          <rPr>
            <b/>
            <sz val="8"/>
            <color indexed="81"/>
            <rFont val="Tahoma"/>
            <family val="2"/>
            <charset val="186"/>
          </rPr>
          <t>Kohtla-Järve, Järveküla tee 44
Spordihoone taga</t>
        </r>
      </text>
    </comment>
    <comment ref="H15" authorId="0">
      <text>
        <r>
          <rPr>
            <b/>
            <sz val="8"/>
            <color indexed="81"/>
            <rFont val="Tahoma"/>
            <family val="2"/>
            <charset val="186"/>
          </rPr>
          <t>Juunioridel 5 €</t>
        </r>
      </text>
    </comment>
    <comment ref="F16" authorId="0">
      <text>
        <r>
          <rPr>
            <b/>
            <sz val="8"/>
            <color indexed="81"/>
            <rFont val="Tahoma"/>
            <family val="2"/>
            <charset val="186"/>
          </rPr>
          <t>Voka, Metsa 2
Voka staadion</t>
        </r>
      </text>
    </comment>
    <comment ref="F17" authorId="0">
      <text>
        <r>
          <rPr>
            <b/>
            <sz val="8"/>
            <color indexed="81"/>
            <rFont val="Tahoma"/>
            <family val="2"/>
            <charset val="186"/>
          </rPr>
          <t>Voka, Metsa 2
Voka staadion</t>
        </r>
      </text>
    </comment>
    <comment ref="H17" authorId="1">
      <text>
        <r>
          <rPr>
            <b/>
            <sz val="8"/>
            <color indexed="81"/>
            <rFont val="Tahoma"/>
            <family val="2"/>
            <charset val="186"/>
          </rPr>
          <t>Juuniorid 1 €</t>
        </r>
      </text>
    </comment>
    <comment ref="F19" authorId="0">
      <text>
        <r>
          <rPr>
            <b/>
            <sz val="8"/>
            <color indexed="81"/>
            <rFont val="Tahoma"/>
            <family val="2"/>
            <charset val="186"/>
          </rPr>
          <t>Kohtla-Järve, Järveküla tee 44
Spordihoone taga</t>
        </r>
      </text>
    </comment>
    <comment ref="F20" authorId="0">
      <text>
        <r>
          <rPr>
            <b/>
            <sz val="8"/>
            <color indexed="81"/>
            <rFont val="Tahoma"/>
            <family val="2"/>
            <charset val="186"/>
          </rPr>
          <t>Kohtla-Järve, Järveküla tee 44
Spordihoone taga</t>
        </r>
      </text>
    </comment>
    <comment ref="H20" authorId="1">
      <text>
        <r>
          <rPr>
            <b/>
            <sz val="8"/>
            <color indexed="81"/>
            <rFont val="Tahoma"/>
            <family val="2"/>
            <charset val="186"/>
          </rPr>
          <t>Juuniorid 1 €</t>
        </r>
      </text>
    </comment>
    <comment ref="F21" authorId="0">
      <text>
        <r>
          <rPr>
            <b/>
            <sz val="8"/>
            <color indexed="81"/>
            <rFont val="Tahoma"/>
            <family val="2"/>
            <charset val="186"/>
          </rPr>
          <t>Voka, Metsa 2
Voka staadion</t>
        </r>
      </text>
    </comment>
    <comment ref="F22" authorId="0">
      <text>
        <r>
          <rPr>
            <b/>
            <sz val="8"/>
            <color indexed="81"/>
            <rFont val="Tahoma"/>
            <family val="2"/>
            <charset val="186"/>
          </rPr>
          <t>Voka, Metsa 2
Voka staadion</t>
        </r>
      </text>
    </comment>
    <comment ref="F23" authorId="0">
      <text>
        <r>
          <rPr>
            <b/>
            <sz val="8"/>
            <color indexed="81"/>
            <rFont val="Tahoma"/>
            <family val="2"/>
            <charset val="186"/>
          </rPr>
          <t>Kohtla-Järve, Järveküla tee 44
Spordihoone taga</t>
        </r>
      </text>
    </comment>
    <comment ref="H23" authorId="1">
      <text>
        <r>
          <rPr>
            <b/>
            <sz val="8"/>
            <color indexed="81"/>
            <rFont val="Tahoma"/>
            <family val="2"/>
            <charset val="186"/>
          </rPr>
          <t>Juuniorid 1 €</t>
        </r>
      </text>
    </comment>
    <comment ref="F24" authorId="0">
      <text>
        <r>
          <rPr>
            <b/>
            <sz val="8"/>
            <color indexed="81"/>
            <rFont val="Tahoma"/>
            <family val="2"/>
            <charset val="186"/>
          </rPr>
          <t>Voka, Metsa 2
Voka staadion</t>
        </r>
      </text>
    </comment>
    <comment ref="F25" authorId="0">
      <text>
        <r>
          <rPr>
            <b/>
            <sz val="8"/>
            <color indexed="81"/>
            <rFont val="Tahoma"/>
            <family val="2"/>
            <charset val="186"/>
          </rPr>
          <t>Voka, Metsa 2
Voka staadion</t>
        </r>
      </text>
    </comment>
    <comment ref="F27" authorId="0">
      <text>
        <r>
          <rPr>
            <b/>
            <sz val="8"/>
            <color indexed="81"/>
            <rFont val="Tahoma"/>
            <family val="2"/>
            <charset val="186"/>
          </rPr>
          <t>Voka, Metsa 2
Voka staadion</t>
        </r>
      </text>
    </comment>
    <comment ref="F28" authorId="0">
      <text>
        <r>
          <rPr>
            <b/>
            <sz val="8"/>
            <color indexed="81"/>
            <rFont val="Tahoma"/>
            <family val="2"/>
            <charset val="186"/>
          </rPr>
          <t>Voka, Metsa 2
Voka staadion</t>
        </r>
      </text>
    </comment>
    <comment ref="F29" authorId="0">
      <text>
        <r>
          <rPr>
            <b/>
            <sz val="8"/>
            <color indexed="81"/>
            <rFont val="Tahoma"/>
            <family val="2"/>
            <charset val="186"/>
          </rPr>
          <t>Voka, Metsa 2
Voka staadion</t>
        </r>
      </text>
    </comment>
    <comment ref="F30" authorId="0">
      <text>
        <r>
          <rPr>
            <b/>
            <sz val="8"/>
            <color indexed="81"/>
            <rFont val="Tahoma"/>
            <family val="2"/>
            <charset val="186"/>
          </rPr>
          <t>Kohtla-Järve, Järveküla tee 44
Spordihoone taga</t>
        </r>
      </text>
    </comment>
    <comment ref="F31" authorId="0">
      <text>
        <r>
          <rPr>
            <b/>
            <sz val="8"/>
            <color indexed="81"/>
            <rFont val="Tahoma"/>
            <family val="2"/>
            <charset val="186"/>
          </rPr>
          <t>Voka, Metsa 2
Voka staadion</t>
        </r>
      </text>
    </comment>
    <comment ref="F33" authorId="0">
      <text>
        <r>
          <rPr>
            <b/>
            <sz val="8"/>
            <color indexed="81"/>
            <rFont val="Tahoma"/>
            <family val="2"/>
            <charset val="186"/>
          </rPr>
          <t>Voka, Metsa 2
Voka staadion</t>
        </r>
      </text>
    </comment>
    <comment ref="H33" authorId="1">
      <text>
        <r>
          <rPr>
            <b/>
            <sz val="8"/>
            <color indexed="81"/>
            <rFont val="Tahoma"/>
            <family val="2"/>
            <charset val="186"/>
          </rPr>
          <t>Juuniorid 1 €</t>
        </r>
      </text>
    </comment>
    <comment ref="F34" authorId="0">
      <text>
        <r>
          <rPr>
            <b/>
            <sz val="8"/>
            <color indexed="81"/>
            <rFont val="Tahoma"/>
            <family val="2"/>
            <charset val="186"/>
          </rPr>
          <t>Voka, Metsa 2
Voka staadion</t>
        </r>
      </text>
    </comment>
    <comment ref="F35" authorId="0">
      <text>
        <r>
          <rPr>
            <b/>
            <sz val="8"/>
            <color indexed="81"/>
            <rFont val="Tahoma"/>
            <family val="2"/>
            <charset val="186"/>
          </rPr>
          <t>Kohtla-Järve, Järveküla tee 44
Spordihoone taga</t>
        </r>
      </text>
    </comment>
    <comment ref="H35" authorId="1">
      <text>
        <r>
          <rPr>
            <b/>
            <sz val="8"/>
            <color indexed="81"/>
            <rFont val="Tahoma"/>
            <family val="2"/>
            <charset val="186"/>
          </rPr>
          <t>Juuniorid 1 €</t>
        </r>
      </text>
    </comment>
    <comment ref="F36" authorId="0">
      <text>
        <r>
          <rPr>
            <b/>
            <sz val="8"/>
            <color indexed="81"/>
            <rFont val="Tahoma"/>
            <family val="2"/>
            <charset val="186"/>
          </rPr>
          <t>Voka, Metsa 2
Voka staadion</t>
        </r>
      </text>
    </comment>
    <comment ref="F37" authorId="0">
      <text>
        <r>
          <rPr>
            <b/>
            <sz val="8"/>
            <color indexed="81"/>
            <rFont val="Tahoma"/>
            <family val="2"/>
            <charset val="186"/>
          </rPr>
          <t>Kohtla-Järve, Järveküla tee 44
Spordihoone taga</t>
        </r>
      </text>
    </comment>
    <comment ref="F38" authorId="0">
      <text>
        <r>
          <rPr>
            <b/>
            <sz val="8"/>
            <color indexed="81"/>
            <rFont val="Tahoma"/>
            <family val="2"/>
            <charset val="186"/>
          </rPr>
          <t>Voka, Metsa 2
Voka staadion</t>
        </r>
      </text>
    </comment>
    <comment ref="F40" authorId="0">
      <text>
        <r>
          <rPr>
            <b/>
            <sz val="8"/>
            <color indexed="81"/>
            <rFont val="Tahoma"/>
            <family val="2"/>
            <charset val="186"/>
          </rPr>
          <t>Kohtla-Järve, Järveküla tee 44
Spordihoone taga</t>
        </r>
      </text>
    </comment>
    <comment ref="F41" authorId="0">
      <text>
        <r>
          <rPr>
            <b/>
            <sz val="8"/>
            <color indexed="81"/>
            <rFont val="Tahoma"/>
            <family val="2"/>
            <charset val="186"/>
          </rPr>
          <t>Voka, Metsa 2
Voka staadion</t>
        </r>
      </text>
    </comment>
  </commentList>
</comments>
</file>

<file path=xl/comments10.xml><?xml version="1.0" encoding="utf-8"?>
<comments xmlns="http://schemas.openxmlformats.org/spreadsheetml/2006/main">
  <authors>
    <author>Author</author>
  </authors>
  <commentList>
    <comment ref="Y7" authorId="0">
      <text>
        <r>
          <rPr>
            <b/>
            <sz val="8"/>
            <color indexed="81"/>
            <rFont val="Tahoma"/>
            <family val="2"/>
            <charset val="186"/>
          </rPr>
          <t xml:space="preserve">Eelvooru ja vahevooru punktide summa. 
Võrdse summa korral loeti kokku mängija 5-e punkti visked mõlemas voorus (kui ka neid oli võrdselt, siis 3-e punkti visked).
</t>
        </r>
        <r>
          <rPr>
            <sz val="8"/>
            <color indexed="81"/>
            <rFont val="Tahoma"/>
            <family val="2"/>
            <charset val="186"/>
          </rPr>
          <t>01.01.2017 kehtima hakanud rahvusvaheliste reeglite järgi</t>
        </r>
      </text>
    </comment>
    <comment ref="Y23" authorId="0">
      <text>
        <r>
          <rPr>
            <b/>
            <sz val="8"/>
            <color indexed="81"/>
            <rFont val="Tahoma"/>
            <family val="2"/>
            <charset val="186"/>
          </rPr>
          <t xml:space="preserve">Eelvooru ja vahevooru punktide summa. 
Võrdse summa korral loeti kokku mängija 5-e punkti visked mõlemas voorus (kui ka neid oli võrdselt, siis 3-e punkti visked).
</t>
        </r>
        <r>
          <rPr>
            <sz val="8"/>
            <color indexed="81"/>
            <rFont val="Tahoma"/>
            <family val="2"/>
            <charset val="186"/>
          </rPr>
          <t>01.01.2017 kehtima hakanud rahvusvaheliste reeglite järgi</t>
        </r>
      </text>
    </comment>
    <comment ref="Z58" authorId="0">
      <text>
        <r>
          <rPr>
            <b/>
            <sz val="8"/>
            <color indexed="81"/>
            <rFont val="Tahoma"/>
            <family val="2"/>
            <charset val="186"/>
          </rPr>
          <t>kahe veerandfinalisti võitja punktidele lisab 100.
paariliste esimesed saavad kohe 100, et mittte edasisaanute RANK algaks 5-st kohast, mitte 2-st</t>
        </r>
      </text>
    </comment>
  </commentList>
</comments>
</file>

<file path=xl/comments11.xml><?xml version="1.0" encoding="utf-8"?>
<comments xmlns="http://schemas.openxmlformats.org/spreadsheetml/2006/main">
  <authors>
    <author>Author</author>
    <author>Robert</author>
  </authors>
  <commentList>
    <comment ref="AC7" authorId="0">
      <text>
        <r>
          <rPr>
            <b/>
            <sz val="8"/>
            <color indexed="81"/>
            <rFont val="Tahoma"/>
            <family val="2"/>
            <charset val="186"/>
          </rPr>
          <t>Kogu turniiri jooksul mängitud mängude punktide VAHE</t>
        </r>
      </text>
    </comment>
    <comment ref="B301" authorId="1">
      <text>
        <r>
          <rPr>
            <b/>
            <sz val="8"/>
            <color indexed="81"/>
            <rFont val="Tahoma"/>
            <family val="2"/>
            <charset val="186"/>
          </rPr>
          <t>Ilma valemita</t>
        </r>
      </text>
    </comment>
    <comment ref="B302" authorId="1">
      <text>
        <r>
          <rPr>
            <b/>
            <sz val="8"/>
            <color indexed="81"/>
            <rFont val="Tahoma"/>
            <family val="2"/>
            <charset val="186"/>
          </rPr>
          <t>Ilma valemita</t>
        </r>
      </text>
    </comment>
  </commentList>
</comments>
</file>

<file path=xl/comments12.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13.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14.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15.xml><?xml version="1.0" encoding="utf-8"?>
<comments xmlns="http://schemas.openxmlformats.org/spreadsheetml/2006/main">
  <authors>
    <author>Author</author>
    <author>Robert</author>
  </authors>
  <commentList>
    <comment ref="AH1" authorId="0">
      <text>
        <r>
          <rPr>
            <b/>
            <sz val="8"/>
            <color indexed="81"/>
            <rFont val="Tahoma"/>
            <family val="2"/>
            <charset val="186"/>
          </rPr>
          <t>Koht - Punkte
  1. - 20 p
  2. - 19 p
  3. - 18 p
  4. - 17 p
  5. - 16 p
  6. - 15 p
  7. - 14 p
  8. - 13 p
  9. - 12 p
10. - 11 p
11. - 10 p
12. -   9 p
13. -   8 p
14. -   7 p
15. -   6 p
16. -   5 p
17. -   4 p
18. -   3 p
19. -   2 p
20… - 1 p
DSQ - 0 p</t>
        </r>
      </text>
    </comment>
    <comment ref="AS3" authorId="0">
      <text>
        <r>
          <rPr>
            <b/>
            <sz val="8"/>
            <color indexed="81"/>
            <rFont val="Tahoma"/>
            <family val="2"/>
            <charset val="186"/>
          </rPr>
          <t xml:space="preserve">Kehvemate tulemuste läbitõmbamise </t>
        </r>
        <r>
          <rPr>
            <b/>
            <strike/>
            <sz val="8"/>
            <color indexed="40"/>
            <rFont val="Tahoma"/>
            <family val="2"/>
            <charset val="186"/>
          </rPr>
          <t>format</t>
        </r>
        <r>
          <rPr>
            <b/>
            <sz val="8"/>
            <color indexed="81"/>
            <rFont val="Tahoma"/>
            <family val="2"/>
            <charset val="186"/>
          </rPr>
          <t xml:space="preserve"> kasutab seda veergu</t>
        </r>
      </text>
    </comment>
    <comment ref="A6" authorId="0">
      <text>
        <r>
          <rPr>
            <b/>
            <sz val="8"/>
            <color indexed="81"/>
            <rFont val="Tahoma"/>
            <family val="2"/>
            <charset val="186"/>
          </rPr>
          <t>Viru SK mängijad</t>
        </r>
        <r>
          <rPr>
            <sz val="8"/>
            <color indexed="81"/>
            <rFont val="Tahoma"/>
            <family val="2"/>
            <charset val="186"/>
          </rPr>
          <t xml:space="preserve">
</t>
        </r>
      </text>
    </comment>
    <comment ref="P6" authorId="0">
      <text>
        <r>
          <rPr>
            <b/>
            <sz val="8"/>
            <color indexed="81"/>
            <rFont val="Tahoma"/>
            <family val="2"/>
            <charset val="186"/>
          </rPr>
          <t>Kohalikud mängijad</t>
        </r>
        <r>
          <rPr>
            <sz val="8"/>
            <color indexed="81"/>
            <rFont val="Tahoma"/>
            <family val="2"/>
            <charset val="186"/>
          </rPr>
          <t xml:space="preserve">
</t>
        </r>
      </text>
    </comment>
    <comment ref="Q6" authorId="0">
      <text>
        <r>
          <rPr>
            <b/>
            <sz val="8"/>
            <color indexed="81"/>
            <rFont val="Tahoma"/>
            <family val="2"/>
            <charset val="186"/>
          </rPr>
          <t>Viru SK mängijad seisuga 16.02.2019</t>
        </r>
      </text>
    </comment>
    <comment ref="R6" authorId="0">
      <text>
        <r>
          <rPr>
            <b/>
            <sz val="8"/>
            <color indexed="81"/>
            <rFont val="Tahoma"/>
            <family val="2"/>
            <charset val="186"/>
          </rPr>
          <t>1 kehvem tulemus võetakse maha</t>
        </r>
      </text>
    </comment>
    <comment ref="Z58" authorId="1">
      <text>
        <r>
          <rPr>
            <b/>
            <sz val="8"/>
            <color indexed="81"/>
            <rFont val="Tahoma"/>
            <family val="2"/>
            <charset val="186"/>
          </rPr>
          <t>Ilma valemita</t>
        </r>
      </text>
    </comment>
    <comment ref="AF58" authorId="1">
      <text>
        <r>
          <rPr>
            <b/>
            <sz val="8"/>
            <color indexed="81"/>
            <rFont val="Tahoma"/>
            <family val="2"/>
            <charset val="186"/>
          </rPr>
          <t>Ilma valemita</t>
        </r>
      </text>
    </comment>
    <comment ref="AH58" authorId="1">
      <text>
        <r>
          <rPr>
            <b/>
            <sz val="8"/>
            <color indexed="81"/>
            <rFont val="Tahoma"/>
            <family val="2"/>
            <charset val="186"/>
          </rPr>
          <t>Ilma valemita</t>
        </r>
      </text>
    </comment>
  </commentList>
</comments>
</file>

<file path=xl/comments16.xml><?xml version="1.0" encoding="utf-8"?>
<comments xmlns="http://schemas.openxmlformats.org/spreadsheetml/2006/main">
  <authors>
    <author>Author</author>
  </authors>
  <commentList>
    <comment ref="AB7" authorId="0">
      <text>
        <r>
          <rPr>
            <b/>
            <sz val="8"/>
            <color indexed="81"/>
            <rFont val="Tahoma"/>
            <family val="2"/>
            <charset val="186"/>
          </rPr>
          <t>Kogu turniiri jooksul mängitud mängude punktide VAHE</t>
        </r>
      </text>
    </comment>
  </commentList>
</comments>
</file>

<file path=xl/comments17.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18.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19.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xml><?xml version="1.0" encoding="utf-8"?>
<comments xmlns="http://schemas.openxmlformats.org/spreadsheetml/2006/main">
  <authors>
    <author>Author</author>
    <author>Robert</author>
  </authors>
  <commentList>
    <comment ref="K6" authorId="0">
      <text>
        <r>
          <rPr>
            <b/>
            <sz val="8"/>
            <color indexed="81"/>
            <rFont val="Tahoma"/>
            <family val="2"/>
            <charset val="186"/>
          </rPr>
          <t>5-liikmelised võistkonnad, kelle koosseisus on vähemalt 1 naine. 
Võistkonnas võib olla ka varumängija (6. liige), kuid iga mängu (ühe vastase vastu peetavad mängud) puhul peab võistkonnas olema vähemalt 1 naine.</t>
        </r>
      </text>
    </comment>
    <comment ref="K7" authorId="0">
      <text>
        <r>
          <rPr>
            <b/>
            <sz val="8"/>
            <color indexed="81"/>
            <rFont val="Tahoma"/>
            <family val="2"/>
            <charset val="186"/>
          </rPr>
          <t>Tartu, Lossi 25 
Toomkiriku varemed</t>
        </r>
      </text>
    </comment>
    <comment ref="M10" authorId="0">
      <text>
        <r>
          <rPr>
            <b/>
            <sz val="8"/>
            <color indexed="81"/>
            <rFont val="Tahoma"/>
            <family val="2"/>
            <charset val="186"/>
          </rPr>
          <t>Kohtla-Järve, Järveküla tee 44
Spordihoone taga</t>
        </r>
      </text>
    </comment>
    <comment ref="J11" authorId="1">
      <text>
        <r>
          <rPr>
            <b/>
            <sz val="8"/>
            <color indexed="81"/>
            <rFont val="Tahoma"/>
            <family val="2"/>
            <charset val="186"/>
          </rPr>
          <t>Eestit esindavad: 
Angelika Tauk (Saku PK), 
Merike Aava (Saku PK), 
Margus Berkmann (Kärdla PK), 
Mihkel Filipenko (Kärdla PK)</t>
        </r>
      </text>
    </comment>
    <comment ref="K14" authorId="0">
      <text>
        <r>
          <rPr>
            <b/>
            <sz val="8"/>
            <color indexed="81"/>
            <rFont val="Tahoma"/>
            <family val="2"/>
            <charset val="186"/>
          </rPr>
          <t>Harku, Pikk 19
Harku petangihall</t>
        </r>
      </text>
    </comment>
    <comment ref="M14" authorId="0">
      <text>
        <r>
          <rPr>
            <b/>
            <sz val="8"/>
            <color indexed="81"/>
            <rFont val="Tahoma"/>
            <family val="2"/>
            <charset val="186"/>
          </rPr>
          <t>Harku, Pikk 19
Harku petangihall</t>
        </r>
      </text>
    </comment>
    <comment ref="C17" authorId="0">
      <text>
        <r>
          <rPr>
            <b/>
            <sz val="8"/>
            <color indexed="81"/>
            <rFont val="Tahoma"/>
            <family val="2"/>
            <charset val="186"/>
          </rPr>
          <t>Voka, Metsa 2
Voka staadion</t>
        </r>
      </text>
    </comment>
    <comment ref="K17" authorId="0">
      <text>
        <r>
          <rPr>
            <b/>
            <sz val="8"/>
            <color indexed="81"/>
            <rFont val="Tahoma"/>
            <family val="2"/>
            <charset val="186"/>
          </rPr>
          <t>Kohtla-Järve, Järveküla tee 44
Spordihoone taga</t>
        </r>
      </text>
    </comment>
    <comment ref="M17" authorId="0">
      <text>
        <r>
          <rPr>
            <b/>
            <sz val="8"/>
            <color indexed="81"/>
            <rFont val="Tahoma"/>
            <family val="2"/>
            <charset val="186"/>
          </rPr>
          <t>Voka, Metsa 2
Voka staadion</t>
        </r>
      </text>
    </comment>
    <comment ref="K21" authorId="0">
      <text>
        <r>
          <rPr>
            <b/>
            <sz val="8"/>
            <color indexed="81"/>
            <rFont val="Tahoma"/>
            <family val="2"/>
            <charset val="186"/>
          </rPr>
          <t>Voka, Metsa 2
Voka staadion</t>
        </r>
      </text>
    </comment>
    <comment ref="M21" authorId="0">
      <text>
        <r>
          <rPr>
            <b/>
            <sz val="8"/>
            <color indexed="81"/>
            <rFont val="Tahoma"/>
            <family val="2"/>
            <charset val="186"/>
          </rPr>
          <t>Voka, Metsa 2
Voka staadion</t>
        </r>
      </text>
    </comment>
    <comment ref="L22" authorId="1">
      <text>
        <r>
          <rPr>
            <b/>
            <sz val="8"/>
            <color indexed="81"/>
            <rFont val="Tahoma"/>
            <family val="2"/>
            <charset val="186"/>
          </rPr>
          <t>Eestit esindavad: 
Angelika Tauk (Saku PK), 
Merike Aava (Saku PK), 
Triin Gretel Tauk (Saku PK)</t>
        </r>
      </text>
    </comment>
    <comment ref="M25" authorId="0">
      <text>
        <r>
          <rPr>
            <b/>
            <sz val="8"/>
            <color indexed="81"/>
            <rFont val="Tahoma"/>
            <family val="2"/>
            <charset val="186"/>
          </rPr>
          <t>Kohtla-Järve, Järveküla tee 44
Spordihoone taga</t>
        </r>
      </text>
    </comment>
    <comment ref="K29" authorId="0">
      <text>
        <r>
          <rPr>
            <b/>
            <sz val="8"/>
            <color indexed="81"/>
            <rFont val="Tahoma"/>
            <family val="2"/>
            <charset val="186"/>
          </rPr>
          <t>Eesti meistrivõistlustel osalemiseks peavad olema: 
 - petankeri litsents, 
 - võistluskuulid.</t>
        </r>
      </text>
    </comment>
    <comment ref="C31" authorId="0">
      <text>
        <r>
          <rPr>
            <b/>
            <sz val="8"/>
            <color indexed="81"/>
            <rFont val="Tahoma"/>
            <family val="2"/>
            <charset val="186"/>
          </rPr>
          <t>Voka, Metsa 2
Voka staadion</t>
        </r>
      </text>
    </comment>
    <comment ref="K31" authorId="0">
      <text>
        <r>
          <rPr>
            <b/>
            <sz val="8"/>
            <color indexed="81"/>
            <rFont val="Tahoma"/>
            <family val="2"/>
            <charset val="186"/>
          </rPr>
          <t>Kohtla-Järve, Järveküla tee 44
Spordihoone taga</t>
        </r>
      </text>
    </comment>
    <comment ref="M31" authorId="0">
      <text>
        <r>
          <rPr>
            <b/>
            <sz val="8"/>
            <color indexed="81"/>
            <rFont val="Tahoma"/>
            <family val="2"/>
            <charset val="186"/>
          </rPr>
          <t>Kohtla-Järve, Järveküla tee 44
Spordihoone taga</t>
        </r>
      </text>
    </comment>
    <comment ref="H32" authorId="1">
      <text>
        <r>
          <rPr>
            <b/>
            <sz val="8"/>
            <color indexed="81"/>
            <rFont val="Tahoma"/>
            <family val="2"/>
            <charset val="186"/>
          </rPr>
          <t>võidupüha</t>
        </r>
      </text>
    </comment>
    <comment ref="J32" authorId="1">
      <text>
        <r>
          <rPr>
            <b/>
            <sz val="8"/>
            <color indexed="81"/>
            <rFont val="Tahoma"/>
            <family val="2"/>
            <charset val="186"/>
          </rPr>
          <t>jaanipäev</t>
        </r>
      </text>
    </comment>
    <comment ref="C34" authorId="0">
      <text>
        <r>
          <rPr>
            <b/>
            <sz val="8"/>
            <color indexed="81"/>
            <rFont val="Tahoma"/>
            <family val="2"/>
            <charset val="186"/>
          </rPr>
          <t>Voka, Metsa 2
Voka staadion</t>
        </r>
      </text>
    </comment>
    <comment ref="M34" authorId="0">
      <text>
        <r>
          <rPr>
            <b/>
            <sz val="8"/>
            <color indexed="81"/>
            <rFont val="Tahoma"/>
            <family val="2"/>
            <charset val="186"/>
          </rPr>
          <t>Voka, Metsa 2
Voka staadion</t>
        </r>
      </text>
    </comment>
    <comment ref="K38" authorId="0">
      <text>
        <r>
          <rPr>
            <b/>
            <sz val="8"/>
            <color indexed="81"/>
            <rFont val="Tahoma"/>
            <family val="2"/>
            <charset val="186"/>
          </rPr>
          <t>Kohtla-Järve, Järveküla tee 44
Spordihoone taga</t>
        </r>
      </text>
    </comment>
    <comment ref="M38" authorId="0">
      <text>
        <r>
          <rPr>
            <b/>
            <sz val="8"/>
            <color indexed="81"/>
            <rFont val="Tahoma"/>
            <family val="2"/>
            <charset val="186"/>
          </rPr>
          <t>Kohtla-Järve, Järveküla tee 44
Spordihoone taga</t>
        </r>
      </text>
    </comment>
    <comment ref="I39" authorId="0">
      <text>
        <r>
          <rPr>
            <b/>
            <sz val="8"/>
            <color indexed="81"/>
            <rFont val="Tahoma"/>
            <family val="2"/>
            <charset val="186"/>
          </rPr>
          <t>Eesti meistrivõistlustel osalemiseks peavad olema: 
 - petankeri litsents, 
 - võistluskuulid.</t>
        </r>
      </text>
    </comment>
    <comment ref="K39" authorId="0">
      <text>
        <r>
          <rPr>
            <b/>
            <sz val="8"/>
            <color indexed="81"/>
            <rFont val="Tahoma"/>
            <family val="2"/>
            <charset val="186"/>
          </rPr>
          <t>Eesti meistrivõistlustel osalemiseks peavad olema: 
 - petankeri litsents, 
 - võistluskuulid.</t>
        </r>
      </text>
    </comment>
    <comment ref="C41" authorId="0">
      <text>
        <r>
          <rPr>
            <b/>
            <sz val="8"/>
            <color indexed="81"/>
            <rFont val="Tahoma"/>
            <family val="2"/>
            <charset val="186"/>
          </rPr>
          <t>Voka, Metsa 2
Voka staadion</t>
        </r>
      </text>
    </comment>
    <comment ref="I41" authorId="0">
      <text>
        <r>
          <rPr>
            <b/>
            <sz val="8"/>
            <color indexed="81"/>
            <rFont val="Tahoma"/>
            <family val="2"/>
            <charset val="186"/>
          </rPr>
          <t>Kärdla, Nuutri 21 
Mängude maja</t>
        </r>
      </text>
    </comment>
    <comment ref="K41" authorId="0">
      <text>
        <r>
          <rPr>
            <b/>
            <sz val="8"/>
            <color indexed="81"/>
            <rFont val="Tahoma"/>
            <family val="2"/>
            <charset val="186"/>
          </rPr>
          <t>Kärdla, Nuutri 21 
Mängude maja</t>
        </r>
      </text>
    </comment>
    <comment ref="K46" authorId="1">
      <text>
        <r>
          <rPr>
            <b/>
            <sz val="8"/>
            <color indexed="81"/>
            <rFont val="Tahoma"/>
            <family val="2"/>
            <charset val="186"/>
          </rPr>
          <t>Eesti meistrivõistlustel osalemiseks peavad olema: 
 - petankeri litsents, 
 - võistluskuulid.</t>
        </r>
      </text>
    </comment>
    <comment ref="M46" authorId="1">
      <text>
        <r>
          <rPr>
            <b/>
            <sz val="8"/>
            <color indexed="81"/>
            <rFont val="Tahoma"/>
            <family val="2"/>
            <charset val="186"/>
          </rPr>
          <t>Eesti meistrivõistlustel osalemiseks peavad olema: 
 - petankeri litsents, 
 - võistluskuulid.</t>
        </r>
      </text>
    </comment>
    <comment ref="C48" authorId="0">
      <text>
        <r>
          <rPr>
            <b/>
            <sz val="8"/>
            <color indexed="81"/>
            <rFont val="Tahoma"/>
            <family val="2"/>
            <charset val="186"/>
          </rPr>
          <t>Voka, Metsa 2
Voka staadion</t>
        </r>
      </text>
    </comment>
    <comment ref="K48" authorId="0">
      <text>
        <r>
          <rPr>
            <b/>
            <sz val="8"/>
            <color indexed="81"/>
            <rFont val="Tahoma"/>
            <family val="2"/>
            <charset val="186"/>
          </rPr>
          <t>Metsa ja Jõe tänava ristist keerata Pedeli jõe poole</t>
        </r>
      </text>
    </comment>
    <comment ref="M48" authorId="0">
      <text>
        <r>
          <rPr>
            <b/>
            <sz val="8"/>
            <color indexed="81"/>
            <rFont val="Tahoma"/>
            <family val="2"/>
            <charset val="186"/>
          </rPr>
          <t>Metsa ja Jõe tänava ristist keerata Pedeli jõe poole</t>
        </r>
      </text>
    </comment>
    <comment ref="G52" authorId="0">
      <text>
        <r>
          <rPr>
            <b/>
            <sz val="8"/>
            <color indexed="81"/>
            <rFont val="Tahoma"/>
            <family val="2"/>
            <charset val="186"/>
          </rPr>
          <t>Kohtla-Järve, Järveküla tee 44
Spordihoone taga</t>
        </r>
      </text>
    </comment>
    <comment ref="M52" authorId="0">
      <text>
        <r>
          <rPr>
            <b/>
            <sz val="8"/>
            <color indexed="81"/>
            <rFont val="Tahoma"/>
            <family val="2"/>
            <charset val="186"/>
          </rPr>
          <t>Voka, Metsa 2
Voka staadion</t>
        </r>
      </text>
    </comment>
    <comment ref="K56" authorId="1">
      <text>
        <r>
          <rPr>
            <b/>
            <sz val="8"/>
            <color indexed="81"/>
            <rFont val="Tahoma"/>
            <family val="2"/>
            <charset val="186"/>
          </rPr>
          <t>Valga maakond, 
Tõrva, Puiestee 1
Tõrva Gümnaasiumi parkla</t>
        </r>
      </text>
    </comment>
    <comment ref="M56" authorId="1">
      <text>
        <r>
          <rPr>
            <b/>
            <sz val="8"/>
            <color indexed="81"/>
            <rFont val="Tahoma"/>
            <family val="2"/>
            <charset val="186"/>
          </rPr>
          <t>Valga maakond, 
Tõrva, Puiestee 1
Tõrva Gümnaasiumi parkla</t>
        </r>
      </text>
    </comment>
    <comment ref="K57" authorId="0">
      <text>
        <r>
          <rPr>
            <b/>
            <sz val="8"/>
            <color indexed="81"/>
            <rFont val="Tahoma"/>
            <family val="2"/>
            <charset val="186"/>
          </rPr>
          <t>Klubide karikal osalemiseks peavad olema: 
 - petankeri litsents, 
 - võistluskuulid
 - ühtne võistlussärk.</t>
        </r>
      </text>
    </comment>
    <comment ref="M57" authorId="0">
      <text>
        <r>
          <rPr>
            <b/>
            <sz val="8"/>
            <color indexed="81"/>
            <rFont val="Tahoma"/>
            <family val="2"/>
            <charset val="186"/>
          </rPr>
          <t>Klubide karikal osalemiseks peavad olema: 
 - petankeri litsents, 
 - võistluskuulid
 - ühtne võistlussärk.</t>
        </r>
      </text>
    </comment>
    <comment ref="C59" authorId="0">
      <text>
        <r>
          <rPr>
            <b/>
            <sz val="8"/>
            <color indexed="81"/>
            <rFont val="Tahoma"/>
            <family val="2"/>
            <charset val="186"/>
          </rPr>
          <t>Voka, Metsa 2
Voka staadion</t>
        </r>
      </text>
    </comment>
    <comment ref="K59" authorId="1">
      <text>
        <r>
          <rPr>
            <b/>
            <sz val="8"/>
            <color indexed="81"/>
            <rFont val="Tahoma"/>
            <family val="2"/>
            <charset val="186"/>
          </rPr>
          <t>Valga maakond, 
Tõrva, Puiestee 1
Tõrva Gümnaasiumi parkla</t>
        </r>
      </text>
    </comment>
    <comment ref="M59" authorId="1">
      <text>
        <r>
          <rPr>
            <b/>
            <sz val="8"/>
            <color indexed="81"/>
            <rFont val="Tahoma"/>
            <family val="2"/>
            <charset val="186"/>
          </rPr>
          <t>Valga maakond, 
Tõrva, Puiestee 1
Tõrva Gümnaasiumi parkla</t>
        </r>
      </text>
    </comment>
    <comment ref="K61" authorId="0">
      <text>
        <r>
          <rPr>
            <b/>
            <sz val="8"/>
            <color indexed="81"/>
            <rFont val="Tahoma"/>
            <family val="2"/>
            <charset val="186"/>
          </rPr>
          <t>Eesti meistrivõistlustel osalemiseks peavad olema: 
 - petankeri litsents, 
 - võistluskuulid.</t>
        </r>
      </text>
    </comment>
    <comment ref="M61" authorId="0">
      <text>
        <r>
          <rPr>
            <b/>
            <sz val="8"/>
            <color indexed="81"/>
            <rFont val="Tahoma"/>
            <family val="2"/>
            <charset val="186"/>
          </rPr>
          <t>Eesti meistrivõistlustel osalemiseks peavad olema: 
 - petankeri litsents, 
 - võistluskuulid.</t>
        </r>
      </text>
    </comment>
    <comment ref="K63" authorId="1">
      <text>
        <r>
          <rPr>
            <b/>
            <sz val="8"/>
            <color indexed="81"/>
            <rFont val="Tahoma"/>
            <family val="2"/>
            <charset val="186"/>
          </rPr>
          <t>Valga maakond, 
Tõrva, Puiestee 1
Tõrva Gümnaasiumi parkla</t>
        </r>
      </text>
    </comment>
    <comment ref="M63" authorId="1">
      <text>
        <r>
          <rPr>
            <b/>
            <sz val="8"/>
            <color indexed="81"/>
            <rFont val="Tahoma"/>
            <family val="2"/>
            <charset val="186"/>
          </rPr>
          <t>Valga maakond, 
Tõrva, Puiestee 1
Tõrva Gümnaasiumi parkla</t>
        </r>
      </text>
    </comment>
    <comment ref="L64" authorId="0">
      <text>
        <r>
          <rPr>
            <b/>
            <sz val="8"/>
            <color indexed="81"/>
            <rFont val="Tahoma"/>
            <family val="2"/>
            <charset val="186"/>
          </rPr>
          <t>Segatrio, võistkonna suurus kuni 4 mängijat (3+1 varumängija); korraga väljakul 3 mängijat, nendest 1 naine. Lubatud on üks vahetus mängus. 
Kasutada võib ka harrastuskuule.
Iga maakond võib välja panna kuni kaks võistkonda, kusjuures arvesse läheb parema võistkonna tulemus. Arvesse mitteminevad võistkonnad hoiavad kohad ja punktid kinni. Võistlussüsteem selgub peale võistkondade eelregistreerimist. 
Peakohtunik Jaan Lüitsepp.</t>
        </r>
      </text>
    </comment>
    <comment ref="M67" authorId="0">
      <text>
        <r>
          <rPr>
            <b/>
            <sz val="8"/>
            <color indexed="81"/>
            <rFont val="Tahoma"/>
            <family val="2"/>
            <charset val="186"/>
          </rPr>
          <t>Osa võivad võtta maakondade võistkonnad, kusjuures üks maakond võib olla esindatud piiramatu arvu võistkondadega.
Võistlusviis: trio
Võistkonnas võib olla kuni 4 liiget. 
Võistlusklassid: põhiklass ja naised 
Üks võistleja saab võistelda ainult ühes võistlusklassis.
Võistkond peab olema ühtses võistlusvormis või T-särkides.</t>
        </r>
      </text>
    </comment>
    <comment ref="C70" authorId="0">
      <text>
        <r>
          <rPr>
            <b/>
            <sz val="8"/>
            <color indexed="81"/>
            <rFont val="Tahoma"/>
            <family val="2"/>
            <charset val="186"/>
          </rPr>
          <t>Voka, Metsa 2
Voka staadion</t>
        </r>
      </text>
    </comment>
    <comment ref="K70" authorId="0">
      <text>
        <r>
          <rPr>
            <b/>
            <sz val="8"/>
            <color indexed="81"/>
            <rFont val="Tahoma"/>
            <family val="2"/>
            <charset val="186"/>
          </rPr>
          <t>Võru, Roosi 26a</t>
        </r>
      </text>
    </comment>
    <comment ref="M70" authorId="0">
      <text>
        <r>
          <rPr>
            <b/>
            <sz val="8"/>
            <color indexed="81"/>
            <rFont val="Tahoma"/>
            <family val="2"/>
            <charset val="186"/>
          </rPr>
          <t>Võru, Roosi 26a</t>
        </r>
      </text>
    </comment>
    <comment ref="L71" authorId="1">
      <text>
        <r>
          <rPr>
            <b/>
            <sz val="8"/>
            <color indexed="81"/>
            <rFont val="Tahoma"/>
            <family val="2"/>
            <charset val="186"/>
          </rPr>
          <t>taasiseseisvumispäev</t>
        </r>
      </text>
    </comment>
    <comment ref="C73" authorId="0">
      <text>
        <r>
          <rPr>
            <b/>
            <sz val="8"/>
            <color indexed="81"/>
            <rFont val="Tahoma"/>
            <family val="2"/>
            <charset val="186"/>
          </rPr>
          <t>Voka, Metsa 2
Voka staadion</t>
        </r>
      </text>
    </comment>
    <comment ref="K73" authorId="1">
      <text>
        <r>
          <rPr>
            <b/>
            <sz val="8"/>
            <color indexed="81"/>
            <rFont val="Tahoma"/>
            <family val="2"/>
            <charset val="186"/>
          </rPr>
          <t>Läti, 
Upesciems, 
Skolas iela 11, 
Upesciema stadions</t>
        </r>
      </text>
    </comment>
    <comment ref="M73" authorId="1">
      <text>
        <r>
          <rPr>
            <b/>
            <sz val="8"/>
            <color indexed="81"/>
            <rFont val="Tahoma"/>
            <family val="2"/>
            <charset val="186"/>
          </rPr>
          <t>Läti, 
Upesciems, 
Skolas iela 11, 
Upesciema stadions</t>
        </r>
      </text>
    </comment>
    <comment ref="C76" authorId="0">
      <text>
        <r>
          <rPr>
            <b/>
            <sz val="8"/>
            <color indexed="81"/>
            <rFont val="Tahoma"/>
            <family val="2"/>
            <charset val="186"/>
          </rPr>
          <t>Voka, Metsa 2
Voka staadion</t>
        </r>
      </text>
    </comment>
    <comment ref="K76" authorId="0">
      <text>
        <r>
          <rPr>
            <b/>
            <sz val="8"/>
            <color indexed="81"/>
            <rFont val="Tahoma"/>
            <family val="2"/>
            <charset val="186"/>
          </rPr>
          <t>Kohtla-Järve, Järveküla tee 44
Spordihoone taga</t>
        </r>
      </text>
    </comment>
    <comment ref="M76" authorId="0">
      <text>
        <r>
          <rPr>
            <b/>
            <sz val="8"/>
            <color indexed="81"/>
            <rFont val="Tahoma"/>
            <family val="2"/>
            <charset val="186"/>
          </rPr>
          <t>Voka, Metsa 2
Voka staadion</t>
        </r>
      </text>
    </comment>
    <comment ref="K78" authorId="0">
      <text>
        <r>
          <rPr>
            <b/>
            <sz val="8"/>
            <color indexed="81"/>
            <rFont val="Tahoma"/>
            <family val="2"/>
            <charset val="186"/>
          </rPr>
          <t>Eesti meistrivõistlustel osalemiseks peavad olema: 
 - petankeri litsents, 
 - võistluskuulid.</t>
        </r>
      </text>
    </comment>
    <comment ref="M80" authorId="0">
      <text>
        <r>
          <rPr>
            <b/>
            <sz val="8"/>
            <color indexed="81"/>
            <rFont val="Tahoma"/>
            <family val="2"/>
            <charset val="186"/>
          </rPr>
          <t>Voka, Metsa 2
Voka staadion</t>
        </r>
      </text>
    </comment>
    <comment ref="C86" authorId="0">
      <text>
        <r>
          <rPr>
            <b/>
            <sz val="8"/>
            <color indexed="81"/>
            <rFont val="Tahoma"/>
            <family val="2"/>
            <charset val="186"/>
          </rPr>
          <t>Voka, Metsa 2
Voka staadion</t>
        </r>
      </text>
    </comment>
    <comment ref="M86" authorId="1">
      <text>
        <r>
          <rPr>
            <b/>
            <sz val="8"/>
            <color indexed="81"/>
            <rFont val="Tahoma"/>
            <family val="2"/>
            <charset val="186"/>
          </rPr>
          <t>Läti, 
Upesciems, 
Skolas iela 11, 
Upesciema stadions</t>
        </r>
      </text>
    </comment>
    <comment ref="M89" authorId="0">
      <text>
        <r>
          <rPr>
            <b/>
            <sz val="8"/>
            <color indexed="81"/>
            <rFont val="Tahoma"/>
            <family val="2"/>
            <charset val="186"/>
          </rPr>
          <t>Kohtla-Järve, Järveküla tee 44
Spordihoone taga</t>
        </r>
      </text>
    </comment>
    <comment ref="C95" authorId="0">
      <text>
        <r>
          <rPr>
            <b/>
            <sz val="8"/>
            <color indexed="81"/>
            <rFont val="Tahoma"/>
            <family val="2"/>
            <charset val="186"/>
          </rPr>
          <t>Voka, Metsa 2
Voka staadion</t>
        </r>
      </text>
    </comment>
    <comment ref="K95" authorId="0">
      <text>
        <r>
          <rPr>
            <b/>
            <sz val="8"/>
            <color indexed="81"/>
            <rFont val="Tahoma"/>
            <family val="2"/>
            <charset val="186"/>
          </rPr>
          <t>Kohtla-Järve, Järveküla tee 44
Spordihoone taga</t>
        </r>
      </text>
    </comment>
    <comment ref="M95" authorId="0">
      <text>
        <r>
          <rPr>
            <b/>
            <sz val="8"/>
            <color indexed="81"/>
            <rFont val="Tahoma"/>
            <family val="2"/>
            <charset val="186"/>
          </rPr>
          <t>Voka, Metsa 2
Voka staadion</t>
        </r>
      </text>
    </comment>
    <comment ref="K99" authorId="0">
      <text>
        <r>
          <rPr>
            <b/>
            <sz val="8"/>
            <color indexed="81"/>
            <rFont val="Tahoma"/>
            <family val="2"/>
            <charset val="186"/>
          </rPr>
          <t>Kohtla-Järve, Järveküla tee 44
Spordihoone taga</t>
        </r>
      </text>
    </comment>
    <comment ref="M99" authorId="0">
      <text>
        <r>
          <rPr>
            <b/>
            <sz val="8"/>
            <color indexed="81"/>
            <rFont val="Tahoma"/>
            <family val="2"/>
            <charset val="186"/>
          </rPr>
          <t>Voka, Metsa 2
Voka staadion</t>
        </r>
      </text>
    </comment>
  </commentList>
</comments>
</file>

<file path=xl/comments20.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1.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2.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3.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4.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5.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26.xml><?xml version="1.0" encoding="utf-8"?>
<comments xmlns="http://schemas.openxmlformats.org/spreadsheetml/2006/main">
  <authors>
    <author>Author</author>
  </authors>
  <commentList>
    <comment ref="Q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A3" authorId="0">
      <text>
        <r>
          <rPr>
            <b/>
            <sz val="8"/>
            <color indexed="81"/>
            <rFont val="Tahoma"/>
            <family val="2"/>
            <charset val="186"/>
          </rPr>
          <t xml:space="preserve">Kehvemate tulemuste läbitõmbamise </t>
        </r>
        <r>
          <rPr>
            <b/>
            <strike/>
            <sz val="8"/>
            <color indexed="40"/>
            <rFont val="Tahoma"/>
            <family val="2"/>
            <charset val="186"/>
          </rPr>
          <t>format</t>
        </r>
        <r>
          <rPr>
            <b/>
            <sz val="8"/>
            <color indexed="81"/>
            <rFont val="Tahoma"/>
            <family val="2"/>
            <charset val="186"/>
          </rPr>
          <t xml:space="preserve"> kasutab seda veergu</t>
        </r>
      </text>
    </comment>
    <comment ref="E6" authorId="0">
      <text>
        <r>
          <rPr>
            <b/>
            <sz val="8"/>
            <color indexed="81"/>
            <rFont val="Tahoma"/>
            <family val="2"/>
            <charset val="186"/>
          </rPr>
          <t>1 kehvem tulemus võetakse maha</t>
        </r>
      </text>
    </comment>
    <comment ref="B119" authorId="0">
      <text>
        <r>
          <rPr>
            <b/>
            <sz val="8"/>
            <color indexed="81"/>
            <rFont val="Tahoma"/>
            <family val="2"/>
            <charset val="186"/>
          </rPr>
          <t>Наталия Геннадьевна Кяхяря 
Ивангород 
Natalia Kyakhyarya 
Ivangorod</t>
        </r>
      </text>
    </comment>
    <comment ref="D153" authorId="0">
      <text>
        <r>
          <rPr>
            <b/>
            <sz val="8"/>
            <color indexed="81"/>
            <rFont val="Tahoma"/>
            <family val="2"/>
            <charset val="186"/>
          </rPr>
          <t>sünd. 2005</t>
        </r>
      </text>
    </comment>
  </commentList>
</comments>
</file>

<file path=xl/comments27.xml><?xml version="1.0" encoding="utf-8"?>
<comments xmlns="http://schemas.openxmlformats.org/spreadsheetml/2006/main">
  <authors>
    <author>Author</author>
  </authors>
  <commentList>
    <comment ref="AB7" authorId="0">
      <text>
        <r>
          <rPr>
            <b/>
            <sz val="8"/>
            <color indexed="81"/>
            <rFont val="Tahoma"/>
            <family val="2"/>
            <charset val="186"/>
          </rPr>
          <t>Kogu turniiri jooksul mängitud mängude punktide VAHE</t>
        </r>
      </text>
    </comment>
  </commentList>
</comments>
</file>

<file path=xl/comments28.xml><?xml version="1.0" encoding="utf-8"?>
<comments xmlns="http://schemas.openxmlformats.org/spreadsheetml/2006/main">
  <authors>
    <author>Author</author>
  </authors>
  <commentList>
    <comment ref="AB7" authorId="0">
      <text>
        <r>
          <rPr>
            <b/>
            <sz val="8"/>
            <color indexed="81"/>
            <rFont val="Tahoma"/>
            <family val="2"/>
            <charset val="186"/>
          </rPr>
          <t>Kogu turniiri jooksul mängitud mängude punktide VAHE</t>
        </r>
      </text>
    </comment>
  </commentList>
</comments>
</file>

<file path=xl/comments29.xml><?xml version="1.0" encoding="utf-8"?>
<comments xmlns="http://schemas.openxmlformats.org/spreadsheetml/2006/main">
  <authors>
    <author>Author</author>
  </authors>
  <commentList>
    <comment ref="AB7" authorId="0">
      <text>
        <r>
          <rPr>
            <b/>
            <sz val="8"/>
            <color indexed="81"/>
            <rFont val="Tahoma"/>
            <family val="2"/>
            <charset val="186"/>
          </rPr>
          <t>Kogu turniiri jooksul mängitud mängude punktide VAHE</t>
        </r>
      </text>
    </comment>
  </commentList>
</comments>
</file>

<file path=xl/comments3.xml><?xml version="1.0" encoding="utf-8"?>
<comments xmlns="http://schemas.openxmlformats.org/spreadsheetml/2006/main">
  <authors>
    <author>Author</author>
    <author>Robert</author>
  </authors>
  <commentList>
    <comment ref="Z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S3" authorId="0">
      <text>
        <r>
          <rPr>
            <b/>
            <sz val="8"/>
            <color indexed="81"/>
            <rFont val="Tahoma"/>
            <family val="2"/>
            <charset val="186"/>
          </rPr>
          <t xml:space="preserve">Kehvemate tulemuste läbitõmbamise </t>
        </r>
        <r>
          <rPr>
            <b/>
            <strike/>
            <sz val="8"/>
            <color indexed="40"/>
            <rFont val="Tahoma"/>
            <family val="2"/>
            <charset val="186"/>
          </rPr>
          <t>format</t>
        </r>
        <r>
          <rPr>
            <b/>
            <sz val="8"/>
            <color indexed="81"/>
            <rFont val="Tahoma"/>
            <family val="2"/>
            <charset val="186"/>
          </rPr>
          <t xml:space="preserve"> kasutab seda veergu</t>
        </r>
      </text>
    </comment>
    <comment ref="Q4" authorId="0">
      <text>
        <r>
          <rPr>
            <b/>
            <sz val="8"/>
            <color indexed="81"/>
            <rFont val="Tahoma"/>
            <family val="2"/>
            <charset val="186"/>
          </rPr>
          <t>Vokas</t>
        </r>
      </text>
    </comment>
    <comment ref="T4" authorId="0">
      <text>
        <r>
          <rPr>
            <b/>
            <sz val="8"/>
            <color indexed="81"/>
            <rFont val="Tahoma"/>
            <family val="2"/>
            <charset val="186"/>
          </rPr>
          <t>Vokas</t>
        </r>
      </text>
    </comment>
    <comment ref="V4" authorId="0">
      <text>
        <r>
          <rPr>
            <b/>
            <sz val="8"/>
            <color indexed="81"/>
            <rFont val="Tahoma"/>
            <family val="2"/>
            <charset val="186"/>
          </rPr>
          <t>Kohtla-Järvel</t>
        </r>
      </text>
    </comment>
    <comment ref="X4" authorId="0">
      <text>
        <r>
          <rPr>
            <b/>
            <sz val="8"/>
            <color indexed="81"/>
            <rFont val="Tahoma"/>
            <family val="2"/>
            <charset val="186"/>
          </rPr>
          <t>Vokas</t>
        </r>
      </text>
    </comment>
    <comment ref="Y4" authorId="0">
      <text>
        <r>
          <rPr>
            <b/>
            <sz val="8"/>
            <color indexed="81"/>
            <rFont val="Tahoma"/>
            <family val="2"/>
            <charset val="186"/>
          </rPr>
          <t>Kohtla-Järvel</t>
        </r>
      </text>
    </comment>
    <comment ref="E7" authorId="0">
      <text>
        <r>
          <rPr>
            <b/>
            <sz val="8"/>
            <color indexed="81"/>
            <rFont val="Tahoma"/>
            <family val="2"/>
            <charset val="186"/>
          </rPr>
          <t>Valem arvutab punktisumma järgi võistleja koha. 
Võrdse punktisumma korral annab kõrgema koha võistlejale, kellel on rohkem 40-t, siis rohkem 34-a, 30-t jne.
Valem töötab Microsoft ja WPS Office-ga. 
Vahel ei tööta Libre ja Open Office-ga.</t>
        </r>
      </text>
    </comment>
    <comment ref="I7" authorId="0">
      <text>
        <r>
          <rPr>
            <b/>
            <sz val="8"/>
            <color indexed="81"/>
            <rFont val="Tahoma"/>
            <family val="2"/>
            <charset val="186"/>
          </rPr>
          <t xml:space="preserve">Valem arvutab punktisumma ja võtab kehvemad tulemused maha.
Valem töötab Microsoft ja WPS Office-ga. 
Vahel ei tööta Libre ja Open Office-ga.
</t>
        </r>
      </text>
    </comment>
    <comment ref="F19" authorId="1">
      <text>
        <r>
          <rPr>
            <b/>
            <sz val="8"/>
            <color indexed="81"/>
            <rFont val="Tahoma"/>
            <family val="2"/>
            <charset val="186"/>
          </rPr>
          <t>Aasta uustulnukas/tagasitulija</t>
        </r>
      </text>
    </comment>
    <comment ref="F28" authorId="0">
      <text>
        <r>
          <rPr>
            <b/>
            <sz val="8"/>
            <color indexed="81"/>
            <rFont val="Tahoma"/>
            <family val="2"/>
            <charset val="186"/>
          </rPr>
          <t>Aasta uustulnukas</t>
        </r>
      </text>
    </comment>
    <comment ref="H103" authorId="0">
      <text>
        <r>
          <rPr>
            <b/>
            <sz val="8"/>
            <color indexed="81"/>
            <rFont val="Tahoma"/>
            <family val="2"/>
            <charset val="186"/>
          </rPr>
          <t>sünd. 2004</t>
        </r>
      </text>
    </comment>
    <comment ref="H113" authorId="0">
      <text>
        <r>
          <rPr>
            <b/>
            <sz val="8"/>
            <color indexed="81"/>
            <rFont val="Tahoma"/>
            <family val="2"/>
            <charset val="186"/>
          </rPr>
          <t>sünd. 2005</t>
        </r>
      </text>
    </comment>
    <comment ref="Y117" authorId="1">
      <text>
        <r>
          <rPr>
            <b/>
            <sz val="8"/>
            <color indexed="81"/>
            <rFont val="Tahoma"/>
            <family val="2"/>
            <charset val="186"/>
          </rPr>
          <t>Ilma valemita</t>
        </r>
      </text>
    </comment>
  </commentList>
</comments>
</file>

<file path=xl/comments4.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5.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6.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7.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8.xml><?xml version="1.0" encoding="utf-8"?>
<comments xmlns="http://schemas.openxmlformats.org/spreadsheetml/2006/main">
  <authors>
    <author>Author</author>
  </authors>
  <commentList>
    <comment ref="AC7" authorId="0">
      <text>
        <r>
          <rPr>
            <b/>
            <sz val="8"/>
            <color indexed="81"/>
            <rFont val="Tahoma"/>
            <family val="2"/>
            <charset val="186"/>
          </rPr>
          <t>Kogu turniiri jooksul mängitud mängude punktide VAHE</t>
        </r>
      </text>
    </comment>
  </commentList>
</comments>
</file>

<file path=xl/comments9.xml><?xml version="1.0" encoding="utf-8"?>
<comments xmlns="http://schemas.openxmlformats.org/spreadsheetml/2006/main">
  <authors>
    <author>Robert</author>
    <author>Author</author>
  </authors>
  <commentList>
    <comment ref="H6" authorId="0">
      <text>
        <r>
          <rPr>
            <b/>
            <sz val="8"/>
            <color indexed="81"/>
            <rFont val="Tahoma"/>
            <family val="2"/>
            <charset val="186"/>
          </rPr>
          <t>Võite - Kaotusi</t>
        </r>
      </text>
    </comment>
    <comment ref="J6" authorId="1">
      <text>
        <r>
          <rPr>
            <b/>
            <sz val="8"/>
            <color indexed="81"/>
            <rFont val="Tahoma"/>
            <family val="2"/>
            <charset val="186"/>
          </rPr>
          <t>Võite omavahelistes mängudes</t>
        </r>
      </text>
    </comment>
    <comment ref="K6" authorId="1">
      <text>
        <r>
          <rPr>
            <b/>
            <sz val="8"/>
            <color indexed="81"/>
            <rFont val="Tahoma"/>
            <family val="2"/>
            <charset val="186"/>
          </rPr>
          <t>Punktide vahe omavahelistes mängudes</t>
        </r>
      </text>
    </comment>
    <comment ref="M6" authorId="1">
      <text>
        <r>
          <rPr>
            <b/>
            <sz val="8"/>
            <color indexed="81"/>
            <rFont val="Tahoma"/>
            <family val="2"/>
            <charset val="186"/>
          </rPr>
          <t>TRUE kui: 
3-ses alagrupis 3 nime ja   6 tulemust või
4-ses alagrupis 4 nime ja 12 tulemust või
5-ses alagrupis 5 nime ja 20 tulemust</t>
        </r>
      </text>
    </comment>
  </commentList>
</comments>
</file>

<file path=xl/sharedStrings.xml><?xml version="1.0" encoding="utf-8"?>
<sst xmlns="http://schemas.openxmlformats.org/spreadsheetml/2006/main" count="5299" uniqueCount="699">
  <si>
    <t>Kuupäev</t>
  </si>
  <si>
    <t>Aeg</t>
  </si>
  <si>
    <t>Võistlus</t>
  </si>
  <si>
    <t>Mänguviis</t>
  </si>
  <si>
    <t>R</t>
  </si>
  <si>
    <t>Toimumiskoht</t>
  </si>
  <si>
    <t>Korraldaja</t>
  </si>
  <si>
    <t>T</t>
  </si>
  <si>
    <t>Osal</t>
  </si>
  <si>
    <t>Johannes Neiland</t>
  </si>
  <si>
    <t>11:00</t>
  </si>
  <si>
    <t>Trio</t>
  </si>
  <si>
    <t>Ivar Viljaste</t>
  </si>
  <si>
    <t>18:00</t>
  </si>
  <si>
    <t>Duo</t>
  </si>
  <si>
    <t>10:00</t>
  </si>
  <si>
    <t>Üksik</t>
  </si>
  <si>
    <t>ESVL, Johannes Neiland</t>
  </si>
  <si>
    <t>Ida-Virumaa MV</t>
  </si>
  <si>
    <t>Tulistamine</t>
  </si>
  <si>
    <t xml:space="preserve"> </t>
  </si>
  <si>
    <t>Hooaja lõpetamine (pliks-plaks)</t>
  </si>
  <si>
    <t>Ida-Viru reitinguvõistlused on rasvases trükis</t>
  </si>
  <si>
    <t>Arvesse läheb 10 võistlust 14st (4 üksikmängu (sh tulistamine) 6st + 3 duot 4st + 3 triot 4st)</t>
  </si>
  <si>
    <t xml:space="preserve">Voka karikavõistlused on rohelise taustaga. </t>
  </si>
  <si>
    <t>Finaali pääsemiseks on vajalik osavõtt vähemalt 3st etapist. Finaal mängitakse kahe kaotuse süsteemis üksimängus.</t>
  </si>
  <si>
    <t>Viimased muudatused on punasega</t>
  </si>
  <si>
    <t>Esmaspäev</t>
  </si>
  <si>
    <t>Teisipäev</t>
  </si>
  <si>
    <t>Kolmapäev</t>
  </si>
  <si>
    <t>Neljapäev</t>
  </si>
  <si>
    <t>Reede</t>
  </si>
  <si>
    <t>Laupäev</t>
  </si>
  <si>
    <t>Pühapäev</t>
  </si>
  <si>
    <t>TRIO+DUO</t>
  </si>
  <si>
    <t>TRIO (m, n)</t>
  </si>
  <si>
    <t>TRIO</t>
  </si>
  <si>
    <t>Šiauliai (Leedu)</t>
  </si>
  <si>
    <t>MV (35+), ÜKSIK</t>
  </si>
  <si>
    <t>DUO</t>
  </si>
  <si>
    <t>ÜKSIK</t>
  </si>
  <si>
    <t>TUL</t>
  </si>
  <si>
    <t>5. etapp, DUO</t>
  </si>
  <si>
    <t>SEGADUO</t>
  </si>
  <si>
    <t>SEGATRIO</t>
  </si>
  <si>
    <t>6. etapp, DUO</t>
  </si>
  <si>
    <t>7. etapp, DUO</t>
  </si>
  <si>
    <t>8. etapp, DUO</t>
  </si>
  <si>
    <t>9. etapp, DUO</t>
  </si>
  <si>
    <t>10. etapp, DUO</t>
  </si>
  <si>
    <t>Ida-Viru reitinguvõistlused on rasvases trükis ja sinise taustaga</t>
  </si>
  <si>
    <t xml:space="preserve">Voka karikavõistluste sari on rohelise taustaga. </t>
  </si>
  <si>
    <t>Rahvusvahelised ja katsevõistlused on sinisega ja kaldkirjas</t>
  </si>
  <si>
    <t>Peida halli taustaga veerud</t>
  </si>
  <si>
    <t>Punktid</t>
  </si>
  <si>
    <t>Kuld</t>
  </si>
  <si>
    <t>Hõbe</t>
  </si>
  <si>
    <t>Pronks</t>
  </si>
  <si>
    <t>vasak täht on 40 punkti, järgmine 34 punkti jne</t>
  </si>
  <si>
    <t>kolm numbrit vasakul ja komakoht on punktisumma tekstina</t>
  </si>
  <si>
    <t>paremus- järjestus kasutab seda veergu</t>
  </si>
  <si>
    <t>nimed tähestiku järgi tagurpidi</t>
  </si>
  <si>
    <t>kolm numbrit paremal näitavad, mitmes on nimi tähestiku järgi tagant poolt</t>
  </si>
  <si>
    <t>sordi selle veeru järgi suuremast väiksemaks</t>
  </si>
  <si>
    <t>Ida-Viru MV</t>
  </si>
  <si>
    <t>K-Järve MV</t>
  </si>
  <si>
    <t>Osalusi</t>
  </si>
  <si>
    <t>Medaleid</t>
  </si>
  <si>
    <t>Võite</t>
  </si>
  <si>
    <t>KOHT</t>
  </si>
  <si>
    <t>KOKKU</t>
  </si>
  <si>
    <t>***</t>
  </si>
  <si>
    <t>**</t>
  </si>
  <si>
    <t>*</t>
  </si>
  <si>
    <t>N</t>
  </si>
  <si>
    <t>J</t>
  </si>
  <si>
    <t>Üld</t>
  </si>
  <si>
    <t>Nimi</t>
  </si>
  <si>
    <t>K</t>
  </si>
  <si>
    <t>val 2</t>
  </si>
  <si>
    <t>val 1&amp;2</t>
  </si>
  <si>
    <t>jä 1&amp;2</t>
  </si>
  <si>
    <t>val 3</t>
  </si>
  <si>
    <t>val 1&amp;2&amp;3</t>
  </si>
  <si>
    <t>jä 1&amp;2&amp;3</t>
  </si>
  <si>
    <t>Oskar Sepp</t>
  </si>
  <si>
    <t>Jaan Sepp</t>
  </si>
  <si>
    <t>Matti Vinni</t>
  </si>
  <si>
    <t>Oleg Rõndenkov</t>
  </si>
  <si>
    <t>Elmo Lageda</t>
  </si>
  <si>
    <t>Kenneth Muusikus</t>
  </si>
  <si>
    <t>Tõnu Piik</t>
  </si>
  <si>
    <t>Andres Veski</t>
  </si>
  <si>
    <t>Mait Metsla</t>
  </si>
  <si>
    <t>Janek Tarto</t>
  </si>
  <si>
    <t>Aarne Välja</t>
  </si>
  <si>
    <t>Boriss Klubov</t>
  </si>
  <si>
    <t>Andrei Grintšak</t>
  </si>
  <si>
    <t>Svetlana Veski</t>
  </si>
  <si>
    <t>n</t>
  </si>
  <si>
    <t>Tõnu Kapper</t>
  </si>
  <si>
    <t>Argo Sepp</t>
  </si>
  <si>
    <t>Vladimir Ogneštšikov</t>
  </si>
  <si>
    <t>Kristo Viljaste</t>
  </si>
  <si>
    <t>Henri Mitt</t>
  </si>
  <si>
    <t>j</t>
  </si>
  <si>
    <t>Urmas Randlaine</t>
  </si>
  <si>
    <t>Oksana Rõndenkova</t>
  </si>
  <si>
    <t>Kalle Orro</t>
  </si>
  <si>
    <t>Enn Tokman</t>
  </si>
  <si>
    <t>Karla Purgats</t>
  </si>
  <si>
    <t>Aigi Orro</t>
  </si>
  <si>
    <t>Tõnis Anton</t>
  </si>
  <si>
    <t>Toomas Tedrekull</t>
  </si>
  <si>
    <t>Romek Tarto</t>
  </si>
  <si>
    <t>Sandra Laura Nõmmeloo</t>
  </si>
  <si>
    <t>Kaspar Mänd</t>
  </si>
  <si>
    <t>Lemmit Toomra</t>
  </si>
  <si>
    <t>Ljudmila Varendi</t>
  </si>
  <si>
    <t>Viktor Švarõgin</t>
  </si>
  <si>
    <t>Jaan Saar</t>
  </si>
  <si>
    <t>Viktor Fjodorov</t>
  </si>
  <si>
    <t>Liidia Põllu</t>
  </si>
  <si>
    <t>Meelis Luud</t>
  </si>
  <si>
    <t>Illar Tõnurist</t>
  </si>
  <si>
    <t>Urmas Jõeäär</t>
  </si>
  <si>
    <t>Klavdia Piik</t>
  </si>
  <si>
    <t>Tarmo Bombe</t>
  </si>
  <si>
    <t>Tõnis Neiland</t>
  </si>
  <si>
    <t>Vadim Tihhonjuk</t>
  </si>
  <si>
    <t>Veiko Parts</t>
  </si>
  <si>
    <t>Ülo Piik</t>
  </si>
  <si>
    <t>Emil Murzajev</t>
  </si>
  <si>
    <t>Sirje Viljaste</t>
  </si>
  <si>
    <t>Vladimir Mihhailov</t>
  </si>
  <si>
    <t>Vello Vasser</t>
  </si>
  <si>
    <t>Marko Rooden</t>
  </si>
  <si>
    <t>Dmitri Salkasev</t>
  </si>
  <si>
    <t>Mikk Rooden</t>
  </si>
  <si>
    <t>Sander Rose</t>
  </si>
  <si>
    <t>Sander Skrabutenas</t>
  </si>
  <si>
    <t>Vilmar Ostumaa</t>
  </si>
  <si>
    <t>Alina Alekankina</t>
  </si>
  <si>
    <t>Anne Sillamaa</t>
  </si>
  <si>
    <t>Brigitta Neiland</t>
  </si>
  <si>
    <t>Daniil Alekankin</t>
  </si>
  <si>
    <t>Dima Korovin</t>
  </si>
  <si>
    <t>Dmitri Kurajev</t>
  </si>
  <si>
    <t>Einar Juhkam</t>
  </si>
  <si>
    <t>Enno Konsa</t>
  </si>
  <si>
    <t>Heili Vasser</t>
  </si>
  <si>
    <t>Hugo Müüdla</t>
  </si>
  <si>
    <t>Jaan Rooden</t>
  </si>
  <si>
    <t>Jüri Mironjuk</t>
  </si>
  <si>
    <t>Jüri Mitt</t>
  </si>
  <si>
    <t>Marta Bernat</t>
  </si>
  <si>
    <t>Melika Lehtla</t>
  </si>
  <si>
    <t>Mikk Mehide</t>
  </si>
  <si>
    <t>Mikk Neem</t>
  </si>
  <si>
    <t>Peep Peenema</t>
  </si>
  <si>
    <t>Tõnu Kortel</t>
  </si>
  <si>
    <t>Valeri Korovin</t>
  </si>
  <si>
    <t>Vallo Sillamaa</t>
  </si>
  <si>
    <t>Väino Aul</t>
  </si>
  <si>
    <t>Osalejaid</t>
  </si>
  <si>
    <t>Võistkondi</t>
  </si>
  <si>
    <t>Kaldkirjas on teiste maakondade mängijad</t>
  </si>
  <si>
    <t xml:space="preserve">  </t>
  </si>
  <si>
    <t>kehvemat tulemust võetakse maha</t>
  </si>
  <si>
    <t>vasak täht on 17 punkti, järgmine 16 punkti jne</t>
  </si>
  <si>
    <t>paremus-järjestus</t>
  </si>
  <si>
    <t>nimi tähestik</t>
  </si>
  <si>
    <t>kolm paremat numbrit näitavad mitmes on nimi tähestiku järgi</t>
  </si>
  <si>
    <t>max 17 võistkonda</t>
  </si>
  <si>
    <t>kasutab</t>
  </si>
  <si>
    <t>järgi</t>
  </si>
  <si>
    <t>Viru SK</t>
  </si>
  <si>
    <t>Voka</t>
  </si>
  <si>
    <t>Kohalikud</t>
  </si>
  <si>
    <t>M</t>
  </si>
  <si>
    <t>Mehed</t>
  </si>
  <si>
    <t>Naised</t>
  </si>
  <si>
    <t>Juuniorid</t>
  </si>
  <si>
    <t>V</t>
  </si>
  <si>
    <t>val2</t>
  </si>
  <si>
    <t>jä val 1&amp;2</t>
  </si>
  <si>
    <t>val3</t>
  </si>
  <si>
    <t>jä val 1&amp;2&amp;3</t>
  </si>
  <si>
    <t>rank</t>
  </si>
  <si>
    <t>v</t>
  </si>
  <si>
    <t>k</t>
  </si>
  <si>
    <t>m</t>
  </si>
  <si>
    <t>Fredi Müür</t>
  </si>
  <si>
    <t>Karoliina Sild</t>
  </si>
  <si>
    <t>Eve Müüdla</t>
  </si>
  <si>
    <t>Margus Vasser</t>
  </si>
  <si>
    <t>Rainer Schmidt</t>
  </si>
  <si>
    <t>Kristiin-Marleen Neiland</t>
  </si>
  <si>
    <t>Ksenija Matšneva</t>
  </si>
  <si>
    <t>Peeter Rjabov</t>
  </si>
  <si>
    <t>Airi Kruusma</t>
  </si>
  <si>
    <t>Aleksander Korikov</t>
  </si>
  <si>
    <t>Aleksandr Tipakov</t>
  </si>
  <si>
    <t>Andreas Astok</t>
  </si>
  <si>
    <t>Andres Viisitam</t>
  </si>
  <si>
    <t>Anna Romanenko</t>
  </si>
  <si>
    <t>Anneli Mänd</t>
  </si>
  <si>
    <t>Anton Detotšenko</t>
  </si>
  <si>
    <t>Antonina Maksimova</t>
  </si>
  <si>
    <t>Aulis Paal</t>
  </si>
  <si>
    <t>Daavi Unus</t>
  </si>
  <si>
    <t>Evely East</t>
  </si>
  <si>
    <t>Gert Müil</t>
  </si>
  <si>
    <t>Gunnar Kõue</t>
  </si>
  <si>
    <t>Heino Reakainen</t>
  </si>
  <si>
    <t>Henri Müür</t>
  </si>
  <si>
    <t>Hillar Neiland</t>
  </si>
  <si>
    <t>Jaanus Klement</t>
  </si>
  <si>
    <t>Jan-Martin Neiland</t>
  </si>
  <si>
    <t>Joana Taalberg</t>
  </si>
  <si>
    <t>Juhan Enniko</t>
  </si>
  <si>
    <t>Kati Tuzberg</t>
  </si>
  <si>
    <t>Kevin Sten Liik</t>
  </si>
  <si>
    <t>Kuldar Kivestu</t>
  </si>
  <si>
    <t>Kärt Plakk</t>
  </si>
  <si>
    <t>Martin Plakk</t>
  </si>
  <si>
    <t>Mats Peetsalu</t>
  </si>
  <si>
    <t>Merilin Neiland</t>
  </si>
  <si>
    <t>Mihkel Palk</t>
  </si>
  <si>
    <t>Natali Kähärä</t>
  </si>
  <si>
    <t>Natalia Kähärä</t>
  </si>
  <si>
    <t>Raul Mõtus</t>
  </si>
  <si>
    <t>Reimo Lõhmus</t>
  </si>
  <si>
    <t>Rein Allikas</t>
  </si>
  <si>
    <t>Ronald Jõeäär</t>
  </si>
  <si>
    <t>Rutt Voldek</t>
  </si>
  <si>
    <t>Sergei Plotnikov</t>
  </si>
  <si>
    <t>Silver Kingissepp</t>
  </si>
  <si>
    <t>Sten Kunts</t>
  </si>
  <si>
    <t>Taavi Press</t>
  </si>
  <si>
    <t>Tarmo Müür</t>
  </si>
  <si>
    <t>Tomas Kivestu</t>
  </si>
  <si>
    <t>Uku Kollom</t>
  </si>
  <si>
    <t>Veroonika Mendes</t>
  </si>
  <si>
    <t>Kohalikud mängijad on rasvases trükis</t>
  </si>
  <si>
    <t>A</t>
  </si>
  <si>
    <t>B</t>
  </si>
  <si>
    <t>C</t>
  </si>
  <si>
    <t>D</t>
  </si>
  <si>
    <t>E</t>
  </si>
  <si>
    <t>F</t>
  </si>
  <si>
    <t>G</t>
  </si>
  <si>
    <t>H</t>
  </si>
  <si>
    <t>I</t>
  </si>
  <si>
    <t>L</t>
  </si>
  <si>
    <t>O</t>
  </si>
  <si>
    <t>P</t>
  </si>
  <si>
    <t>Q</t>
  </si>
  <si>
    <t>S</t>
  </si>
  <si>
    <t>U</t>
  </si>
  <si>
    <t>W</t>
  </si>
  <si>
    <t>X</t>
  </si>
  <si>
    <t>Y</t>
  </si>
  <si>
    <t>Z</t>
  </si>
  <si>
    <t>Etappide arvule vastav täht</t>
  </si>
  <si>
    <t>Ida-Viru punktid</t>
  </si>
  <si>
    <t>Kollase taustaga on põhitabelile lisatud punktid</t>
  </si>
  <si>
    <t>DSQ</t>
  </si>
  <si>
    <t>kaks tühikut - ei osalenud</t>
  </si>
  <si>
    <t>Jussi turniiridel algavad kõik mängud seisult 1:1</t>
  </si>
  <si>
    <t>Võit</t>
  </si>
  <si>
    <t>punkti</t>
  </si>
  <si>
    <t>Viik</t>
  </si>
  <si>
    <t>Kui mängija nimi on vigane või puudub reitingutabelist, teeb punaseks</t>
  </si>
  <si>
    <t>Kaotus</t>
  </si>
  <si>
    <t>punktid</t>
  </si>
  <si>
    <t>enne 1 koma</t>
  </si>
  <si>
    <t>pärast 1 koma</t>
  </si>
  <si>
    <t>1 ja 2 koma vahel</t>
  </si>
  <si>
    <t>pärast 2 koma</t>
  </si>
  <si>
    <t>1. voor</t>
  </si>
  <si>
    <t>2. voor</t>
  </si>
  <si>
    <t>3. voor</t>
  </si>
  <si>
    <t>4. voor</t>
  </si>
  <si>
    <t>5. voor</t>
  </si>
  <si>
    <t>Buch</t>
  </si>
  <si>
    <t>Suhe</t>
  </si>
  <si>
    <t>kokku</t>
  </si>
  <si>
    <t>:</t>
  </si>
  <si>
    <t>Andrei Grintšak, Oleg Rõndenkov</t>
  </si>
  <si>
    <t>Tõnu Kapper, Vladimir Ogneštšikov</t>
  </si>
  <si>
    <t>vaba voor</t>
  </si>
  <si>
    <t>Oksana Rõndenkova, Oleg Rõndenkov</t>
  </si>
  <si>
    <t>Aarne Välja, Janek Tarto</t>
  </si>
  <si>
    <t>Henri Mitt, Urmas Randlaine</t>
  </si>
  <si>
    <t>Boriss Klubov, Elmo Lageda</t>
  </si>
  <si>
    <t>Koht</t>
  </si>
  <si>
    <t>6. koht</t>
  </si>
  <si>
    <t>4. koht</t>
  </si>
  <si>
    <t>5. koht</t>
  </si>
  <si>
    <t>3. koht</t>
  </si>
  <si>
    <t>8. koht</t>
  </si>
  <si>
    <t>10. koht</t>
  </si>
  <si>
    <t>11. koht</t>
  </si>
  <si>
    <t>9. koht</t>
  </si>
  <si>
    <t>7. koht</t>
  </si>
  <si>
    <t>Ivar Viljaste, Sirje Viljaste</t>
  </si>
  <si>
    <t>EELVOOR</t>
  </si>
  <si>
    <t>PRONKSIMÄNG</t>
  </si>
  <si>
    <t>FINAAL</t>
  </si>
  <si>
    <t>Üksiku</t>
  </si>
  <si>
    <t>min</t>
  </si>
  <si>
    <t>max</t>
  </si>
  <si>
    <t>V-K</t>
  </si>
  <si>
    <t>Vo</t>
  </si>
  <si>
    <t>V2</t>
  </si>
  <si>
    <t>+/- o</t>
  </si>
  <si>
    <t>V3</t>
  </si>
  <si>
    <t>suhe</t>
  </si>
  <si>
    <t>...,V3.+/-</t>
  </si>
  <si>
    <t>V,Vo</t>
  </si>
  <si>
    <t>2-5</t>
  </si>
  <si>
    <t>3-4</t>
  </si>
  <si>
    <t>1-5</t>
  </si>
  <si>
    <t>2-4</t>
  </si>
  <si>
    <t>1-4</t>
  </si>
  <si>
    <t>2-3</t>
  </si>
  <si>
    <t>1-3</t>
  </si>
  <si>
    <t>4-5</t>
  </si>
  <si>
    <t>1-2</t>
  </si>
  <si>
    <t>3-5</t>
  </si>
  <si>
    <t>1. koht</t>
  </si>
  <si>
    <t>2. koht</t>
  </si>
  <si>
    <t>2 ja 3 koma vahel</t>
  </si>
  <si>
    <t>pärast 3 koma</t>
  </si>
  <si>
    <t>V.Vo.V2.+/-</t>
  </si>
  <si>
    <t>A1</t>
  </si>
  <si>
    <t>B2</t>
  </si>
  <si>
    <t>B1</t>
  </si>
  <si>
    <t>A2</t>
  </si>
  <si>
    <t>A3</t>
  </si>
  <si>
    <t>B4</t>
  </si>
  <si>
    <t>B3</t>
  </si>
  <si>
    <t>A4</t>
  </si>
  <si>
    <t>+/-</t>
  </si>
  <si>
    <t>1 - 8 koht</t>
  </si>
  <si>
    <t>D1</t>
  </si>
  <si>
    <t>C2</t>
  </si>
  <si>
    <t>C1</t>
  </si>
  <si>
    <t>D2</t>
  </si>
  <si>
    <t>9 - 16 koht</t>
  </si>
  <si>
    <t>D3</t>
  </si>
  <si>
    <t>C4</t>
  </si>
  <si>
    <t>C3</t>
  </si>
  <si>
    <t>D4</t>
  </si>
  <si>
    <t>12. koht</t>
  </si>
  <si>
    <t>13. koht</t>
  </si>
  <si>
    <t>14. koht</t>
  </si>
  <si>
    <t>15. koht</t>
  </si>
  <si>
    <t>16. koht</t>
  </si>
  <si>
    <t>A5</t>
  </si>
  <si>
    <t>17. koht</t>
  </si>
  <si>
    <t>B5</t>
  </si>
  <si>
    <t>18. koht</t>
  </si>
  <si>
    <t>19. koht</t>
  </si>
  <si>
    <t>20. koht</t>
  </si>
  <si>
    <t>Ljudmila Varendi, Viktor Švarõgin</t>
  </si>
  <si>
    <t>EESTI JA IDA-VIRUMAA PETANGIKALENDER 2022</t>
  </si>
  <si>
    <t>Ü, D, SD (m, n)</t>
  </si>
  <si>
    <t>TRIO (2. päev)</t>
  </si>
  <si>
    <t>1. EM ÜKSIK (m, n), DUO (m, n), SEGADUO</t>
  </si>
  <si>
    <t>Ü, D, SD, T, ST</t>
  </si>
  <si>
    <t>ÜKSIK, D, SD, ST, T</t>
  </si>
  <si>
    <t>Mai 2022</t>
  </si>
  <si>
    <t>Juuni 2022</t>
  </si>
  <si>
    <t>Juuli 2022</t>
  </si>
  <si>
    <t>August 2022</t>
  </si>
  <si>
    <t>September 2022</t>
  </si>
  <si>
    <t>Oktoober 2022</t>
  </si>
  <si>
    <t>Detsember 2022</t>
  </si>
  <si>
    <t>IDA-VIRUMAA PETANGIKALENDER 2022</t>
  </si>
  <si>
    <t>19. ESL individ-võistk MV (35+)</t>
  </si>
  <si>
    <t>L, 04.06.2022</t>
  </si>
  <si>
    <t>L, 18.06.2022</t>
  </si>
  <si>
    <t>P, 19.06.2022</t>
  </si>
  <si>
    <t>suvemängud</t>
  </si>
  <si>
    <t>Segaduo</t>
  </si>
  <si>
    <t>Viljandi</t>
  </si>
  <si>
    <t>(35+), SEGATRIO</t>
  </si>
  <si>
    <t>P, 12.06.2022</t>
  </si>
  <si>
    <t>P, 15.05.2022</t>
  </si>
  <si>
    <t>P, 03.07.2022</t>
  </si>
  <si>
    <t>K-Järve 21. MV</t>
  </si>
  <si>
    <t>K-Järve 23. MV</t>
  </si>
  <si>
    <t>P, 18.09.2022</t>
  </si>
  <si>
    <t>Tasu</t>
  </si>
  <si>
    <t>L, 28.05.2022</t>
  </si>
  <si>
    <t>Maidu karikas, 1. etapp</t>
  </si>
  <si>
    <t>Maidu karikas, 2. etapp</t>
  </si>
  <si>
    <t>L, 27.08.2022</t>
  </si>
  <si>
    <t>Maidu karikas, 3. etapp</t>
  </si>
  <si>
    <t>L, 24.09.2022</t>
  </si>
  <si>
    <t>Maidu karikas, 4. etapp</t>
  </si>
  <si>
    <t>Maidu karikas, 5. etapp</t>
  </si>
  <si>
    <t>L, 01.10.2022</t>
  </si>
  <si>
    <t xml:space="preserve">Maidu karikas (Mait Metsla mälestuseks) on halli taustaga. 5st etapist läheb arvesse 4 paremat. </t>
  </si>
  <si>
    <t>Iga etapi kolmele paremale auhinnad. Kokkuvõttes kolmele paremale Maidu karikad.</t>
  </si>
  <si>
    <t>SHK, Ivar Viljaste</t>
  </si>
  <si>
    <t>Ü, D, SD, T</t>
  </si>
  <si>
    <t>P, 28.08.2022</t>
  </si>
  <si>
    <t>L, 02.07.2022</t>
  </si>
  <si>
    <t>1. etapp, DUO</t>
  </si>
  <si>
    <t>2. etapp, DUO</t>
  </si>
  <si>
    <t>3. etapp, DUO</t>
  </si>
  <si>
    <t>4. etapp, DUO</t>
  </si>
  <si>
    <t>kell 17:00</t>
  </si>
  <si>
    <t xml:space="preserve">(21. muruturniir), </t>
  </si>
  <si>
    <t>Hooaja lõpetamine</t>
  </si>
  <si>
    <t>ÜKSIK (pliks-plaks)</t>
  </si>
  <si>
    <t>Voka IX KV 1. etapp</t>
  </si>
  <si>
    <t>Voka IX KV 2. etapp</t>
  </si>
  <si>
    <t>T, 24.05.2022</t>
  </si>
  <si>
    <t>T, 14.06.2022</t>
  </si>
  <si>
    <t>T, 21.06.2022</t>
  </si>
  <si>
    <t>Voka IX KV 3. etapp</t>
  </si>
  <si>
    <t>T, 05.07.2022</t>
  </si>
  <si>
    <t>Voka IX KV 4. etapp</t>
  </si>
  <si>
    <t>Voka IX KV 5. etapp</t>
  </si>
  <si>
    <t>Voka IX KV 6. etapp</t>
  </si>
  <si>
    <t>T, 12.07.2022</t>
  </si>
  <si>
    <t>T, 26.07.2022</t>
  </si>
  <si>
    <t>T, 09.08.2022</t>
  </si>
  <si>
    <t>Voka IX KV 7. etapp</t>
  </si>
  <si>
    <t>T, 23.08.2022</t>
  </si>
  <si>
    <t>Voka IX KV 8. etapp</t>
  </si>
  <si>
    <t>Voka IX KV 9. etapp</t>
  </si>
  <si>
    <t>Voka IX KV 10. etapp</t>
  </si>
  <si>
    <t>T, 06.09.2022</t>
  </si>
  <si>
    <t>T, 20.09.2022</t>
  </si>
  <si>
    <t>P, 29.05.2022</t>
  </si>
  <si>
    <t>Toila valla lahtised MV</t>
  </si>
  <si>
    <t>P, 05.06.2022</t>
  </si>
  <si>
    <t>P, 26.06.2022</t>
  </si>
  <si>
    <t>P, 24.07.2022</t>
  </si>
  <si>
    <t>P, 25.09.2022</t>
  </si>
  <si>
    <t>P, 02.10.2022</t>
  </si>
  <si>
    <t>Tšaka hopp!</t>
  </si>
  <si>
    <t>SHK, EPKL</t>
  </si>
  <si>
    <t>Eesti reitingusarja võistlused on rasvases trükis.</t>
  </si>
  <si>
    <t>Eesti reitingusse lähevad Eesti MV-d, millest võetakse maha 1 kehvem tulemus.</t>
  </si>
  <si>
    <t>Viimased muudatused on punasega.</t>
  </si>
  <si>
    <t xml:space="preserve">Arvesse läheb 9 paremat tulemust 10st. </t>
  </si>
  <si>
    <t>VOKA 9. KARIKAVÕISTLUSED 2022</t>
  </si>
  <si>
    <t>N, 21.07.2022</t>
  </si>
  <si>
    <r>
      <t>1 - 4 koht</t>
    </r>
    <r>
      <rPr>
        <sz val="10"/>
        <color theme="1"/>
        <rFont val="Arial"/>
        <family val="2"/>
        <charset val="186"/>
      </rPr>
      <t xml:space="preserve"> (alagruppide esimesed ja teised)</t>
    </r>
  </si>
  <si>
    <t>Boriss Klubov, Elmo Lageda, Kalle Orro</t>
  </si>
  <si>
    <t>Henri Mitt, Oliver Ojasalu, Tõnis Neiland</t>
  </si>
  <si>
    <t>Enn Tokman, Kenneth Muusikus, Urmas Randlaine</t>
  </si>
  <si>
    <t>Kaspar Mänd, Matti Vinni, Olav Türk</t>
  </si>
  <si>
    <t>Jaan Sepp, Oskar Sepp, Sander Rose</t>
  </si>
  <si>
    <t>Lemmit Toomra, Tõnu Kapper, Vladimir Ogneštšikov</t>
  </si>
  <si>
    <t>Ivar Viljaste, Janek Tarto, Meelis Luud</t>
  </si>
  <si>
    <t>Aleksander Korikov, Oleg Rõndenkov, Svetlana Veski</t>
  </si>
  <si>
    <t>Jaan Saar, Raul Mõtus, Vello Vasser</t>
  </si>
  <si>
    <t>Andrei Grintšak, Ljudmila Varendi, Viktor Švarõgin</t>
  </si>
  <si>
    <r>
      <t>9 - 10 koht</t>
    </r>
    <r>
      <rPr>
        <sz val="10"/>
        <color theme="1"/>
        <rFont val="Arial"/>
        <family val="2"/>
        <charset val="186"/>
      </rPr>
      <t xml:space="preserve"> (alagruppide viiendad)</t>
    </r>
  </si>
  <si>
    <r>
      <t>5 - 8 koht</t>
    </r>
    <r>
      <rPr>
        <sz val="10"/>
        <color theme="1"/>
        <rFont val="Arial"/>
        <family val="2"/>
        <charset val="186"/>
      </rPr>
      <t xml:space="preserve"> (alagruppide kolmandad ja neljandad)</t>
    </r>
  </si>
  <si>
    <t>S**</t>
  </si>
  <si>
    <t>Toila valla MV</t>
  </si>
  <si>
    <t xml:space="preserve">2022 aasta uustulnukaks ei saa kandideerida: </t>
  </si>
  <si>
    <t>IDA-VIRUMAA PETANGIREITING 2022</t>
  </si>
  <si>
    <t>Olav Türk</t>
  </si>
  <si>
    <t>Oliver Ojasalu</t>
  </si>
  <si>
    <t xml:space="preserve">Rasvases trükis on aasta uustulnuka tiitli kandidaadid (mängijad, kes pole </t>
  </si>
  <si>
    <t>kolmel eelmisel aastal mahtunud reitingus 30 parema hulka)</t>
  </si>
  <si>
    <t>Tartu, Laulupeomuuseumi park</t>
  </si>
  <si>
    <t>P, 04.09.2022</t>
  </si>
  <si>
    <t>Kenneth Muusikus, Sander Rose</t>
  </si>
  <si>
    <t>Ivar Viljaste, Meelis Luud</t>
  </si>
  <si>
    <t>Airi Veski, Andres Veski, Svetlana Veski</t>
  </si>
  <si>
    <t>Heili Vasser, Vello Vasser</t>
  </si>
  <si>
    <t>Boriss KlubovElmo Lageda</t>
  </si>
  <si>
    <t>Lemmit Toomra, Tõnu Kapper</t>
  </si>
  <si>
    <t>Carmen Mägi, Marcus Piirson</t>
  </si>
  <si>
    <t>Hillar Neiland, Oliver Ojasalu</t>
  </si>
  <si>
    <t>Enn Tokman, Johannes Neiland, Melika Lehtla</t>
  </si>
  <si>
    <t>Airi Veski</t>
  </si>
  <si>
    <t>Carmen Mägi</t>
  </si>
  <si>
    <t>Marcus Piirson</t>
  </si>
  <si>
    <t>sordi selle järgi suuremast väiksemaks</t>
  </si>
  <si>
    <t>Arvesse läheb 8 võistlust 11st</t>
  </si>
  <si>
    <t>Mait Metsla mälestusvõistlused</t>
  </si>
  <si>
    <t>Arvesse läheb 4 võistlust 5st</t>
  </si>
  <si>
    <t>Kokkuvõttes kolmele paremale Maidu karikad.</t>
  </si>
  <si>
    <t>Iga etapi kolmele paremale auhinnad.</t>
  </si>
  <si>
    <t>MAIDU KARIKAS 2022</t>
  </si>
  <si>
    <t>Sirje Maala</t>
  </si>
  <si>
    <t>Ljuda Varendi</t>
  </si>
  <si>
    <t>V.Ogneštšikovv</t>
  </si>
  <si>
    <t>Fine B.</t>
  </si>
  <si>
    <t>Ivar Viljaste, Kenneth Muusikus, Veroonika Saar</t>
  </si>
  <si>
    <t>Olav Türk, Sirje Maala, Urmas Jõeäär</t>
  </si>
  <si>
    <t>Kadri Veljend, Ruudi Väärtnõu, Silver Kingissepp</t>
  </si>
  <si>
    <t>Enn Tokman, Jaan Saar, Urmas Randlaine</t>
  </si>
  <si>
    <t>Margo Peebo, Margus Limberg, Marko Ode</t>
  </si>
  <si>
    <t>Jaanus Tiiter, Kalev Lillepea, Ulvi Järvik</t>
  </si>
  <si>
    <t>Ain Tamme, Anneli Suits, Enn Lehtpuu</t>
  </si>
  <si>
    <t>Heiki Jõesalu, Helle Siidla, Rando Pajuste</t>
  </si>
  <si>
    <t>Kadri Veljend</t>
  </si>
  <si>
    <t>Margo Peebo</t>
  </si>
  <si>
    <t>Jaanus Tiiter</t>
  </si>
  <si>
    <t>Ain Tamme</t>
  </si>
  <si>
    <t>Heiki Jõesalu</t>
  </si>
  <si>
    <t>Ruudi Väärtnõu</t>
  </si>
  <si>
    <t>Margus Limberg</t>
  </si>
  <si>
    <t>Kalev Lillepea</t>
  </si>
  <si>
    <t>Anneli Suits</t>
  </si>
  <si>
    <t>Helle Siidla</t>
  </si>
  <si>
    <t>Veroonika Saar</t>
  </si>
  <si>
    <t>Marko Ode</t>
  </si>
  <si>
    <t>Ulvi Järvik</t>
  </si>
  <si>
    <t>Enn Lehtpuu</t>
  </si>
  <si>
    <t>Rando Pajuste</t>
  </si>
  <si>
    <t>Viljaste, Kenneth Muusikus, Veroonika Saar</t>
  </si>
  <si>
    <t>Kaspar Mänd, Matti Vinni</t>
  </si>
  <si>
    <t>Kristel Tihhonjuk, Vadim Tihhonjuk</t>
  </si>
  <si>
    <t>Olav Türk, Sirje Maala</t>
  </si>
  <si>
    <t>Jaan Sepp, Meelis Luud</t>
  </si>
  <si>
    <t>Kristel Tihhonjuk</t>
  </si>
  <si>
    <t>Hillar Neiland, Tõnis Neiland</t>
  </si>
  <si>
    <t>Enn Tokman, Jaan Saar</t>
  </si>
  <si>
    <t>Illar Tõnurist, Sirje Maala</t>
  </si>
  <si>
    <t>Kirsika Loik, Ronald Jõeäär, Urmas Jõeäär</t>
  </si>
  <si>
    <t>Andrei Grintšak, Meelis Luud</t>
  </si>
  <si>
    <t>Kirsika Loik</t>
  </si>
  <si>
    <t>Kirsika Loik, Urmas Jõeäär</t>
  </si>
  <si>
    <t>Liis Mägi, Marko Rooden</t>
  </si>
  <si>
    <t>Enn Tokman, Veronika Pirk</t>
  </si>
  <si>
    <t>Erika Kirves, Jaan Saar</t>
  </si>
  <si>
    <t>Liis Mägi</t>
  </si>
  <si>
    <t>Erika Kirves</t>
  </si>
  <si>
    <t>Veronika Pirk</t>
  </si>
  <si>
    <t>2-1</t>
  </si>
  <si>
    <t>17 - 24 koht</t>
  </si>
  <si>
    <t>21. koht</t>
  </si>
  <si>
    <t>22. koht</t>
  </si>
  <si>
    <t>23. koht</t>
  </si>
  <si>
    <t>25. koht</t>
  </si>
  <si>
    <t>H2</t>
  </si>
  <si>
    <t>E1</t>
  </si>
  <si>
    <t>F2</t>
  </si>
  <si>
    <t>G1</t>
  </si>
  <si>
    <t>G2</t>
  </si>
  <si>
    <t>F1</t>
  </si>
  <si>
    <t>E2</t>
  </si>
  <si>
    <t>H1</t>
  </si>
  <si>
    <t>H4</t>
  </si>
  <si>
    <t>G3</t>
  </si>
  <si>
    <t>F4</t>
  </si>
  <si>
    <t>E3</t>
  </si>
  <si>
    <t>E4</t>
  </si>
  <si>
    <t>F3</t>
  </si>
  <si>
    <t>G4</t>
  </si>
  <si>
    <t>H3</t>
  </si>
  <si>
    <t>-</t>
  </si>
  <si>
    <t>25 koht</t>
  </si>
  <si>
    <t>Kaspar Mänd, Olav Türk</t>
  </si>
  <si>
    <t>Andres Veski, Svetlana Veski</t>
  </si>
  <si>
    <t>Meelis Luud, Sirje Maala</t>
  </si>
  <si>
    <t>Elmo Lageda, Enn Tokman</t>
  </si>
  <si>
    <t>Johannes Neiland, Urmas Jõeäär</t>
  </si>
  <si>
    <t>Toila valla MV (21. muruturniir)</t>
  </si>
  <si>
    <t>1. + 2. voor</t>
  </si>
  <si>
    <r>
      <t>Koht</t>
    </r>
    <r>
      <rPr>
        <sz val="10"/>
        <color theme="1"/>
        <rFont val="Arial"/>
        <family val="2"/>
        <charset val="186"/>
      </rPr>
      <t>/edasi</t>
    </r>
  </si>
  <si>
    <t>jrk</t>
  </si>
  <si>
    <t>ÜMBERVISKED</t>
  </si>
  <si>
    <t>VAHEVOOR</t>
  </si>
  <si>
    <t xml:space="preserve">Kokku: </t>
  </si>
  <si>
    <t>POOLFINAAL</t>
  </si>
  <si>
    <t>finaali 1</t>
  </si>
  <si>
    <t>finaali 2</t>
  </si>
  <si>
    <t>pronksi 1</t>
  </si>
  <si>
    <t>pronksi 2</t>
  </si>
  <si>
    <t>Plussring</t>
  </si>
  <si>
    <t>A6</t>
  </si>
  <si>
    <t>A7</t>
  </si>
  <si>
    <t>A8</t>
  </si>
  <si>
    <t>A9</t>
  </si>
  <si>
    <t>A10</t>
  </si>
  <si>
    <t>A11</t>
  </si>
  <si>
    <t>B6</t>
  </si>
  <si>
    <t>A12</t>
  </si>
  <si>
    <t>A13</t>
  </si>
  <si>
    <t>B9</t>
  </si>
  <si>
    <t>A14</t>
  </si>
  <si>
    <t>finaal</t>
  </si>
  <si>
    <t>II / F1</t>
  </si>
  <si>
    <t>A15</t>
  </si>
  <si>
    <t>kui see on mängija esimene</t>
  </si>
  <si>
    <t>II</t>
  </si>
  <si>
    <t>B10</t>
  </si>
  <si>
    <t>kaotus sellele vastasele,</t>
  </si>
  <si>
    <t>toimub lisamäng --&gt;</t>
  </si>
  <si>
    <t>A16</t>
  </si>
  <si>
    <t>Miinusring</t>
  </si>
  <si>
    <t>III</t>
  </si>
  <si>
    <t>IV</t>
  </si>
  <si>
    <t xml:space="preserve">III </t>
  </si>
  <si>
    <t>B8</t>
  </si>
  <si>
    <t>B7</t>
  </si>
  <si>
    <t>9 - 12 koht</t>
  </si>
  <si>
    <t>13 - 16 koht</t>
  </si>
  <si>
    <t>24. koht</t>
  </si>
  <si>
    <t>25 - 32 koht</t>
  </si>
  <si>
    <t>26. koht</t>
  </si>
  <si>
    <t>27. koht</t>
  </si>
  <si>
    <t>28. koht</t>
  </si>
  <si>
    <t>29. koht</t>
  </si>
  <si>
    <t>30. koht</t>
  </si>
  <si>
    <t>31. koht</t>
  </si>
  <si>
    <t>32. koht</t>
  </si>
  <si>
    <t>Paremusjärjestus</t>
  </si>
  <si>
    <t>Naiste paremusjärjestus:</t>
  </si>
  <si>
    <t>Kohalike paremusjärjestus:</t>
  </si>
  <si>
    <t>Juuniorite paremusjärjestus:</t>
  </si>
  <si>
    <t>Jegveni Korikov</t>
  </si>
  <si>
    <t>Annaliset Neiland</t>
  </si>
  <si>
    <t>Kaur Pungas</t>
  </si>
  <si>
    <t>Oksana Grom</t>
  </si>
  <si>
    <t>ristel Tihhonjuk</t>
  </si>
  <si>
    <t>Tanel Vähk, Tõnis Neiland</t>
  </si>
  <si>
    <t>Jaan Saar, Urmas Jõeäär</t>
  </si>
  <si>
    <t>Joana Taalberg, Lennart Maala</t>
  </si>
  <si>
    <t>Tanel Vähk</t>
  </si>
  <si>
    <t>Lennart Maala</t>
  </si>
  <si>
    <t>Seisuga 06.08.2022</t>
  </si>
  <si>
    <t>Aleksander Korikov, Oksana Rõndenkova, Oleg Rõndenkov</t>
  </si>
  <si>
    <t>Elmo Lageda, Boriss Klubov</t>
  </si>
  <si>
    <t>Lauri Vaino, Meelis Luud</t>
  </si>
  <si>
    <t>Johannes Neiland, Marta Bernat</t>
  </si>
  <si>
    <t>Andrei Grintšak, Sirje Maala</t>
  </si>
  <si>
    <t>Jaan Saar, Urmas Randlaine</t>
  </si>
  <si>
    <t>Lauri Vaino</t>
  </si>
  <si>
    <t>TRIO (10:00)</t>
  </si>
  <si>
    <t>Ivar Viljaste, Jaan Sepp</t>
  </si>
  <si>
    <t>Meeöis Luud, Urmas Jõeäär</t>
  </si>
  <si>
    <t>Vladimir Ogneštšikov, Tõnu Kapper</t>
  </si>
  <si>
    <t>Johannes Neiland, Oliver Ojasalu</t>
  </si>
  <si>
    <t xml:space="preserve"> Kristel Tihhonjuk, Vadim Tihhonjuk</t>
  </si>
  <si>
    <t>Jaan Saar, Sirje Maala</t>
  </si>
  <si>
    <t>Aleksander Korikov, Jevgeni Korikov</t>
  </si>
  <si>
    <t>Tõnis Anton, Vitali Mokrušin</t>
  </si>
  <si>
    <t>Meelis Luud, Urmas Jõeäär</t>
  </si>
  <si>
    <t>Jevgeni Korikov</t>
  </si>
  <si>
    <t>Vitali Mokrušin</t>
  </si>
  <si>
    <t>Hillar Neiland, Kaspar Mänd</t>
  </si>
  <si>
    <t>Ronald Jõeäär, Urmas Jõeäär</t>
  </si>
  <si>
    <t xml:space="preserve"> Andrei Grintšak, Tarmo Bombe</t>
  </si>
  <si>
    <t>Meelis Luud, Urmas Randlaine</t>
  </si>
  <si>
    <t>Andrei Grintšak, Tarmo Bombe</t>
  </si>
  <si>
    <t>Oliver Ojasalu, Tõnis Neiland</t>
  </si>
  <si>
    <t>Andrei Grintšak, Vadim Tihhonjuk</t>
  </si>
  <si>
    <t xml:space="preserve"> Kenneth Muusikus, Sander Rose</t>
  </si>
  <si>
    <t xml:space="preserve"> Jaan Saar, Sirje Maala</t>
  </si>
  <si>
    <t>Berit Kuusmann, Liis Mägi</t>
  </si>
  <si>
    <t>Berit Kuusmann</t>
  </si>
  <si>
    <t xml:space="preserve">Kenneth Muusikus </t>
  </si>
  <si>
    <t xml:space="preserve">Vello Vasser </t>
  </si>
  <si>
    <t xml:space="preserve">Andres Veski </t>
  </si>
  <si>
    <t xml:space="preserve">Ljudmila Varendi </t>
  </si>
  <si>
    <t xml:space="preserve">Vladimir Ogneštšikov </t>
  </si>
  <si>
    <t xml:space="preserve">Sirje Maala </t>
  </si>
  <si>
    <t xml:space="preserve">Janek Tarto </t>
  </si>
  <si>
    <t xml:space="preserve">Marko Rooden </t>
  </si>
  <si>
    <t>2.–3. koha välja selgitamiseks toimus lisamäng, mille võitsid Rõndenkovid 13:12</t>
  </si>
  <si>
    <t>Andres Veski, Tõnu Kapper</t>
  </si>
  <si>
    <t xml:space="preserve"> Oksana Rõndenkova, Oleg Rõndenkov</t>
  </si>
  <si>
    <t>Jaan Sepp, Matti Vinni</t>
  </si>
  <si>
    <t>Ljudmila Varendi , Viktor Švarõgin</t>
  </si>
  <si>
    <t xml:space="preserve"> Enn Tokman, Tarmo Bombe </t>
  </si>
  <si>
    <t>Marko Rooden, Sirje Maala</t>
  </si>
  <si>
    <t xml:space="preserve">Ivar Viljaste  Kristo Viljaste </t>
  </si>
  <si>
    <t>Ivar Viljaste, Kristo Viljaste</t>
  </si>
  <si>
    <t>Enn Tokman, Tarmo Bombe</t>
  </si>
  <si>
    <t>Enn Tokman, Johannes Neiland, Oliver Ojasalu</t>
  </si>
  <si>
    <t>Henri Mitt, Oksana Rõndenkova, Oleg Rõndenkov</t>
  </si>
  <si>
    <t>Kaspar Mänd, Kenneth Muusikus, Sander Rose</t>
  </si>
  <si>
    <t>Jaan Sepp, Matti Vinni, Oskar Sepp</t>
  </si>
  <si>
    <t>Ivar Viljaste, Olav Türk, Sirje Viljaste</t>
  </si>
  <si>
    <t>Andrei Grintšak, Kristel Tihhonjuk, Vadim Tihhonjuk</t>
  </si>
  <si>
    <t>Enn Tokman, Jaan Saar, Sirje Maala</t>
  </si>
  <si>
    <t>T, 16.08.2022</t>
  </si>
  <si>
    <t>Seisuga 28.09.2022</t>
  </si>
  <si>
    <t xml:space="preserve">Välishooaja lõpetamine toimub hiljem koos sisehooaja avamisega Voka petangihallis     </t>
  </si>
  <si>
    <t>Taivo Toomel</t>
  </si>
  <si>
    <r>
      <rPr>
        <sz val="10"/>
        <rFont val="Arial"/>
        <family val="2"/>
        <charset val="186"/>
      </rPr>
      <t xml:space="preserve">Voka IX KV </t>
    </r>
    <r>
      <rPr>
        <sz val="10"/>
        <color rgb="FFFF0000"/>
        <rFont val="Arial"/>
        <family val="2"/>
        <charset val="186"/>
      </rPr>
      <t>3. etapp</t>
    </r>
  </si>
  <si>
    <r>
      <t>3. etapp</t>
    </r>
    <r>
      <rPr>
        <sz val="10"/>
        <rFont val="Arial"/>
        <family val="2"/>
        <charset val="186"/>
      </rPr>
      <t>, DUO</t>
    </r>
  </si>
  <si>
    <r>
      <t xml:space="preserve">DUO </t>
    </r>
    <r>
      <rPr>
        <b/>
        <sz val="10"/>
        <color theme="9" tint="-0.249977111117893"/>
        <rFont val="Arial"/>
        <family val="2"/>
        <charset val="186"/>
      </rPr>
      <t>(55+)</t>
    </r>
  </si>
  <si>
    <r>
      <t xml:space="preserve">ÜKSIK </t>
    </r>
    <r>
      <rPr>
        <b/>
        <sz val="10"/>
        <color theme="9" tint="-0.249977111117893"/>
        <rFont val="Arial"/>
        <family val="2"/>
        <charset val="186"/>
      </rPr>
      <t>(55+)</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</si>
</sst>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1]"/>
  </numFmts>
  <fonts count="77" x14ac:knownFonts="1">
    <font>
      <sz val="10"/>
      <color theme="1"/>
      <name val="Arial"/>
      <family val="2"/>
      <charset val="186"/>
    </font>
    <font>
      <sz val="11"/>
      <color theme="1"/>
      <name val="Calibri"/>
      <family val="2"/>
      <charset val="186"/>
      <scheme val="minor"/>
    </font>
    <font>
      <sz val="11"/>
      <color theme="1"/>
      <name val="Calibri"/>
      <family val="2"/>
      <charset val="186"/>
      <scheme val="minor"/>
    </font>
    <font>
      <sz val="10"/>
      <color theme="1"/>
      <name val="Arial"/>
      <family val="2"/>
      <charset val="186"/>
    </font>
    <font>
      <sz val="10"/>
      <color rgb="FFFF0000"/>
      <name val="Arial"/>
      <family val="2"/>
      <charset val="186"/>
    </font>
    <font>
      <b/>
      <sz val="10"/>
      <color theme="1"/>
      <name val="Arial"/>
      <family val="2"/>
      <charset val="186"/>
    </font>
    <font>
      <sz val="11"/>
      <color theme="1"/>
      <name val="Calibri"/>
      <family val="2"/>
      <charset val="186"/>
      <scheme val="minor"/>
    </font>
    <font>
      <u/>
      <sz val="10"/>
      <color theme="10"/>
      <name val="Arial"/>
      <family val="2"/>
      <charset val="186"/>
    </font>
    <font>
      <u/>
      <sz val="10"/>
      <color theme="1"/>
      <name val="Arial"/>
      <family val="2"/>
      <charset val="186"/>
    </font>
    <font>
      <sz val="10"/>
      <color rgb="FF000000"/>
      <name val="Times New Roman"/>
      <family val="1"/>
      <charset val="186"/>
    </font>
    <font>
      <sz val="10"/>
      <color theme="0" tint="-0.499984740745262"/>
      <name val="Arial"/>
      <family val="2"/>
      <charset val="186"/>
    </font>
    <font>
      <u/>
      <sz val="10"/>
      <color theme="0" tint="-0.499984740745262"/>
      <name val="Arial"/>
      <family val="2"/>
      <charset val="186"/>
    </font>
    <font>
      <b/>
      <u/>
      <sz val="10"/>
      <color theme="10"/>
      <name val="Arial"/>
      <family val="2"/>
      <charset val="186"/>
    </font>
    <font>
      <u/>
      <sz val="11"/>
      <color theme="10"/>
      <name val="Calibri"/>
      <family val="2"/>
      <charset val="186"/>
      <scheme val="minor"/>
    </font>
    <font>
      <b/>
      <sz val="10"/>
      <color rgb="FF0070C0"/>
      <name val="Arial"/>
      <family val="2"/>
      <charset val="186"/>
    </font>
    <font>
      <b/>
      <u/>
      <sz val="10"/>
      <color theme="1"/>
      <name val="Arial"/>
      <family val="2"/>
      <charset val="186"/>
    </font>
    <font>
      <sz val="10"/>
      <name val="Arial"/>
      <family val="2"/>
      <charset val="204"/>
    </font>
    <font>
      <b/>
      <sz val="8"/>
      <color indexed="81"/>
      <name val="Tahoma"/>
      <family val="2"/>
      <charset val="186"/>
    </font>
    <font>
      <b/>
      <sz val="10"/>
      <color rgb="FFFF0000"/>
      <name val="Arial"/>
      <family val="2"/>
      <charset val="186"/>
    </font>
    <font>
      <i/>
      <sz val="10"/>
      <color theme="8" tint="0.39997558519241921"/>
      <name val="Arial"/>
      <family val="2"/>
      <charset val="186"/>
    </font>
    <font>
      <i/>
      <u/>
      <sz val="10"/>
      <color theme="8" tint="0.39997558519241921"/>
      <name val="Arial"/>
      <family val="2"/>
      <charset val="186"/>
    </font>
    <font>
      <i/>
      <sz val="10"/>
      <color theme="1"/>
      <name val="Arial"/>
      <family val="2"/>
      <charset val="186"/>
    </font>
    <font>
      <sz val="10"/>
      <color rgb="FFCC0000"/>
      <name val="Arial"/>
      <family val="2"/>
      <charset val="186"/>
    </font>
    <font>
      <sz val="11"/>
      <color theme="1"/>
      <name val="Calibri"/>
      <family val="2"/>
      <scheme val="minor"/>
    </font>
    <font>
      <b/>
      <sz val="10"/>
      <color theme="1"/>
      <name val="Calibri"/>
      <family val="2"/>
      <charset val="186"/>
      <scheme val="minor"/>
    </font>
    <font>
      <b/>
      <sz val="10"/>
      <color rgb="FFCC0000"/>
      <name val="Arial"/>
      <family val="2"/>
      <charset val="186"/>
    </font>
    <font>
      <b/>
      <sz val="10"/>
      <color rgb="FF00B050"/>
      <name val="Arial"/>
      <family val="2"/>
      <charset val="186"/>
    </font>
    <font>
      <sz val="10"/>
      <color rgb="FF00B050"/>
      <name val="Arial"/>
      <family val="2"/>
      <charset val="186"/>
    </font>
    <font>
      <sz val="10"/>
      <name val="Arial"/>
      <family val="2"/>
      <charset val="186"/>
    </font>
    <font>
      <sz val="10"/>
      <color theme="0" tint="-0.34998626667073579"/>
      <name val="Arial"/>
      <family val="2"/>
      <charset val="186"/>
    </font>
    <font>
      <sz val="11"/>
      <color indexed="8"/>
      <name val="Calibri"/>
      <family val="2"/>
      <charset val="186"/>
    </font>
    <font>
      <sz val="10"/>
      <color rgb="FF0070C0"/>
      <name val="Arial"/>
      <family val="2"/>
      <charset val="186"/>
    </font>
    <font>
      <sz val="10"/>
      <color rgb="FF00B0F0"/>
      <name val="Arial"/>
      <family val="2"/>
      <charset val="186"/>
    </font>
    <font>
      <b/>
      <sz val="10"/>
      <color theme="0" tint="-0.34998626667073579"/>
      <name val="Arial"/>
      <family val="2"/>
      <charset val="186"/>
    </font>
    <font>
      <b/>
      <sz val="8"/>
      <color rgb="FF0070C0"/>
      <name val="Arial"/>
      <family val="2"/>
      <charset val="186"/>
    </font>
    <font>
      <b/>
      <sz val="8"/>
      <color theme="2" tint="-0.499984740745262"/>
      <name val="Arial"/>
      <family val="2"/>
      <charset val="186"/>
    </font>
    <font>
      <b/>
      <sz val="10"/>
      <color rgb="FF00B0F0"/>
      <name val="Arial"/>
      <family val="2"/>
      <charset val="186"/>
    </font>
    <font>
      <b/>
      <sz val="10"/>
      <color rgb="FFCC0066"/>
      <name val="Arial"/>
      <family val="2"/>
      <charset val="186"/>
    </font>
    <font>
      <b/>
      <sz val="10"/>
      <color theme="2" tint="-0.499984740745262"/>
      <name val="Arial"/>
      <family val="2"/>
      <charset val="186"/>
    </font>
    <font>
      <sz val="10"/>
      <color theme="0" tint="-0.14999847407452621"/>
      <name val="Arial"/>
      <family val="2"/>
      <charset val="186"/>
    </font>
    <font>
      <b/>
      <sz val="10"/>
      <color theme="0" tint="-0.14999847407452621"/>
      <name val="Arial"/>
      <family val="2"/>
      <charset val="186"/>
    </font>
    <font>
      <b/>
      <strike/>
      <sz val="8"/>
      <color indexed="40"/>
      <name val="Tahoma"/>
      <family val="2"/>
      <charset val="186"/>
    </font>
    <font>
      <sz val="8"/>
      <color indexed="81"/>
      <name val="Tahoma"/>
      <family val="2"/>
      <charset val="186"/>
    </font>
    <font>
      <sz val="10"/>
      <color theme="0"/>
      <name val="Arial"/>
      <family val="2"/>
      <charset val="186"/>
    </font>
    <font>
      <sz val="10"/>
      <color indexed="8"/>
      <name val="Times New Roman"/>
      <family val="1"/>
      <charset val="186"/>
    </font>
    <font>
      <b/>
      <sz val="10"/>
      <name val="Arial"/>
      <family val="2"/>
      <charset val="186"/>
    </font>
    <font>
      <u/>
      <sz val="10"/>
      <name val="Arial"/>
      <family val="2"/>
      <charset val="186"/>
    </font>
    <font>
      <b/>
      <u/>
      <sz val="10"/>
      <name val="Arial"/>
      <family val="2"/>
      <charset val="186"/>
    </font>
    <font>
      <i/>
      <sz val="10"/>
      <name val="Arial"/>
      <family val="2"/>
      <charset val="186"/>
    </font>
    <font>
      <i/>
      <u/>
      <sz val="10"/>
      <name val="Arial"/>
      <family val="2"/>
      <charset val="186"/>
    </font>
    <font>
      <b/>
      <i/>
      <sz val="10"/>
      <color theme="8" tint="0.39997558519241921"/>
      <name val="Arial"/>
      <family val="2"/>
      <charset val="186"/>
    </font>
    <font>
      <strike/>
      <sz val="10"/>
      <name val="Arial"/>
      <family val="2"/>
      <charset val="186"/>
    </font>
    <font>
      <u/>
      <sz val="10"/>
      <color theme="8" tint="0.59999389629810485"/>
      <name val="Arial"/>
      <family val="2"/>
      <charset val="186"/>
    </font>
    <font>
      <sz val="10"/>
      <color theme="8" tint="0.59999389629810485"/>
      <name val="Arial"/>
      <family val="2"/>
      <charset val="186"/>
    </font>
    <font>
      <i/>
      <sz val="10"/>
      <color theme="8" tint="0.59999389629810485"/>
      <name val="Arial"/>
      <family val="2"/>
      <charset val="186"/>
    </font>
    <font>
      <sz val="10"/>
      <color rgb="FF333333"/>
      <name val="Arial"/>
      <family val="2"/>
      <charset val="186"/>
    </font>
    <font>
      <b/>
      <sz val="10"/>
      <color theme="9" tint="-0.249977111117893"/>
      <name val="Arial"/>
      <family val="2"/>
      <charset val="186"/>
    </font>
    <font>
      <sz val="9"/>
      <color theme="9" tint="-0.249977111117893"/>
      <name val="Arial"/>
      <family val="2"/>
      <charset val="186"/>
    </font>
    <font>
      <sz val="10"/>
      <color rgb="FF000000"/>
      <name val="Arial"/>
      <family val="2"/>
      <charset val="186"/>
    </font>
    <font>
      <b/>
      <sz val="10"/>
      <color theme="0" tint="-0.499984740745262"/>
      <name val="Arial"/>
      <family val="2"/>
      <charset val="186"/>
    </font>
    <font>
      <b/>
      <u/>
      <sz val="10"/>
      <color theme="0" tint="-0.499984740745262"/>
      <name val="Arial"/>
      <family val="2"/>
      <charset val="186"/>
    </font>
    <font>
      <i/>
      <sz val="10"/>
      <color theme="0" tint="-0.499984740745262"/>
      <name val="Arial"/>
      <family val="2"/>
      <charset val="186"/>
    </font>
    <font>
      <strike/>
      <u/>
      <sz val="10"/>
      <color rgb="FFFF0000"/>
      <name val="Arial"/>
      <family val="2"/>
      <charset val="186"/>
    </font>
    <font>
      <u/>
      <sz val="10"/>
      <color theme="10"/>
      <name val="Times New Roman"/>
      <family val="1"/>
      <charset val="186"/>
    </font>
    <font>
      <sz val="11"/>
      <color rgb="FF000000"/>
      <name val="Calibri"/>
      <family val="2"/>
      <scheme val="minor"/>
    </font>
    <font>
      <sz val="8"/>
      <color indexed="8"/>
      <name val="Arial Narrow"/>
      <family val="2"/>
      <charset val="186"/>
    </font>
    <font>
      <sz val="10"/>
      <color rgb="FFC00000"/>
      <name val="Arial"/>
      <family val="2"/>
      <charset val="186"/>
    </font>
    <font>
      <b/>
      <sz val="10"/>
      <color rgb="FFC00000"/>
      <name val="Arial"/>
      <family val="2"/>
      <charset val="186"/>
    </font>
    <font>
      <b/>
      <sz val="10"/>
      <color rgb="FF003399"/>
      <name val="Arial"/>
      <family val="2"/>
      <charset val="186"/>
    </font>
    <font>
      <u/>
      <sz val="10"/>
      <color rgb="FFFF0000"/>
      <name val="Arial"/>
      <family val="2"/>
      <charset val="186"/>
    </font>
    <font>
      <strike/>
      <sz val="10"/>
      <color theme="1"/>
      <name val="Arial"/>
      <family val="2"/>
      <charset val="186"/>
    </font>
    <font>
      <strike/>
      <u/>
      <sz val="10"/>
      <color theme="1"/>
      <name val="Arial"/>
      <family val="2"/>
      <charset val="186"/>
    </font>
    <font>
      <strike/>
      <sz val="10"/>
      <color rgb="FF000000"/>
      <name val="Arial"/>
      <family val="2"/>
      <charset val="186"/>
    </font>
    <font>
      <strike/>
      <u/>
      <sz val="10"/>
      <name val="Arial"/>
      <family val="2"/>
      <charset val="186"/>
    </font>
    <font>
      <i/>
      <u/>
      <sz val="10"/>
      <color theme="1"/>
      <name val="Arial"/>
      <family val="2"/>
      <charset val="186"/>
    </font>
    <font>
      <i/>
      <u/>
      <sz val="10"/>
      <color theme="8" tint="0.59999389629810485"/>
      <name val="Arial"/>
      <family val="2"/>
      <charset val="186"/>
    </font>
    <font>
      <b/>
      <i/>
      <sz val="10"/>
      <name val="Arial"/>
      <family val="2"/>
      <charset val="186"/>
    </font>
  </fonts>
  <fills count="27">
    <fill>
      <patternFill patternType="none"/>
    </fill>
    <fill>
      <patternFill patternType="gray125"/>
    </fill>
    <fill>
      <patternFill patternType="solid">
        <fgColor theme="0" tint="-0.14999847407452621"/>
        <bgColor indexed="64"/>
      </patternFill>
    </fill>
    <fill>
      <patternFill patternType="solid">
        <fgColor rgb="FFCCFFCC"/>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99"/>
        <bgColor indexed="64"/>
      </patternFill>
    </fill>
    <fill>
      <patternFill patternType="solid">
        <fgColor rgb="FF92D050"/>
        <bgColor indexed="64"/>
      </patternFill>
    </fill>
    <fill>
      <patternFill patternType="solid">
        <fgColor rgb="FFFFFFCC"/>
        <bgColor indexed="64"/>
      </patternFill>
    </fill>
    <fill>
      <patternFill patternType="solid">
        <fgColor rgb="FFFFFF00"/>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66"/>
        <bgColor indexed="64"/>
      </patternFill>
    </fill>
    <fill>
      <patternFill patternType="solid">
        <fgColor rgb="FFFFCC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CCCC"/>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9999"/>
        <bgColor indexed="64"/>
      </patternFill>
    </fill>
    <fill>
      <patternFill patternType="solid">
        <fgColor theme="5" tint="0.59999389629810485"/>
        <bgColor indexed="64"/>
      </patternFill>
    </fill>
    <fill>
      <patternFill patternType="solid">
        <fgColor indexed="22"/>
        <bgColor indexed="31"/>
      </patternFill>
    </fill>
    <fill>
      <patternFill patternType="solid">
        <fgColor rgb="FFEAEAEA"/>
        <bgColor indexed="64"/>
      </patternFill>
    </fill>
    <fill>
      <patternFill patternType="solid">
        <fgColor theme="0" tint="-0.249977111117893"/>
        <bgColor indexed="64"/>
      </patternFill>
    </fill>
    <fill>
      <patternFill patternType="solid">
        <fgColor theme="0"/>
        <bgColor indexed="64"/>
      </patternFill>
    </fill>
    <fill>
      <patternFill patternType="solid">
        <fgColor rgb="FF66FF66"/>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theme="0" tint="-0.24994659260841701"/>
      </left>
      <right/>
      <top/>
      <bottom style="thin">
        <color theme="0" tint="-0.24994659260841701"/>
      </bottom>
      <diagonal/>
    </border>
    <border>
      <left style="thin">
        <color theme="0" tint="-0.24994659260841701"/>
      </left>
      <right style="medium">
        <color rgb="FF000000"/>
      </right>
      <top/>
      <bottom style="thin">
        <color theme="0" tint="-0.24994659260841701"/>
      </bottom>
      <diagonal/>
    </border>
    <border>
      <left style="medium">
        <color rgb="FF000000"/>
      </left>
      <right/>
      <top/>
      <bottom/>
      <diagonal/>
    </border>
    <border>
      <left style="medium">
        <color auto="1"/>
      </left>
      <right/>
      <top style="medium">
        <color auto="1"/>
      </top>
      <bottom/>
      <diagonal/>
    </border>
    <border>
      <left/>
      <right style="medium">
        <color auto="1"/>
      </right>
      <top/>
      <bottom/>
      <diagonal/>
    </border>
    <border>
      <left style="thin">
        <color theme="0" tint="-0.24994659260841701"/>
      </left>
      <right/>
      <top style="medium">
        <color rgb="FF000000"/>
      </top>
      <bottom style="thin">
        <color theme="0" tint="-0.24994659260841701"/>
      </bottom>
      <diagonal/>
    </border>
    <border>
      <left style="medium">
        <color auto="1"/>
      </left>
      <right/>
      <top/>
      <bottom/>
      <diagonal/>
    </border>
    <border>
      <left style="thin">
        <color theme="0" tint="-0.24994659260841701"/>
      </left>
      <right style="medium">
        <color auto="1"/>
      </right>
      <top/>
      <bottom style="thin">
        <color theme="0" tint="-0.24994659260841701"/>
      </bottom>
      <diagonal/>
    </border>
    <border>
      <left/>
      <right style="medium">
        <color rgb="FF000000"/>
      </right>
      <top/>
      <bottom/>
      <diagonal/>
    </border>
    <border>
      <left/>
      <right style="medium">
        <color auto="1"/>
      </right>
      <top/>
      <bottom style="medium">
        <color auto="1"/>
      </bottom>
      <diagonal/>
    </border>
    <border>
      <left style="medium">
        <color rgb="FF000000"/>
      </left>
      <right/>
      <top/>
      <bottom style="medium">
        <color rgb="FF000000"/>
      </bottom>
      <diagonal/>
    </border>
    <border>
      <left/>
      <right/>
      <top/>
      <bottom style="medium">
        <color rgb="FF000000"/>
      </bottom>
      <diagonal/>
    </border>
    <border>
      <left style="medium">
        <color auto="1"/>
      </left>
      <right/>
      <top/>
      <bottom style="medium">
        <color rgb="FF000000"/>
      </bottom>
      <diagonal/>
    </border>
    <border>
      <left/>
      <right style="medium">
        <color rgb="FF000000"/>
      </right>
      <top/>
      <bottom style="medium">
        <color rgb="FF000000"/>
      </bottom>
      <diagonal/>
    </border>
    <border>
      <left style="medium">
        <color rgb="FF000000"/>
      </left>
      <right/>
      <top/>
      <bottom style="dashDot">
        <color rgb="FF000000"/>
      </bottom>
      <diagonal/>
    </border>
    <border>
      <left style="medium">
        <color rgb="FF000000"/>
      </left>
      <right/>
      <top style="dashDot">
        <color rgb="FF000000"/>
      </top>
      <bottom/>
      <diagonal/>
    </border>
    <border>
      <left style="medium">
        <color rgb="FF000000"/>
      </left>
      <right/>
      <top style="medium">
        <color auto="1"/>
      </top>
      <bottom/>
      <diagonal/>
    </border>
    <border>
      <left style="thin">
        <color theme="0" tint="-0.24994659260841701"/>
      </left>
      <right style="thick">
        <color rgb="FF000000"/>
      </right>
      <top style="medium">
        <color rgb="FF000000"/>
      </top>
      <bottom style="thin">
        <color theme="0" tint="-0.24994659260841701"/>
      </bottom>
      <diagonal/>
    </border>
    <border>
      <left/>
      <right style="medium">
        <color auto="1"/>
      </right>
      <top/>
      <bottom style="medium">
        <color rgb="FF000000"/>
      </bottom>
      <diagonal/>
    </border>
    <border>
      <left/>
      <right/>
      <top style="medium">
        <color rgb="FF000000"/>
      </top>
      <bottom/>
      <diagonal/>
    </border>
    <border>
      <left style="thin">
        <color theme="0" tint="-0.24994659260841701"/>
      </left>
      <right style="medium">
        <color rgb="FF000000"/>
      </right>
      <top style="medium">
        <color rgb="FF000000"/>
      </top>
      <bottom style="thin">
        <color theme="0" tint="-0.24994659260841701"/>
      </bottom>
      <diagonal/>
    </border>
    <border>
      <left style="thin">
        <color theme="0" tint="-0.24994659260841701"/>
      </left>
      <right/>
      <top style="medium">
        <color auto="1"/>
      </top>
      <bottom style="thin">
        <color theme="0" tint="-0.24994659260841701"/>
      </bottom>
      <diagonal/>
    </border>
    <border>
      <left style="medium">
        <color auto="1"/>
      </left>
      <right/>
      <top style="dashDot">
        <color auto="1"/>
      </top>
      <bottom/>
      <diagonal/>
    </border>
    <border>
      <left style="medium">
        <color rgb="FF000000"/>
      </left>
      <right/>
      <top style="dashDot">
        <color auto="1"/>
      </top>
      <bottom/>
      <diagonal/>
    </border>
    <border>
      <left/>
      <right/>
      <top/>
      <bottom style="dashDot">
        <color auto="1"/>
      </bottom>
      <diagonal/>
    </border>
    <border>
      <left style="medium">
        <color auto="1"/>
      </left>
      <right/>
      <top style="medium">
        <color rgb="FF000000"/>
      </top>
      <bottom/>
      <diagonal/>
    </border>
    <border>
      <left style="thin">
        <color theme="0" tint="-0.24994659260841701"/>
      </left>
      <right style="medium">
        <color auto="1"/>
      </right>
      <top style="medium">
        <color rgb="FF000000"/>
      </top>
      <bottom style="thin">
        <color theme="0" tint="-0.24994659260841701"/>
      </bottom>
      <diagonal/>
    </border>
    <border>
      <left/>
      <right/>
      <top/>
      <bottom style="dashDot">
        <color rgb="FF000000"/>
      </bottom>
      <diagonal/>
    </border>
    <border>
      <left/>
      <right style="medium">
        <color rgb="FF000000"/>
      </right>
      <top/>
      <bottom style="dashDot">
        <color rgb="FF000000"/>
      </bottom>
      <diagonal/>
    </border>
    <border>
      <left style="thin">
        <color theme="0" tint="-0.24994659260841701"/>
      </left>
      <right style="thin">
        <color rgb="FF000000"/>
      </right>
      <top style="medium">
        <color rgb="FF000000"/>
      </top>
      <bottom style="thin">
        <color theme="0" tint="-0.24994659260841701"/>
      </bottom>
      <diagonal/>
    </border>
    <border>
      <left style="thin">
        <color theme="0" tint="-0.24994659260841701"/>
      </left>
      <right style="medium">
        <color rgb="FF000000"/>
      </right>
      <top style="medium">
        <color rgb="FF000000"/>
      </top>
      <bottom/>
      <diagonal/>
    </border>
    <border>
      <left/>
      <right style="thin">
        <color rgb="FF000000"/>
      </right>
      <top/>
      <bottom/>
      <diagonal/>
    </border>
    <border>
      <left style="medium">
        <color rgb="FF000000"/>
      </left>
      <right/>
      <top style="dashDot">
        <color rgb="FF000000"/>
      </top>
      <bottom style="medium">
        <color rgb="FF000000"/>
      </bottom>
      <diagonal/>
    </border>
    <border>
      <left/>
      <right style="medium">
        <color rgb="FF000000"/>
      </right>
      <top style="dashDot">
        <color rgb="FF000000"/>
      </top>
      <bottom style="medium">
        <color rgb="FF000000"/>
      </bottom>
      <diagonal/>
    </border>
    <border>
      <left style="thin">
        <color theme="0" tint="-0.24994659260841701"/>
      </left>
      <right style="thin">
        <color rgb="FF000000"/>
      </right>
      <top/>
      <bottom style="thin">
        <color theme="0" tint="-0.24994659260841701"/>
      </bottom>
      <diagonal/>
    </border>
    <border>
      <left/>
      <right/>
      <top style="dashDot">
        <color rgb="FF000000"/>
      </top>
      <bottom style="medium">
        <color rgb="FF000000"/>
      </bottom>
      <diagonal/>
    </border>
    <border>
      <left style="thick">
        <color rgb="FF000000"/>
      </left>
      <right/>
      <top style="medium">
        <color rgb="FF000000"/>
      </top>
      <bottom/>
      <diagonal/>
    </border>
    <border>
      <left style="thick">
        <color rgb="FF000000"/>
      </left>
      <right/>
      <top/>
      <bottom/>
      <diagonal/>
    </border>
    <border>
      <left/>
      <right/>
      <top/>
      <bottom style="thick">
        <color rgb="FF000000"/>
      </bottom>
      <diagonal/>
    </border>
    <border>
      <left/>
      <right style="medium">
        <color auto="1"/>
      </right>
      <top style="thin">
        <color theme="0" tint="-0.24994659260841701"/>
      </top>
      <bottom/>
      <diagonal/>
    </border>
    <border>
      <left style="medium">
        <color rgb="FF000000"/>
      </left>
      <right/>
      <top style="dashDot">
        <color rgb="FF000000"/>
      </top>
      <bottom style="thin">
        <color theme="8" tint="0.39994506668294322"/>
      </bottom>
      <diagonal/>
    </border>
    <border>
      <left/>
      <right/>
      <top style="dashDot">
        <color rgb="FF000000"/>
      </top>
      <bottom style="thin">
        <color theme="8" tint="0.39994506668294322"/>
      </bottom>
      <diagonal/>
    </border>
    <border>
      <left/>
      <right style="medium">
        <color rgb="FF000000"/>
      </right>
      <top style="thin">
        <color theme="0" tint="-0.24994659260841701"/>
      </top>
      <bottom/>
      <diagonal/>
    </border>
    <border>
      <left style="medium">
        <color auto="1"/>
      </left>
      <right/>
      <top/>
      <bottom style="dashDot">
        <color rgb="FF000000"/>
      </bottom>
      <diagonal/>
    </border>
    <border>
      <left/>
      <right style="medium">
        <color auto="1"/>
      </right>
      <top/>
      <bottom style="dashDot">
        <color rgb="FF000000"/>
      </bottom>
      <diagonal/>
    </border>
    <border>
      <left style="medium">
        <color indexed="8"/>
      </left>
      <right/>
      <top/>
      <bottom/>
      <diagonal/>
    </border>
    <border>
      <left style="medium">
        <color rgb="FF000000"/>
      </left>
      <right/>
      <top/>
      <bottom style="medium">
        <color auto="1"/>
      </bottom>
      <diagonal/>
    </border>
    <border>
      <left/>
      <right/>
      <top/>
      <bottom style="medium">
        <color indexed="64"/>
      </bottom>
      <diagonal/>
    </border>
    <border>
      <left/>
      <right/>
      <top style="thin">
        <color theme="8" tint="0.39994506668294322"/>
      </top>
      <bottom style="medium">
        <color auto="1"/>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auto="1"/>
      </top>
      <bottom/>
      <diagonal/>
    </border>
    <border>
      <left/>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right style="thin">
        <color indexed="64"/>
      </right>
      <top/>
      <bottom/>
      <diagonal/>
    </border>
    <border>
      <left style="thin">
        <color auto="1"/>
      </left>
      <right/>
      <top style="medium">
        <color auto="1"/>
      </top>
      <bottom/>
      <diagonal/>
    </border>
    <border>
      <left style="thin">
        <color indexed="64"/>
      </left>
      <right/>
      <top/>
      <bottom style="medium">
        <color indexed="64"/>
      </bottom>
      <diagonal/>
    </border>
    <border>
      <left style="medium">
        <color indexed="8"/>
      </left>
      <right/>
      <top style="medium">
        <color auto="1"/>
      </top>
      <bottom/>
      <diagonal/>
    </border>
    <border>
      <left style="medium">
        <color rgb="FF000000"/>
      </left>
      <right/>
      <top/>
      <bottom style="medium">
        <color auto="1"/>
      </bottom>
      <diagonal/>
    </border>
    <border>
      <left/>
      <right style="medium">
        <color theme="1"/>
      </right>
      <top style="dashDot">
        <color rgb="FF000000"/>
      </top>
      <bottom style="medium">
        <color auto="1"/>
      </bottom>
      <diagonal/>
    </border>
    <border>
      <left style="medium">
        <color indexed="8"/>
      </left>
      <right/>
      <top style="medium">
        <color indexed="8"/>
      </top>
      <bottom/>
      <diagonal/>
    </border>
    <border>
      <left style="thin">
        <color theme="0" tint="-0.24994659260841701"/>
      </left>
      <right style="medium">
        <color auto="1"/>
      </right>
      <top style="medium">
        <color auto="1"/>
      </top>
      <bottom style="thin">
        <color theme="0" tint="-0.24994659260841701"/>
      </bottom>
      <diagonal/>
    </border>
    <border>
      <left style="thin">
        <color theme="0" tint="-0.24994659260841701"/>
      </left>
      <right style="thick">
        <color auto="1"/>
      </right>
      <top style="medium">
        <color auto="1"/>
      </top>
      <bottom style="thin">
        <color theme="0" tint="-0.24994659260841701"/>
      </bottom>
      <diagonal/>
    </border>
    <border>
      <left style="thin">
        <color theme="0" tint="-0.24994659260841701"/>
      </left>
      <right/>
      <top style="medium">
        <color auto="1"/>
      </top>
      <bottom style="thin">
        <color theme="0" tint="-0.24994659260841701"/>
      </bottom>
      <diagonal/>
    </border>
    <border>
      <left style="medium">
        <color auto="1"/>
      </left>
      <right/>
      <top/>
      <bottom style="medium">
        <color auto="1"/>
      </bottom>
      <diagonal/>
    </border>
    <border>
      <left/>
      <right style="medium">
        <color rgb="FF000000"/>
      </right>
      <top/>
      <bottom style="medium">
        <color auto="1"/>
      </bottom>
      <diagonal/>
    </border>
    <border>
      <left style="thick">
        <color rgb="FF000000"/>
      </left>
      <right/>
      <top style="medium">
        <color auto="1"/>
      </top>
      <bottom/>
      <diagonal/>
    </border>
    <border>
      <left style="thin">
        <color theme="0" tint="-0.24994659260841701"/>
      </left>
      <right style="medium">
        <color auto="1"/>
      </right>
      <top style="medium">
        <color auto="1"/>
      </top>
      <bottom style="thin">
        <color theme="0" tint="-0.24994659260841701"/>
      </bottom>
      <diagonal/>
    </border>
    <border>
      <left style="thin">
        <color theme="0" tint="-0.24994659260841701"/>
      </left>
      <right style="medium">
        <color auto="1"/>
      </right>
      <top style="medium">
        <color rgb="FF000000"/>
      </top>
      <bottom/>
      <diagonal/>
    </border>
    <border>
      <left style="thick">
        <color indexed="64"/>
      </left>
      <right/>
      <top style="medium">
        <color indexed="64"/>
      </top>
      <bottom/>
      <diagonal/>
    </border>
    <border>
      <left style="thin">
        <color theme="0" tint="-0.24994659260841701"/>
      </left>
      <right style="medium">
        <color rgb="FF000000"/>
      </right>
      <top style="medium">
        <color auto="1"/>
      </top>
      <bottom style="thin">
        <color theme="0" tint="-0.24994659260841701"/>
      </bottom>
      <diagonal/>
    </border>
    <border>
      <left/>
      <right style="medium">
        <color rgb="FF000000"/>
      </right>
      <top style="dashDot">
        <color rgb="FF000000"/>
      </top>
      <bottom/>
      <diagonal/>
    </border>
    <border>
      <left/>
      <right style="medium">
        <color auto="1"/>
      </right>
      <top style="dashDot">
        <color rgb="FF000000"/>
      </top>
      <bottom style="thin">
        <color theme="8" tint="0.39994506668294322"/>
      </bottom>
      <diagonal/>
    </border>
    <border>
      <left/>
      <right/>
      <top style="dashDot">
        <color rgb="FF000000"/>
      </top>
      <bottom/>
      <diagonal/>
    </border>
    <border>
      <left style="medium">
        <color auto="1"/>
      </left>
      <right/>
      <top/>
      <bottom style="dashDot">
        <color auto="1"/>
      </bottom>
      <diagonal/>
    </border>
    <border>
      <left/>
      <right style="medium">
        <color auto="1"/>
      </right>
      <top/>
      <bottom style="dashDot">
        <color auto="1"/>
      </bottom>
      <diagonal/>
    </border>
    <border>
      <left/>
      <right/>
      <top style="dashDot">
        <color auto="1"/>
      </top>
      <bottom style="medium">
        <color indexed="8"/>
      </bottom>
      <diagonal/>
    </border>
    <border>
      <left/>
      <right style="medium">
        <color theme="1"/>
      </right>
      <top style="dashDot">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style="medium">
        <color rgb="FF000000"/>
      </right>
      <top/>
      <bottom style="dashDot">
        <color auto="1"/>
      </bottom>
      <diagonal/>
    </border>
    <border>
      <left/>
      <right style="medium">
        <color rgb="FF000000"/>
      </right>
      <top style="dashDot">
        <color auto="1"/>
      </top>
      <bottom/>
      <diagonal/>
    </border>
    <border>
      <left style="medium">
        <color auto="1"/>
      </left>
      <right/>
      <top/>
      <bottom style="thick">
        <color auto="1"/>
      </bottom>
      <diagonal/>
    </border>
    <border>
      <left/>
      <right/>
      <top/>
      <bottom style="thick">
        <color auto="1"/>
      </bottom>
      <diagonal/>
    </border>
    <border>
      <left style="medium">
        <color rgb="FF000000"/>
      </left>
      <right/>
      <top/>
      <bottom style="thick">
        <color auto="1"/>
      </bottom>
      <diagonal/>
    </border>
    <border>
      <left/>
      <right style="thick">
        <color rgb="FF000000"/>
      </right>
      <top/>
      <bottom style="thick">
        <color auto="1"/>
      </bottom>
      <diagonal/>
    </border>
    <border>
      <left style="medium">
        <color rgb="FF000000"/>
      </left>
      <right/>
      <top/>
      <bottom style="thick">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right style="thick">
        <color indexed="64"/>
      </right>
      <top/>
      <bottom style="thick">
        <color rgb="FF000000"/>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style="medium">
        <color auto="1"/>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auto="1"/>
      </left>
      <right style="double">
        <color auto="1"/>
      </right>
      <top style="double">
        <color auto="1"/>
      </top>
      <bottom style="double">
        <color auto="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indexed="8"/>
      </left>
      <right style="thin">
        <color indexed="8"/>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8"/>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8"/>
      </top>
      <bottom/>
      <diagonal/>
    </border>
    <border>
      <left style="medium">
        <color auto="1"/>
      </left>
      <right/>
      <top style="thin">
        <color auto="1"/>
      </top>
      <bottom/>
      <diagonal/>
    </border>
    <border>
      <left style="thin">
        <color indexed="64"/>
      </left>
      <right style="thin">
        <color indexed="64"/>
      </right>
      <top style="thin">
        <color indexed="64"/>
      </top>
      <bottom/>
      <diagonal/>
    </border>
    <border>
      <left/>
      <right style="medium">
        <color auto="1"/>
      </right>
      <top style="thin">
        <color auto="1"/>
      </top>
      <bottom/>
      <diagonal/>
    </border>
    <border>
      <left style="thin">
        <color auto="1"/>
      </left>
      <right style="medium">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64"/>
      </bottom>
      <diagonal/>
    </border>
    <border>
      <left/>
      <right style="dashed">
        <color theme="9" tint="-0.24994659260841701"/>
      </right>
      <top/>
      <bottom/>
      <diagonal/>
    </border>
    <border>
      <left/>
      <right style="thin">
        <color indexed="64"/>
      </right>
      <top/>
      <bottom style="dashed">
        <color rgb="FFC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45">
    <xf numFmtId="164" fontId="0" fillId="0" borderId="0"/>
    <xf numFmtId="164" fontId="6" fillId="0" borderId="0"/>
    <xf numFmtId="164" fontId="7" fillId="0" borderId="0" applyNumberFormat="0" applyFill="0" applyBorder="0" applyAlignment="0" applyProtection="0"/>
    <xf numFmtId="164" fontId="9" fillId="0" borderId="0"/>
    <xf numFmtId="164" fontId="13" fillId="0" borderId="0" applyNumberFormat="0" applyFill="0" applyBorder="0" applyAlignment="0" applyProtection="0"/>
    <xf numFmtId="164" fontId="16" fillId="0" borderId="0"/>
    <xf numFmtId="164" fontId="6" fillId="0" borderId="0"/>
    <xf numFmtId="164" fontId="6" fillId="0" borderId="0"/>
    <xf numFmtId="164" fontId="16" fillId="0" borderId="0"/>
    <xf numFmtId="164" fontId="23" fillId="0" borderId="0"/>
    <xf numFmtId="164" fontId="28" fillId="0" borderId="0"/>
    <xf numFmtId="164" fontId="30" fillId="0" borderId="0"/>
    <xf numFmtId="164" fontId="16" fillId="0" borderId="0"/>
    <xf numFmtId="164" fontId="9" fillId="0" borderId="0"/>
    <xf numFmtId="164" fontId="13" fillId="0" borderId="0" applyNumberFormat="0" applyFill="0" applyBorder="0" applyAlignment="0" applyProtection="0"/>
    <xf numFmtId="164" fontId="44" fillId="0" borderId="0"/>
    <xf numFmtId="164" fontId="6" fillId="0" borderId="0"/>
    <xf numFmtId="164" fontId="6" fillId="0" borderId="0"/>
    <xf numFmtId="164" fontId="2" fillId="0" borderId="0"/>
    <xf numFmtId="164" fontId="2" fillId="0" borderId="0"/>
    <xf numFmtId="164" fontId="13" fillId="0" borderId="0" applyNumberFormat="0" applyFill="0" applyBorder="0" applyAlignment="0" applyProtection="0"/>
    <xf numFmtId="164" fontId="63" fillId="0" borderId="0" applyNumberFormat="0" applyFill="0" applyBorder="0" applyAlignment="0" applyProtection="0"/>
    <xf numFmtId="164" fontId="9" fillId="0" borderId="0"/>
    <xf numFmtId="164" fontId="9" fillId="0" borderId="0"/>
    <xf numFmtId="164" fontId="58" fillId="0" borderId="0"/>
    <xf numFmtId="164" fontId="44" fillId="0" borderId="0"/>
    <xf numFmtId="164" fontId="30" fillId="0" borderId="0"/>
    <xf numFmtId="164" fontId="30" fillId="0" borderId="0"/>
    <xf numFmtId="164" fontId="9" fillId="0" borderId="0"/>
    <xf numFmtId="164" fontId="30" fillId="0" borderId="0"/>
    <xf numFmtId="164" fontId="30" fillId="0" borderId="0"/>
    <xf numFmtId="164" fontId="30" fillId="0" borderId="0"/>
    <xf numFmtId="164" fontId="64" fillId="0" borderId="0"/>
    <xf numFmtId="164" fontId="30" fillId="0" borderId="0"/>
    <xf numFmtId="164" fontId="28" fillId="0" borderId="0"/>
    <xf numFmtId="164" fontId="2" fillId="0" borderId="0"/>
    <xf numFmtId="164" fontId="3" fillId="0" borderId="0"/>
    <xf numFmtId="49" fontId="65" fillId="22" borderId="0" applyBorder="0" applyProtection="0">
      <alignment horizontal="left" vertical="top" wrapText="1"/>
    </xf>
    <xf numFmtId="164" fontId="1" fillId="0" borderId="0"/>
    <xf numFmtId="164" fontId="3" fillId="0" borderId="0"/>
    <xf numFmtId="164" fontId="1" fillId="0" borderId="0"/>
    <xf numFmtId="164" fontId="7" fillId="0" borderId="0" applyNumberFormat="0" applyFill="0" applyBorder="0" applyAlignment="0" applyProtection="0"/>
    <xf numFmtId="164" fontId="28" fillId="0" borderId="0"/>
    <xf numFmtId="164" fontId="16" fillId="0" borderId="0"/>
    <xf numFmtId="164" fontId="23" fillId="0" borderId="0"/>
  </cellStyleXfs>
  <cellXfs count="1450">
    <xf numFmtId="164" fontId="0" fillId="0" borderId="0" xfId="0"/>
    <xf numFmtId="164" fontId="28" fillId="0" borderId="0" xfId="0" applyFont="1"/>
    <xf numFmtId="164" fontId="28" fillId="6" borderId="0" xfId="0" applyFont="1" applyFill="1"/>
    <xf numFmtId="164" fontId="28" fillId="0" borderId="1" xfId="0" applyFont="1" applyBorder="1" applyAlignment="1">
      <alignment horizontal="center"/>
    </xf>
    <xf numFmtId="164" fontId="28" fillId="6" borderId="1" xfId="9" applyFont="1" applyFill="1" applyBorder="1" applyAlignment="1">
      <alignment horizontal="center"/>
    </xf>
    <xf numFmtId="164" fontId="28" fillId="6" borderId="1" xfId="0" applyFont="1" applyFill="1" applyBorder="1" applyAlignment="1">
      <alignment horizontal="center"/>
    </xf>
    <xf numFmtId="0" fontId="28" fillId="0" borderId="0" xfId="1" applyNumberFormat="1" applyFont="1" applyAlignment="1">
      <alignment vertical="top"/>
    </xf>
    <xf numFmtId="0" fontId="45" fillId="0" borderId="0" xfId="1" applyNumberFormat="1" applyFont="1" applyAlignment="1"/>
    <xf numFmtId="0" fontId="28" fillId="0" borderId="0" xfId="1" applyNumberFormat="1" applyFont="1" applyAlignment="1"/>
    <xf numFmtId="0" fontId="46" fillId="0" borderId="0" xfId="2" applyNumberFormat="1" applyFont="1" applyFill="1" applyAlignment="1">
      <alignment vertical="top"/>
    </xf>
    <xf numFmtId="0" fontId="28" fillId="0" borderId="0" xfId="1" applyNumberFormat="1" applyFont="1" applyFill="1" applyAlignment="1">
      <alignment vertical="top"/>
    </xf>
    <xf numFmtId="0" fontId="28" fillId="0" borderId="0" xfId="3" applyNumberFormat="1" applyFont="1" applyFill="1" applyAlignment="1">
      <alignment horizontal="right"/>
    </xf>
    <xf numFmtId="0" fontId="28" fillId="0" borderId="0" xfId="1" applyNumberFormat="1" applyFont="1" applyFill="1" applyAlignment="1"/>
    <xf numFmtId="0" fontId="28" fillId="0" borderId="0" xfId="0" applyNumberFormat="1" applyFont="1"/>
    <xf numFmtId="0" fontId="28" fillId="0" borderId="0" xfId="1" applyNumberFormat="1" applyFont="1" applyAlignment="1">
      <alignment horizontal="right" vertical="top"/>
    </xf>
    <xf numFmtId="0" fontId="45" fillId="2" borderId="3" xfId="1" applyNumberFormat="1" applyFont="1" applyFill="1" applyBorder="1" applyAlignment="1"/>
    <xf numFmtId="0" fontId="45" fillId="2" borderId="4" xfId="1" applyNumberFormat="1" applyFont="1" applyFill="1" applyBorder="1" applyAlignment="1"/>
    <xf numFmtId="0" fontId="45" fillId="2" borderId="5" xfId="1" applyNumberFormat="1" applyFont="1" applyFill="1" applyBorder="1" applyAlignment="1"/>
    <xf numFmtId="0" fontId="45" fillId="9" borderId="0" xfId="1" quotePrefix="1" applyNumberFormat="1" applyFont="1" applyFill="1" applyAlignment="1"/>
    <xf numFmtId="0" fontId="45" fillId="9" borderId="0" xfId="1" applyNumberFormat="1" applyFont="1" applyFill="1" applyBorder="1" applyAlignment="1"/>
    <xf numFmtId="0" fontId="28" fillId="9" borderId="0" xfId="1" applyNumberFormat="1" applyFont="1" applyFill="1" applyBorder="1" applyAlignment="1"/>
    <xf numFmtId="0" fontId="28" fillId="0" borderId="0" xfId="1" applyNumberFormat="1" applyFont="1" applyFill="1" applyBorder="1" applyAlignment="1"/>
    <xf numFmtId="0" fontId="45" fillId="0" borderId="0" xfId="1" applyNumberFormat="1" applyFont="1" applyFill="1" applyBorder="1" applyAlignment="1"/>
    <xf numFmtId="0" fontId="28" fillId="0" borderId="0" xfId="1" applyNumberFormat="1" applyFont="1" applyFill="1" applyBorder="1" applyAlignment="1">
      <alignment vertical="top"/>
    </xf>
    <xf numFmtId="0" fontId="45" fillId="0" borderId="0" xfId="1" applyNumberFormat="1" applyFont="1" applyFill="1" applyBorder="1" applyAlignment="1">
      <alignment vertical="top"/>
    </xf>
    <xf numFmtId="0" fontId="28" fillId="0" borderId="10" xfId="2" applyNumberFormat="1" applyFont="1" applyFill="1" applyBorder="1" applyAlignment="1"/>
    <xf numFmtId="0" fontId="45" fillId="11" borderId="88" xfId="1" applyNumberFormat="1" applyFont="1" applyFill="1" applyBorder="1" applyAlignment="1"/>
    <xf numFmtId="0" fontId="28" fillId="0" borderId="23" xfId="1" applyNumberFormat="1" applyFont="1" applyFill="1" applyBorder="1" applyAlignment="1"/>
    <xf numFmtId="0" fontId="45" fillId="11" borderId="90" xfId="1" applyNumberFormat="1" applyFont="1" applyFill="1" applyBorder="1" applyAlignment="1"/>
    <xf numFmtId="0" fontId="28" fillId="0" borderId="10" xfId="1" applyNumberFormat="1" applyFont="1" applyFill="1" applyBorder="1" applyAlignment="1"/>
    <xf numFmtId="0" fontId="45" fillId="0" borderId="10" xfId="2" applyNumberFormat="1" applyFont="1" applyFill="1" applyBorder="1" applyAlignment="1"/>
    <xf numFmtId="0" fontId="46" fillId="0" borderId="84" xfId="2" applyNumberFormat="1" applyFont="1" applyFill="1" applyBorder="1" applyAlignment="1"/>
    <xf numFmtId="0" fontId="3" fillId="0" borderId="23" xfId="15" applyNumberFormat="1" applyFont="1" applyFill="1" applyBorder="1" applyAlignment="1"/>
    <xf numFmtId="0" fontId="45" fillId="0" borderId="0" xfId="1" applyNumberFormat="1" applyFont="1" applyFill="1" applyAlignment="1">
      <alignment vertical="top"/>
    </xf>
    <xf numFmtId="0" fontId="28" fillId="0" borderId="13" xfId="2" applyNumberFormat="1" applyFont="1" applyFill="1" applyBorder="1" applyAlignment="1"/>
    <xf numFmtId="0" fontId="45" fillId="0" borderId="11" xfId="1" applyNumberFormat="1" applyFont="1" applyFill="1" applyBorder="1" applyAlignment="1"/>
    <xf numFmtId="0" fontId="28" fillId="0" borderId="9" xfId="1" applyNumberFormat="1" applyFont="1" applyFill="1" applyBorder="1" applyAlignment="1"/>
    <xf numFmtId="0" fontId="28" fillId="0" borderId="13" xfId="1" applyNumberFormat="1" applyFont="1" applyFill="1" applyBorder="1" applyAlignment="1"/>
    <xf numFmtId="0" fontId="45" fillId="0" borderId="13" xfId="0" applyNumberFormat="1" applyFont="1" applyFill="1" applyBorder="1" applyAlignment="1"/>
    <xf numFmtId="0" fontId="28" fillId="0" borderId="9" xfId="2" applyNumberFormat="1" applyFont="1" applyFill="1" applyBorder="1" applyAlignment="1"/>
    <xf numFmtId="0" fontId="7" fillId="0" borderId="15" xfId="2" applyNumberFormat="1" applyFill="1" applyBorder="1" applyAlignment="1">
      <alignment horizontal="right"/>
    </xf>
    <xf numFmtId="0" fontId="3" fillId="0" borderId="9" xfId="15" applyNumberFormat="1" applyFont="1" applyFill="1" applyBorder="1" applyAlignment="1"/>
    <xf numFmtId="0" fontId="5" fillId="0" borderId="46" xfId="15" applyNumberFormat="1" applyFont="1" applyFill="1" applyBorder="1" applyAlignment="1"/>
    <xf numFmtId="0" fontId="28" fillId="0" borderId="91" xfId="2" applyNumberFormat="1" applyFont="1" applyFill="1" applyBorder="1" applyAlignment="1"/>
    <xf numFmtId="0" fontId="45" fillId="0" borderId="16" xfId="1" applyNumberFormat="1" applyFont="1" applyFill="1" applyBorder="1" applyAlignment="1"/>
    <xf numFmtId="0" fontId="28" fillId="0" borderId="85" xfId="1" applyNumberFormat="1" applyFont="1" applyFill="1" applyBorder="1" applyAlignment="1"/>
    <xf numFmtId="0" fontId="45" fillId="0" borderId="54" xfId="1" applyNumberFormat="1" applyFont="1" applyFill="1" applyBorder="1" applyAlignment="1"/>
    <xf numFmtId="0" fontId="28" fillId="0" borderId="91" xfId="1" applyNumberFormat="1" applyFont="1" applyFill="1" applyBorder="1" applyAlignment="1"/>
    <xf numFmtId="0" fontId="47" fillId="0" borderId="91" xfId="2" applyNumberFormat="1" applyFont="1" applyFill="1" applyBorder="1" applyAlignment="1"/>
    <xf numFmtId="0" fontId="45" fillId="0" borderId="92" xfId="1" applyNumberFormat="1" applyFont="1" applyFill="1" applyBorder="1" applyAlignment="1"/>
    <xf numFmtId="0" fontId="28" fillId="0" borderId="53" xfId="2" applyNumberFormat="1" applyFont="1" applyFill="1" applyBorder="1" applyAlignment="1"/>
    <xf numFmtId="0" fontId="28" fillId="0" borderId="53" xfId="2" applyNumberFormat="1" applyFont="1" applyBorder="1"/>
    <xf numFmtId="0" fontId="3" fillId="0" borderId="53" xfId="15" applyNumberFormat="1" applyFont="1" applyFill="1" applyBorder="1" applyAlignment="1"/>
    <xf numFmtId="0" fontId="3" fillId="0" borderId="16" xfId="15" applyNumberFormat="1" applyFont="1" applyFill="1" applyBorder="1" applyAlignment="1"/>
    <xf numFmtId="0" fontId="3" fillId="0" borderId="13" xfId="15" applyNumberFormat="1" applyFont="1" applyFill="1" applyBorder="1" applyAlignment="1"/>
    <xf numFmtId="0" fontId="5" fillId="11" borderId="7" xfId="15" applyNumberFormat="1" applyFont="1" applyFill="1" applyBorder="1" applyAlignment="1"/>
    <xf numFmtId="0" fontId="8" fillId="0" borderId="9" xfId="2" applyNumberFormat="1" applyFont="1" applyFill="1" applyBorder="1" applyAlignment="1"/>
    <xf numFmtId="0" fontId="5" fillId="11" borderId="8" xfId="15" applyNumberFormat="1" applyFont="1" applyFill="1" applyBorder="1" applyAlignment="1"/>
    <xf numFmtId="0" fontId="20" fillId="0" borderId="13" xfId="2" applyNumberFormat="1" applyFont="1" applyFill="1" applyBorder="1" applyAlignment="1"/>
    <xf numFmtId="0" fontId="47" fillId="8" borderId="10" xfId="2" applyNumberFormat="1" applyFont="1" applyFill="1" applyBorder="1" applyAlignment="1"/>
    <xf numFmtId="0" fontId="5" fillId="11" borderId="14" xfId="1" applyNumberFormat="1" applyFont="1" applyFill="1" applyBorder="1" applyAlignment="1"/>
    <xf numFmtId="0" fontId="5" fillId="0" borderId="0" xfId="15" applyNumberFormat="1" applyFont="1" applyFill="1" applyBorder="1" applyAlignment="1"/>
    <xf numFmtId="0" fontId="19" fillId="0" borderId="13" xfId="2" applyNumberFormat="1" applyFont="1" applyFill="1" applyBorder="1" applyAlignment="1"/>
    <xf numFmtId="0" fontId="45" fillId="8" borderId="13" xfId="1" applyNumberFormat="1" applyFont="1" applyFill="1" applyBorder="1" applyAlignment="1"/>
    <xf numFmtId="0" fontId="5" fillId="8" borderId="11" xfId="1" applyNumberFormat="1" applyFont="1" applyFill="1" applyBorder="1" applyAlignment="1"/>
    <xf numFmtId="0" fontId="3" fillId="0" borderId="21" xfId="15" applyNumberFormat="1" applyFont="1" applyFill="1" applyBorder="1" applyAlignment="1"/>
    <xf numFmtId="0" fontId="5" fillId="0" borderId="34" xfId="15" applyNumberFormat="1" applyFont="1" applyFill="1" applyBorder="1" applyAlignment="1"/>
    <xf numFmtId="0" fontId="47" fillId="8" borderId="101" xfId="2" applyNumberFormat="1" applyFont="1" applyFill="1" applyBorder="1" applyAlignment="1"/>
    <xf numFmtId="0" fontId="5" fillId="8" borderId="102" xfId="1" applyNumberFormat="1" applyFont="1" applyFill="1" applyBorder="1" applyAlignment="1"/>
    <xf numFmtId="0" fontId="3" fillId="0" borderId="19" xfId="15" applyNumberFormat="1" applyFont="1" applyFill="1" applyBorder="1" applyAlignment="1"/>
    <xf numFmtId="0" fontId="3" fillId="0" borderId="18" xfId="15" applyNumberFormat="1" applyFont="1" applyFill="1" applyBorder="1" applyAlignment="1"/>
    <xf numFmtId="0" fontId="3" fillId="0" borderId="17" xfId="15" applyNumberFormat="1" applyFont="1" applyFill="1" applyBorder="1" applyAlignment="1"/>
    <xf numFmtId="0" fontId="0" fillId="0" borderId="39" xfId="0" applyNumberFormat="1" applyBorder="1" applyAlignment="1"/>
    <xf numFmtId="0" fontId="20" fillId="0" borderId="42" xfId="2" applyNumberFormat="1" applyFont="1" applyFill="1" applyBorder="1" applyAlignment="1"/>
    <xf numFmtId="0" fontId="3" fillId="0" borderId="42" xfId="15" applyNumberFormat="1" applyFont="1" applyFill="1" applyBorder="1" applyAlignment="1"/>
    <xf numFmtId="0" fontId="20" fillId="0" borderId="42" xfId="2" applyNumberFormat="1" applyFont="1" applyFill="1" applyBorder="1" applyAlignment="1">
      <alignment horizontal="center"/>
    </xf>
    <xf numFmtId="0" fontId="20" fillId="0" borderId="86" xfId="2" applyNumberFormat="1" applyFont="1" applyFill="1" applyBorder="1" applyAlignment="1"/>
    <xf numFmtId="0" fontId="5" fillId="0" borderId="103" xfId="6" applyNumberFormat="1" applyFont="1" applyFill="1" applyBorder="1" applyAlignment="1"/>
    <xf numFmtId="0" fontId="20" fillId="0" borderId="104" xfId="2" applyNumberFormat="1" applyFont="1" applyFill="1" applyBorder="1" applyAlignment="1">
      <alignment horizontal="right"/>
    </xf>
    <xf numFmtId="0" fontId="3" fillId="0" borderId="32" xfId="15" applyNumberFormat="1" applyFont="1" applyFill="1" applyBorder="1" applyAlignment="1"/>
    <xf numFmtId="0" fontId="5" fillId="11" borderId="12" xfId="15" applyNumberFormat="1" applyFont="1" applyFill="1" applyBorder="1" applyAlignment="1"/>
    <xf numFmtId="0" fontId="3" fillId="0" borderId="6" xfId="15" applyNumberFormat="1" applyFont="1" applyFill="1" applyBorder="1" applyAlignment="1"/>
    <xf numFmtId="0" fontId="8" fillId="0" borderId="6" xfId="2" applyNumberFormat="1" applyFont="1" applyFill="1" applyBorder="1" applyAlignment="1"/>
    <xf numFmtId="0" fontId="5" fillId="11" borderId="27" xfId="15" applyNumberFormat="1" applyFont="1" applyFill="1" applyBorder="1" applyAlignment="1"/>
    <xf numFmtId="0" fontId="20" fillId="0" borderId="6" xfId="2" applyNumberFormat="1" applyFont="1" applyFill="1" applyBorder="1" applyAlignment="1"/>
    <xf numFmtId="0" fontId="20" fillId="0" borderId="87" xfId="2" applyNumberFormat="1" applyFont="1" applyFill="1" applyBorder="1" applyAlignment="1"/>
    <xf numFmtId="0" fontId="19" fillId="0" borderId="9" xfId="0" applyNumberFormat="1" applyFont="1" applyFill="1" applyBorder="1" applyAlignment="1"/>
    <xf numFmtId="0" fontId="5" fillId="0" borderId="15" xfId="15" applyNumberFormat="1" applyFont="1" applyFill="1" applyBorder="1" applyAlignment="1"/>
    <xf numFmtId="0" fontId="3" fillId="0" borderId="0" xfId="15" applyNumberFormat="1" applyFont="1" applyFill="1" applyBorder="1" applyAlignment="1"/>
    <xf numFmtId="0" fontId="3" fillId="0" borderId="15" xfId="15" applyNumberFormat="1" applyFont="1" applyFill="1" applyBorder="1" applyAlignment="1"/>
    <xf numFmtId="0" fontId="3" fillId="0" borderId="35" xfId="15" applyNumberFormat="1" applyFont="1" applyFill="1" applyBorder="1" applyAlignment="1"/>
    <xf numFmtId="0" fontId="46" fillId="3" borderId="10" xfId="2" applyNumberFormat="1" applyFont="1" applyFill="1" applyBorder="1" applyAlignment="1"/>
    <xf numFmtId="0" fontId="45" fillId="11" borderId="12" xfId="1" applyNumberFormat="1" applyFont="1" applyFill="1" applyBorder="1" applyAlignment="1"/>
    <xf numFmtId="0" fontId="45" fillId="11" borderId="27" xfId="1" applyNumberFormat="1" applyFont="1" applyFill="1" applyBorder="1" applyAlignment="1"/>
    <xf numFmtId="0" fontId="46" fillId="0" borderId="6" xfId="2" applyNumberFormat="1" applyFont="1" applyFill="1" applyBorder="1" applyAlignment="1"/>
    <xf numFmtId="0" fontId="46" fillId="11" borderId="6" xfId="2" applyNumberFormat="1" applyFont="1" applyFill="1" applyBorder="1" applyAlignment="1"/>
    <xf numFmtId="0" fontId="47" fillId="15" borderId="6" xfId="2" applyNumberFormat="1" applyFont="1" applyFill="1" applyBorder="1" applyAlignment="1"/>
    <xf numFmtId="0" fontId="28" fillId="3" borderId="13" xfId="0" applyNumberFormat="1" applyFont="1" applyFill="1" applyBorder="1" applyAlignment="1"/>
    <xf numFmtId="0" fontId="45" fillId="3" borderId="0" xfId="1" applyNumberFormat="1" applyFont="1" applyFill="1" applyBorder="1" applyAlignment="1"/>
    <xf numFmtId="0" fontId="28" fillId="0" borderId="9" xfId="0" applyNumberFormat="1" applyFont="1" applyFill="1" applyBorder="1" applyAlignment="1"/>
    <xf numFmtId="0" fontId="28" fillId="11" borderId="9" xfId="15" applyNumberFormat="1" applyFont="1" applyFill="1" applyBorder="1" applyAlignment="1"/>
    <xf numFmtId="0" fontId="5" fillId="11" borderId="0" xfId="15" applyNumberFormat="1" applyFont="1" applyFill="1" applyBorder="1" applyAlignment="1"/>
    <xf numFmtId="0" fontId="45" fillId="15" borderId="9" xfId="1" applyNumberFormat="1" applyFont="1" applyFill="1" applyBorder="1" applyAlignment="1">
      <alignment vertical="top"/>
    </xf>
    <xf numFmtId="0" fontId="7" fillId="15" borderId="98" xfId="2" applyNumberFormat="1" applyFill="1" applyBorder="1" applyAlignment="1"/>
    <xf numFmtId="0" fontId="28" fillId="0" borderId="19" xfId="1" applyNumberFormat="1" applyFont="1" applyFill="1" applyBorder="1" applyAlignment="1"/>
    <xf numFmtId="0" fontId="45" fillId="0" borderId="18" xfId="1" applyNumberFormat="1" applyFont="1" applyFill="1" applyBorder="1" applyAlignment="1"/>
    <xf numFmtId="0" fontId="46" fillId="3" borderId="19" xfId="4" applyNumberFormat="1" applyFont="1" applyFill="1" applyBorder="1" applyAlignment="1"/>
    <xf numFmtId="0" fontId="45" fillId="3" borderId="18" xfId="1" applyNumberFormat="1" applyFont="1" applyFill="1" applyBorder="1" applyAlignment="1"/>
    <xf numFmtId="0" fontId="28" fillId="0" borderId="17" xfId="1" applyNumberFormat="1" applyFont="1" applyFill="1" applyBorder="1" applyAlignment="1"/>
    <xf numFmtId="0" fontId="28" fillId="0" borderId="17" xfId="0" applyNumberFormat="1" applyFont="1" applyFill="1" applyBorder="1" applyAlignment="1"/>
    <xf numFmtId="0" fontId="46" fillId="11" borderId="91" xfId="2" applyNumberFormat="1" applyFont="1" applyFill="1" applyBorder="1" applyAlignment="1"/>
    <xf numFmtId="0" fontId="3" fillId="11" borderId="18" xfId="15" applyNumberFormat="1" applyFont="1" applyFill="1" applyBorder="1" applyAlignment="1"/>
    <xf numFmtId="0" fontId="47" fillId="15" borderId="19" xfId="2" applyNumberFormat="1" applyFont="1" applyFill="1" applyBorder="1" applyAlignment="1"/>
    <xf numFmtId="0" fontId="5" fillId="15" borderId="20" xfId="1" applyNumberFormat="1" applyFont="1" applyFill="1" applyBorder="1" applyAlignment="1"/>
    <xf numFmtId="0" fontId="28" fillId="0" borderId="32" xfId="1" applyNumberFormat="1" applyFont="1" applyFill="1" applyBorder="1" applyAlignment="1"/>
    <xf numFmtId="0" fontId="28" fillId="0" borderId="6" xfId="1" applyNumberFormat="1" applyFont="1" applyFill="1" applyBorder="1" applyAlignment="1"/>
    <xf numFmtId="0" fontId="45" fillId="11" borderId="24" xfId="1" applyNumberFormat="1" applyFont="1" applyFill="1" applyBorder="1" applyAlignment="1"/>
    <xf numFmtId="0" fontId="28" fillId="0" borderId="0" xfId="0" applyNumberFormat="1" applyFont="1" applyBorder="1"/>
    <xf numFmtId="0" fontId="28" fillId="0" borderId="111" xfId="1" applyNumberFormat="1" applyFont="1" applyFill="1" applyBorder="1" applyAlignment="1"/>
    <xf numFmtId="0" fontId="28" fillId="0" borderId="112" xfId="1" applyNumberFormat="1" applyFont="1" applyFill="1" applyBorder="1" applyAlignment="1"/>
    <xf numFmtId="0" fontId="28" fillId="0" borderId="113" xfId="1" applyNumberFormat="1" applyFont="1" applyFill="1" applyBorder="1" applyAlignment="1"/>
    <xf numFmtId="0" fontId="45" fillId="0" borderId="114" xfId="1" applyNumberFormat="1" applyFont="1" applyFill="1" applyBorder="1" applyAlignment="1"/>
    <xf numFmtId="0" fontId="28" fillId="0" borderId="26" xfId="1" applyNumberFormat="1" applyFont="1" applyFill="1" applyBorder="1" applyAlignment="1"/>
    <xf numFmtId="0" fontId="45" fillId="11" borderId="97" xfId="1" applyNumberFormat="1" applyFont="1" applyFill="1" applyBorder="1" applyAlignment="1"/>
    <xf numFmtId="0" fontId="46" fillId="0" borderId="26" xfId="2" applyNumberFormat="1" applyFont="1" applyFill="1" applyBorder="1" applyAlignment="1"/>
    <xf numFmtId="0" fontId="47" fillId="12" borderId="6" xfId="2" applyNumberFormat="1" applyFont="1" applyFill="1" applyBorder="1" applyAlignment="1"/>
    <xf numFmtId="0" fontId="5" fillId="11" borderId="27" xfId="1" applyNumberFormat="1" applyFont="1" applyFill="1" applyBorder="1" applyAlignment="1"/>
    <xf numFmtId="0" fontId="45" fillId="0" borderId="15" xfId="1" applyNumberFormat="1" applyFont="1" applyFill="1" applyBorder="1" applyAlignment="1"/>
    <xf numFmtId="0" fontId="46" fillId="0" borderId="0" xfId="2" applyNumberFormat="1" applyFont="1" applyFill="1" applyBorder="1" applyAlignment="1"/>
    <xf numFmtId="0" fontId="45" fillId="12" borderId="9" xfId="1" applyNumberFormat="1" applyFont="1" applyFill="1" applyBorder="1" applyAlignment="1"/>
    <xf numFmtId="0" fontId="5" fillId="12" borderId="15" xfId="1" applyNumberFormat="1" applyFont="1" applyFill="1" applyBorder="1" applyAlignment="1"/>
    <xf numFmtId="0" fontId="28" fillId="0" borderId="15" xfId="1" applyNumberFormat="1" applyFont="1" applyFill="1" applyBorder="1" applyAlignment="1"/>
    <xf numFmtId="0" fontId="28" fillId="0" borderId="21" xfId="1" applyNumberFormat="1" applyFont="1" applyFill="1" applyBorder="1" applyAlignment="1"/>
    <xf numFmtId="0" fontId="28" fillId="0" borderId="35" xfId="1" applyNumberFormat="1" applyFont="1" applyFill="1" applyBorder="1" applyAlignment="1"/>
    <xf numFmtId="0" fontId="46" fillId="3" borderId="34" xfId="2" applyNumberFormat="1" applyFont="1" applyFill="1" applyBorder="1" applyAlignment="1"/>
    <xf numFmtId="0" fontId="46" fillId="0" borderId="34" xfId="2" applyNumberFormat="1" applyFont="1" applyFill="1" applyBorder="1" applyAlignment="1"/>
    <xf numFmtId="0" fontId="47" fillId="12" borderId="50" xfId="2" applyNumberFormat="1" applyFont="1" applyFill="1" applyBorder="1" applyAlignment="1"/>
    <xf numFmtId="0" fontId="3" fillId="12" borderId="35" xfId="1" applyNumberFormat="1" applyFont="1" applyFill="1" applyBorder="1" applyAlignment="1"/>
    <xf numFmtId="0" fontId="19" fillId="0" borderId="39" xfId="1" applyNumberFormat="1" applyFont="1" applyFill="1" applyBorder="1" applyAlignment="1"/>
    <xf numFmtId="0" fontId="50" fillId="0" borderId="42" xfId="1" applyNumberFormat="1" applyFont="1" applyFill="1" applyBorder="1" applyAlignment="1"/>
    <xf numFmtId="0" fontId="19" fillId="0" borderId="42" xfId="0" applyNumberFormat="1" applyFont="1" applyBorder="1"/>
    <xf numFmtId="0" fontId="19" fillId="0" borderId="42" xfId="1" applyNumberFormat="1" applyFont="1" applyFill="1" applyBorder="1" applyAlignment="1">
      <alignment horizontal="right"/>
    </xf>
    <xf numFmtId="0" fontId="20" fillId="0" borderId="40" xfId="2" applyNumberFormat="1" applyFont="1" applyFill="1" applyBorder="1" applyAlignment="1">
      <alignment horizontal="right"/>
    </xf>
    <xf numFmtId="0" fontId="47" fillId="8" borderId="6" xfId="2" applyNumberFormat="1" applyFont="1" applyFill="1" applyBorder="1" applyAlignment="1"/>
    <xf numFmtId="0" fontId="28" fillId="0" borderId="9" xfId="1" applyNumberFormat="1" applyFont="1" applyFill="1" applyBorder="1" applyAlignment="1">
      <alignment vertical="top"/>
    </xf>
    <xf numFmtId="0" fontId="45" fillId="8" borderId="9" xfId="1" applyNumberFormat="1" applyFont="1" applyFill="1" applyBorder="1" applyAlignment="1">
      <alignment vertical="top"/>
    </xf>
    <xf numFmtId="0" fontId="7" fillId="8" borderId="15" xfId="2" applyNumberFormat="1" applyFill="1" applyBorder="1" applyAlignment="1"/>
    <xf numFmtId="0" fontId="53" fillId="0" borderId="21" xfId="1" applyNumberFormat="1" applyFont="1" applyFill="1" applyBorder="1" applyAlignment="1"/>
    <xf numFmtId="0" fontId="45" fillId="0" borderId="34" xfId="1" applyNumberFormat="1" applyFont="1" applyFill="1" applyBorder="1" applyAlignment="1"/>
    <xf numFmtId="0" fontId="47" fillId="8" borderId="91" xfId="2" applyNumberFormat="1" applyFont="1" applyFill="1" applyBorder="1" applyAlignment="1"/>
    <xf numFmtId="0" fontId="7" fillId="8" borderId="35" xfId="2" applyNumberFormat="1" applyFill="1" applyBorder="1" applyAlignment="1"/>
    <xf numFmtId="0" fontId="52" fillId="0" borderId="22" xfId="2" applyNumberFormat="1" applyFont="1" applyFill="1" applyBorder="1" applyAlignment="1">
      <alignment vertical="top"/>
    </xf>
    <xf numFmtId="0" fontId="7" fillId="0" borderId="98" xfId="2" applyNumberFormat="1" applyFill="1" applyBorder="1" applyAlignment="1"/>
    <xf numFmtId="0" fontId="54" fillId="0" borderId="0" xfId="1" applyNumberFormat="1" applyFont="1" applyFill="1" applyBorder="1" applyAlignment="1"/>
    <xf numFmtId="0" fontId="19" fillId="0" borderId="9" xfId="1" applyNumberFormat="1" applyFont="1" applyFill="1" applyBorder="1" applyAlignment="1"/>
    <xf numFmtId="0" fontId="7" fillId="0" borderId="15" xfId="2" applyNumberFormat="1" applyFill="1" applyBorder="1" applyAlignment="1"/>
    <xf numFmtId="0" fontId="45" fillId="0" borderId="20" xfId="1" applyNumberFormat="1" applyFont="1" applyFill="1" applyBorder="1" applyAlignment="1"/>
    <xf numFmtId="0" fontId="28" fillId="0" borderId="18" xfId="1" applyNumberFormat="1" applyFont="1" applyFill="1" applyBorder="1" applyAlignment="1"/>
    <xf numFmtId="0" fontId="28" fillId="0" borderId="17" xfId="1" applyNumberFormat="1" applyFont="1" applyFill="1" applyBorder="1" applyAlignment="1">
      <alignment vertical="top"/>
    </xf>
    <xf numFmtId="0" fontId="28" fillId="0" borderId="18" xfId="1" applyNumberFormat="1" applyFont="1" applyFill="1" applyBorder="1" applyAlignment="1">
      <alignment horizontal="right" vertical="top"/>
    </xf>
    <xf numFmtId="0" fontId="28" fillId="0" borderId="20" xfId="1" applyNumberFormat="1" applyFont="1" applyFill="1" applyBorder="1" applyAlignment="1"/>
    <xf numFmtId="0" fontId="20" fillId="0" borderId="54" xfId="2" applyNumberFormat="1" applyFont="1" applyFill="1" applyBorder="1" applyAlignment="1"/>
    <xf numFmtId="0" fontId="20" fillId="0" borderId="91" xfId="2" applyNumberFormat="1" applyFont="1" applyFill="1" applyBorder="1" applyAlignment="1"/>
    <xf numFmtId="0" fontId="45" fillId="11" borderId="8" xfId="1" applyNumberFormat="1" applyFont="1" applyFill="1" applyBorder="1" applyAlignment="1"/>
    <xf numFmtId="0" fontId="45" fillId="11" borderId="7" xfId="1" applyNumberFormat="1" applyFont="1" applyFill="1" applyBorder="1" applyAlignment="1"/>
    <xf numFmtId="0" fontId="47" fillId="0" borderId="29" xfId="2" applyNumberFormat="1" applyFont="1" applyFill="1" applyBorder="1" applyAlignment="1"/>
    <xf numFmtId="0" fontId="46" fillId="13" borderId="30" xfId="2" applyNumberFormat="1" applyFont="1" applyFill="1" applyBorder="1" applyAlignment="1"/>
    <xf numFmtId="0" fontId="28" fillId="3" borderId="0" xfId="1" applyNumberFormat="1" applyFont="1" applyFill="1" applyBorder="1" applyAlignment="1"/>
    <xf numFmtId="0" fontId="45" fillId="0" borderId="13" xfId="1" applyNumberFormat="1" applyFont="1" applyFill="1" applyBorder="1" applyAlignment="1"/>
    <xf numFmtId="0" fontId="28" fillId="13" borderId="9" xfId="1" applyNumberFormat="1" applyFont="1" applyFill="1" applyBorder="1" applyAlignment="1"/>
    <xf numFmtId="0" fontId="28" fillId="13" borderId="15" xfId="1" applyNumberFormat="1" applyFont="1" applyFill="1" applyBorder="1" applyAlignment="1"/>
    <xf numFmtId="0" fontId="28" fillId="0" borderId="11" xfId="1" applyNumberFormat="1" applyFont="1" applyFill="1" applyBorder="1" applyAlignment="1"/>
    <xf numFmtId="0" fontId="47" fillId="6" borderId="91" xfId="2" applyNumberFormat="1" applyFont="1" applyFill="1" applyBorder="1" applyAlignment="1"/>
    <xf numFmtId="0" fontId="28" fillId="0" borderId="31" xfId="1" applyNumberFormat="1" applyFont="1" applyFill="1" applyBorder="1" applyAlignment="1"/>
    <xf numFmtId="0" fontId="46" fillId="13" borderId="91" xfId="2" applyNumberFormat="1" applyFont="1" applyFill="1" applyBorder="1" applyAlignment="1"/>
    <xf numFmtId="0" fontId="73" fillId="3" borderId="10" xfId="2" applyNumberFormat="1" applyFont="1" applyFill="1" applyBorder="1" applyAlignment="1"/>
    <xf numFmtId="0" fontId="46" fillId="0" borderId="6" xfId="2" applyNumberFormat="1" applyFont="1" applyFill="1" applyBorder="1" applyAlignment="1">
      <alignment vertical="top"/>
    </xf>
    <xf numFmtId="0" fontId="45" fillId="20" borderId="33" xfId="1" applyNumberFormat="1" applyFont="1" applyFill="1" applyBorder="1" applyAlignment="1"/>
    <xf numFmtId="0" fontId="45" fillId="20" borderId="27" xfId="1" applyNumberFormat="1" applyFont="1" applyFill="1" applyBorder="1" applyAlignment="1"/>
    <xf numFmtId="0" fontId="51" fillId="3" borderId="13" xfId="0" applyNumberFormat="1" applyFont="1" applyFill="1" applyBorder="1" applyAlignment="1"/>
    <xf numFmtId="0" fontId="46" fillId="0" borderId="9" xfId="2" applyNumberFormat="1" applyFont="1" applyFill="1" applyBorder="1" applyAlignment="1"/>
    <xf numFmtId="0" fontId="73" fillId="3" borderId="19" xfId="4" applyNumberFormat="1" applyFont="1" applyFill="1" applyBorder="1" applyAlignment="1"/>
    <xf numFmtId="0" fontId="28" fillId="3" borderId="18" xfId="1" applyNumberFormat="1" applyFont="1" applyFill="1" applyBorder="1" applyAlignment="1"/>
    <xf numFmtId="0" fontId="46" fillId="0" borderId="17" xfId="2" applyNumberFormat="1" applyFont="1" applyFill="1" applyBorder="1" applyAlignment="1">
      <alignment vertical="top"/>
    </xf>
    <xf numFmtId="0" fontId="28" fillId="0" borderId="25" xfId="1" applyNumberFormat="1" applyFont="1" applyFill="1" applyBorder="1" applyAlignment="1"/>
    <xf numFmtId="0" fontId="28" fillId="0" borderId="43" xfId="0" applyNumberFormat="1" applyFont="1" applyBorder="1"/>
    <xf numFmtId="0" fontId="28" fillId="0" borderId="26" xfId="0" applyNumberFormat="1" applyFont="1" applyBorder="1"/>
    <xf numFmtId="0" fontId="28" fillId="0" borderId="115" xfId="1" applyNumberFormat="1" applyFont="1" applyFill="1" applyBorder="1" applyAlignment="1"/>
    <xf numFmtId="0" fontId="45" fillId="0" borderId="116" xfId="1" applyNumberFormat="1" applyFont="1" applyFill="1" applyBorder="1" applyAlignment="1"/>
    <xf numFmtId="0" fontId="28" fillId="0" borderId="45" xfId="1" applyNumberFormat="1" applyFont="1" applyFill="1" applyBorder="1" applyAlignment="1"/>
    <xf numFmtId="0" fontId="45" fillId="0" borderId="45" xfId="1" applyNumberFormat="1" applyFont="1" applyFill="1" applyBorder="1" applyAlignment="1"/>
    <xf numFmtId="0" fontId="28" fillId="0" borderId="117" xfId="1" applyNumberFormat="1" applyFont="1" applyFill="1" applyBorder="1" applyAlignment="1"/>
    <xf numFmtId="0" fontId="28" fillId="0" borderId="43" xfId="1" applyNumberFormat="1" applyFont="1" applyFill="1" applyBorder="1" applyAlignment="1"/>
    <xf numFmtId="0" fontId="45" fillId="11" borderId="33" xfId="1" applyNumberFormat="1" applyFont="1" applyFill="1" applyBorder="1" applyAlignment="1"/>
    <xf numFmtId="0" fontId="45" fillId="9" borderId="0" xfId="1" quotePrefix="1" applyNumberFormat="1" applyFont="1" applyFill="1" applyBorder="1" applyAlignment="1"/>
    <xf numFmtId="0" fontId="28" fillId="11" borderId="15" xfId="1" applyNumberFormat="1" applyFont="1" applyFill="1" applyBorder="1" applyAlignment="1"/>
    <xf numFmtId="0" fontId="45" fillId="8" borderId="9" xfId="1" applyNumberFormat="1" applyFont="1" applyFill="1" applyBorder="1" applyAlignment="1"/>
    <xf numFmtId="0" fontId="46" fillId="11" borderId="19" xfId="2" applyNumberFormat="1" applyFont="1" applyFill="1" applyBorder="1" applyAlignment="1"/>
    <xf numFmtId="0" fontId="28" fillId="11" borderId="20" xfId="1" applyNumberFormat="1" applyFont="1" applyFill="1" applyBorder="1" applyAlignment="1"/>
    <xf numFmtId="0" fontId="5" fillId="8" borderId="20" xfId="1" applyNumberFormat="1" applyFont="1" applyFill="1" applyBorder="1" applyAlignment="1"/>
    <xf numFmtId="0" fontId="11" fillId="3" borderId="10" xfId="2" applyNumberFormat="1" applyFont="1" applyFill="1" applyBorder="1" applyAlignment="1"/>
    <xf numFmtId="0" fontId="45" fillId="11" borderId="36" xfId="1" applyNumberFormat="1" applyFont="1" applyFill="1" applyBorder="1" applyAlignment="1"/>
    <xf numFmtId="0" fontId="45" fillId="11" borderId="37" xfId="1" applyNumberFormat="1" applyFont="1" applyFill="1" applyBorder="1" applyAlignment="1"/>
    <xf numFmtId="0" fontId="47" fillId="0" borderId="6" xfId="2" applyNumberFormat="1" applyFont="1" applyFill="1" applyBorder="1" applyAlignment="1"/>
    <xf numFmtId="0" fontId="10" fillId="3" borderId="13" xfId="0" applyNumberFormat="1" applyFont="1" applyFill="1" applyBorder="1" applyAlignment="1"/>
    <xf numFmtId="0" fontId="28" fillId="3" borderId="15" xfId="1" applyNumberFormat="1" applyFont="1" applyFill="1" applyBorder="1" applyAlignment="1"/>
    <xf numFmtId="0" fontId="45" fillId="0" borderId="9" xfId="1" applyNumberFormat="1" applyFont="1" applyFill="1" applyBorder="1" applyAlignment="1"/>
    <xf numFmtId="0" fontId="28" fillId="0" borderId="49" xfId="1" applyNumberFormat="1" applyFont="1" applyFill="1" applyBorder="1" applyAlignment="1"/>
    <xf numFmtId="0" fontId="11" fillId="3" borderId="13" xfId="4" applyNumberFormat="1" applyFont="1" applyFill="1" applyBorder="1" applyAlignment="1"/>
    <xf numFmtId="0" fontId="47" fillId="0" borderId="0" xfId="2" applyNumberFormat="1" applyFont="1" applyBorder="1" applyAlignment="1"/>
    <xf numFmtId="0" fontId="47" fillId="0" borderId="21" xfId="2" applyNumberFormat="1" applyFont="1" applyBorder="1" applyAlignment="1"/>
    <xf numFmtId="0" fontId="28" fillId="3" borderId="9" xfId="1" applyNumberFormat="1" applyFont="1" applyFill="1" applyBorder="1" applyAlignment="1"/>
    <xf numFmtId="0" fontId="57" fillId="0" borderId="0" xfId="1" applyNumberFormat="1" applyFont="1" applyFill="1" applyBorder="1" applyAlignment="1"/>
    <xf numFmtId="0" fontId="28" fillId="0" borderId="22" xfId="2" applyNumberFormat="1" applyFont="1" applyFill="1" applyBorder="1" applyAlignment="1"/>
    <xf numFmtId="0" fontId="28" fillId="0" borderId="98" xfId="1" applyNumberFormat="1" applyFont="1" applyFill="1" applyBorder="1" applyAlignment="1"/>
    <xf numFmtId="0" fontId="5" fillId="0" borderId="0" xfId="1" applyNumberFormat="1" applyFont="1" applyFill="1" applyBorder="1" applyAlignment="1"/>
    <xf numFmtId="0" fontId="7" fillId="0" borderId="0" xfId="2" applyNumberFormat="1" applyFill="1" applyBorder="1" applyAlignment="1"/>
    <xf numFmtId="0" fontId="20" fillId="0" borderId="39" xfId="2" applyNumberFormat="1" applyFont="1" applyFill="1" applyBorder="1" applyAlignment="1"/>
    <xf numFmtId="0" fontId="45" fillId="0" borderId="42" xfId="1" applyNumberFormat="1" applyFont="1" applyFill="1" applyBorder="1" applyAlignment="1"/>
    <xf numFmtId="0" fontId="28" fillId="0" borderId="42" xfId="1" applyNumberFormat="1" applyFont="1" applyFill="1" applyBorder="1" applyAlignment="1"/>
    <xf numFmtId="0" fontId="45" fillId="0" borderId="40" xfId="1" applyNumberFormat="1" applyFont="1" applyFill="1" applyBorder="1" applyAlignment="1"/>
    <xf numFmtId="0" fontId="28" fillId="0" borderId="18" xfId="0" applyNumberFormat="1" applyFont="1" applyBorder="1"/>
    <xf numFmtId="0" fontId="46" fillId="0" borderId="17" xfId="2" applyNumberFormat="1" applyFont="1" applyBorder="1"/>
    <xf numFmtId="0" fontId="45" fillId="11" borderId="41" xfId="1" applyNumberFormat="1" applyFont="1" applyFill="1" applyBorder="1" applyAlignment="1"/>
    <xf numFmtId="0" fontId="47" fillId="0" borderId="13" xfId="2" applyNumberFormat="1" applyFont="1" applyFill="1" applyBorder="1" applyAlignment="1"/>
    <xf numFmtId="0" fontId="28" fillId="3" borderId="9" xfId="0" applyNumberFormat="1" applyFont="1" applyFill="1" applyBorder="1" applyAlignment="1"/>
    <xf numFmtId="0" fontId="45" fillId="3" borderId="15" xfId="1" applyNumberFormat="1" applyFont="1" applyFill="1" applyBorder="1" applyAlignment="1"/>
    <xf numFmtId="0" fontId="45" fillId="0" borderId="38" xfId="1" applyNumberFormat="1" applyFont="1" applyFill="1" applyBorder="1" applyAlignment="1"/>
    <xf numFmtId="0" fontId="46" fillId="3" borderId="9" xfId="4" applyNumberFormat="1" applyFont="1" applyFill="1" applyBorder="1" applyAlignment="1"/>
    <xf numFmtId="0" fontId="47" fillId="0" borderId="9" xfId="2" applyNumberFormat="1" applyFont="1" applyBorder="1" applyAlignment="1"/>
    <xf numFmtId="0" fontId="28" fillId="3" borderId="17" xfId="1" applyNumberFormat="1" applyFont="1" applyFill="1" applyBorder="1" applyAlignment="1"/>
    <xf numFmtId="0" fontId="45" fillId="3" borderId="20" xfId="1" applyNumberFormat="1" applyFont="1" applyFill="1" applyBorder="1" applyAlignment="1"/>
    <xf numFmtId="0" fontId="20" fillId="0" borderId="39" xfId="4" applyNumberFormat="1" applyFont="1" applyFill="1" applyBorder="1" applyAlignment="1"/>
    <xf numFmtId="0" fontId="19" fillId="0" borderId="42" xfId="1" applyNumberFormat="1" applyFont="1" applyFill="1" applyBorder="1" applyAlignment="1"/>
    <xf numFmtId="0" fontId="19" fillId="0" borderId="42" xfId="1" applyNumberFormat="1" applyFont="1" applyFill="1" applyBorder="1" applyAlignment="1">
      <alignment horizontal="center"/>
    </xf>
    <xf numFmtId="0" fontId="20" fillId="0" borderId="42" xfId="2" applyNumberFormat="1" applyFont="1" applyBorder="1" applyAlignment="1"/>
    <xf numFmtId="0" fontId="7" fillId="0" borderId="42" xfId="2" quotePrefix="1" applyNumberFormat="1" applyFill="1" applyBorder="1" applyAlignment="1"/>
    <xf numFmtId="0" fontId="20" fillId="0" borderId="40" xfId="2" quotePrefix="1" applyNumberFormat="1" applyFont="1" applyFill="1" applyBorder="1" applyAlignment="1">
      <alignment horizontal="right"/>
    </xf>
    <xf numFmtId="0" fontId="28" fillId="0" borderId="6" xfId="0" applyNumberFormat="1" applyFont="1" applyBorder="1"/>
    <xf numFmtId="0" fontId="47" fillId="7" borderId="26" xfId="2" applyNumberFormat="1" applyFont="1" applyFill="1" applyBorder="1" applyAlignment="1">
      <alignment vertical="top"/>
    </xf>
    <xf numFmtId="0" fontId="28" fillId="0" borderId="38" xfId="1" applyNumberFormat="1" applyFont="1" applyFill="1" applyBorder="1" applyAlignment="1"/>
    <xf numFmtId="0" fontId="28" fillId="0" borderId="9" xfId="0" applyNumberFormat="1" applyFont="1" applyBorder="1"/>
    <xf numFmtId="0" fontId="28" fillId="7" borderId="0" xfId="1" applyNumberFormat="1" applyFont="1" applyFill="1" applyBorder="1" applyAlignment="1">
      <alignment vertical="top"/>
    </xf>
    <xf numFmtId="0" fontId="28" fillId="7" borderId="15" xfId="1" applyNumberFormat="1" applyFont="1" applyFill="1" applyBorder="1" applyAlignment="1"/>
    <xf numFmtId="0" fontId="47" fillId="15" borderId="13" xfId="2" applyNumberFormat="1" applyFont="1" applyFill="1" applyBorder="1" applyAlignment="1"/>
    <xf numFmtId="0" fontId="5" fillId="15" borderId="15" xfId="1" applyNumberFormat="1" applyFont="1" applyFill="1" applyBorder="1" applyAlignment="1"/>
    <xf numFmtId="0" fontId="28" fillId="7" borderId="0" xfId="2" applyNumberFormat="1" applyFont="1" applyFill="1" applyBorder="1" applyAlignment="1"/>
    <xf numFmtId="0" fontId="46" fillId="0" borderId="9" xfId="4" applyNumberFormat="1" applyFont="1" applyFill="1" applyBorder="1" applyAlignment="1"/>
    <xf numFmtId="0" fontId="28" fillId="15" borderId="9" xfId="15" applyNumberFormat="1" applyFont="1" applyFill="1" applyBorder="1" applyAlignment="1"/>
    <xf numFmtId="0" fontId="45" fillId="15" borderId="15" xfId="1" applyNumberFormat="1" applyFont="1" applyFill="1" applyBorder="1" applyAlignment="1"/>
    <xf numFmtId="0" fontId="28" fillId="0" borderId="0" xfId="1" applyNumberFormat="1" applyFont="1" applyBorder="1" applyAlignment="1">
      <alignment vertical="top"/>
    </xf>
    <xf numFmtId="0" fontId="46" fillId="7" borderId="34" xfId="2" applyNumberFormat="1" applyFont="1" applyFill="1" applyBorder="1" applyAlignment="1"/>
    <xf numFmtId="0" fontId="28" fillId="7" borderId="35" xfId="1" applyNumberFormat="1" applyFont="1" applyFill="1" applyBorder="1" applyAlignment="1">
      <alignment vertical="top"/>
    </xf>
    <xf numFmtId="0" fontId="46" fillId="0" borderId="9" xfId="2" applyNumberFormat="1" applyFont="1" applyFill="1" applyBorder="1" applyAlignment="1">
      <alignment vertical="top"/>
    </xf>
    <xf numFmtId="0" fontId="46" fillId="0" borderId="100" xfId="2" applyNumberFormat="1" applyFont="1" applyFill="1" applyBorder="1" applyAlignment="1">
      <alignment vertical="top"/>
    </xf>
    <xf numFmtId="0" fontId="28" fillId="0" borderId="98" xfId="1" applyNumberFormat="1" applyFont="1" applyBorder="1" applyAlignment="1">
      <alignment vertical="top"/>
    </xf>
    <xf numFmtId="0" fontId="28" fillId="0" borderId="15" xfId="1" applyNumberFormat="1" applyFont="1" applyBorder="1" applyAlignment="1">
      <alignment vertical="top"/>
    </xf>
    <xf numFmtId="0" fontId="46" fillId="0" borderId="17" xfId="4" applyNumberFormat="1" applyFont="1" applyFill="1" applyBorder="1" applyAlignment="1"/>
    <xf numFmtId="0" fontId="28" fillId="15" borderId="17" xfId="15" applyNumberFormat="1" applyFont="1" applyFill="1" applyBorder="1" applyAlignment="1"/>
    <xf numFmtId="0" fontId="45" fillId="15" borderId="20" xfId="1" applyNumberFormat="1" applyFont="1" applyFill="1" applyBorder="1" applyAlignment="1"/>
    <xf numFmtId="0" fontId="28" fillId="0" borderId="18" xfId="1" applyNumberFormat="1" applyFont="1" applyBorder="1" applyAlignment="1">
      <alignment vertical="top"/>
    </xf>
    <xf numFmtId="0" fontId="46" fillId="0" borderId="17" xfId="2" applyNumberFormat="1" applyFont="1" applyFill="1" applyBorder="1" applyAlignment="1"/>
    <xf numFmtId="0" fontId="46" fillId="0" borderId="18" xfId="2" applyNumberFormat="1" applyFont="1" applyFill="1" applyBorder="1" applyAlignment="1"/>
    <xf numFmtId="0" fontId="28" fillId="0" borderId="20" xfId="1" applyNumberFormat="1" applyFont="1" applyBorder="1" applyAlignment="1">
      <alignment vertical="top"/>
    </xf>
    <xf numFmtId="0" fontId="46" fillId="0" borderId="13" xfId="2" applyNumberFormat="1" applyFont="1" applyFill="1" applyBorder="1" applyAlignment="1">
      <alignment vertical="top"/>
    </xf>
    <xf numFmtId="0" fontId="28" fillId="0" borderId="9" xfId="6" applyNumberFormat="1" applyFont="1" applyFill="1" applyBorder="1" applyAlignment="1">
      <alignment vertical="top"/>
    </xf>
    <xf numFmtId="0" fontId="45" fillId="13" borderId="4" xfId="1" quotePrefix="1" applyNumberFormat="1" applyFont="1" applyFill="1" applyBorder="1" applyAlignment="1"/>
    <xf numFmtId="0" fontId="45" fillId="13" borderId="4" xfId="1" applyNumberFormat="1" applyFont="1" applyFill="1" applyBorder="1" applyAlignment="1"/>
    <xf numFmtId="0" fontId="28" fillId="13" borderId="4" xfId="1" applyNumberFormat="1" applyFont="1" applyFill="1" applyBorder="1" applyAlignment="1"/>
    <xf numFmtId="0" fontId="28" fillId="0" borderId="4" xfId="1" applyNumberFormat="1" applyFont="1" applyFill="1" applyBorder="1" applyAlignment="1"/>
    <xf numFmtId="0" fontId="28" fillId="0" borderId="4" xfId="1" applyNumberFormat="1" applyFont="1" applyBorder="1" applyAlignment="1">
      <alignment vertical="top"/>
    </xf>
    <xf numFmtId="0" fontId="28" fillId="0" borderId="4" xfId="1" applyNumberFormat="1" applyFont="1" applyFill="1" applyBorder="1" applyAlignment="1">
      <alignment vertical="top"/>
    </xf>
    <xf numFmtId="0" fontId="45" fillId="0" borderId="4" xfId="1" applyNumberFormat="1" applyFont="1" applyFill="1" applyBorder="1" applyAlignment="1"/>
    <xf numFmtId="0" fontId="28" fillId="0" borderId="15" xfId="0" applyNumberFormat="1" applyFont="1" applyBorder="1"/>
    <xf numFmtId="0" fontId="47" fillId="0" borderId="9" xfId="2" applyNumberFormat="1" applyFont="1" applyFill="1" applyBorder="1" applyAlignment="1"/>
    <xf numFmtId="0" fontId="46" fillId="0" borderId="22" xfId="2" applyNumberFormat="1" applyFont="1" applyFill="1" applyBorder="1" applyAlignment="1"/>
    <xf numFmtId="0" fontId="28" fillId="0" borderId="98" xfId="0" applyNumberFormat="1" applyFont="1" applyBorder="1"/>
    <xf numFmtId="0" fontId="48" fillId="0" borderId="0" xfId="1" applyNumberFormat="1" applyFont="1" applyFill="1" applyBorder="1" applyAlignment="1">
      <alignment horizontal="right"/>
    </xf>
    <xf numFmtId="0" fontId="11" fillId="3" borderId="19" xfId="4" applyNumberFormat="1" applyFont="1" applyFill="1" applyBorder="1" applyAlignment="1"/>
    <xf numFmtId="0" fontId="46" fillId="0" borderId="17" xfId="41" applyNumberFormat="1" applyFont="1" applyFill="1" applyBorder="1" applyAlignment="1"/>
    <xf numFmtId="0" fontId="5" fillId="0" borderId="15" xfId="1" applyNumberFormat="1" applyFont="1" applyFill="1" applyBorder="1" applyAlignment="1"/>
    <xf numFmtId="0" fontId="4" fillId="3" borderId="13" xfId="0" applyNumberFormat="1" applyFont="1" applyFill="1" applyBorder="1" applyAlignment="1"/>
    <xf numFmtId="0" fontId="46" fillId="0" borderId="11" xfId="2" applyNumberFormat="1" applyFont="1" applyFill="1" applyBorder="1" applyAlignment="1"/>
    <xf numFmtId="0" fontId="46" fillId="0" borderId="17" xfId="2" applyNumberFormat="1" applyFont="1" applyFill="1" applyBorder="1"/>
    <xf numFmtId="0" fontId="20" fillId="0" borderId="17" xfId="2" applyNumberFormat="1" applyFont="1" applyFill="1" applyBorder="1" applyAlignment="1"/>
    <xf numFmtId="0" fontId="7" fillId="0" borderId="18" xfId="2" applyNumberFormat="1" applyFill="1" applyBorder="1" applyAlignment="1">
      <alignment horizontal="right"/>
    </xf>
    <xf numFmtId="0" fontId="7" fillId="0" borderId="20" xfId="2" applyNumberFormat="1" applyFill="1" applyBorder="1" applyAlignment="1">
      <alignment horizontal="right"/>
    </xf>
    <xf numFmtId="0" fontId="47" fillId="12" borderId="29" xfId="2" applyNumberFormat="1" applyFont="1" applyFill="1" applyBorder="1" applyAlignment="1"/>
    <xf numFmtId="0" fontId="28" fillId="11" borderId="13" xfId="15" applyNumberFormat="1" applyFont="1" applyFill="1" applyBorder="1" applyAlignment="1"/>
    <xf numFmtId="0" fontId="45" fillId="11" borderId="11" xfId="1" applyNumberFormat="1" applyFont="1" applyFill="1" applyBorder="1" applyAlignment="1">
      <alignment vertical="top"/>
    </xf>
    <xf numFmtId="0" fontId="7" fillId="12" borderId="98" xfId="2" applyNumberFormat="1" applyFill="1" applyBorder="1" applyAlignment="1"/>
    <xf numFmtId="0" fontId="46" fillId="0" borderId="19" xfId="2" applyNumberFormat="1" applyFont="1" applyFill="1" applyBorder="1" applyAlignment="1"/>
    <xf numFmtId="0" fontId="28" fillId="11" borderId="25" xfId="0" applyNumberFormat="1" applyFont="1" applyFill="1" applyBorder="1"/>
    <xf numFmtId="0" fontId="47" fillId="12" borderId="17" xfId="2" applyNumberFormat="1" applyFont="1" applyFill="1" applyBorder="1" applyAlignment="1"/>
    <xf numFmtId="0" fontId="5" fillId="12" borderId="20" xfId="1" applyNumberFormat="1" applyFont="1" applyFill="1" applyBorder="1" applyAlignment="1"/>
    <xf numFmtId="0" fontId="28" fillId="0" borderId="6" xfId="2" applyNumberFormat="1" applyFont="1" applyFill="1" applyBorder="1" applyAlignment="1"/>
    <xf numFmtId="0" fontId="28" fillId="0" borderId="44" xfId="0" applyNumberFormat="1" applyFont="1" applyBorder="1"/>
    <xf numFmtId="0" fontId="45" fillId="0" borderId="0" xfId="1" applyNumberFormat="1" applyFont="1" applyBorder="1" applyAlignment="1">
      <alignment vertical="top"/>
    </xf>
    <xf numFmtId="0" fontId="28" fillId="0" borderId="115" xfId="0" applyNumberFormat="1" applyFont="1" applyBorder="1"/>
    <xf numFmtId="0" fontId="28" fillId="0" borderId="116" xfId="0" applyNumberFormat="1" applyFont="1" applyBorder="1"/>
    <xf numFmtId="0" fontId="28" fillId="0" borderId="45" xfId="0" applyNumberFormat="1" applyFont="1" applyBorder="1"/>
    <xf numFmtId="0" fontId="28" fillId="0" borderId="117" xfId="0" applyNumberFormat="1" applyFont="1" applyBorder="1"/>
    <xf numFmtId="0" fontId="28" fillId="0" borderId="93" xfId="1" applyNumberFormat="1" applyFont="1" applyFill="1" applyBorder="1" applyAlignment="1"/>
    <xf numFmtId="0" fontId="45" fillId="11" borderId="28" xfId="1" applyNumberFormat="1" applyFont="1" applyFill="1" applyBorder="1" applyAlignment="1"/>
    <xf numFmtId="0" fontId="47" fillId="0" borderId="10" xfId="2" applyNumberFormat="1" applyFont="1" applyFill="1" applyBorder="1" applyAlignment="1"/>
    <xf numFmtId="0" fontId="45" fillId="13" borderId="13" xfId="1" quotePrefix="1" applyNumberFormat="1" applyFont="1" applyFill="1" applyBorder="1" applyAlignment="1"/>
    <xf numFmtId="0" fontId="45" fillId="13" borderId="0" xfId="1" applyNumberFormat="1" applyFont="1" applyFill="1" applyBorder="1" applyAlignment="1"/>
    <xf numFmtId="0" fontId="28" fillId="13" borderId="0" xfId="1" applyNumberFormat="1" applyFont="1" applyFill="1" applyBorder="1" applyAlignment="1"/>
    <xf numFmtId="0" fontId="7" fillId="15" borderId="15" xfId="2" applyNumberFormat="1" applyFill="1" applyBorder="1" applyAlignment="1"/>
    <xf numFmtId="0" fontId="47" fillId="15" borderId="21" xfId="2" applyNumberFormat="1" applyFont="1" applyFill="1" applyBorder="1" applyAlignment="1"/>
    <xf numFmtId="0" fontId="5" fillId="15" borderId="35" xfId="1" applyNumberFormat="1" applyFont="1" applyFill="1" applyBorder="1" applyAlignment="1"/>
    <xf numFmtId="0" fontId="45" fillId="0" borderId="19" xfId="1" applyNumberFormat="1" applyFont="1" applyFill="1" applyBorder="1" applyAlignment="1"/>
    <xf numFmtId="0" fontId="45" fillId="0" borderId="25" xfId="1" applyNumberFormat="1" applyFont="1" applyFill="1" applyBorder="1" applyAlignment="1"/>
    <xf numFmtId="0" fontId="46" fillId="0" borderId="32" xfId="2" applyNumberFormat="1" applyFont="1" applyFill="1" applyBorder="1" applyAlignment="1"/>
    <xf numFmtId="0" fontId="45" fillId="11" borderId="95" xfId="1" applyNumberFormat="1" applyFont="1" applyFill="1" applyBorder="1" applyAlignment="1"/>
    <xf numFmtId="0" fontId="59" fillId="3" borderId="0" xfId="1" applyNumberFormat="1" applyFont="1" applyFill="1" applyBorder="1" applyAlignment="1"/>
    <xf numFmtId="0" fontId="46" fillId="3" borderId="13" xfId="4" applyNumberFormat="1" applyFont="1" applyFill="1" applyBorder="1" applyAlignment="1"/>
    <xf numFmtId="0" fontId="20" fillId="0" borderId="9" xfId="2" applyNumberFormat="1" applyFont="1" applyFill="1" applyBorder="1" applyAlignment="1"/>
    <xf numFmtId="0" fontId="28" fillId="0" borderId="0" xfId="0" applyNumberFormat="1" applyFont="1" applyFill="1"/>
    <xf numFmtId="0" fontId="47" fillId="15" borderId="32" xfId="2" applyNumberFormat="1" applyFont="1" applyFill="1" applyBorder="1" applyAlignment="1"/>
    <xf numFmtId="0" fontId="45" fillId="15" borderId="13" xfId="0" applyNumberFormat="1" applyFont="1" applyFill="1" applyBorder="1" applyAlignment="1"/>
    <xf numFmtId="0" fontId="47" fillId="15" borderId="101" xfId="2" applyNumberFormat="1" applyFont="1" applyFill="1" applyBorder="1" applyAlignment="1"/>
    <xf numFmtId="0" fontId="5" fillId="15" borderId="109" xfId="1" applyNumberFormat="1" applyFont="1" applyFill="1" applyBorder="1" applyAlignment="1"/>
    <xf numFmtId="0" fontId="20" fillId="0" borderId="29" xfId="2" applyNumberFormat="1" applyFont="1" applyFill="1" applyBorder="1" applyAlignment="1"/>
    <xf numFmtId="0" fontId="5" fillId="0" borderId="110" xfId="1" applyNumberFormat="1" applyFont="1" applyFill="1" applyBorder="1" applyAlignment="1"/>
    <xf numFmtId="0" fontId="20" fillId="0" borderId="19" xfId="2" applyNumberFormat="1" applyFont="1" applyFill="1" applyBorder="1" applyAlignment="1"/>
    <xf numFmtId="0" fontId="5" fillId="0" borderId="20" xfId="1" applyNumberFormat="1" applyFont="1" applyFill="1" applyBorder="1" applyAlignment="1"/>
    <xf numFmtId="0" fontId="46" fillId="3" borderId="13" xfId="2" applyNumberFormat="1" applyFont="1" applyFill="1" applyBorder="1" applyAlignment="1"/>
    <xf numFmtId="0" fontId="47" fillId="12" borderId="9" xfId="2" applyNumberFormat="1" applyFont="1" applyFill="1" applyBorder="1" applyAlignment="1"/>
    <xf numFmtId="0" fontId="5" fillId="11" borderId="8" xfId="1" applyNumberFormat="1" applyFont="1" applyFill="1" applyBorder="1" applyAlignment="1"/>
    <xf numFmtId="0" fontId="28" fillId="11" borderId="0" xfId="1" applyNumberFormat="1" applyFont="1" applyFill="1" applyBorder="1" applyAlignment="1"/>
    <xf numFmtId="0" fontId="28" fillId="0" borderId="16" xfId="1" applyNumberFormat="1" applyFont="1" applyFill="1" applyBorder="1" applyAlignment="1"/>
    <xf numFmtId="0" fontId="28" fillId="3" borderId="54" xfId="1" applyNumberFormat="1" applyFont="1" applyFill="1" applyBorder="1" applyAlignment="1"/>
    <xf numFmtId="0" fontId="3" fillId="0" borderId="85" xfId="15" applyNumberFormat="1" applyFont="1" applyFill="1" applyBorder="1" applyAlignment="1"/>
    <xf numFmtId="0" fontId="28" fillId="0" borderId="54" xfId="1" applyNumberFormat="1" applyFont="1" applyFill="1" applyBorder="1" applyAlignment="1"/>
    <xf numFmtId="0" fontId="28" fillId="11" borderId="54" xfId="1" applyNumberFormat="1" applyFont="1" applyFill="1" applyBorder="1" applyAlignment="1"/>
    <xf numFmtId="0" fontId="3" fillId="12" borderId="20" xfId="1" applyNumberFormat="1" applyFont="1" applyFill="1" applyBorder="1" applyAlignment="1"/>
    <xf numFmtId="0" fontId="45" fillId="11" borderId="89" xfId="1" applyNumberFormat="1" applyFont="1" applyFill="1" applyBorder="1" applyAlignment="1"/>
    <xf numFmtId="0" fontId="28" fillId="0" borderId="96" xfId="0" applyNumberFormat="1" applyFont="1" applyBorder="1"/>
    <xf numFmtId="0" fontId="45" fillId="0" borderId="118" xfId="1" applyNumberFormat="1" applyFont="1" applyFill="1" applyBorder="1" applyAlignment="1"/>
    <xf numFmtId="0" fontId="70" fillId="4" borderId="6" xfId="1" applyNumberFormat="1" applyFont="1" applyFill="1" applyBorder="1" applyAlignment="1"/>
    <xf numFmtId="0" fontId="45" fillId="13" borderId="0" xfId="1" quotePrefix="1" applyNumberFormat="1" applyFont="1" applyFill="1" applyBorder="1" applyAlignment="1"/>
    <xf numFmtId="0" fontId="45" fillId="11" borderId="0" xfId="1" applyNumberFormat="1" applyFont="1" applyFill="1" applyBorder="1" applyAlignment="1"/>
    <xf numFmtId="0" fontId="70" fillId="4" borderId="9" xfId="1" applyNumberFormat="1" applyFont="1" applyFill="1" applyBorder="1" applyAlignment="1"/>
    <xf numFmtId="0" fontId="7" fillId="4" borderId="98" xfId="2" applyNumberFormat="1" applyFill="1" applyBorder="1" applyAlignment="1"/>
    <xf numFmtId="0" fontId="46" fillId="11" borderId="17" xfId="2" applyNumberFormat="1" applyFont="1" applyFill="1" applyBorder="1" applyAlignment="1"/>
    <xf numFmtId="0" fontId="28" fillId="11" borderId="18" xfId="1" applyNumberFormat="1" applyFont="1" applyFill="1" applyBorder="1" applyAlignment="1"/>
    <xf numFmtId="0" fontId="71" fillId="4" borderId="17" xfId="2" applyNumberFormat="1" applyFont="1" applyFill="1" applyBorder="1" applyAlignment="1"/>
    <xf numFmtId="0" fontId="5" fillId="4" borderId="20" xfId="1" applyNumberFormat="1" applyFont="1" applyFill="1" applyBorder="1" applyAlignment="1"/>
    <xf numFmtId="0" fontId="28" fillId="0" borderId="13" xfId="1" applyNumberFormat="1" applyFont="1" applyBorder="1" applyAlignment="1">
      <alignment vertical="top"/>
    </xf>
    <xf numFmtId="0" fontId="28" fillId="0" borderId="50" xfId="1" applyNumberFormat="1" applyFont="1" applyFill="1" applyBorder="1" applyAlignment="1"/>
    <xf numFmtId="0" fontId="45" fillId="0" borderId="51" xfId="1" applyNumberFormat="1" applyFont="1" applyFill="1" applyBorder="1" applyAlignment="1"/>
    <xf numFmtId="0" fontId="45" fillId="11" borderId="94" xfId="1" applyNumberFormat="1" applyFont="1" applyFill="1" applyBorder="1" applyAlignment="1"/>
    <xf numFmtId="0" fontId="28" fillId="0" borderId="76" xfId="1" applyNumberFormat="1" applyFont="1" applyFill="1" applyBorder="1" applyAlignment="1"/>
    <xf numFmtId="0" fontId="28" fillId="0" borderId="34" xfId="1" applyNumberFormat="1" applyFont="1" applyFill="1" applyBorder="1" applyAlignment="1"/>
    <xf numFmtId="0" fontId="48" fillId="0" borderId="0" xfId="1" applyNumberFormat="1" applyFont="1" applyFill="1" applyBorder="1" applyAlignment="1">
      <alignment horizontal="center"/>
    </xf>
    <xf numFmtId="0" fontId="48" fillId="0" borderId="0" xfId="1" applyNumberFormat="1" applyFont="1" applyFill="1" applyBorder="1" applyAlignment="1"/>
    <xf numFmtId="0" fontId="48" fillId="0" borderId="47" xfId="1" applyNumberFormat="1" applyFont="1" applyFill="1" applyBorder="1" applyAlignment="1"/>
    <xf numFmtId="0" fontId="48" fillId="0" borderId="48" xfId="1" applyNumberFormat="1" applyFont="1" applyFill="1" applyBorder="1" applyAlignment="1">
      <alignment horizontal="center"/>
    </xf>
    <xf numFmtId="0" fontId="28" fillId="0" borderId="48" xfId="1" applyNumberFormat="1" applyFont="1" applyFill="1" applyBorder="1" applyAlignment="1">
      <alignment vertical="top"/>
    </xf>
    <xf numFmtId="0" fontId="20" fillId="0" borderId="48" xfId="2" applyNumberFormat="1" applyFont="1" applyFill="1" applyBorder="1" applyAlignment="1">
      <alignment vertical="top"/>
    </xf>
    <xf numFmtId="0" fontId="48" fillId="0" borderId="48" xfId="1" applyNumberFormat="1" applyFont="1" applyFill="1" applyBorder="1" applyAlignment="1">
      <alignment horizontal="right" vertical="top"/>
    </xf>
    <xf numFmtId="0" fontId="48" fillId="0" borderId="48" xfId="1" applyNumberFormat="1" applyFont="1" applyFill="1" applyBorder="1" applyAlignment="1">
      <alignment vertical="top"/>
    </xf>
    <xf numFmtId="0" fontId="48" fillId="0" borderId="48" xfId="1" applyNumberFormat="1" applyFont="1" applyFill="1" applyBorder="1" applyAlignment="1"/>
    <xf numFmtId="0" fontId="48" fillId="0" borderId="99" xfId="1" applyNumberFormat="1" applyFont="1" applyFill="1" applyBorder="1" applyAlignment="1">
      <alignment horizontal="right"/>
    </xf>
    <xf numFmtId="0" fontId="28" fillId="0" borderId="91" xfId="1" applyNumberFormat="1" applyFont="1" applyBorder="1" applyAlignment="1">
      <alignment vertical="top"/>
    </xf>
    <xf numFmtId="0" fontId="48" fillId="0" borderId="54" xfId="1" applyNumberFormat="1" applyFont="1" applyFill="1" applyBorder="1" applyAlignment="1">
      <alignment horizontal="center"/>
    </xf>
    <xf numFmtId="0" fontId="48" fillId="0" borderId="54" xfId="1" applyNumberFormat="1" applyFont="1" applyFill="1" applyBorder="1" applyAlignment="1"/>
    <xf numFmtId="0" fontId="48" fillId="0" borderId="85" xfId="1" applyNumberFormat="1" applyFont="1" applyFill="1" applyBorder="1" applyAlignment="1"/>
    <xf numFmtId="0" fontId="28" fillId="0" borderId="92" xfId="1" applyNumberFormat="1" applyFont="1" applyFill="1" applyBorder="1" applyAlignment="1"/>
    <xf numFmtId="0" fontId="48" fillId="0" borderId="55" xfId="1" applyNumberFormat="1" applyFont="1" applyFill="1" applyBorder="1" applyAlignment="1">
      <alignment vertical="top"/>
    </xf>
    <xf numFmtId="0" fontId="48" fillId="0" borderId="55" xfId="1" applyNumberFormat="1" applyFont="1" applyFill="1" applyBorder="1" applyAlignment="1">
      <alignment horizontal="center" vertical="top"/>
    </xf>
    <xf numFmtId="0" fontId="28" fillId="0" borderId="55" xfId="1" applyNumberFormat="1" applyFont="1" applyFill="1" applyBorder="1" applyAlignment="1">
      <alignment vertical="top"/>
    </xf>
    <xf numFmtId="0" fontId="20" fillId="0" borderId="54" xfId="2" applyNumberFormat="1" applyFont="1" applyFill="1" applyBorder="1" applyAlignment="1">
      <alignment horizontal="center"/>
    </xf>
    <xf numFmtId="0" fontId="48" fillId="0" borderId="16" xfId="2" applyNumberFormat="1" applyFont="1" applyFill="1" applyBorder="1" applyAlignment="1"/>
    <xf numFmtId="0" fontId="48" fillId="0" borderId="0" xfId="1" applyNumberFormat="1" applyFont="1" applyFill="1" applyBorder="1" applyAlignment="1">
      <alignment vertical="top"/>
    </xf>
    <xf numFmtId="0" fontId="48" fillId="0" borderId="0" xfId="1" applyNumberFormat="1" applyFont="1" applyFill="1" applyBorder="1" applyAlignment="1">
      <alignment horizontal="center" vertical="top"/>
    </xf>
    <xf numFmtId="0" fontId="20" fillId="0" borderId="0" xfId="2" applyNumberFormat="1" applyFont="1" applyFill="1" applyBorder="1" applyAlignment="1">
      <alignment horizontal="center"/>
    </xf>
    <xf numFmtId="0" fontId="48" fillId="0" borderId="0" xfId="2" applyNumberFormat="1" applyFont="1" applyFill="1" applyBorder="1" applyAlignment="1"/>
    <xf numFmtId="0" fontId="55" fillId="11" borderId="0" xfId="0" applyNumberFormat="1" applyFont="1" applyFill="1" applyBorder="1"/>
    <xf numFmtId="0" fontId="48" fillId="11" borderId="0" xfId="1" applyNumberFormat="1" applyFont="1" applyFill="1" applyBorder="1" applyAlignment="1">
      <alignment horizontal="center"/>
    </xf>
    <xf numFmtId="0" fontId="48" fillId="11" borderId="0" xfId="1" applyNumberFormat="1" applyFont="1" applyFill="1" applyBorder="1" applyAlignment="1"/>
    <xf numFmtId="0" fontId="48" fillId="11" borderId="0" xfId="1" applyNumberFormat="1" applyFont="1" applyFill="1" applyBorder="1" applyAlignment="1">
      <alignment vertical="top"/>
    </xf>
    <xf numFmtId="0" fontId="48" fillId="11" borderId="0" xfId="1" applyNumberFormat="1" applyFont="1" applyFill="1" applyBorder="1" applyAlignment="1">
      <alignment horizontal="center" vertical="top"/>
    </xf>
    <xf numFmtId="0" fontId="28" fillId="11" borderId="0" xfId="1" applyNumberFormat="1" applyFont="1" applyFill="1" applyBorder="1" applyAlignment="1">
      <alignment vertical="top"/>
    </xf>
    <xf numFmtId="0" fontId="20" fillId="11" borderId="0" xfId="2" applyNumberFormat="1" applyFont="1" applyFill="1" applyBorder="1" applyAlignment="1">
      <alignment horizontal="center"/>
    </xf>
    <xf numFmtId="0" fontId="28" fillId="11" borderId="0" xfId="0" applyNumberFormat="1" applyFont="1" applyFill="1" applyBorder="1"/>
    <xf numFmtId="0" fontId="45" fillId="12" borderId="0" xfId="0" applyNumberFormat="1" applyFont="1" applyFill="1"/>
    <xf numFmtId="0" fontId="45" fillId="12" borderId="0" xfId="1" applyNumberFormat="1" applyFont="1" applyFill="1" applyAlignment="1"/>
    <xf numFmtId="0" fontId="28" fillId="12" borderId="0" xfId="1" applyNumberFormat="1" applyFont="1" applyFill="1" applyAlignment="1"/>
    <xf numFmtId="0" fontId="45" fillId="0" borderId="0" xfId="1" applyNumberFormat="1" applyFont="1" applyFill="1" applyAlignment="1"/>
    <xf numFmtId="0" fontId="45" fillId="12" borderId="0" xfId="5" applyNumberFormat="1" applyFont="1" applyFill="1" applyBorder="1" applyAlignment="1"/>
    <xf numFmtId="0" fontId="28" fillId="3" borderId="0" xfId="1" applyNumberFormat="1" applyFont="1" applyFill="1" applyAlignment="1"/>
    <xf numFmtId="0" fontId="28" fillId="0" borderId="0" xfId="2" applyNumberFormat="1" applyFont="1" applyFill="1" applyAlignment="1"/>
    <xf numFmtId="0" fontId="7" fillId="0" borderId="0" xfId="2" applyNumberFormat="1" applyFill="1" applyAlignment="1">
      <alignment horizontal="right"/>
    </xf>
    <xf numFmtId="0" fontId="5" fillId="0" borderId="0" xfId="0" applyNumberFormat="1" applyFont="1" applyFill="1"/>
    <xf numFmtId="0" fontId="45" fillId="0" borderId="0" xfId="6" applyNumberFormat="1" applyFont="1" applyFill="1" applyBorder="1" applyAlignment="1"/>
    <xf numFmtId="0" fontId="4" fillId="0" borderId="0" xfId="1" applyNumberFormat="1" applyFont="1" applyFill="1" applyAlignment="1"/>
    <xf numFmtId="0" fontId="19" fillId="0" borderId="0" xfId="1" applyNumberFormat="1" applyFont="1" applyFill="1" applyAlignment="1">
      <alignment horizontal="right"/>
    </xf>
    <xf numFmtId="0" fontId="49" fillId="0" borderId="0" xfId="2" applyNumberFormat="1" applyFont="1" applyFill="1" applyBorder="1" applyAlignment="1">
      <alignment horizontal="right"/>
    </xf>
    <xf numFmtId="0" fontId="49" fillId="0" borderId="0" xfId="2" applyNumberFormat="1" applyFont="1" applyFill="1" applyBorder="1" applyAlignment="1">
      <alignment horizontal="center"/>
    </xf>
    <xf numFmtId="0" fontId="45" fillId="0" borderId="0" xfId="1" applyNumberFormat="1" applyFont="1" applyFill="1" applyAlignment="1">
      <alignment horizontal="right"/>
    </xf>
    <xf numFmtId="0" fontId="28" fillId="0" borderId="0" xfId="1" applyNumberFormat="1" applyFont="1" applyFill="1" applyAlignment="1">
      <alignment horizontal="right" vertical="top"/>
    </xf>
    <xf numFmtId="0" fontId="45" fillId="2" borderId="2" xfId="1" applyNumberFormat="1" applyFont="1" applyFill="1" applyBorder="1" applyAlignment="1"/>
    <xf numFmtId="0" fontId="45" fillId="2" borderId="1" xfId="1" applyNumberFormat="1" applyFont="1" applyFill="1" applyBorder="1" applyAlignment="1"/>
    <xf numFmtId="0" fontId="45" fillId="2" borderId="105" xfId="1" quotePrefix="1" applyNumberFormat="1" applyFont="1" applyFill="1" applyBorder="1" applyAlignment="1"/>
    <xf numFmtId="0" fontId="28" fillId="2" borderId="106" xfId="1" applyNumberFormat="1" applyFont="1" applyFill="1" applyBorder="1" applyAlignment="1"/>
    <xf numFmtId="0" fontId="28" fillId="0" borderId="0" xfId="1" applyNumberFormat="1" applyFont="1" applyAlignment="1">
      <alignment horizontal="center"/>
    </xf>
    <xf numFmtId="0" fontId="45" fillId="8" borderId="67" xfId="1" applyNumberFormat="1" applyFont="1" applyFill="1" applyBorder="1" applyAlignment="1"/>
    <xf numFmtId="0" fontId="45" fillId="8" borderId="2" xfId="1" applyNumberFormat="1" applyFont="1" applyFill="1" applyBorder="1" applyAlignment="1"/>
    <xf numFmtId="0" fontId="12" fillId="8" borderId="2" xfId="2" applyNumberFormat="1" applyFont="1" applyFill="1" applyBorder="1" applyAlignment="1"/>
    <xf numFmtId="0" fontId="47" fillId="8" borderId="2" xfId="2" applyNumberFormat="1" applyFont="1" applyFill="1" applyBorder="1" applyAlignment="1"/>
    <xf numFmtId="0" fontId="45" fillId="8" borderId="2" xfId="0" applyNumberFormat="1" applyFont="1" applyFill="1" applyBorder="1" applyAlignment="1"/>
    <xf numFmtId="0" fontId="45" fillId="8" borderId="2" xfId="1" applyNumberFormat="1" applyFont="1" applyFill="1" applyBorder="1" applyAlignment="1">
      <alignment horizontal="center"/>
    </xf>
    <xf numFmtId="0" fontId="28" fillId="3" borderId="2" xfId="1" applyNumberFormat="1" applyFont="1" applyFill="1" applyBorder="1" applyAlignment="1"/>
    <xf numFmtId="0" fontId="28" fillId="3" borderId="2" xfId="0" applyNumberFormat="1" applyFont="1" applyFill="1" applyBorder="1" applyAlignment="1"/>
    <xf numFmtId="0" fontId="7" fillId="3" borderId="2" xfId="2" applyNumberFormat="1" applyFill="1" applyBorder="1" applyAlignment="1"/>
    <xf numFmtId="0" fontId="46" fillId="3" borderId="2" xfId="2" applyNumberFormat="1" applyFont="1" applyFill="1" applyBorder="1" applyAlignment="1"/>
    <xf numFmtId="0" fontId="28" fillId="3" borderId="2" xfId="1" applyNumberFormat="1" applyFont="1" applyFill="1" applyBorder="1" applyAlignment="1">
      <alignment horizontal="center"/>
    </xf>
    <xf numFmtId="0" fontId="28" fillId="11" borderId="2" xfId="1" applyNumberFormat="1" applyFont="1" applyFill="1" applyBorder="1" applyAlignment="1"/>
    <xf numFmtId="0" fontId="28" fillId="11" borderId="2" xfId="0" applyNumberFormat="1" applyFont="1" applyFill="1" applyBorder="1" applyAlignment="1"/>
    <xf numFmtId="0" fontId="7" fillId="11" borderId="2" xfId="2" applyNumberFormat="1" applyFill="1" applyBorder="1" applyAlignment="1"/>
    <xf numFmtId="0" fontId="46" fillId="11" borderId="2" xfId="2" applyNumberFormat="1" applyFont="1" applyFill="1" applyBorder="1" applyAlignment="1"/>
    <xf numFmtId="0" fontId="28" fillId="11" borderId="2" xfId="1" applyNumberFormat="1" applyFont="1" applyFill="1" applyBorder="1" applyAlignment="1">
      <alignment horizontal="center"/>
    </xf>
    <xf numFmtId="0" fontId="45" fillId="4" borderId="2" xfId="1" applyNumberFormat="1" applyFont="1" applyFill="1" applyBorder="1" applyAlignment="1"/>
    <xf numFmtId="0" fontId="12" fillId="4" borderId="2" xfId="2" applyNumberFormat="1" applyFont="1" applyFill="1" applyBorder="1" applyAlignment="1"/>
    <xf numFmtId="0" fontId="47" fillId="4" borderId="2" xfId="2" applyNumberFormat="1" applyFont="1" applyFill="1" applyBorder="1" applyAlignment="1"/>
    <xf numFmtId="0" fontId="45" fillId="4" borderId="2" xfId="1" applyNumberFormat="1" applyFont="1" applyFill="1" applyBorder="1" applyAlignment="1">
      <alignment horizontal="center"/>
    </xf>
    <xf numFmtId="0" fontId="28" fillId="0" borderId="107" xfId="1" applyNumberFormat="1" applyFont="1" applyBorder="1" applyAlignment="1"/>
    <xf numFmtId="0" fontId="28" fillId="0" borderId="107" xfId="1" applyNumberFormat="1" applyFont="1" applyBorder="1" applyAlignment="1">
      <alignment horizontal="center"/>
    </xf>
    <xf numFmtId="0" fontId="28" fillId="5" borderId="60" xfId="1" applyNumberFormat="1" applyFont="1" applyFill="1" applyBorder="1" applyAlignment="1"/>
    <xf numFmtId="0" fontId="28" fillId="5" borderId="60" xfId="0" applyNumberFormat="1" applyFont="1" applyFill="1" applyBorder="1" applyAlignment="1"/>
    <xf numFmtId="0" fontId="28" fillId="5" borderId="1" xfId="2" applyNumberFormat="1" applyFont="1" applyFill="1" applyBorder="1" applyAlignment="1"/>
    <xf numFmtId="0" fontId="28" fillId="5" borderId="1" xfId="0" applyNumberFormat="1" applyFont="1" applyFill="1" applyBorder="1" applyAlignment="1"/>
    <xf numFmtId="0" fontId="10" fillId="5" borderId="1" xfId="2" applyNumberFormat="1" applyFont="1" applyFill="1" applyBorder="1" applyAlignment="1">
      <alignment horizontal="right"/>
    </xf>
    <xf numFmtId="0" fontId="46" fillId="5" borderId="1" xfId="2" applyNumberFormat="1" applyFont="1" applyFill="1" applyBorder="1" applyAlignment="1"/>
    <xf numFmtId="0" fontId="28" fillId="5" borderId="1" xfId="1" applyNumberFormat="1" applyFont="1" applyFill="1" applyBorder="1" applyAlignment="1">
      <alignment horizontal="center"/>
    </xf>
    <xf numFmtId="0" fontId="28" fillId="5" borderId="1" xfId="2" applyNumberFormat="1" applyFont="1" applyFill="1" applyBorder="1" applyAlignment="1">
      <alignment horizontal="center"/>
    </xf>
    <xf numFmtId="0" fontId="45" fillId="12" borderId="122" xfId="1" applyNumberFormat="1" applyFont="1" applyFill="1" applyBorder="1" applyAlignment="1"/>
    <xf numFmtId="0" fontId="45" fillId="12" borderId="122" xfId="0" applyNumberFormat="1" applyFont="1" applyFill="1" applyBorder="1" applyAlignment="1"/>
    <xf numFmtId="0" fontId="45" fillId="12" borderId="122" xfId="2" applyNumberFormat="1" applyFont="1" applyFill="1" applyBorder="1" applyAlignment="1"/>
    <xf numFmtId="0" fontId="12" fillId="12" borderId="122" xfId="2" applyNumberFormat="1" applyFont="1" applyFill="1" applyBorder="1" applyAlignment="1"/>
    <xf numFmtId="0" fontId="47" fillId="12" borderId="122" xfId="2" applyNumberFormat="1" applyFont="1" applyFill="1" applyBorder="1" applyAlignment="1"/>
    <xf numFmtId="0" fontId="45" fillId="12" borderId="122" xfId="1" applyNumberFormat="1" applyFont="1" applyFill="1" applyBorder="1" applyAlignment="1">
      <alignment horizontal="center"/>
    </xf>
    <xf numFmtId="0" fontId="45" fillId="12" borderId="122" xfId="2" applyNumberFormat="1" applyFont="1" applyFill="1" applyBorder="1" applyAlignment="1">
      <alignment horizontal="center"/>
    </xf>
    <xf numFmtId="0" fontId="45" fillId="8" borderId="122" xfId="1" applyNumberFormat="1" applyFont="1" applyFill="1" applyBorder="1" applyAlignment="1"/>
    <xf numFmtId="0" fontId="12" fillId="8" borderId="122" xfId="2" applyNumberFormat="1" applyFont="1" applyFill="1" applyBorder="1" applyAlignment="1"/>
    <xf numFmtId="0" fontId="47" fillId="8" borderId="122" xfId="2" applyNumberFormat="1" applyFont="1" applyFill="1" applyBorder="1" applyAlignment="1"/>
    <xf numFmtId="0" fontId="45" fillId="8" borderId="122" xfId="0" applyNumberFormat="1" applyFont="1" applyFill="1" applyBorder="1" applyAlignment="1"/>
    <xf numFmtId="0" fontId="45" fillId="8" borderId="122" xfId="1" applyNumberFormat="1" applyFont="1" applyFill="1" applyBorder="1" applyAlignment="1">
      <alignment horizontal="center"/>
    </xf>
    <xf numFmtId="0" fontId="28" fillId="3" borderId="122" xfId="1" applyNumberFormat="1" applyFont="1" applyFill="1" applyBorder="1" applyAlignment="1"/>
    <xf numFmtId="0" fontId="28" fillId="3" borderId="122" xfId="0" applyNumberFormat="1" applyFont="1" applyFill="1" applyBorder="1" applyAlignment="1"/>
    <xf numFmtId="0" fontId="7" fillId="3" borderId="122" xfId="2" applyNumberFormat="1" applyFill="1" applyBorder="1" applyAlignment="1"/>
    <xf numFmtId="0" fontId="46" fillId="3" borderId="122" xfId="2" applyNumberFormat="1" applyFont="1" applyFill="1" applyBorder="1" applyAlignment="1"/>
    <xf numFmtId="0" fontId="28" fillId="3" borderId="122" xfId="1" applyNumberFormat="1" applyFont="1" applyFill="1" applyBorder="1" applyAlignment="1">
      <alignment horizontal="center"/>
    </xf>
    <xf numFmtId="0" fontId="45" fillId="0" borderId="121" xfId="1" applyNumberFormat="1" applyFont="1" applyFill="1" applyBorder="1" applyAlignment="1"/>
    <xf numFmtId="0" fontId="47" fillId="0" borderId="121" xfId="2" applyNumberFormat="1" applyFont="1" applyFill="1" applyBorder="1" applyAlignment="1"/>
    <xf numFmtId="0" fontId="12" fillId="0" borderId="121" xfId="2" applyNumberFormat="1" applyFont="1" applyFill="1" applyBorder="1" applyAlignment="1"/>
    <xf numFmtId="0" fontId="45" fillId="0" borderId="121" xfId="0" applyNumberFormat="1" applyFont="1" applyFill="1" applyBorder="1" applyAlignment="1"/>
    <xf numFmtId="0" fontId="45" fillId="0" borderId="121" xfId="1" applyNumberFormat="1" applyFont="1" applyFill="1" applyBorder="1" applyAlignment="1">
      <alignment horizontal="center"/>
    </xf>
    <xf numFmtId="0" fontId="28" fillId="13" borderId="122" xfId="1" applyNumberFormat="1" applyFont="1" applyFill="1" applyBorder="1" applyAlignment="1"/>
    <xf numFmtId="0" fontId="46" fillId="13" borderId="122" xfId="2" applyNumberFormat="1" applyFont="1" applyFill="1" applyBorder="1" applyAlignment="1"/>
    <xf numFmtId="0" fontId="28" fillId="13" borderId="122" xfId="2" applyNumberFormat="1" applyFont="1" applyFill="1" applyBorder="1" applyAlignment="1"/>
    <xf numFmtId="0" fontId="28" fillId="13" borderId="122" xfId="0" applyNumberFormat="1" applyFont="1" applyFill="1" applyBorder="1" applyAlignment="1"/>
    <xf numFmtId="0" fontId="28" fillId="13" borderId="122" xfId="1" applyNumberFormat="1" applyFont="1" applyFill="1" applyBorder="1" applyAlignment="1">
      <alignment horizontal="center"/>
    </xf>
    <xf numFmtId="0" fontId="51" fillId="3" borderId="121" xfId="1" applyNumberFormat="1" applyFont="1" applyFill="1" applyBorder="1" applyAlignment="1"/>
    <xf numFmtId="0" fontId="51" fillId="3" borderId="121" xfId="0" applyNumberFormat="1" applyFont="1" applyFill="1" applyBorder="1" applyAlignment="1"/>
    <xf numFmtId="0" fontId="62" fillId="3" borderId="121" xfId="2" applyNumberFormat="1" applyFont="1" applyFill="1" applyBorder="1" applyAlignment="1"/>
    <xf numFmtId="0" fontId="73" fillId="3" borderId="121" xfId="2" applyNumberFormat="1" applyFont="1" applyFill="1" applyBorder="1" applyAlignment="1"/>
    <xf numFmtId="0" fontId="51" fillId="3" borderId="121" xfId="1" applyNumberFormat="1" applyFont="1" applyFill="1" applyBorder="1" applyAlignment="1">
      <alignment horizontal="center"/>
    </xf>
    <xf numFmtId="0" fontId="45" fillId="4" borderId="122" xfId="1" applyNumberFormat="1" applyFont="1" applyFill="1" applyBorder="1" applyAlignment="1"/>
    <xf numFmtId="0" fontId="45" fillId="4" borderId="121" xfId="1" applyNumberFormat="1" applyFont="1" applyFill="1" applyBorder="1" applyAlignment="1"/>
    <xf numFmtId="0" fontId="60" fillId="4" borderId="121" xfId="2" applyNumberFormat="1" applyFont="1" applyFill="1" applyBorder="1" applyAlignment="1"/>
    <xf numFmtId="0" fontId="47" fillId="4" borderId="121" xfId="2" applyNumberFormat="1" applyFont="1" applyFill="1" applyBorder="1" applyAlignment="1"/>
    <xf numFmtId="0" fontId="45" fillId="4" borderId="121" xfId="1" applyNumberFormat="1" applyFont="1" applyFill="1" applyBorder="1" applyAlignment="1">
      <alignment horizontal="center"/>
    </xf>
    <xf numFmtId="0" fontId="28" fillId="0" borderId="0" xfId="1" applyNumberFormat="1" applyFont="1" applyBorder="1" applyAlignment="1"/>
    <xf numFmtId="0" fontId="46" fillId="0" borderId="0" xfId="4" applyNumberFormat="1" applyFont="1" applyBorder="1" applyAlignment="1"/>
    <xf numFmtId="0" fontId="28" fillId="0" borderId="0" xfId="1" applyNumberFormat="1" applyFont="1" applyBorder="1" applyAlignment="1">
      <alignment horizontal="center"/>
    </xf>
    <xf numFmtId="0" fontId="28" fillId="11" borderId="60" xfId="1" applyNumberFormat="1" applyFont="1" applyFill="1" applyBorder="1" applyAlignment="1"/>
    <xf numFmtId="0" fontId="28" fillId="11" borderId="60" xfId="0" applyNumberFormat="1" applyFont="1" applyFill="1" applyBorder="1" applyAlignment="1"/>
    <xf numFmtId="0" fontId="28" fillId="11" borderId="121" xfId="0" applyNumberFormat="1" applyFont="1" applyFill="1" applyBorder="1" applyAlignment="1"/>
    <xf numFmtId="0" fontId="7" fillId="11" borderId="121" xfId="2" applyNumberFormat="1" applyFill="1" applyBorder="1" applyAlignment="1"/>
    <xf numFmtId="0" fontId="46" fillId="11" borderId="121" xfId="2" applyNumberFormat="1" applyFont="1" applyFill="1" applyBorder="1" applyAlignment="1"/>
    <xf numFmtId="0" fontId="28" fillId="11" borderId="121" xfId="1" applyNumberFormat="1" applyFont="1" applyFill="1" applyBorder="1" applyAlignment="1">
      <alignment horizontal="center"/>
    </xf>
    <xf numFmtId="0" fontId="45" fillId="8" borderId="122" xfId="1" applyNumberFormat="1" applyFont="1" applyFill="1" applyBorder="1" applyAlignment="1">
      <alignment vertical="center"/>
    </xf>
    <xf numFmtId="0" fontId="11" fillId="3" borderId="122" xfId="2" applyNumberFormat="1" applyFont="1" applyFill="1" applyBorder="1" applyAlignment="1"/>
    <xf numFmtId="0" fontId="45" fillId="4" borderId="186" xfId="1" applyNumberFormat="1" applyFont="1" applyFill="1" applyBorder="1" applyAlignment="1"/>
    <xf numFmtId="0" fontId="12" fillId="4" borderId="186" xfId="2" applyNumberFormat="1" applyFont="1" applyFill="1" applyBorder="1" applyAlignment="1"/>
    <xf numFmtId="0" fontId="47" fillId="4" borderId="186" xfId="2" applyNumberFormat="1" applyFont="1" applyFill="1" applyBorder="1" applyAlignment="1"/>
    <xf numFmtId="0" fontId="45" fillId="4" borderId="186" xfId="0" applyNumberFormat="1" applyFont="1" applyFill="1" applyBorder="1" applyAlignment="1"/>
    <xf numFmtId="0" fontId="45" fillId="4" borderId="186" xfId="1" applyNumberFormat="1" applyFont="1" applyFill="1" applyBorder="1" applyAlignment="1">
      <alignment horizontal="center"/>
    </xf>
    <xf numFmtId="0" fontId="28" fillId="7" borderId="186" xfId="1" applyNumberFormat="1" applyFont="1" applyFill="1" applyBorder="1" applyAlignment="1"/>
    <xf numFmtId="0" fontId="28" fillId="7" borderId="186" xfId="0" applyNumberFormat="1" applyFont="1" applyFill="1" applyBorder="1" applyAlignment="1"/>
    <xf numFmtId="0" fontId="7" fillId="3" borderId="186" xfId="2" applyNumberFormat="1" applyFill="1" applyBorder="1" applyAlignment="1"/>
    <xf numFmtId="0" fontId="46" fillId="7" borderId="186" xfId="2" applyNumberFormat="1" applyFont="1" applyFill="1" applyBorder="1" applyAlignment="1"/>
    <xf numFmtId="0" fontId="28" fillId="7" borderId="186" xfId="1" applyNumberFormat="1" applyFont="1" applyFill="1" applyBorder="1" applyAlignment="1">
      <alignment horizontal="center"/>
    </xf>
    <xf numFmtId="0" fontId="28" fillId="3" borderId="179" xfId="1" applyNumberFormat="1" applyFont="1" applyFill="1" applyBorder="1" applyAlignment="1"/>
    <xf numFmtId="0" fontId="28" fillId="3" borderId="179" xfId="0" applyNumberFormat="1" applyFont="1" applyFill="1" applyBorder="1" applyAlignment="1"/>
    <xf numFmtId="0" fontId="7" fillId="3" borderId="179" xfId="2" applyNumberFormat="1" applyFill="1" applyBorder="1" applyAlignment="1"/>
    <xf numFmtId="0" fontId="46" fillId="3" borderId="179" xfId="2" applyNumberFormat="1" applyFont="1" applyFill="1" applyBorder="1" applyAlignment="1"/>
    <xf numFmtId="0" fontId="28" fillId="3" borderId="179" xfId="1" applyNumberFormat="1" applyFont="1" applyFill="1" applyBorder="1" applyAlignment="1">
      <alignment horizontal="center"/>
    </xf>
    <xf numFmtId="0" fontId="28" fillId="0" borderId="125" xfId="1" applyNumberFormat="1" applyFont="1" applyBorder="1" applyAlignment="1"/>
    <xf numFmtId="0" fontId="28" fillId="0" borderId="125" xfId="1" applyNumberFormat="1" applyFont="1" applyBorder="1" applyAlignment="1">
      <alignment horizontal="center"/>
    </xf>
    <xf numFmtId="0" fontId="28" fillId="3" borderId="67" xfId="1" applyNumberFormat="1" applyFont="1" applyFill="1" applyBorder="1" applyAlignment="1"/>
    <xf numFmtId="0" fontId="28" fillId="3" borderId="67" xfId="0" applyNumberFormat="1" applyFont="1" applyFill="1" applyBorder="1" applyAlignment="1"/>
    <xf numFmtId="0" fontId="28" fillId="3" borderId="173" xfId="1" applyNumberFormat="1" applyFont="1" applyFill="1" applyBorder="1" applyAlignment="1"/>
    <xf numFmtId="0" fontId="28" fillId="3" borderId="173" xfId="0" applyNumberFormat="1" applyFont="1" applyFill="1" applyBorder="1" applyAlignment="1"/>
    <xf numFmtId="0" fontId="10" fillId="3" borderId="173" xfId="0" applyNumberFormat="1" applyFont="1" applyFill="1" applyBorder="1" applyAlignment="1"/>
    <xf numFmtId="0" fontId="46" fillId="3" borderId="173" xfId="2" applyNumberFormat="1" applyFont="1" applyFill="1" applyBorder="1" applyAlignment="1"/>
    <xf numFmtId="0" fontId="28" fillId="3" borderId="173" xfId="1" applyNumberFormat="1" applyFont="1" applyFill="1" applyBorder="1" applyAlignment="1">
      <alignment horizontal="center"/>
    </xf>
    <xf numFmtId="0" fontId="7" fillId="3" borderId="173" xfId="2" applyNumberFormat="1" applyFill="1" applyBorder="1" applyAlignment="1"/>
    <xf numFmtId="0" fontId="28" fillId="11" borderId="179" xfId="1" applyNumberFormat="1" applyFont="1" applyFill="1" applyBorder="1" applyAlignment="1"/>
    <xf numFmtId="0" fontId="28" fillId="11" borderId="179" xfId="0" applyNumberFormat="1" applyFont="1" applyFill="1" applyBorder="1" applyAlignment="1"/>
    <xf numFmtId="0" fontId="7" fillId="11" borderId="179" xfId="2" applyNumberFormat="1" applyFill="1" applyBorder="1" applyAlignment="1"/>
    <xf numFmtId="0" fontId="46" fillId="11" borderId="179" xfId="2" applyNumberFormat="1" applyFont="1" applyFill="1" applyBorder="1" applyAlignment="1"/>
    <xf numFmtId="0" fontId="28" fillId="11" borderId="179" xfId="1" applyNumberFormat="1" applyFont="1" applyFill="1" applyBorder="1" applyAlignment="1">
      <alignment horizontal="center"/>
    </xf>
    <xf numFmtId="0" fontId="45" fillId="12" borderId="179" xfId="1" applyNumberFormat="1" applyFont="1" applyFill="1" applyBorder="1" applyAlignment="1"/>
    <xf numFmtId="0" fontId="45" fillId="12" borderId="179" xfId="0" applyNumberFormat="1" applyFont="1" applyFill="1" applyBorder="1" applyAlignment="1"/>
    <xf numFmtId="0" fontId="45" fillId="12" borderId="173" xfId="2" applyNumberFormat="1" applyFont="1" applyFill="1" applyBorder="1" applyAlignment="1"/>
    <xf numFmtId="0" fontId="45" fillId="12" borderId="173" xfId="0" applyNumberFormat="1" applyFont="1" applyFill="1" applyBorder="1" applyAlignment="1"/>
    <xf numFmtId="0" fontId="12" fillId="12" borderId="173" xfId="2" applyNumberFormat="1" applyFont="1" applyFill="1" applyBorder="1" applyAlignment="1"/>
    <xf numFmtId="0" fontId="47" fillId="12" borderId="173" xfId="2" applyNumberFormat="1" applyFont="1" applyFill="1" applyBorder="1" applyAlignment="1"/>
    <xf numFmtId="0" fontId="45" fillId="12" borderId="173" xfId="1" applyNumberFormat="1" applyFont="1" applyFill="1" applyBorder="1" applyAlignment="1"/>
    <xf numFmtId="0" fontId="45" fillId="12" borderId="173" xfId="1" applyNumberFormat="1" applyFont="1" applyFill="1" applyBorder="1" applyAlignment="1">
      <alignment horizontal="center"/>
    </xf>
    <xf numFmtId="0" fontId="45" fillId="12" borderId="173" xfId="2" applyNumberFormat="1" applyFont="1" applyFill="1" applyBorder="1" applyAlignment="1">
      <alignment horizontal="center"/>
    </xf>
    <xf numFmtId="0" fontId="45" fillId="4" borderId="67" xfId="1" applyNumberFormat="1" applyFont="1" applyFill="1" applyBorder="1" applyAlignment="1"/>
    <xf numFmtId="0" fontId="45" fillId="4" borderId="179" xfId="1" applyNumberFormat="1" applyFont="1" applyFill="1" applyBorder="1" applyAlignment="1"/>
    <xf numFmtId="0" fontId="12" fillId="4" borderId="179" xfId="2" applyNumberFormat="1" applyFont="1" applyFill="1" applyBorder="1" applyAlignment="1"/>
    <xf numFmtId="0" fontId="47" fillId="4" borderId="179" xfId="2" applyNumberFormat="1" applyFont="1" applyFill="1" applyBorder="1" applyAlignment="1"/>
    <xf numFmtId="0" fontId="45" fillId="4" borderId="179" xfId="1" applyNumberFormat="1" applyFont="1" applyFill="1" applyBorder="1" applyAlignment="1">
      <alignment horizontal="center"/>
    </xf>
    <xf numFmtId="0" fontId="28" fillId="3" borderId="186" xfId="1" applyNumberFormat="1" applyFont="1" applyFill="1" applyBorder="1" applyAlignment="1"/>
    <xf numFmtId="0" fontId="28" fillId="3" borderId="186" xfId="0" applyNumberFormat="1" applyFont="1" applyFill="1" applyBorder="1" applyAlignment="1"/>
    <xf numFmtId="0" fontId="46" fillId="3" borderId="186" xfId="2" applyNumberFormat="1" applyFont="1" applyFill="1" applyBorder="1" applyAlignment="1"/>
    <xf numFmtId="0" fontId="28" fillId="3" borderId="186" xfId="1" applyNumberFormat="1" applyFont="1" applyFill="1" applyBorder="1" applyAlignment="1">
      <alignment horizontal="center"/>
    </xf>
    <xf numFmtId="0" fontId="45" fillId="4" borderId="179" xfId="0" applyNumberFormat="1" applyFont="1" applyFill="1" applyBorder="1" applyAlignment="1"/>
    <xf numFmtId="0" fontId="28" fillId="3" borderId="196" xfId="1" applyNumberFormat="1" applyFont="1" applyFill="1" applyBorder="1" applyAlignment="1"/>
    <xf numFmtId="0" fontId="28" fillId="3" borderId="196" xfId="0" applyNumberFormat="1" applyFont="1" applyFill="1" applyBorder="1" applyAlignment="1"/>
    <xf numFmtId="0" fontId="7" fillId="3" borderId="196" xfId="2" applyNumberFormat="1" applyFill="1" applyBorder="1" applyAlignment="1"/>
    <xf numFmtId="0" fontId="46" fillId="3" borderId="196" xfId="2" applyNumberFormat="1" applyFont="1" applyFill="1" applyBorder="1" applyAlignment="1"/>
    <xf numFmtId="0" fontId="28" fillId="3" borderId="196" xfId="1" applyNumberFormat="1" applyFont="1" applyFill="1" applyBorder="1" applyAlignment="1">
      <alignment horizontal="center"/>
    </xf>
    <xf numFmtId="0" fontId="28" fillId="11" borderId="173" xfId="1" applyNumberFormat="1" applyFont="1" applyFill="1" applyBorder="1" applyAlignment="1"/>
    <xf numFmtId="0" fontId="28" fillId="11" borderId="173" xfId="0" applyNumberFormat="1" applyFont="1" applyFill="1" applyBorder="1" applyAlignment="1"/>
    <xf numFmtId="0" fontId="7" fillId="11" borderId="173" xfId="2" applyNumberFormat="1" applyFill="1" applyBorder="1" applyAlignment="1"/>
    <xf numFmtId="0" fontId="46" fillId="11" borderId="173" xfId="2" applyNumberFormat="1" applyFont="1" applyFill="1" applyBorder="1" applyAlignment="1"/>
    <xf numFmtId="0" fontId="28" fillId="11" borderId="173" xfId="1" applyNumberFormat="1" applyFont="1" applyFill="1" applyBorder="1" applyAlignment="1">
      <alignment horizontal="center"/>
    </xf>
    <xf numFmtId="0" fontId="45" fillId="12" borderId="198" xfId="1" applyNumberFormat="1" applyFont="1" applyFill="1" applyBorder="1" applyAlignment="1"/>
    <xf numFmtId="0" fontId="45" fillId="12" borderId="198" xfId="0" applyNumberFormat="1" applyFont="1" applyFill="1" applyBorder="1" applyAlignment="1"/>
    <xf numFmtId="0" fontId="28" fillId="11" borderId="1" xfId="0" applyNumberFormat="1" applyFont="1" applyFill="1" applyBorder="1" applyAlignment="1"/>
    <xf numFmtId="0" fontId="7" fillId="11" borderId="1" xfId="2" applyNumberFormat="1" applyFill="1" applyBorder="1" applyAlignment="1"/>
    <xf numFmtId="0" fontId="46" fillId="11" borderId="1" xfId="2" applyNumberFormat="1" applyFont="1" applyFill="1" applyBorder="1" applyAlignment="1"/>
    <xf numFmtId="0" fontId="28" fillId="11" borderId="1" xfId="1" applyNumberFormat="1" applyFont="1" applyFill="1" applyBorder="1" applyAlignment="1">
      <alignment horizontal="center"/>
    </xf>
    <xf numFmtId="0" fontId="51" fillId="15" borderId="1" xfId="1" applyNumberFormat="1" applyFont="1" applyFill="1" applyBorder="1" applyAlignment="1"/>
    <xf numFmtId="0" fontId="51" fillId="15" borderId="1" xfId="0" applyNumberFormat="1" applyFont="1" applyFill="1" applyBorder="1" applyAlignment="1"/>
    <xf numFmtId="0" fontId="72" fillId="15" borderId="1" xfId="0" applyNumberFormat="1" applyFont="1" applyFill="1" applyBorder="1"/>
    <xf numFmtId="0" fontId="51" fillId="15" borderId="1" xfId="2" applyNumberFormat="1" applyFont="1" applyFill="1" applyBorder="1" applyAlignment="1"/>
    <xf numFmtId="0" fontId="71" fillId="15" borderId="1" xfId="2" applyNumberFormat="1" applyFont="1" applyFill="1" applyBorder="1" applyAlignment="1"/>
    <xf numFmtId="0" fontId="51" fillId="15" borderId="1" xfId="1" applyNumberFormat="1" applyFont="1" applyFill="1" applyBorder="1" applyAlignment="1">
      <alignment horizontal="center"/>
    </xf>
    <xf numFmtId="0" fontId="4" fillId="6" borderId="173" xfId="1" applyNumberFormat="1" applyFont="1" applyFill="1" applyBorder="1" applyAlignment="1"/>
    <xf numFmtId="0" fontId="28" fillId="6" borderId="173" xfId="0" applyNumberFormat="1" applyFont="1" applyFill="1" applyBorder="1" applyAlignment="1"/>
    <xf numFmtId="0" fontId="58" fillId="6" borderId="173" xfId="0" applyNumberFormat="1" applyFont="1" applyFill="1" applyBorder="1"/>
    <xf numFmtId="0" fontId="28" fillId="6" borderId="173" xfId="2" applyNumberFormat="1" applyFont="1" applyFill="1" applyBorder="1" applyAlignment="1"/>
    <xf numFmtId="0" fontId="8" fillId="6" borderId="173" xfId="2" applyNumberFormat="1" applyFont="1" applyFill="1" applyBorder="1" applyAlignment="1"/>
    <xf numFmtId="0" fontId="28" fillId="6" borderId="173" xfId="1" applyNumberFormat="1" applyFont="1" applyFill="1" applyBorder="1" applyAlignment="1">
      <alignment horizontal="center"/>
    </xf>
    <xf numFmtId="0" fontId="51" fillId="0" borderId="56" xfId="1" applyNumberFormat="1" applyFont="1" applyFill="1" applyBorder="1" applyAlignment="1">
      <alignment vertical="center"/>
    </xf>
    <xf numFmtId="0" fontId="28" fillId="0" borderId="0" xfId="1" applyNumberFormat="1" applyFont="1" applyFill="1" applyBorder="1" applyAlignment="1">
      <alignment vertical="center"/>
    </xf>
    <xf numFmtId="0" fontId="28" fillId="0" borderId="0" xfId="0" applyNumberFormat="1" applyFont="1" applyFill="1" applyBorder="1" applyAlignment="1"/>
    <xf numFmtId="0" fontId="28" fillId="0" borderId="0" xfId="1" applyNumberFormat="1" applyFont="1" applyFill="1" applyBorder="1" applyAlignment="1">
      <alignment horizontal="center"/>
    </xf>
    <xf numFmtId="0" fontId="28" fillId="11" borderId="0" xfId="1" applyNumberFormat="1" applyFont="1" applyFill="1" applyBorder="1" applyAlignment="1">
      <alignment vertical="center"/>
    </xf>
    <xf numFmtId="0" fontId="28" fillId="11" borderId="0" xfId="0" applyNumberFormat="1" applyFont="1" applyFill="1" applyBorder="1" applyAlignment="1"/>
    <xf numFmtId="0" fontId="46" fillId="11" borderId="0" xfId="2" applyNumberFormat="1" applyFont="1" applyFill="1" applyBorder="1" applyAlignment="1"/>
    <xf numFmtId="0" fontId="45" fillId="0" borderId="0" xfId="5" applyNumberFormat="1" applyFont="1" applyFill="1" applyBorder="1" applyAlignment="1"/>
    <xf numFmtId="0" fontId="4" fillId="0" borderId="0" xfId="1" applyNumberFormat="1" applyFont="1" applyAlignment="1"/>
    <xf numFmtId="0" fontId="5" fillId="0" borderId="0" xfId="6" applyNumberFormat="1" applyFont="1"/>
    <xf numFmtId="0" fontId="3" fillId="0" borderId="0" xfId="7" applyNumberFormat="1" applyFont="1"/>
    <xf numFmtId="0" fontId="3" fillId="0" borderId="0" xfId="7" applyNumberFormat="1" applyFont="1" applyFill="1"/>
    <xf numFmtId="0" fontId="7" fillId="0" borderId="0" xfId="2" applyNumberFormat="1" applyFill="1" applyAlignment="1"/>
    <xf numFmtId="0" fontId="7" fillId="0" borderId="0" xfId="2" applyNumberFormat="1" applyFill="1" applyAlignment="1">
      <alignment horizontal="center"/>
    </xf>
    <xf numFmtId="0" fontId="3" fillId="0" borderId="0" xfId="7" applyNumberFormat="1" applyFont="1" applyFill="1" applyAlignment="1"/>
    <xf numFmtId="0" fontId="3" fillId="0" borderId="0" xfId="7" applyNumberFormat="1" applyFont="1" applyFill="1" applyBorder="1" applyAlignment="1"/>
    <xf numFmtId="0" fontId="3" fillId="0" borderId="0" xfId="7" applyNumberFormat="1" applyFont="1" applyBorder="1"/>
    <xf numFmtId="0" fontId="3" fillId="2" borderId="0" xfId="7" applyNumberFormat="1" applyFont="1" applyFill="1"/>
    <xf numFmtId="0" fontId="0" fillId="0" borderId="0" xfId="0" applyNumberFormat="1"/>
    <xf numFmtId="0" fontId="5" fillId="2" borderId="0" xfId="0" applyNumberFormat="1" applyFont="1" applyFill="1"/>
    <xf numFmtId="0" fontId="3" fillId="0" borderId="0" xfId="1" applyNumberFormat="1" applyFont="1"/>
    <xf numFmtId="0" fontId="3" fillId="0" borderId="0" xfId="7" applyNumberFormat="1" applyFont="1" applyAlignment="1">
      <alignment horizontal="right"/>
    </xf>
    <xf numFmtId="0" fontId="3" fillId="3" borderId="0" xfId="7" applyNumberFormat="1" applyFont="1" applyFill="1"/>
    <xf numFmtId="0" fontId="0" fillId="3" borderId="0" xfId="0" applyNumberFormat="1" applyFont="1" applyFill="1" applyAlignment="1">
      <alignment horizontal="right"/>
    </xf>
    <xf numFmtId="0" fontId="0" fillId="0" borderId="0" xfId="0" applyNumberFormat="1" applyFont="1" applyAlignment="1">
      <alignment horizontal="center"/>
    </xf>
    <xf numFmtId="0" fontId="0" fillId="0" borderId="0" xfId="7" applyNumberFormat="1" applyFont="1"/>
    <xf numFmtId="0" fontId="3" fillId="6" borderId="0" xfId="7" applyNumberFormat="1" applyFont="1" applyFill="1"/>
    <xf numFmtId="0" fontId="0" fillId="6" borderId="0" xfId="0" applyNumberFormat="1" applyFont="1" applyFill="1" applyAlignment="1">
      <alignment horizontal="right"/>
    </xf>
    <xf numFmtId="0" fontId="18" fillId="0" borderId="0" xfId="1" applyNumberFormat="1" applyFont="1"/>
    <xf numFmtId="0" fontId="3" fillId="17" borderId="0" xfId="7" applyNumberFormat="1" applyFont="1" applyFill="1"/>
    <xf numFmtId="0" fontId="0" fillId="17" borderId="0" xfId="0" applyNumberFormat="1" applyFont="1" applyFill="1" applyAlignment="1">
      <alignment horizontal="right"/>
    </xf>
    <xf numFmtId="0" fontId="5" fillId="3" borderId="67" xfId="1" applyNumberFormat="1" applyFont="1" applyFill="1" applyBorder="1" applyAlignment="1">
      <alignment horizontal="center"/>
    </xf>
    <xf numFmtId="0" fontId="5" fillId="0" borderId="67" xfId="1" applyNumberFormat="1" applyFont="1" applyBorder="1" applyAlignment="1">
      <alignment horizontal="center"/>
    </xf>
    <xf numFmtId="0" fontId="3" fillId="0" borderId="67" xfId="1" applyNumberFormat="1" applyFont="1" applyBorder="1"/>
    <xf numFmtId="0" fontId="5" fillId="0" borderId="173" xfId="0" applyNumberFormat="1" applyFont="1" applyBorder="1" applyAlignment="1">
      <alignment horizontal="center"/>
    </xf>
    <xf numFmtId="0" fontId="5" fillId="0" borderId="174" xfId="0" applyNumberFormat="1" applyFont="1" applyBorder="1" applyAlignment="1"/>
    <xf numFmtId="0" fontId="5" fillId="0" borderId="199" xfId="0" applyNumberFormat="1" applyFont="1" applyBorder="1" applyAlignment="1"/>
    <xf numFmtId="0" fontId="5" fillId="0" borderId="166" xfId="0" applyNumberFormat="1" applyFont="1" applyBorder="1" applyAlignment="1"/>
    <xf numFmtId="0" fontId="5" fillId="0" borderId="1" xfId="0" applyNumberFormat="1" applyFont="1" applyBorder="1" applyAlignment="1"/>
    <xf numFmtId="0" fontId="5" fillId="0" borderId="58" xfId="7" applyNumberFormat="1" applyFont="1" applyBorder="1" applyAlignment="1">
      <alignment horizontal="center"/>
    </xf>
    <xf numFmtId="0" fontId="3" fillId="0" borderId="59" xfId="7" applyNumberFormat="1" applyFont="1" applyBorder="1"/>
    <xf numFmtId="0" fontId="5" fillId="0" borderId="0" xfId="0" applyNumberFormat="1" applyFont="1" applyAlignment="1">
      <alignment horizontal="center"/>
    </xf>
    <xf numFmtId="0" fontId="5" fillId="3" borderId="67" xfId="1" applyNumberFormat="1" applyFont="1" applyFill="1" applyBorder="1" applyAlignment="1">
      <alignment horizontal="center" vertical="top"/>
    </xf>
    <xf numFmtId="0" fontId="5" fillId="0" borderId="173" xfId="0" applyNumberFormat="1" applyFont="1" applyBorder="1" applyAlignment="1">
      <alignment vertical="center"/>
    </xf>
    <xf numFmtId="0" fontId="0" fillId="0" borderId="173" xfId="7" applyNumberFormat="1" applyFont="1" applyFill="1" applyBorder="1" applyAlignment="1">
      <alignment vertical="center" wrapText="1"/>
    </xf>
    <xf numFmtId="0" fontId="0" fillId="0" borderId="174" xfId="0" applyNumberFormat="1" applyFont="1" applyFill="1" applyBorder="1" applyAlignment="1">
      <alignment horizontal="center" vertical="center"/>
    </xf>
    <xf numFmtId="0" fontId="0" fillId="0" borderId="199" xfId="0" applyNumberFormat="1" applyFont="1" applyFill="1" applyBorder="1" applyAlignment="1">
      <alignment horizontal="center" vertical="center"/>
    </xf>
    <xf numFmtId="0" fontId="0" fillId="0" borderId="199" xfId="0" applyNumberFormat="1" applyFill="1" applyBorder="1" applyAlignment="1">
      <alignment vertical="center"/>
    </xf>
    <xf numFmtId="0" fontId="5" fillId="0" borderId="173" xfId="0" applyNumberFormat="1" applyFont="1" applyFill="1" applyBorder="1" applyAlignment="1">
      <alignment horizontal="center" vertical="center"/>
    </xf>
    <xf numFmtId="0" fontId="5" fillId="0" borderId="57" xfId="0" applyNumberFormat="1" applyFont="1" applyFill="1" applyBorder="1" applyAlignment="1">
      <alignment horizontal="center" vertical="center"/>
    </xf>
    <xf numFmtId="0" fontId="0" fillId="0" borderId="57" xfId="0" applyNumberFormat="1" applyFont="1" applyFill="1" applyBorder="1" applyAlignment="1">
      <alignment horizontal="center" vertical="center"/>
    </xf>
    <xf numFmtId="0" fontId="0" fillId="0" borderId="58" xfId="0" applyNumberFormat="1" applyFont="1" applyFill="1" applyBorder="1" applyAlignment="1">
      <alignment horizontal="center" vertical="center"/>
    </xf>
    <xf numFmtId="0" fontId="0" fillId="0" borderId="59" xfId="0" applyNumberFormat="1" applyFont="1" applyFill="1" applyBorder="1" applyAlignment="1">
      <alignment horizontal="center" vertical="center"/>
    </xf>
    <xf numFmtId="0" fontId="3" fillId="0" borderId="0" xfId="7" applyNumberFormat="1" applyFont="1" applyFill="1" applyAlignment="1">
      <alignment vertical="center"/>
    </xf>
    <xf numFmtId="0" fontId="0" fillId="0" borderId="0" xfId="0" applyNumberFormat="1" applyFill="1"/>
    <xf numFmtId="0" fontId="5" fillId="0" borderId="67" xfId="6" applyNumberFormat="1" applyFont="1" applyBorder="1" applyAlignment="1">
      <alignment horizontal="center"/>
    </xf>
    <xf numFmtId="0" fontId="3" fillId="2" borderId="67" xfId="1" applyNumberFormat="1" applyFont="1" applyFill="1" applyBorder="1"/>
    <xf numFmtId="0" fontId="3" fillId="2" borderId="67" xfId="1" applyNumberFormat="1" applyFont="1" applyFill="1" applyBorder="1" applyAlignment="1">
      <alignment horizontal="center"/>
    </xf>
    <xf numFmtId="0" fontId="0" fillId="0" borderId="173" xfId="7" applyNumberFormat="1" applyFont="1" applyBorder="1" applyAlignment="1">
      <alignment vertical="center" wrapText="1"/>
    </xf>
    <xf numFmtId="0" fontId="0" fillId="0" borderId="0" xfId="0" applyNumberFormat="1" applyBorder="1"/>
    <xf numFmtId="0" fontId="0" fillId="0" borderId="77" xfId="0" applyNumberFormat="1" applyBorder="1"/>
    <xf numFmtId="0" fontId="0" fillId="0" borderId="0" xfId="7" applyNumberFormat="1" applyFont="1" applyAlignment="1">
      <alignment horizontal="right"/>
    </xf>
    <xf numFmtId="0" fontId="3" fillId="0" borderId="0" xfId="6" applyNumberFormat="1" applyFont="1"/>
    <xf numFmtId="0" fontId="0" fillId="0" borderId="0" xfId="0" applyNumberFormat="1" applyAlignment="1">
      <alignment horizontal="center"/>
    </xf>
    <xf numFmtId="0" fontId="5" fillId="0" borderId="1" xfId="8" applyNumberFormat="1" applyFont="1" applyBorder="1" applyAlignment="1">
      <alignment vertical="center"/>
    </xf>
    <xf numFmtId="0" fontId="3" fillId="0" borderId="1" xfId="6" applyNumberFormat="1" applyFont="1" applyFill="1" applyBorder="1" applyAlignment="1">
      <alignment vertical="center" wrapText="1"/>
    </xf>
    <xf numFmtId="0" fontId="0" fillId="0" borderId="0" xfId="0" applyNumberFormat="1" applyFill="1" applyAlignment="1">
      <alignment vertical="center"/>
    </xf>
    <xf numFmtId="0" fontId="5" fillId="0" borderId="1" xfId="0" applyNumberFormat="1" applyFont="1" applyBorder="1" applyAlignment="1">
      <alignment horizontal="center"/>
    </xf>
    <xf numFmtId="0" fontId="5" fillId="0" borderId="57" xfId="0" applyNumberFormat="1" applyFont="1" applyBorder="1" applyAlignment="1"/>
    <xf numFmtId="0" fontId="5" fillId="0" borderId="58" xfId="0" applyNumberFormat="1" applyFont="1" applyBorder="1" applyAlignment="1"/>
    <xf numFmtId="0" fontId="5" fillId="0" borderId="59" xfId="0" applyNumberFormat="1" applyFont="1" applyBorder="1" applyAlignment="1"/>
    <xf numFmtId="0" fontId="5" fillId="0" borderId="1" xfId="0" applyNumberFormat="1" applyFont="1" applyBorder="1" applyAlignment="1">
      <alignment vertical="center"/>
    </xf>
    <xf numFmtId="0" fontId="0" fillId="0" borderId="1" xfId="7" applyNumberFormat="1" applyFont="1" applyFill="1" applyBorder="1" applyAlignment="1">
      <alignment vertical="center" wrapText="1"/>
    </xf>
    <xf numFmtId="0" fontId="0" fillId="0" borderId="58" xfId="0" applyNumberFormat="1" applyFill="1" applyBorder="1" applyAlignment="1">
      <alignment vertical="center"/>
    </xf>
    <xf numFmtId="0" fontId="5" fillId="0" borderId="1" xfId="0" applyNumberFormat="1" applyFont="1" applyFill="1" applyBorder="1" applyAlignment="1">
      <alignment horizontal="center" vertical="center"/>
    </xf>
    <xf numFmtId="0" fontId="0" fillId="0" borderId="1" xfId="7" applyNumberFormat="1" applyFont="1" applyBorder="1" applyAlignment="1">
      <alignment vertical="center" wrapText="1"/>
    </xf>
    <xf numFmtId="0" fontId="5" fillId="0" borderId="0" xfId="7" quotePrefix="1" applyNumberFormat="1" applyFont="1" applyAlignment="1">
      <alignment horizontal="center"/>
    </xf>
    <xf numFmtId="0" fontId="0" fillId="0" borderId="58" xfId="0" applyNumberFormat="1" applyFont="1" applyFill="1" applyBorder="1" applyAlignment="1">
      <alignment vertical="center"/>
    </xf>
    <xf numFmtId="0" fontId="5" fillId="0" borderId="0" xfId="8" applyNumberFormat="1" applyFont="1" applyFill="1" applyAlignment="1"/>
    <xf numFmtId="0" fontId="3" fillId="0" borderId="0" xfId="8" applyNumberFormat="1" applyFont="1" applyFill="1" applyAlignment="1"/>
    <xf numFmtId="0" fontId="3" fillId="0" borderId="0" xfId="11" applyNumberFormat="1" applyFont="1" applyAlignment="1"/>
    <xf numFmtId="0" fontId="3" fillId="2" borderId="0" xfId="11" applyNumberFormat="1" applyFont="1" applyFill="1" applyAlignment="1"/>
    <xf numFmtId="0" fontId="22" fillId="0" borderId="0" xfId="5" applyNumberFormat="1" applyFont="1" applyFill="1" applyAlignment="1">
      <alignment horizontal="right"/>
    </xf>
    <xf numFmtId="0" fontId="5" fillId="6" borderId="0" xfId="8" applyNumberFormat="1" applyFont="1" applyFill="1" applyAlignment="1"/>
    <xf numFmtId="0" fontId="0" fillId="2" borderId="0" xfId="0" applyNumberFormat="1" applyFill="1"/>
    <xf numFmtId="0" fontId="3" fillId="2" borderId="0" xfId="8" applyNumberFormat="1" applyFont="1" applyFill="1" applyAlignment="1"/>
    <xf numFmtId="0" fontId="21" fillId="0" borderId="0" xfId="8" applyNumberFormat="1" applyFont="1" applyFill="1" applyBorder="1" applyAlignment="1"/>
    <xf numFmtId="0" fontId="3" fillId="14" borderId="0" xfId="8" applyNumberFormat="1" applyFont="1" applyFill="1" applyAlignment="1"/>
    <xf numFmtId="0" fontId="18" fillId="9" borderId="0" xfId="8" applyNumberFormat="1" applyFont="1" applyFill="1" applyAlignment="1">
      <alignment horizontal="center"/>
    </xf>
    <xf numFmtId="0" fontId="0" fillId="8" borderId="0" xfId="8" applyNumberFormat="1" applyFont="1" applyFill="1" applyAlignment="1"/>
    <xf numFmtId="0" fontId="3" fillId="8" borderId="0" xfId="8" applyNumberFormat="1" applyFont="1" applyFill="1" applyAlignment="1"/>
    <xf numFmtId="0" fontId="32" fillId="0" borderId="61" xfId="8" applyNumberFormat="1" applyFont="1" applyBorder="1" applyAlignment="1">
      <alignment vertical="top" wrapText="1"/>
    </xf>
    <xf numFmtId="0" fontId="32" fillId="0" borderId="108" xfId="8" applyNumberFormat="1" applyFont="1" applyBorder="1" applyAlignment="1">
      <alignment vertical="top" wrapText="1"/>
    </xf>
    <xf numFmtId="0" fontId="3" fillId="0" borderId="61" xfId="8" applyNumberFormat="1" applyFont="1" applyFill="1" applyBorder="1" applyAlignment="1">
      <alignment wrapText="1"/>
    </xf>
    <xf numFmtId="0" fontId="3" fillId="6" borderId="61" xfId="8" applyNumberFormat="1" applyFont="1" applyFill="1" applyBorder="1" applyAlignment="1">
      <alignment wrapText="1"/>
    </xf>
    <xf numFmtId="0" fontId="0" fillId="10" borderId="61" xfId="8" applyNumberFormat="1" applyFont="1" applyFill="1" applyBorder="1" applyAlignment="1">
      <alignment wrapText="1"/>
    </xf>
    <xf numFmtId="0" fontId="3" fillId="11" borderId="61" xfId="14" applyNumberFormat="1" applyFont="1" applyFill="1" applyBorder="1" applyAlignment="1" applyProtection="1">
      <alignment horizontal="center" vertical="top" textRotation="90"/>
    </xf>
    <xf numFmtId="0" fontId="0" fillId="0" borderId="61" xfId="8" applyNumberFormat="1" applyFont="1" applyBorder="1" applyAlignment="1">
      <alignment horizontal="center"/>
    </xf>
    <xf numFmtId="0" fontId="0" fillId="0" borderId="108" xfId="8" applyNumberFormat="1" applyFont="1" applyBorder="1" applyAlignment="1">
      <alignment horizontal="center"/>
    </xf>
    <xf numFmtId="0" fontId="5" fillId="0" borderId="61" xfId="8" applyNumberFormat="1" applyFont="1" applyFill="1" applyBorder="1" applyAlignment="1">
      <alignment horizontal="right"/>
    </xf>
    <xf numFmtId="0" fontId="31" fillId="0" borderId="61" xfId="9" applyNumberFormat="1" applyFont="1" applyFill="1" applyBorder="1" applyAlignment="1">
      <alignment horizontal="center"/>
    </xf>
    <xf numFmtId="0" fontId="33" fillId="0" borderId="61" xfId="9" applyNumberFormat="1" applyFont="1" applyFill="1" applyBorder="1" applyAlignment="1"/>
    <xf numFmtId="0" fontId="3" fillId="6" borderId="61" xfId="8" applyNumberFormat="1" applyFont="1" applyFill="1" applyBorder="1" applyAlignment="1">
      <alignment horizontal="center"/>
    </xf>
    <xf numFmtId="0" fontId="3" fillId="0" borderId="61" xfId="8" applyNumberFormat="1" applyFont="1" applyFill="1" applyBorder="1" applyAlignment="1">
      <alignment horizontal="center"/>
    </xf>
    <xf numFmtId="0" fontId="3" fillId="10" borderId="61" xfId="8" applyNumberFormat="1" applyFont="1" applyFill="1" applyBorder="1" applyAlignment="1">
      <alignment horizontal="center"/>
    </xf>
    <xf numFmtId="0" fontId="24" fillId="11" borderId="61" xfId="11" applyNumberFormat="1" applyFont="1" applyFill="1" applyBorder="1" applyAlignment="1">
      <alignment horizontal="center"/>
    </xf>
    <xf numFmtId="0" fontId="5" fillId="2" borderId="64" xfId="8" applyNumberFormat="1" applyFont="1" applyFill="1" applyBorder="1" applyAlignment="1">
      <alignment horizontal="center"/>
    </xf>
    <xf numFmtId="0" fontId="5" fillId="0" borderId="61" xfId="8" applyNumberFormat="1" applyFont="1" applyBorder="1" applyAlignment="1">
      <alignment horizontal="center"/>
    </xf>
    <xf numFmtId="0" fontId="25" fillId="0" borderId="61" xfId="9" applyNumberFormat="1" applyFont="1" applyFill="1" applyBorder="1" applyAlignment="1">
      <alignment horizontal="center"/>
    </xf>
    <xf numFmtId="0" fontId="26" fillId="3" borderId="61" xfId="9" applyNumberFormat="1" applyFont="1" applyFill="1" applyBorder="1" applyAlignment="1">
      <alignment horizontal="center"/>
    </xf>
    <xf numFmtId="0" fontId="5" fillId="2" borderId="61" xfId="8" applyNumberFormat="1" applyFont="1" applyFill="1" applyBorder="1" applyAlignment="1">
      <alignment horizontal="center"/>
    </xf>
    <xf numFmtId="0" fontId="29" fillId="0" borderId="61" xfId="8" applyNumberFormat="1" applyFont="1" applyFill="1" applyBorder="1" applyAlignment="1">
      <alignment horizontal="center"/>
    </xf>
    <xf numFmtId="0" fontId="29" fillId="0" borderId="61" xfId="12" applyNumberFormat="1" applyFont="1" applyFill="1" applyBorder="1" applyAlignment="1">
      <alignment horizontal="center"/>
    </xf>
    <xf numFmtId="0" fontId="7" fillId="11" borderId="61" xfId="2" applyNumberFormat="1" applyFill="1" applyBorder="1" applyAlignment="1">
      <alignment horizontal="center"/>
    </xf>
    <xf numFmtId="0" fontId="3" fillId="0" borderId="52" xfId="8" applyNumberFormat="1" applyFont="1" applyFill="1" applyBorder="1" applyAlignment="1">
      <alignment textRotation="90"/>
    </xf>
    <xf numFmtId="0" fontId="3" fillId="0" borderId="0" xfId="8" applyNumberFormat="1" applyFont="1" applyFill="1" applyBorder="1" applyAlignment="1">
      <alignment textRotation="90"/>
    </xf>
    <xf numFmtId="0" fontId="3" fillId="0" borderId="0" xfId="8" applyNumberFormat="1" applyFont="1" applyFill="1" applyAlignment="1">
      <alignment textRotation="90"/>
    </xf>
    <xf numFmtId="0" fontId="5" fillId="2" borderId="61" xfId="8" applyNumberFormat="1" applyFont="1" applyFill="1" applyBorder="1" applyAlignment="1">
      <alignment horizontal="right"/>
    </xf>
    <xf numFmtId="0" fontId="0" fillId="0" borderId="61" xfId="8" applyNumberFormat="1" applyFont="1" applyFill="1" applyBorder="1" applyAlignment="1"/>
    <xf numFmtId="0" fontId="25" fillId="0" borderId="61" xfId="10" applyNumberFormat="1" applyFont="1" applyFill="1" applyBorder="1" applyAlignment="1">
      <alignment horizontal="center"/>
    </xf>
    <xf numFmtId="0" fontId="3" fillId="3" borderId="61" xfId="10" applyNumberFormat="1" applyFont="1" applyFill="1" applyBorder="1" applyAlignment="1">
      <alignment horizontal="center"/>
    </xf>
    <xf numFmtId="0" fontId="29" fillId="0" borderId="61" xfId="10" applyNumberFormat="1" applyFont="1" applyFill="1" applyBorder="1" applyAlignment="1">
      <alignment horizontal="center"/>
    </xf>
    <xf numFmtId="0" fontId="29" fillId="10" borderId="61" xfId="10" applyNumberFormat="1" applyFont="1" applyFill="1" applyBorder="1" applyAlignment="1">
      <alignment horizontal="center"/>
    </xf>
    <xf numFmtId="0" fontId="3" fillId="0" borderId="61" xfId="11" applyNumberFormat="1" applyFont="1" applyFill="1" applyBorder="1" applyAlignment="1">
      <alignment horizontal="center"/>
    </xf>
    <xf numFmtId="0" fontId="3" fillId="0" borderId="0" xfId="8" applyNumberFormat="1" applyFont="1" applyFill="1" applyBorder="1" applyAlignment="1">
      <alignment horizontal="center"/>
    </xf>
    <xf numFmtId="0" fontId="3" fillId="0" borderId="0" xfId="8" applyNumberFormat="1" applyFont="1" applyFill="1" applyAlignment="1">
      <alignment horizontal="center"/>
    </xf>
    <xf numFmtId="0" fontId="40" fillId="0" borderId="0" xfId="8" applyNumberFormat="1" applyFont="1" applyFill="1" applyAlignment="1"/>
    <xf numFmtId="0" fontId="39" fillId="0" borderId="0" xfId="8" applyNumberFormat="1" applyFont="1" applyFill="1" applyAlignment="1"/>
    <xf numFmtId="0" fontId="25" fillId="0" borderId="108" xfId="10" applyNumberFormat="1" applyFont="1" applyFill="1" applyBorder="1" applyAlignment="1">
      <alignment horizontal="center"/>
    </xf>
    <xf numFmtId="0" fontId="3" fillId="3" borderId="108" xfId="10" applyNumberFormat="1" applyFont="1" applyFill="1" applyBorder="1" applyAlignment="1">
      <alignment horizontal="center"/>
    </xf>
    <xf numFmtId="0" fontId="0" fillId="3" borderId="61" xfId="10" applyNumberFormat="1" applyFont="1" applyFill="1" applyBorder="1" applyAlignment="1">
      <alignment horizontal="center"/>
    </xf>
    <xf numFmtId="0" fontId="25" fillId="0" borderId="65" xfId="10" applyNumberFormat="1" applyFont="1" applyFill="1" applyBorder="1" applyAlignment="1">
      <alignment horizontal="center"/>
    </xf>
    <xf numFmtId="0" fontId="3" fillId="3" borderId="65" xfId="10" applyNumberFormat="1" applyFont="1" applyFill="1" applyBorder="1" applyAlignment="1">
      <alignment horizontal="center"/>
    </xf>
    <xf numFmtId="0" fontId="25" fillId="0" borderId="66" xfId="10" applyNumberFormat="1" applyFont="1" applyFill="1" applyBorder="1" applyAlignment="1">
      <alignment horizontal="center"/>
    </xf>
    <xf numFmtId="0" fontId="3" fillId="3" borderId="66" xfId="10" applyNumberFormat="1" applyFont="1" applyFill="1" applyBorder="1" applyAlignment="1">
      <alignment horizontal="center"/>
    </xf>
    <xf numFmtId="0" fontId="0" fillId="0" borderId="124" xfId="8" applyNumberFormat="1" applyFont="1" applyFill="1" applyBorder="1" applyAlignment="1"/>
    <xf numFmtId="0" fontId="25" fillId="0" borderId="124" xfId="10" applyNumberFormat="1" applyFont="1" applyFill="1" applyBorder="1" applyAlignment="1">
      <alignment horizontal="center"/>
    </xf>
    <xf numFmtId="0" fontId="0" fillId="0" borderId="197" xfId="8" applyNumberFormat="1" applyFont="1" applyFill="1" applyBorder="1" applyAlignment="1"/>
    <xf numFmtId="0" fontId="25" fillId="0" borderId="197" xfId="10" applyNumberFormat="1" applyFont="1" applyFill="1" applyBorder="1" applyAlignment="1">
      <alignment horizontal="center"/>
    </xf>
    <xf numFmtId="0" fontId="0" fillId="3" borderId="197" xfId="10" applyNumberFormat="1" applyFont="1" applyFill="1" applyBorder="1" applyAlignment="1">
      <alignment horizontal="center"/>
    </xf>
    <xf numFmtId="0" fontId="0" fillId="0" borderId="195" xfId="8" applyNumberFormat="1" applyFont="1" applyFill="1" applyBorder="1" applyAlignment="1"/>
    <xf numFmtId="0" fontId="25" fillId="0" borderId="195" xfId="10" applyNumberFormat="1" applyFont="1" applyFill="1" applyBorder="1" applyAlignment="1">
      <alignment horizontal="center"/>
    </xf>
    <xf numFmtId="0" fontId="3" fillId="3" borderId="195" xfId="10" applyNumberFormat="1" applyFont="1" applyFill="1" applyBorder="1" applyAlignment="1">
      <alignment horizontal="center"/>
    </xf>
    <xf numFmtId="0" fontId="0" fillId="0" borderId="108" xfId="8" applyNumberFormat="1" applyFont="1" applyFill="1" applyBorder="1" applyAlignment="1"/>
    <xf numFmtId="0" fontId="0" fillId="3" borderId="108" xfId="10" applyNumberFormat="1" applyFont="1" applyFill="1" applyBorder="1" applyAlignment="1">
      <alignment horizontal="center"/>
    </xf>
    <xf numFmtId="0" fontId="0" fillId="0" borderId="194" xfId="8" applyNumberFormat="1" applyFont="1" applyFill="1" applyBorder="1" applyAlignment="1"/>
    <xf numFmtId="0" fontId="25" fillId="0" borderId="194" xfId="10" applyNumberFormat="1" applyFont="1" applyFill="1" applyBorder="1" applyAlignment="1">
      <alignment horizontal="center"/>
    </xf>
    <xf numFmtId="0" fontId="3" fillId="3" borderId="194" xfId="10" applyNumberFormat="1" applyFont="1" applyFill="1" applyBorder="1" applyAlignment="1">
      <alignment horizontal="center"/>
    </xf>
    <xf numFmtId="0" fontId="25" fillId="7" borderId="108" xfId="10" applyNumberFormat="1" applyFont="1" applyFill="1" applyBorder="1" applyAlignment="1">
      <alignment horizontal="center"/>
    </xf>
    <xf numFmtId="0" fontId="5" fillId="2" borderId="0" xfId="8" applyNumberFormat="1" applyFont="1" applyFill="1" applyAlignment="1"/>
    <xf numFmtId="0" fontId="3" fillId="2" borderId="0" xfId="8" applyNumberFormat="1" applyFont="1" applyFill="1" applyAlignment="1">
      <alignment horizontal="right"/>
    </xf>
    <xf numFmtId="0" fontId="25" fillId="2" borderId="0" xfId="8" applyNumberFormat="1" applyFont="1" applyFill="1" applyAlignment="1"/>
    <xf numFmtId="0" fontId="26" fillId="2" borderId="0" xfId="8" applyNumberFormat="1" applyFont="1" applyFill="1" applyAlignment="1"/>
    <xf numFmtId="0" fontId="5" fillId="2" borderId="0" xfId="8" applyNumberFormat="1" applyFont="1" applyFill="1" applyAlignment="1">
      <alignment horizontal="center"/>
    </xf>
    <xf numFmtId="0" fontId="3" fillId="2" borderId="0" xfId="8" applyNumberFormat="1" applyFont="1" applyFill="1" applyAlignment="1">
      <alignment horizontal="center"/>
    </xf>
    <xf numFmtId="0" fontId="58" fillId="0" borderId="0" xfId="0" applyNumberFormat="1" applyFont="1"/>
    <xf numFmtId="0" fontId="5" fillId="0" borderId="0" xfId="8" applyNumberFormat="1" applyFont="1" applyFill="1" applyAlignment="1">
      <alignment horizontal="center"/>
    </xf>
    <xf numFmtId="0" fontId="3" fillId="0" borderId="0" xfId="0" applyNumberFormat="1" applyFont="1"/>
    <xf numFmtId="0" fontId="61" fillId="0" borderId="0" xfId="7" applyNumberFormat="1" applyFont="1" applyAlignment="1">
      <alignment horizontal="right"/>
    </xf>
    <xf numFmtId="0" fontId="18" fillId="0" borderId="0" xfId="7" applyNumberFormat="1" applyFont="1"/>
    <xf numFmtId="0" fontId="5" fillId="3" borderId="67" xfId="7" applyNumberFormat="1" applyFont="1" applyFill="1" applyBorder="1" applyAlignment="1">
      <alignment horizontal="center"/>
    </xf>
    <xf numFmtId="0" fontId="3" fillId="0" borderId="67" xfId="7" applyNumberFormat="1" applyFont="1" applyBorder="1"/>
    <xf numFmtId="0" fontId="3" fillId="0" borderId="67" xfId="7" applyNumberFormat="1" applyFont="1" applyBorder="1" applyAlignment="1"/>
    <xf numFmtId="0" fontId="0" fillId="0" borderId="67" xfId="7" applyNumberFormat="1" applyFont="1" applyBorder="1" applyAlignment="1"/>
    <xf numFmtId="0" fontId="5" fillId="0" borderId="67" xfId="7" applyNumberFormat="1" applyFont="1" applyBorder="1" applyAlignment="1">
      <alignment horizontal="center"/>
    </xf>
    <xf numFmtId="0" fontId="5" fillId="0" borderId="67" xfId="7" applyNumberFormat="1" applyFont="1" applyFill="1" applyBorder="1" applyAlignment="1">
      <alignment horizontal="center"/>
    </xf>
    <xf numFmtId="0" fontId="3" fillId="0" borderId="67" xfId="6" applyNumberFormat="1" applyFont="1" applyBorder="1" applyAlignment="1"/>
    <xf numFmtId="0" fontId="5" fillId="0" borderId="123" xfId="0" applyNumberFormat="1" applyFont="1" applyFill="1" applyBorder="1" applyAlignment="1">
      <alignment horizontal="center" vertical="center"/>
    </xf>
    <xf numFmtId="0" fontId="5" fillId="0" borderId="67" xfId="6" applyNumberFormat="1" applyFont="1" applyBorder="1" applyAlignment="1">
      <alignment horizontal="center" vertical="center"/>
    </xf>
    <xf numFmtId="0" fontId="3" fillId="2" borderId="67" xfId="7" applyNumberFormat="1" applyFont="1" applyFill="1" applyBorder="1" applyAlignment="1">
      <alignment horizontal="center" vertical="center"/>
    </xf>
    <xf numFmtId="0" fontId="3" fillId="2" borderId="67" xfId="7" applyNumberFormat="1" applyFont="1" applyFill="1" applyBorder="1" applyAlignment="1">
      <alignment vertical="center"/>
    </xf>
    <xf numFmtId="0" fontId="3" fillId="0" borderId="0" xfId="6" applyNumberFormat="1" applyFont="1" applyAlignment="1">
      <alignment vertical="center"/>
    </xf>
    <xf numFmtId="0" fontId="3" fillId="0" borderId="0" xfId="7" applyNumberFormat="1" applyFont="1" applyAlignment="1">
      <alignment wrapText="1"/>
    </xf>
    <xf numFmtId="0" fontId="5" fillId="0" borderId="1" xfId="0" applyNumberFormat="1" applyFont="1" applyBorder="1" applyAlignment="1">
      <alignment horizontal="center" wrapText="1"/>
    </xf>
    <xf numFmtId="0" fontId="0" fillId="0" borderId="67" xfId="0" applyNumberFormat="1" applyBorder="1"/>
    <xf numFmtId="0" fontId="0" fillId="0" borderId="67" xfId="0" applyNumberFormat="1" applyFill="1" applyBorder="1"/>
    <xf numFmtId="0" fontId="0" fillId="0" borderId="0" xfId="0" applyNumberFormat="1" applyAlignment="1">
      <alignment wrapText="1"/>
    </xf>
    <xf numFmtId="0" fontId="5" fillId="0" borderId="0" xfId="11" applyNumberFormat="1" applyFont="1" applyBorder="1" applyAlignment="1"/>
    <xf numFmtId="0" fontId="5" fillId="2" borderId="0" xfId="11" applyNumberFormat="1" applyFont="1" applyFill="1" applyAlignment="1"/>
    <xf numFmtId="0" fontId="22" fillId="0" borderId="0" xfId="12" applyNumberFormat="1" applyFont="1" applyFill="1" applyAlignment="1">
      <alignment horizontal="right"/>
    </xf>
    <xf numFmtId="0" fontId="21" fillId="0" borderId="0" xfId="1" applyNumberFormat="1" applyFont="1" applyBorder="1" applyAlignment="1"/>
    <xf numFmtId="0" fontId="5" fillId="0" borderId="0" xfId="11" applyNumberFormat="1" applyFont="1" applyAlignment="1"/>
    <xf numFmtId="0" fontId="3" fillId="0" borderId="0" xfId="11" applyNumberFormat="1" applyFont="1" applyFill="1" applyAlignment="1"/>
    <xf numFmtId="0" fontId="0" fillId="0" borderId="0" xfId="0" applyNumberFormat="1" applyFont="1"/>
    <xf numFmtId="0" fontId="3" fillId="3" borderId="61" xfId="14" applyNumberFormat="1" applyFont="1" applyFill="1" applyBorder="1" applyAlignment="1" applyProtection="1">
      <alignment horizontal="center" vertical="top" textRotation="90"/>
    </xf>
    <xf numFmtId="0" fontId="4" fillId="3" borderId="61" xfId="14" applyNumberFormat="1" applyFont="1" applyFill="1" applyBorder="1" applyAlignment="1" applyProtection="1">
      <alignment horizontal="center" vertical="top" textRotation="90"/>
    </xf>
    <xf numFmtId="0" fontId="0" fillId="2" borderId="62" xfId="8" applyNumberFormat="1" applyFont="1" applyFill="1" applyBorder="1" applyAlignment="1">
      <alignment horizontal="center"/>
    </xf>
    <xf numFmtId="0" fontId="3" fillId="2" borderId="63" xfId="8" applyNumberFormat="1" applyFont="1" applyFill="1" applyBorder="1" applyAlignment="1">
      <alignment horizontal="center"/>
    </xf>
    <xf numFmtId="0" fontId="0" fillId="2" borderId="63" xfId="8" applyNumberFormat="1" applyFont="1" applyFill="1" applyBorder="1" applyAlignment="1">
      <alignment horizontal="center"/>
    </xf>
    <xf numFmtId="0" fontId="5" fillId="2" borderId="64" xfId="8" applyNumberFormat="1" applyFont="1" applyFill="1" applyBorder="1" applyAlignment="1">
      <alignment horizontal="right"/>
    </xf>
    <xf numFmtId="0" fontId="5" fillId="0" borderId="61" xfId="8" applyNumberFormat="1" applyFont="1" applyFill="1" applyBorder="1" applyAlignment="1">
      <alignment horizontal="center"/>
    </xf>
    <xf numFmtId="0" fontId="24" fillId="3" borderId="61" xfId="11" applyNumberFormat="1" applyFont="1" applyFill="1" applyBorder="1" applyAlignment="1">
      <alignment horizontal="center"/>
    </xf>
    <xf numFmtId="0" fontId="34" fillId="0" borderId="61" xfId="8" applyNumberFormat="1" applyFont="1" applyFill="1" applyBorder="1" applyAlignment="1"/>
    <xf numFmtId="0" fontId="29" fillId="0" borderId="61" xfId="8" applyNumberFormat="1" applyFont="1" applyBorder="1" applyAlignment="1"/>
    <xf numFmtId="0" fontId="35" fillId="0" borderId="61" xfId="8" applyNumberFormat="1" applyFont="1" applyFill="1" applyBorder="1" applyAlignment="1"/>
    <xf numFmtId="0" fontId="36" fillId="0" borderId="61" xfId="8" applyNumberFormat="1" applyFont="1" applyBorder="1" applyAlignment="1">
      <alignment horizontal="center"/>
    </xf>
    <xf numFmtId="0" fontId="37" fillId="0" borderId="61" xfId="8" applyNumberFormat="1" applyFont="1" applyBorder="1" applyAlignment="1">
      <alignment horizontal="center"/>
    </xf>
    <xf numFmtId="0" fontId="26" fillId="0" borderId="61" xfId="8" applyNumberFormat="1" applyFont="1" applyBorder="1" applyAlignment="1">
      <alignment horizontal="center"/>
    </xf>
    <xf numFmtId="0" fontId="5" fillId="2" borderId="61" xfId="8" applyNumberFormat="1" applyFont="1" applyFill="1" applyBorder="1" applyAlignment="1"/>
    <xf numFmtId="0" fontId="36" fillId="0" borderId="61" xfId="9" applyNumberFormat="1" applyFont="1" applyFill="1" applyBorder="1" applyAlignment="1">
      <alignment horizontal="center"/>
    </xf>
    <xf numFmtId="0" fontId="38" fillId="0" borderId="61" xfId="8" applyNumberFormat="1" applyFont="1" applyFill="1" applyBorder="1" applyAlignment="1">
      <alignment horizontal="center"/>
    </xf>
    <xf numFmtId="0" fontId="14" fillId="0" borderId="61" xfId="8" applyNumberFormat="1" applyFont="1" applyFill="1" applyBorder="1" applyAlignment="1">
      <alignment horizontal="center"/>
    </xf>
    <xf numFmtId="0" fontId="7" fillId="3" borderId="61" xfId="2" applyNumberFormat="1" applyFont="1" applyFill="1" applyBorder="1" applyAlignment="1">
      <alignment horizontal="center"/>
    </xf>
    <xf numFmtId="0" fontId="7" fillId="3" borderId="61" xfId="2" applyNumberFormat="1" applyFill="1" applyBorder="1" applyAlignment="1">
      <alignment horizontal="center"/>
    </xf>
    <xf numFmtId="0" fontId="69" fillId="3" borderId="61" xfId="2" applyNumberFormat="1" applyFont="1" applyFill="1" applyBorder="1" applyAlignment="1">
      <alignment horizontal="center"/>
    </xf>
    <xf numFmtId="0" fontId="14" fillId="0" borderId="61" xfId="8" applyNumberFormat="1" applyFont="1" applyFill="1" applyBorder="1" applyAlignment="1"/>
    <xf numFmtId="0" fontId="29" fillId="0" borderId="61" xfId="8" applyNumberFormat="1" applyFont="1" applyFill="1" applyBorder="1" applyAlignment="1"/>
    <xf numFmtId="0" fontId="38" fillId="0" borderId="61" xfId="8" applyNumberFormat="1" applyFont="1" applyFill="1" applyBorder="1" applyAlignment="1"/>
    <xf numFmtId="0" fontId="36" fillId="0" borderId="61" xfId="8" applyNumberFormat="1" applyFont="1" applyFill="1" applyBorder="1" applyAlignment="1"/>
    <xf numFmtId="0" fontId="37" fillId="0" borderId="61" xfId="8" applyNumberFormat="1" applyFont="1" applyFill="1" applyBorder="1" applyAlignment="1"/>
    <xf numFmtId="0" fontId="26" fillId="0" borderId="61" xfId="8" applyNumberFormat="1" applyFont="1" applyFill="1" applyBorder="1" applyAlignment="1"/>
    <xf numFmtId="0" fontId="29" fillId="0" borderId="61" xfId="8" applyNumberFormat="1" applyFont="1" applyFill="1" applyBorder="1" applyAlignment="1">
      <alignment horizontal="right"/>
    </xf>
    <xf numFmtId="0" fontId="36" fillId="0" borderId="61" xfId="10" applyNumberFormat="1" applyFont="1" applyFill="1" applyBorder="1" applyAlignment="1">
      <alignment horizontal="center"/>
    </xf>
    <xf numFmtId="0" fontId="38" fillId="0" borderId="61" xfId="10" applyNumberFormat="1" applyFont="1" applyFill="1" applyBorder="1" applyAlignment="1">
      <alignment horizontal="center"/>
    </xf>
    <xf numFmtId="0" fontId="14" fillId="0" borderId="61" xfId="10" applyNumberFormat="1" applyFont="1" applyFill="1" applyBorder="1" applyAlignment="1">
      <alignment horizontal="center"/>
    </xf>
    <xf numFmtId="0" fontId="36" fillId="0" borderId="108" xfId="10" applyNumberFormat="1" applyFont="1" applyFill="1" applyBorder="1" applyAlignment="1">
      <alignment horizontal="center"/>
    </xf>
    <xf numFmtId="0" fontId="38" fillId="0" borderId="108" xfId="10" applyNumberFormat="1" applyFont="1" applyFill="1" applyBorder="1" applyAlignment="1">
      <alignment horizontal="center"/>
    </xf>
    <xf numFmtId="0" fontId="14" fillId="0" borderId="108" xfId="10" applyNumberFormat="1" applyFont="1" applyFill="1" applyBorder="1" applyAlignment="1">
      <alignment horizontal="center"/>
    </xf>
    <xf numFmtId="0" fontId="3" fillId="0" borderId="108" xfId="8" applyNumberFormat="1" applyFont="1" applyFill="1" applyBorder="1" applyAlignment="1"/>
    <xf numFmtId="0" fontId="0" fillId="0" borderId="108" xfId="7" applyNumberFormat="1" applyFont="1" applyFill="1" applyBorder="1" applyAlignment="1"/>
    <xf numFmtId="0" fontId="3" fillId="0" borderId="0" xfId="8" applyNumberFormat="1" applyFont="1" applyFill="1" applyBorder="1" applyAlignment="1"/>
    <xf numFmtId="0" fontId="3" fillId="0" borderId="61" xfId="7" applyNumberFormat="1" applyFont="1" applyFill="1" applyBorder="1" applyAlignment="1"/>
    <xf numFmtId="0" fontId="0" fillId="0" borderId="61" xfId="7" applyNumberFormat="1" applyFont="1" applyFill="1" applyBorder="1" applyAlignment="1"/>
    <xf numFmtId="0" fontId="3" fillId="0" borderId="61" xfId="8" applyNumberFormat="1" applyFont="1" applyFill="1" applyBorder="1" applyAlignment="1"/>
    <xf numFmtId="0" fontId="38" fillId="21" borderId="61" xfId="10" applyNumberFormat="1" applyFont="1" applyFill="1" applyBorder="1" applyAlignment="1">
      <alignment horizontal="center"/>
    </xf>
    <xf numFmtId="0" fontId="14" fillId="21" borderId="61" xfId="10" applyNumberFormat="1" applyFont="1" applyFill="1" applyBorder="1" applyAlignment="1">
      <alignment horizontal="center"/>
    </xf>
    <xf numFmtId="0" fontId="5" fillId="2" borderId="65" xfId="8" applyNumberFormat="1" applyFont="1" applyFill="1" applyBorder="1" applyAlignment="1">
      <alignment horizontal="right"/>
    </xf>
    <xf numFmtId="0" fontId="3" fillId="0" borderId="65" xfId="7" applyNumberFormat="1" applyFont="1" applyFill="1" applyBorder="1" applyAlignment="1"/>
    <xf numFmtId="0" fontId="36" fillId="0" borderId="65" xfId="10" applyNumberFormat="1" applyFont="1" applyFill="1" applyBorder="1" applyAlignment="1">
      <alignment horizontal="center"/>
    </xf>
    <xf numFmtId="0" fontId="38" fillId="0" borderId="65" xfId="10" applyNumberFormat="1" applyFont="1" applyFill="1" applyBorder="1" applyAlignment="1">
      <alignment horizontal="center"/>
    </xf>
    <xf numFmtId="0" fontId="14" fillId="0" borderId="65" xfId="10" applyNumberFormat="1" applyFont="1" applyFill="1" applyBorder="1" applyAlignment="1">
      <alignment horizontal="center"/>
    </xf>
    <xf numFmtId="0" fontId="29" fillId="0" borderId="65" xfId="10" applyNumberFormat="1" applyFont="1" applyFill="1" applyBorder="1" applyAlignment="1">
      <alignment horizontal="center"/>
    </xf>
    <xf numFmtId="0" fontId="29" fillId="10" borderId="65" xfId="10" applyNumberFormat="1" applyFont="1" applyFill="1" applyBorder="1" applyAlignment="1">
      <alignment horizontal="center"/>
    </xf>
    <xf numFmtId="0" fontId="5" fillId="2" borderId="66" xfId="8" applyNumberFormat="1" applyFont="1" applyFill="1" applyBorder="1" applyAlignment="1">
      <alignment horizontal="right"/>
    </xf>
    <xf numFmtId="0" fontId="3" fillId="0" borderId="66" xfId="8" applyNumberFormat="1" applyFont="1" applyFill="1" applyBorder="1" applyAlignment="1"/>
    <xf numFmtId="0" fontId="36" fillId="0" borderId="66" xfId="10" applyNumberFormat="1" applyFont="1" applyFill="1" applyBorder="1" applyAlignment="1">
      <alignment horizontal="center"/>
    </xf>
    <xf numFmtId="0" fontId="38" fillId="0" borderId="66" xfId="10" applyNumberFormat="1" applyFont="1" applyFill="1" applyBorder="1" applyAlignment="1">
      <alignment horizontal="center"/>
    </xf>
    <xf numFmtId="0" fontId="29" fillId="0" borderId="66" xfId="10" applyNumberFormat="1" applyFont="1" applyFill="1" applyBorder="1" applyAlignment="1">
      <alignment horizontal="center"/>
    </xf>
    <xf numFmtId="0" fontId="29" fillId="10" borderId="66" xfId="10" applyNumberFormat="1" applyFont="1" applyFill="1" applyBorder="1" applyAlignment="1">
      <alignment horizontal="center"/>
    </xf>
    <xf numFmtId="0" fontId="38" fillId="9" borderId="61" xfId="10" applyNumberFormat="1" applyFont="1" applyFill="1" applyBorder="1" applyAlignment="1">
      <alignment horizontal="center"/>
    </xf>
    <xf numFmtId="0" fontId="14" fillId="2" borderId="0" xfId="8" applyNumberFormat="1" applyFont="1" applyFill="1" applyAlignment="1"/>
    <xf numFmtId="0" fontId="38" fillId="2" borderId="0" xfId="8" applyNumberFormat="1" applyFont="1" applyFill="1" applyAlignment="1"/>
    <xf numFmtId="0" fontId="36" fillId="2" borderId="0" xfId="8" applyNumberFormat="1" applyFont="1" applyFill="1" applyAlignment="1"/>
    <xf numFmtId="0" fontId="4" fillId="0" borderId="0" xfId="7" applyNumberFormat="1" applyFont="1"/>
    <xf numFmtId="0" fontId="5" fillId="0" borderId="0" xfId="18" applyNumberFormat="1" applyFont="1" applyAlignment="1"/>
    <xf numFmtId="0" fontId="28" fillId="0" borderId="0" xfId="38" applyNumberFormat="1" applyFont="1" applyFill="1"/>
    <xf numFmtId="0" fontId="28" fillId="0" borderId="0" xfId="38" applyNumberFormat="1" applyFont="1" applyAlignment="1"/>
    <xf numFmtId="0" fontId="28" fillId="0" borderId="0" xfId="44" applyNumberFormat="1" applyFont="1"/>
    <xf numFmtId="0" fontId="3" fillId="0" borderId="0" xfId="15" applyNumberFormat="1" applyFont="1" applyAlignment="1"/>
    <xf numFmtId="0" fontId="47" fillId="0" borderId="0" xfId="38" applyNumberFormat="1" applyFont="1" applyFill="1"/>
    <xf numFmtId="0" fontId="45" fillId="0" borderId="0" xfId="38" applyNumberFormat="1" applyFont="1" applyFill="1" applyBorder="1" applyAlignment="1">
      <alignment horizontal="right"/>
    </xf>
    <xf numFmtId="0" fontId="28" fillId="0" borderId="0" xfId="40" applyNumberFormat="1" applyFont="1" applyBorder="1" applyAlignment="1">
      <alignment horizontal="left"/>
    </xf>
    <xf numFmtId="0" fontId="28" fillId="0" borderId="0" xfId="38" applyNumberFormat="1" applyFont="1" applyFill="1" applyAlignment="1">
      <alignment horizontal="left"/>
    </xf>
    <xf numFmtId="0" fontId="28" fillId="0" borderId="0" xfId="44" applyNumberFormat="1" applyFont="1" applyBorder="1"/>
    <xf numFmtId="0" fontId="45" fillId="0" borderId="0" xfId="38" applyNumberFormat="1" applyFont="1" applyFill="1" applyAlignment="1">
      <alignment horizontal="right"/>
    </xf>
    <xf numFmtId="0" fontId="45" fillId="0" borderId="125" xfId="38" quotePrefix="1" applyNumberFormat="1" applyFont="1" applyFill="1" applyBorder="1" applyAlignment="1">
      <alignment horizontal="right"/>
    </xf>
    <xf numFmtId="0" fontId="28" fillId="0" borderId="56" xfId="40" applyNumberFormat="1" applyFont="1" applyBorder="1"/>
    <xf numFmtId="0" fontId="28" fillId="0" borderId="0" xfId="38" applyNumberFormat="1" applyFont="1" applyFill="1" applyBorder="1"/>
    <xf numFmtId="0" fontId="28" fillId="0" borderId="77" xfId="38" applyNumberFormat="1" applyFont="1" applyFill="1" applyBorder="1"/>
    <xf numFmtId="0" fontId="28" fillId="0" borderId="189" xfId="40" applyNumberFormat="1" applyFont="1" applyBorder="1" applyAlignment="1">
      <alignment horizontal="left"/>
    </xf>
    <xf numFmtId="0" fontId="28" fillId="0" borderId="190" xfId="38" applyNumberFormat="1" applyFont="1" applyFill="1" applyBorder="1" applyAlignment="1">
      <alignment horizontal="left"/>
    </xf>
    <xf numFmtId="0" fontId="28" fillId="0" borderId="0" xfId="40" applyNumberFormat="1" applyFont="1"/>
    <xf numFmtId="0" fontId="45" fillId="0" borderId="81" xfId="38" quotePrefix="1" applyNumberFormat="1" applyFont="1" applyFill="1" applyBorder="1" applyAlignment="1">
      <alignment horizontal="right"/>
    </xf>
    <xf numFmtId="0" fontId="28" fillId="0" borderId="77" xfId="40" applyNumberFormat="1" applyFont="1" applyBorder="1"/>
    <xf numFmtId="0" fontId="28" fillId="0" borderId="0" xfId="40" applyNumberFormat="1" applyFont="1" applyAlignment="1">
      <alignment horizontal="left"/>
    </xf>
    <xf numFmtId="0" fontId="28" fillId="0" borderId="81" xfId="38" applyNumberFormat="1" applyFont="1" applyFill="1" applyBorder="1" applyAlignment="1">
      <alignment horizontal="left"/>
    </xf>
    <xf numFmtId="0" fontId="28" fillId="0" borderId="125" xfId="44" applyNumberFormat="1" applyFont="1" applyBorder="1"/>
    <xf numFmtId="0" fontId="28" fillId="0" borderId="190" xfId="40" applyNumberFormat="1" applyFont="1" applyBorder="1"/>
    <xf numFmtId="0" fontId="28" fillId="0" borderId="78" xfId="40" applyNumberFormat="1" applyFont="1" applyBorder="1"/>
    <xf numFmtId="0" fontId="28" fillId="0" borderId="79" xfId="38" applyNumberFormat="1" applyFont="1" applyFill="1" applyBorder="1"/>
    <xf numFmtId="0" fontId="28" fillId="0" borderId="81" xfId="44" applyNumberFormat="1" applyFont="1" applyBorder="1"/>
    <xf numFmtId="0" fontId="28" fillId="0" borderId="56" xfId="40" applyNumberFormat="1" applyFont="1" applyBorder="1" applyAlignment="1">
      <alignment horizontal="left"/>
    </xf>
    <xf numFmtId="0" fontId="28" fillId="0" borderId="0" xfId="38" applyNumberFormat="1" applyFont="1" applyFill="1" applyBorder="1" applyAlignment="1">
      <alignment horizontal="left"/>
    </xf>
    <xf numFmtId="0" fontId="28" fillId="0" borderId="81" xfId="38" applyNumberFormat="1" applyFont="1" applyFill="1" applyBorder="1"/>
    <xf numFmtId="0" fontId="45" fillId="0" borderId="0" xfId="38" applyNumberFormat="1" applyFont="1" applyFill="1"/>
    <xf numFmtId="0" fontId="28" fillId="0" borderId="0" xfId="40" applyNumberFormat="1" applyFont="1" applyBorder="1"/>
    <xf numFmtId="0" fontId="28" fillId="0" borderId="190" xfId="38" applyNumberFormat="1" applyFont="1" applyFill="1" applyBorder="1"/>
    <xf numFmtId="0" fontId="28" fillId="0" borderId="81" xfId="40" applyNumberFormat="1" applyFont="1" applyBorder="1"/>
    <xf numFmtId="0" fontId="28" fillId="0" borderId="79" xfId="44" applyNumberFormat="1" applyFont="1" applyBorder="1"/>
    <xf numFmtId="0" fontId="28" fillId="0" borderId="125" xfId="40" applyNumberFormat="1" applyFont="1" applyBorder="1"/>
    <xf numFmtId="0" fontId="28" fillId="0" borderId="189" xfId="38" applyNumberFormat="1" applyFont="1" applyFill="1" applyBorder="1"/>
    <xf numFmtId="0" fontId="45" fillId="0" borderId="81" xfId="38" applyNumberFormat="1" applyFont="1" applyFill="1" applyBorder="1"/>
    <xf numFmtId="0" fontId="28" fillId="0" borderId="56" xfId="38" applyNumberFormat="1" applyFont="1" applyFill="1" applyBorder="1"/>
    <xf numFmtId="0" fontId="28" fillId="0" borderId="77" xfId="43" applyNumberFormat="1" applyFont="1" applyFill="1" applyBorder="1"/>
    <xf numFmtId="0" fontId="28" fillId="0" borderId="81" xfId="38" applyNumberFormat="1" applyFont="1" applyFill="1" applyBorder="1" applyAlignment="1">
      <alignment horizontal="right"/>
    </xf>
    <xf numFmtId="0" fontId="45" fillId="0" borderId="81" xfId="38" applyNumberFormat="1" applyFont="1" applyFill="1" applyBorder="1" applyAlignment="1">
      <alignment horizontal="right"/>
    </xf>
    <xf numFmtId="0" fontId="28" fillId="0" borderId="77" xfId="44" applyNumberFormat="1" applyFont="1" applyBorder="1"/>
    <xf numFmtId="0" fontId="28" fillId="0" borderId="125" xfId="38" applyNumberFormat="1" applyFont="1" applyFill="1" applyBorder="1"/>
    <xf numFmtId="0" fontId="66" fillId="0" borderId="81" xfId="38" applyNumberFormat="1" applyFont="1" applyFill="1" applyBorder="1" applyAlignment="1">
      <alignment horizontal="right"/>
    </xf>
    <xf numFmtId="0" fontId="28" fillId="0" borderId="54" xfId="38" applyNumberFormat="1" applyFont="1" applyFill="1" applyBorder="1"/>
    <xf numFmtId="0" fontId="28" fillId="0" borderId="192" xfId="38" applyNumberFormat="1" applyFont="1" applyFill="1" applyBorder="1"/>
    <xf numFmtId="0" fontId="28" fillId="0" borderId="189" xfId="40" applyNumberFormat="1" applyFont="1" applyBorder="1"/>
    <xf numFmtId="0" fontId="45" fillId="0" borderId="76" xfId="38" applyNumberFormat="1" applyFont="1" applyFill="1" applyBorder="1"/>
    <xf numFmtId="0" fontId="67" fillId="0" borderId="0" xfId="38" applyNumberFormat="1" applyFont="1" applyFill="1" applyBorder="1" applyAlignment="1">
      <alignment horizontal="right"/>
    </xf>
    <xf numFmtId="0" fontId="28" fillId="0" borderId="193" xfId="38" applyNumberFormat="1" applyFont="1" applyFill="1" applyBorder="1" applyAlignment="1">
      <alignment horizontal="left"/>
    </xf>
    <xf numFmtId="0" fontId="28" fillId="0" borderId="0" xfId="38" applyNumberFormat="1" applyFont="1" applyFill="1" applyAlignment="1">
      <alignment horizontal="right"/>
    </xf>
    <xf numFmtId="0" fontId="28" fillId="0" borderId="54" xfId="40" applyNumberFormat="1" applyFont="1" applyFill="1" applyBorder="1"/>
    <xf numFmtId="0" fontId="47" fillId="0" borderId="0" xfId="38" applyNumberFormat="1" applyFont="1" applyFill="1" applyAlignment="1"/>
    <xf numFmtId="0" fontId="68" fillId="0" borderId="0" xfId="38" quotePrefix="1" applyNumberFormat="1" applyFont="1" applyFill="1" applyAlignment="1">
      <alignment horizontal="right"/>
    </xf>
    <xf numFmtId="0" fontId="28" fillId="0" borderId="81" xfId="40" applyNumberFormat="1" applyFont="1" applyBorder="1" applyAlignment="1">
      <alignment horizontal="left"/>
    </xf>
    <xf numFmtId="0" fontId="45" fillId="0" borderId="0" xfId="38" applyNumberFormat="1" applyFont="1" applyFill="1" applyBorder="1" applyAlignment="1"/>
    <xf numFmtId="0" fontId="68" fillId="0" borderId="0" xfId="38" quotePrefix="1" applyNumberFormat="1" applyFont="1" applyFill="1" applyBorder="1" applyAlignment="1">
      <alignment horizontal="right"/>
    </xf>
    <xf numFmtId="0" fontId="45" fillId="0" borderId="190" xfId="38" applyNumberFormat="1" applyFont="1" applyFill="1" applyBorder="1"/>
    <xf numFmtId="0" fontId="45" fillId="0" borderId="125" xfId="38" applyNumberFormat="1" applyFont="1" applyFill="1" applyBorder="1" applyAlignment="1"/>
    <xf numFmtId="0" fontId="28" fillId="0" borderId="186" xfId="40" applyNumberFormat="1" applyFont="1" applyBorder="1" applyAlignment="1">
      <alignment horizontal="left"/>
    </xf>
    <xf numFmtId="0" fontId="28" fillId="0" borderId="186" xfId="40" applyNumberFormat="1" applyFont="1" applyBorder="1"/>
    <xf numFmtId="0" fontId="28" fillId="0" borderId="125" xfId="38" applyNumberFormat="1" applyFont="1" applyFill="1" applyBorder="1" applyAlignment="1">
      <alignment horizontal="left"/>
    </xf>
    <xf numFmtId="0" fontId="45" fillId="0" borderId="81" xfId="38" applyNumberFormat="1" applyFont="1" applyFill="1" applyBorder="1" applyAlignment="1"/>
    <xf numFmtId="0" fontId="28" fillId="0" borderId="60" xfId="40" applyNumberFormat="1" applyFont="1" applyBorder="1"/>
    <xf numFmtId="0" fontId="45" fillId="0" borderId="67" xfId="38" applyNumberFormat="1" applyFont="1" applyFill="1" applyBorder="1" applyAlignment="1">
      <alignment horizontal="right"/>
    </xf>
    <xf numFmtId="0" fontId="28" fillId="0" borderId="67" xfId="38" applyNumberFormat="1" applyFont="1" applyFill="1" applyBorder="1"/>
    <xf numFmtId="0" fontId="45" fillId="0" borderId="190" xfId="38" applyNumberFormat="1" applyFont="1" applyFill="1" applyBorder="1" applyAlignment="1"/>
    <xf numFmtId="0" fontId="28" fillId="0" borderId="82" xfId="40" applyNumberFormat="1" applyFont="1" applyBorder="1" applyAlignment="1">
      <alignment horizontal="left"/>
    </xf>
    <xf numFmtId="0" fontId="45" fillId="0" borderId="0" xfId="38" applyNumberFormat="1" applyFont="1" applyFill="1" applyBorder="1"/>
    <xf numFmtId="0" fontId="28" fillId="0" borderId="67" xfId="38" applyNumberFormat="1" applyFont="1" applyFill="1" applyBorder="1" applyAlignment="1">
      <alignment horizontal="left"/>
    </xf>
    <xf numFmtId="0" fontId="28" fillId="0" borderId="54" xfId="40" applyNumberFormat="1" applyFont="1" applyBorder="1"/>
    <xf numFmtId="0" fontId="45" fillId="0" borderId="125" xfId="38" applyNumberFormat="1" applyFont="1" applyFill="1" applyBorder="1" applyAlignment="1">
      <alignment horizontal="left"/>
    </xf>
    <xf numFmtId="0" fontId="45" fillId="0" borderId="190" xfId="38" applyNumberFormat="1" applyFont="1" applyFill="1" applyBorder="1" applyAlignment="1">
      <alignment horizontal="right"/>
    </xf>
    <xf numFmtId="0" fontId="28" fillId="0" borderId="190" xfId="44" applyNumberFormat="1" applyFont="1" applyBorder="1"/>
    <xf numFmtId="0" fontId="45" fillId="0" borderId="173" xfId="38" applyNumberFormat="1" applyFont="1" applyBorder="1" applyAlignment="1"/>
    <xf numFmtId="0" fontId="3" fillId="0" borderId="173" xfId="40" applyNumberFormat="1" applyFont="1" applyFill="1" applyBorder="1" applyAlignment="1">
      <alignment vertical="center" wrapText="1"/>
    </xf>
    <xf numFmtId="0" fontId="45" fillId="6" borderId="0" xfId="38" applyNumberFormat="1" applyFont="1" applyFill="1" applyAlignment="1">
      <alignment vertical="center"/>
    </xf>
    <xf numFmtId="0" fontId="28" fillId="0" borderId="0" xfId="38" applyNumberFormat="1" applyFont="1" applyFill="1" applyBorder="1" applyAlignment="1"/>
    <xf numFmtId="0" fontId="28" fillId="2" borderId="0" xfId="38" applyNumberFormat="1" applyFont="1" applyFill="1" applyAlignment="1">
      <alignment vertical="center"/>
    </xf>
    <xf numFmtId="0" fontId="28" fillId="14" borderId="0" xfId="38" applyNumberFormat="1" applyFont="1" applyFill="1" applyAlignment="1">
      <alignment vertical="center"/>
    </xf>
    <xf numFmtId="0" fontId="28" fillId="0" borderId="0" xfId="38" applyNumberFormat="1" applyFont="1" applyBorder="1" applyAlignment="1"/>
    <xf numFmtId="0" fontId="28" fillId="0" borderId="0" xfId="38" applyNumberFormat="1" applyFont="1" applyAlignment="1">
      <alignment vertical="center"/>
    </xf>
    <xf numFmtId="0" fontId="28" fillId="0" borderId="173" xfId="44" applyNumberFormat="1" applyFont="1" applyBorder="1"/>
    <xf numFmtId="0" fontId="0" fillId="0" borderId="0" xfId="39" applyNumberFormat="1" applyFont="1"/>
    <xf numFmtId="0" fontId="3" fillId="0" borderId="0" xfId="40" applyNumberFormat="1" applyFont="1"/>
    <xf numFmtId="0" fontId="3" fillId="0" borderId="0" xfId="40" applyNumberFormat="1" applyFont="1" applyBorder="1"/>
    <xf numFmtId="0" fontId="5" fillId="2" borderId="0" xfId="39" applyNumberFormat="1" applyFont="1" applyFill="1"/>
    <xf numFmtId="0" fontId="3" fillId="2" borderId="0" xfId="40" applyNumberFormat="1" applyFont="1" applyFill="1"/>
    <xf numFmtId="0" fontId="0" fillId="0" borderId="0" xfId="39" applyNumberFormat="1" applyFont="1" applyBorder="1"/>
    <xf numFmtId="0" fontId="18" fillId="0" borderId="0" xfId="38" applyNumberFormat="1" applyFont="1"/>
    <xf numFmtId="0" fontId="3" fillId="0" borderId="0" xfId="38" applyNumberFormat="1" applyFont="1"/>
    <xf numFmtId="0" fontId="3" fillId="0" borderId="68" xfId="42" applyNumberFormat="1" applyFont="1" applyBorder="1" applyAlignment="1"/>
    <xf numFmtId="0" fontId="5" fillId="0" borderId="68" xfId="42" applyNumberFormat="1" applyFont="1" applyBorder="1" applyAlignment="1">
      <alignment horizontal="center"/>
    </xf>
    <xf numFmtId="0" fontId="3" fillId="0" borderId="130" xfId="42" applyNumberFormat="1" applyFont="1" applyBorder="1" applyAlignment="1"/>
    <xf numFmtId="0" fontId="3" fillId="0" borderId="69" xfId="42" applyNumberFormat="1" applyFont="1" applyBorder="1" applyAlignment="1"/>
    <xf numFmtId="0" fontId="3" fillId="0" borderId="106" xfId="42" applyNumberFormat="1" applyFont="1" applyBorder="1" applyAlignment="1"/>
    <xf numFmtId="0" fontId="3" fillId="0" borderId="68" xfId="42" applyNumberFormat="1" applyFont="1" applyFill="1" applyBorder="1" applyAlignment="1"/>
    <xf numFmtId="0" fontId="5" fillId="0" borderId="131" xfId="43" applyNumberFormat="1" applyFont="1" applyFill="1" applyBorder="1" applyAlignment="1">
      <alignment horizontal="center" vertical="center" textRotation="90"/>
    </xf>
    <xf numFmtId="0" fontId="3" fillId="0" borderId="0" xfId="42" applyNumberFormat="1" applyFont="1"/>
    <xf numFmtId="0" fontId="5" fillId="3" borderId="67" xfId="38" applyNumberFormat="1" applyFont="1" applyFill="1" applyBorder="1" applyAlignment="1">
      <alignment horizontal="center"/>
    </xf>
    <xf numFmtId="0" fontId="3" fillId="0" borderId="67" xfId="38" applyNumberFormat="1" applyFont="1" applyBorder="1"/>
    <xf numFmtId="0" fontId="3" fillId="0" borderId="68" xfId="43" applyNumberFormat="1" applyFont="1" applyBorder="1" applyAlignment="1"/>
    <xf numFmtId="0" fontId="5" fillId="0" borderId="69" xfId="43" applyNumberFormat="1" applyFont="1" applyBorder="1" applyAlignment="1">
      <alignment horizontal="center"/>
    </xf>
    <xf numFmtId="0" fontId="5" fillId="0" borderId="70" xfId="43" applyNumberFormat="1" applyFont="1" applyBorder="1" applyAlignment="1">
      <alignment horizontal="center"/>
    </xf>
    <xf numFmtId="0" fontId="5" fillId="0" borderId="71" xfId="43" applyNumberFormat="1" applyFont="1" applyBorder="1" applyAlignment="1">
      <alignment horizontal="center"/>
    </xf>
    <xf numFmtId="0" fontId="5" fillId="0" borderId="72" xfId="43" applyNumberFormat="1" applyFont="1" applyBorder="1" applyAlignment="1">
      <alignment horizontal="center"/>
    </xf>
    <xf numFmtId="0" fontId="5" fillId="0" borderId="69" xfId="43" applyNumberFormat="1" applyFont="1" applyFill="1" applyBorder="1" applyAlignment="1">
      <alignment horizontal="center"/>
    </xf>
    <xf numFmtId="0" fontId="5" fillId="0" borderId="68" xfId="43" applyNumberFormat="1" applyFont="1" applyFill="1" applyBorder="1" applyAlignment="1">
      <alignment horizontal="center"/>
    </xf>
    <xf numFmtId="0" fontId="5" fillId="0" borderId="0" xfId="43" applyNumberFormat="1" applyFont="1" applyAlignment="1">
      <alignment vertical="center"/>
    </xf>
    <xf numFmtId="0" fontId="5" fillId="0" borderId="67" xfId="38" applyNumberFormat="1" applyFont="1" applyBorder="1" applyAlignment="1">
      <alignment horizontal="center"/>
    </xf>
    <xf numFmtId="0" fontId="0" fillId="0" borderId="132" xfId="43" applyNumberFormat="1" applyFont="1" applyBorder="1" applyAlignment="1"/>
    <xf numFmtId="0" fontId="5" fillId="0" borderId="133" xfId="43" applyNumberFormat="1" applyFont="1" applyBorder="1" applyAlignment="1"/>
    <xf numFmtId="0" fontId="3" fillId="0" borderId="134" xfId="43" applyNumberFormat="1" applyFont="1" applyBorder="1" applyAlignment="1">
      <alignment horizontal="center"/>
    </xf>
    <xf numFmtId="0" fontId="3" fillId="0" borderId="135" xfId="43" applyNumberFormat="1" applyFont="1" applyBorder="1" applyAlignment="1">
      <alignment horizontal="center"/>
    </xf>
    <xf numFmtId="0" fontId="3" fillId="0" borderId="136" xfId="43" applyNumberFormat="1" applyFont="1" applyBorder="1" applyAlignment="1">
      <alignment horizontal="center"/>
    </xf>
    <xf numFmtId="0" fontId="3" fillId="0" borderId="137" xfId="43" applyNumberFormat="1" applyFont="1" applyBorder="1" applyAlignment="1">
      <alignment horizontal="center"/>
    </xf>
    <xf numFmtId="0" fontId="3" fillId="0" borderId="152" xfId="43" applyNumberFormat="1" applyFont="1" applyBorder="1" applyAlignment="1">
      <alignment horizontal="center"/>
    </xf>
    <xf numFmtId="0" fontId="3" fillId="0" borderId="138" xfId="43" applyNumberFormat="1" applyFont="1" applyBorder="1" applyAlignment="1">
      <alignment horizontal="center"/>
    </xf>
    <xf numFmtId="0" fontId="3" fillId="0" borderId="139" xfId="43" applyNumberFormat="1" applyFont="1" applyBorder="1" applyAlignment="1"/>
    <xf numFmtId="0" fontId="3" fillId="0" borderId="132" xfId="43" applyNumberFormat="1" applyFont="1" applyFill="1" applyBorder="1" applyAlignment="1">
      <alignment horizontal="center"/>
    </xf>
    <xf numFmtId="0" fontId="3" fillId="0" borderId="13" xfId="42" applyNumberFormat="1" applyFont="1" applyBorder="1"/>
    <xf numFmtId="0" fontId="3" fillId="3" borderId="128" xfId="43" applyNumberFormat="1" applyFont="1" applyFill="1" applyBorder="1" applyAlignment="1"/>
    <xf numFmtId="0" fontId="3" fillId="3" borderId="0" xfId="42" applyNumberFormat="1" applyFont="1" applyFill="1" applyBorder="1"/>
    <xf numFmtId="0" fontId="3" fillId="3" borderId="142" xfId="42" applyNumberFormat="1" applyFont="1" applyFill="1" applyBorder="1" applyAlignment="1">
      <alignment horizontal="center"/>
    </xf>
    <xf numFmtId="0" fontId="3" fillId="3" borderId="121" xfId="42" applyNumberFormat="1" applyFont="1" applyFill="1" applyBorder="1" applyAlignment="1">
      <alignment horizontal="center"/>
    </xf>
    <xf numFmtId="0" fontId="3" fillId="3" borderId="143" xfId="42" applyNumberFormat="1" applyFont="1" applyFill="1" applyBorder="1" applyAlignment="1">
      <alignment horizontal="center"/>
    </xf>
    <xf numFmtId="0" fontId="3" fillId="3" borderId="157" xfId="42" applyNumberFormat="1" applyFont="1" applyFill="1" applyBorder="1" applyAlignment="1">
      <alignment horizontal="center"/>
    </xf>
    <xf numFmtId="0" fontId="3" fillId="3" borderId="141" xfId="42" applyNumberFormat="1" applyFont="1" applyFill="1" applyBorder="1" applyAlignment="1">
      <alignment horizontal="center"/>
    </xf>
    <xf numFmtId="0" fontId="3" fillId="3" borderId="123" xfId="42" applyNumberFormat="1" applyFont="1" applyFill="1" applyBorder="1" applyAlignment="1">
      <alignment horizontal="center"/>
    </xf>
    <xf numFmtId="0" fontId="5" fillId="10" borderId="144" xfId="42" applyNumberFormat="1" applyFont="1" applyFill="1" applyBorder="1" applyAlignment="1">
      <alignment horizontal="center"/>
    </xf>
    <xf numFmtId="0" fontId="3" fillId="3" borderId="128" xfId="42" applyNumberFormat="1" applyFont="1" applyFill="1" applyBorder="1" applyAlignment="1">
      <alignment horizontal="center"/>
    </xf>
    <xf numFmtId="0" fontId="3" fillId="0" borderId="0" xfId="42" applyNumberFormat="1" applyFont="1" applyBorder="1"/>
    <xf numFmtId="0" fontId="5" fillId="0" borderId="67" xfId="40" applyNumberFormat="1" applyFont="1" applyBorder="1" applyAlignment="1">
      <alignment horizontal="center"/>
    </xf>
    <xf numFmtId="0" fontId="3" fillId="2" borderId="67" xfId="38" applyNumberFormat="1" applyFont="1" applyFill="1" applyBorder="1"/>
    <xf numFmtId="0" fontId="3" fillId="2" borderId="67" xfId="38" applyNumberFormat="1" applyFont="1" applyFill="1" applyBorder="1" applyAlignment="1">
      <alignment horizontal="center"/>
    </xf>
    <xf numFmtId="0" fontId="3" fillId="3" borderId="146" xfId="42" applyNumberFormat="1" applyFont="1" applyFill="1" applyBorder="1" applyAlignment="1">
      <alignment horizontal="left"/>
    </xf>
    <xf numFmtId="0" fontId="3" fillId="3" borderId="145" xfId="42" applyNumberFormat="1" applyFont="1" applyFill="1" applyBorder="1" applyAlignment="1">
      <alignment horizontal="center"/>
    </xf>
    <xf numFmtId="0" fontId="3" fillId="8" borderId="128" xfId="43" applyNumberFormat="1" applyFont="1" applyFill="1" applyBorder="1" applyAlignment="1"/>
    <xf numFmtId="0" fontId="3" fillId="8" borderId="146" xfId="42" applyNumberFormat="1" applyFont="1" applyFill="1" applyBorder="1" applyAlignment="1">
      <alignment horizontal="left"/>
    </xf>
    <xf numFmtId="0" fontId="3" fillId="8" borderId="142" xfId="42" applyNumberFormat="1" applyFont="1" applyFill="1" applyBorder="1" applyAlignment="1">
      <alignment horizontal="center"/>
    </xf>
    <xf numFmtId="0" fontId="3" fillId="8" borderId="121" xfId="42" applyNumberFormat="1" applyFont="1" applyFill="1" applyBorder="1" applyAlignment="1">
      <alignment horizontal="center"/>
    </xf>
    <xf numFmtId="0" fontId="3" fillId="8" borderId="143" xfId="42" applyNumberFormat="1" applyFont="1" applyFill="1" applyBorder="1" applyAlignment="1">
      <alignment horizontal="center"/>
    </xf>
    <xf numFmtId="0" fontId="3" fillId="8" borderId="141" xfId="42" applyNumberFormat="1" applyFont="1" applyFill="1" applyBorder="1" applyAlignment="1">
      <alignment horizontal="center"/>
    </xf>
    <xf numFmtId="0" fontId="3" fillId="8" borderId="145" xfId="42" applyNumberFormat="1" applyFont="1" applyFill="1" applyBorder="1" applyAlignment="1">
      <alignment horizontal="center"/>
    </xf>
    <xf numFmtId="0" fontId="5" fillId="6" borderId="144" xfId="42" applyNumberFormat="1" applyFont="1" applyFill="1" applyBorder="1" applyAlignment="1">
      <alignment horizontal="center"/>
    </xf>
    <xf numFmtId="0" fontId="3" fillId="8" borderId="128" xfId="42" applyNumberFormat="1" applyFont="1" applyFill="1" applyBorder="1" applyAlignment="1">
      <alignment horizontal="center"/>
    </xf>
    <xf numFmtId="0" fontId="3" fillId="8" borderId="146" xfId="43" applyNumberFormat="1" applyFont="1" applyFill="1" applyBorder="1" applyAlignment="1"/>
    <xf numFmtId="0" fontId="3" fillId="8" borderId="128" xfId="43" applyNumberFormat="1" applyFont="1" applyFill="1" applyBorder="1" applyAlignment="1">
      <alignment horizontal="center"/>
    </xf>
    <xf numFmtId="0" fontId="3" fillId="8" borderId="122" xfId="42" applyNumberFormat="1" applyFont="1" applyFill="1" applyBorder="1" applyAlignment="1">
      <alignment horizontal="center"/>
    </xf>
    <xf numFmtId="0" fontId="3" fillId="8" borderId="146" xfId="42" applyNumberFormat="1" applyFont="1" applyFill="1" applyBorder="1" applyAlignment="1"/>
    <xf numFmtId="0" fontId="3" fillId="8" borderId="146" xfId="42" applyNumberFormat="1" applyFont="1" applyFill="1" applyBorder="1" applyAlignment="1">
      <alignment horizontal="center"/>
    </xf>
    <xf numFmtId="0" fontId="3" fillId="8" borderId="144" xfId="42" applyNumberFormat="1" applyFont="1" applyFill="1" applyBorder="1" applyAlignment="1">
      <alignment horizontal="center"/>
    </xf>
    <xf numFmtId="0" fontId="3" fillId="8" borderId="126" xfId="42" applyNumberFormat="1" applyFont="1" applyFill="1" applyBorder="1" applyAlignment="1">
      <alignment horizontal="center"/>
    </xf>
    <xf numFmtId="0" fontId="3" fillId="8" borderId="161" xfId="42" applyNumberFormat="1" applyFont="1" applyFill="1" applyBorder="1" applyAlignment="1">
      <alignment horizontal="center"/>
    </xf>
    <xf numFmtId="0" fontId="3" fillId="17" borderId="128" xfId="43" applyNumberFormat="1" applyFont="1" applyFill="1" applyBorder="1" applyAlignment="1"/>
    <xf numFmtId="0" fontId="3" fillId="17" borderId="146" xfId="42" applyNumberFormat="1" applyFont="1" applyFill="1" applyBorder="1" applyAlignment="1"/>
    <xf numFmtId="0" fontId="3" fillId="17" borderId="142" xfId="42" applyNumberFormat="1" applyFont="1" applyFill="1" applyBorder="1" applyAlignment="1">
      <alignment horizontal="center"/>
    </xf>
    <xf numFmtId="0" fontId="3" fillId="17" borderId="121" xfId="42" applyNumberFormat="1" applyFont="1" applyFill="1" applyBorder="1" applyAlignment="1">
      <alignment horizontal="center"/>
    </xf>
    <xf numFmtId="0" fontId="3" fillId="17" borderId="123" xfId="42" applyNumberFormat="1" applyFont="1" applyFill="1" applyBorder="1" applyAlignment="1">
      <alignment horizontal="center"/>
    </xf>
    <xf numFmtId="0" fontId="3" fillId="17" borderId="141" xfId="42" applyNumberFormat="1" applyFont="1" applyFill="1" applyBorder="1" applyAlignment="1">
      <alignment horizontal="center"/>
    </xf>
    <xf numFmtId="0" fontId="3" fillId="17" borderId="145" xfId="42" applyNumberFormat="1" applyFont="1" applyFill="1" applyBorder="1" applyAlignment="1">
      <alignment horizontal="center"/>
    </xf>
    <xf numFmtId="0" fontId="3" fillId="17" borderId="146" xfId="42" applyNumberFormat="1" applyFont="1" applyFill="1" applyBorder="1" applyAlignment="1">
      <alignment horizontal="center"/>
    </xf>
    <xf numFmtId="0" fontId="3" fillId="17" borderId="143" xfId="42" applyNumberFormat="1" applyFont="1" applyFill="1" applyBorder="1" applyAlignment="1">
      <alignment horizontal="center"/>
    </xf>
    <xf numFmtId="0" fontId="3" fillId="17" borderId="79" xfId="42" applyNumberFormat="1" applyFont="1" applyFill="1" applyBorder="1" applyAlignment="1">
      <alignment horizontal="center"/>
    </xf>
    <xf numFmtId="0" fontId="3" fillId="17" borderId="60" xfId="42" applyNumberFormat="1" applyFont="1" applyFill="1" applyBorder="1" applyAlignment="1">
      <alignment horizontal="center"/>
    </xf>
    <xf numFmtId="0" fontId="5" fillId="20" borderId="144" xfId="42" applyNumberFormat="1" applyFont="1" applyFill="1" applyBorder="1" applyAlignment="1">
      <alignment horizontal="center"/>
    </xf>
    <xf numFmtId="0" fontId="3" fillId="17" borderId="128" xfId="42" applyNumberFormat="1" applyFont="1" applyFill="1" applyBorder="1" applyAlignment="1">
      <alignment horizontal="center"/>
    </xf>
    <xf numFmtId="0" fontId="3" fillId="0" borderId="0" xfId="43" applyNumberFormat="1" applyFont="1" applyFill="1" applyBorder="1" applyAlignment="1">
      <alignment horizontal="center"/>
    </xf>
    <xf numFmtId="0" fontId="3" fillId="17" borderId="74" xfId="42" applyNumberFormat="1" applyFont="1" applyFill="1" applyBorder="1" applyAlignment="1">
      <alignment horizontal="center"/>
    </xf>
    <xf numFmtId="0" fontId="3" fillId="17" borderId="147" xfId="42" applyNumberFormat="1" applyFont="1" applyFill="1" applyBorder="1" applyAlignment="1">
      <alignment horizontal="center"/>
    </xf>
    <xf numFmtId="0" fontId="3" fillId="17" borderId="148" xfId="42" applyNumberFormat="1" applyFont="1" applyFill="1" applyBorder="1" applyAlignment="1">
      <alignment horizontal="center"/>
    </xf>
    <xf numFmtId="0" fontId="3" fillId="17" borderId="163" xfId="42" applyNumberFormat="1" applyFont="1" applyFill="1" applyBorder="1" applyAlignment="1">
      <alignment horizontal="center"/>
    </xf>
    <xf numFmtId="0" fontId="3" fillId="17" borderId="119" xfId="42" applyNumberFormat="1" applyFont="1" applyFill="1" applyBorder="1" applyAlignment="1">
      <alignment horizontal="center"/>
    </xf>
    <xf numFmtId="0" fontId="3" fillId="17" borderId="156" xfId="42" applyNumberFormat="1" applyFont="1" applyFill="1" applyBorder="1" applyAlignment="1">
      <alignment horizontal="center"/>
    </xf>
    <xf numFmtId="0" fontId="0" fillId="0" borderId="132" xfId="42" applyNumberFormat="1" applyFont="1" applyBorder="1" applyAlignment="1"/>
    <xf numFmtId="0" fontId="5" fillId="0" borderId="132" xfId="43" applyNumberFormat="1" applyFont="1" applyBorder="1" applyAlignment="1"/>
    <xf numFmtId="0" fontId="3" fillId="0" borderId="162" xfId="43" applyNumberFormat="1" applyFont="1" applyBorder="1" applyAlignment="1">
      <alignment horizontal="center"/>
    </xf>
    <xf numFmtId="0" fontId="3" fillId="0" borderId="67" xfId="43" applyNumberFormat="1" applyFont="1" applyBorder="1" applyAlignment="1">
      <alignment horizontal="center"/>
    </xf>
    <xf numFmtId="0" fontId="3" fillId="0" borderId="56" xfId="43" applyNumberFormat="1" applyFont="1" applyBorder="1" applyAlignment="1">
      <alignment horizontal="center"/>
    </xf>
    <xf numFmtId="0" fontId="3" fillId="0" borderId="160" xfId="43" applyNumberFormat="1" applyFont="1" applyBorder="1" applyAlignment="1">
      <alignment horizontal="center"/>
    </xf>
    <xf numFmtId="0" fontId="3" fillId="0" borderId="60" xfId="43" applyNumberFormat="1" applyFont="1" applyBorder="1" applyAlignment="1">
      <alignment horizontal="center"/>
    </xf>
    <xf numFmtId="0" fontId="3" fillId="0" borderId="78" xfId="43" applyNumberFormat="1" applyFont="1" applyBorder="1" applyAlignment="1">
      <alignment horizontal="center"/>
    </xf>
    <xf numFmtId="0" fontId="5" fillId="0" borderId="132" xfId="43" applyNumberFormat="1" applyFont="1" applyFill="1" applyBorder="1" applyAlignment="1">
      <alignment horizontal="center"/>
    </xf>
    <xf numFmtId="0" fontId="3" fillId="3" borderId="128" xfId="42" applyNumberFormat="1" applyFont="1" applyFill="1" applyBorder="1" applyAlignment="1"/>
    <xf numFmtId="0" fontId="0" fillId="3" borderId="159" xfId="42" applyNumberFormat="1" applyFont="1" applyFill="1" applyBorder="1" applyAlignment="1"/>
    <xf numFmtId="0" fontId="3" fillId="3" borderId="142" xfId="43" applyNumberFormat="1" applyFont="1" applyFill="1" applyBorder="1" applyAlignment="1">
      <alignment horizontal="center"/>
    </xf>
    <xf numFmtId="0" fontId="3" fillId="3" borderId="141" xfId="43" applyNumberFormat="1" applyFont="1" applyFill="1" applyBorder="1" applyAlignment="1">
      <alignment horizontal="center"/>
    </xf>
    <xf numFmtId="0" fontId="3" fillId="3" borderId="121" xfId="43" applyNumberFormat="1" applyFont="1" applyFill="1" applyBorder="1" applyAlignment="1">
      <alignment horizontal="center"/>
    </xf>
    <xf numFmtId="0" fontId="3" fillId="3" borderId="168" xfId="43" applyNumberFormat="1" applyFont="1" applyFill="1" applyBorder="1" applyAlignment="1">
      <alignment horizontal="center"/>
    </xf>
    <xf numFmtId="0" fontId="3" fillId="3" borderId="122" xfId="43" applyNumberFormat="1" applyFont="1" applyFill="1" applyBorder="1" applyAlignment="1">
      <alignment horizontal="center"/>
    </xf>
    <xf numFmtId="0" fontId="3" fillId="3" borderId="165" xfId="43" applyNumberFormat="1" applyFont="1" applyFill="1" applyBorder="1" applyAlignment="1">
      <alignment horizontal="center"/>
    </xf>
    <xf numFmtId="0" fontId="3" fillId="3" borderId="164" xfId="43" applyNumberFormat="1" applyFont="1" applyFill="1" applyBorder="1" applyAlignment="1">
      <alignment horizontal="center"/>
    </xf>
    <xf numFmtId="0" fontId="3" fillId="3" borderId="166" xfId="43" applyNumberFormat="1" applyFont="1" applyFill="1" applyBorder="1" applyAlignment="1">
      <alignment horizontal="center"/>
    </xf>
    <xf numFmtId="0" fontId="3" fillId="3" borderId="123" xfId="43" applyNumberFormat="1" applyFont="1" applyFill="1" applyBorder="1" applyAlignment="1">
      <alignment horizontal="center"/>
    </xf>
    <xf numFmtId="0" fontId="3" fillId="3" borderId="129" xfId="43" applyNumberFormat="1" applyFont="1" applyFill="1" applyBorder="1" applyAlignment="1">
      <alignment horizontal="center"/>
    </xf>
    <xf numFmtId="0" fontId="3" fillId="3" borderId="146" xfId="43" applyNumberFormat="1" applyFont="1" applyFill="1" applyBorder="1" applyAlignment="1">
      <alignment horizontal="center"/>
    </xf>
    <xf numFmtId="0" fontId="5" fillId="10" borderId="167" xfId="42" applyNumberFormat="1" applyFont="1" applyFill="1" applyBorder="1" applyAlignment="1">
      <alignment horizontal="center"/>
    </xf>
    <xf numFmtId="0" fontId="5" fillId="3" borderId="128" xfId="42" applyNumberFormat="1" applyFont="1" applyFill="1" applyBorder="1" applyAlignment="1">
      <alignment horizontal="center"/>
    </xf>
    <xf numFmtId="0" fontId="3" fillId="3" borderId="159" xfId="43" applyNumberFormat="1" applyFont="1" applyFill="1" applyBorder="1" applyAlignment="1">
      <alignment horizontal="left"/>
    </xf>
    <xf numFmtId="0" fontId="3" fillId="3" borderId="157" xfId="43" applyNumberFormat="1" applyFont="1" applyFill="1" applyBorder="1" applyAlignment="1">
      <alignment horizontal="center"/>
    </xf>
    <xf numFmtId="0" fontId="3" fillId="3" borderId="78" xfId="43" applyNumberFormat="1" applyFont="1" applyFill="1" applyBorder="1" applyAlignment="1">
      <alignment horizontal="center"/>
    </xf>
    <xf numFmtId="0" fontId="3" fillId="3" borderId="60" xfId="43" applyNumberFormat="1" applyFont="1" applyFill="1" applyBorder="1" applyAlignment="1">
      <alignment horizontal="center"/>
    </xf>
    <xf numFmtId="0" fontId="3" fillId="17" borderId="128" xfId="42" applyNumberFormat="1" applyFont="1" applyFill="1" applyBorder="1" applyAlignment="1"/>
    <xf numFmtId="0" fontId="3" fillId="17" borderId="142" xfId="42" applyNumberFormat="1" applyFont="1" applyFill="1" applyBorder="1" applyAlignment="1"/>
    <xf numFmtId="0" fontId="3" fillId="17" borderId="160" xfId="43" applyNumberFormat="1" applyFont="1" applyFill="1" applyBorder="1" applyAlignment="1">
      <alignment horizontal="center"/>
    </xf>
    <xf numFmtId="0" fontId="3" fillId="17" borderId="121" xfId="43" applyNumberFormat="1" applyFont="1" applyFill="1" applyBorder="1" applyAlignment="1">
      <alignment horizontal="center"/>
    </xf>
    <xf numFmtId="0" fontId="3" fillId="17" borderId="169" xfId="43" applyNumberFormat="1" applyFont="1" applyFill="1" applyBorder="1" applyAlignment="1">
      <alignment horizontal="center"/>
    </xf>
    <xf numFmtId="0" fontId="3" fillId="17" borderId="129" xfId="43" applyNumberFormat="1" applyFont="1" applyFill="1" applyBorder="1" applyAlignment="1">
      <alignment horizontal="center"/>
    </xf>
    <xf numFmtId="0" fontId="3" fillId="17" borderId="141" xfId="43" applyNumberFormat="1" applyFont="1" applyFill="1" applyBorder="1" applyAlignment="1">
      <alignment horizontal="center"/>
    </xf>
    <xf numFmtId="0" fontId="3" fillId="17" borderId="123" xfId="43" applyNumberFormat="1" applyFont="1" applyFill="1" applyBorder="1" applyAlignment="1">
      <alignment horizontal="center"/>
    </xf>
    <xf numFmtId="0" fontId="3" fillId="17" borderId="142" xfId="43" applyNumberFormat="1" applyFont="1" applyFill="1" applyBorder="1" applyAlignment="1">
      <alignment horizontal="center"/>
    </xf>
    <xf numFmtId="0" fontId="3" fillId="17" borderId="146" xfId="43" applyNumberFormat="1" applyFont="1" applyFill="1" applyBorder="1" applyAlignment="1">
      <alignment horizontal="center"/>
    </xf>
    <xf numFmtId="0" fontId="3" fillId="17" borderId="77" xfId="43" applyNumberFormat="1" applyFont="1" applyFill="1" applyBorder="1" applyAlignment="1">
      <alignment horizontal="center"/>
    </xf>
    <xf numFmtId="0" fontId="5" fillId="20" borderId="128" xfId="42" applyNumberFormat="1" applyFont="1" applyFill="1" applyBorder="1" applyAlignment="1">
      <alignment horizontal="center"/>
    </xf>
    <xf numFmtId="0" fontId="5" fillId="17" borderId="128" xfId="42" applyNumberFormat="1" applyFont="1" applyFill="1" applyBorder="1" applyAlignment="1">
      <alignment horizontal="center"/>
    </xf>
    <xf numFmtId="0" fontId="3" fillId="17" borderId="142" xfId="43" applyNumberFormat="1" applyFont="1" applyFill="1" applyBorder="1" applyAlignment="1">
      <alignment horizontal="left"/>
    </xf>
    <xf numFmtId="0" fontId="3" fillId="17" borderId="143" xfId="43" applyNumberFormat="1" applyFont="1" applyFill="1" applyBorder="1" applyAlignment="1">
      <alignment horizontal="center"/>
    </xf>
    <xf numFmtId="0" fontId="3" fillId="17" borderId="60" xfId="43" applyNumberFormat="1" applyFont="1" applyFill="1" applyBorder="1" applyAlignment="1">
      <alignment horizontal="center"/>
    </xf>
    <xf numFmtId="0" fontId="3" fillId="0" borderId="67" xfId="42" applyNumberFormat="1" applyFont="1" applyBorder="1"/>
    <xf numFmtId="0" fontId="3" fillId="17" borderId="142" xfId="42" applyNumberFormat="1" applyFont="1" applyFill="1" applyBorder="1" applyAlignment="1">
      <alignment horizontal="left"/>
    </xf>
    <xf numFmtId="0" fontId="3" fillId="17" borderId="171" xfId="43" applyNumberFormat="1" applyFont="1" applyFill="1" applyBorder="1" applyAlignment="1">
      <alignment horizontal="center"/>
    </xf>
    <xf numFmtId="0" fontId="3" fillId="17" borderId="165" xfId="43" applyNumberFormat="1" applyFont="1" applyFill="1" applyBorder="1" applyAlignment="1">
      <alignment horizontal="center"/>
    </xf>
    <xf numFmtId="0" fontId="3" fillId="17" borderId="164" xfId="43" applyNumberFormat="1" applyFont="1" applyFill="1" applyBorder="1" applyAlignment="1">
      <alignment horizontal="center"/>
    </xf>
    <xf numFmtId="0" fontId="5" fillId="0" borderId="0" xfId="40" applyNumberFormat="1" applyFont="1" applyBorder="1" applyAlignment="1">
      <alignment horizontal="center"/>
    </xf>
    <xf numFmtId="0" fontId="3" fillId="2" borderId="0" xfId="38" applyNumberFormat="1" applyFont="1" applyFill="1" applyBorder="1"/>
    <xf numFmtId="0" fontId="3" fillId="2" borderId="0" xfId="38" applyNumberFormat="1" applyFont="1" applyFill="1" applyBorder="1" applyAlignment="1">
      <alignment horizontal="center"/>
    </xf>
    <xf numFmtId="0" fontId="3" fillId="17" borderId="153" xfId="42" applyNumberFormat="1" applyFont="1" applyFill="1" applyBorder="1" applyAlignment="1"/>
    <xf numFmtId="0" fontId="3" fillId="17" borderId="154" xfId="43" applyNumberFormat="1" applyFont="1" applyFill="1" applyBorder="1" applyAlignment="1">
      <alignment horizontal="left"/>
    </xf>
    <xf numFmtId="0" fontId="3" fillId="17" borderId="154" xfId="43" applyNumberFormat="1" applyFont="1" applyFill="1" applyBorder="1" applyAlignment="1">
      <alignment horizontal="center"/>
    </xf>
    <xf numFmtId="0" fontId="3" fillId="17" borderId="122" xfId="43" applyNumberFormat="1" applyFont="1" applyFill="1" applyBorder="1" applyAlignment="1">
      <alignment horizontal="center"/>
    </xf>
    <xf numFmtId="0" fontId="3" fillId="17" borderId="155" xfId="43" applyNumberFormat="1" applyFont="1" applyFill="1" applyBorder="1" applyAlignment="1">
      <alignment horizontal="center"/>
    </xf>
    <xf numFmtId="0" fontId="3" fillId="17" borderId="126" xfId="43" applyNumberFormat="1" applyFont="1" applyFill="1" applyBorder="1" applyAlignment="1">
      <alignment horizontal="center"/>
    </xf>
    <xf numFmtId="0" fontId="3" fillId="17" borderId="127" xfId="43" applyNumberFormat="1" applyFont="1" applyFill="1" applyBorder="1" applyAlignment="1">
      <alignment horizontal="center"/>
    </xf>
    <xf numFmtId="0" fontId="3" fillId="17" borderId="153" xfId="42" applyNumberFormat="1" applyFont="1" applyFill="1" applyBorder="1" applyAlignment="1">
      <alignment horizontal="center"/>
    </xf>
    <xf numFmtId="0" fontId="5" fillId="17" borderId="128" xfId="43" applyNumberFormat="1" applyFont="1" applyFill="1" applyBorder="1" applyAlignment="1"/>
    <xf numFmtId="0" fontId="3" fillId="17" borderId="142" xfId="43" applyNumberFormat="1" applyFont="1" applyFill="1" applyBorder="1" applyAlignment="1"/>
    <xf numFmtId="0" fontId="3" fillId="17" borderId="150" xfId="42" applyNumberFormat="1" applyFont="1" applyFill="1" applyBorder="1" applyAlignment="1"/>
    <xf numFmtId="0" fontId="3" fillId="17" borderId="129" xfId="42" applyNumberFormat="1" applyFont="1" applyFill="1" applyBorder="1" applyAlignment="1"/>
    <xf numFmtId="0" fontId="3" fillId="17" borderId="73" xfId="43" applyNumberFormat="1" applyFont="1" applyFill="1" applyBorder="1" applyAlignment="1"/>
    <xf numFmtId="0" fontId="3" fillId="17" borderId="74" xfId="42" applyNumberFormat="1" applyFont="1" applyFill="1" applyBorder="1" applyAlignment="1"/>
    <xf numFmtId="0" fontId="3" fillId="0" borderId="132" xfId="42" applyNumberFormat="1" applyFont="1" applyBorder="1" applyAlignment="1"/>
    <xf numFmtId="0" fontId="5" fillId="0" borderId="134" xfId="43" applyNumberFormat="1" applyFont="1" applyBorder="1" applyAlignment="1"/>
    <xf numFmtId="0" fontId="3" fillId="0" borderId="132" xfId="42" applyNumberFormat="1" applyFont="1" applyFill="1" applyBorder="1" applyAlignment="1">
      <alignment horizontal="center"/>
    </xf>
    <xf numFmtId="0" fontId="3" fillId="0" borderId="149" xfId="42" applyNumberFormat="1" applyFont="1" applyBorder="1"/>
    <xf numFmtId="0" fontId="3" fillId="0" borderId="75" xfId="42" applyNumberFormat="1" applyFont="1" applyBorder="1"/>
    <xf numFmtId="0" fontId="3" fillId="23" borderId="128" xfId="42" applyNumberFormat="1" applyFont="1" applyFill="1" applyBorder="1" applyAlignment="1"/>
    <xf numFmtId="0" fontId="3" fillId="23" borderId="124" xfId="42" applyNumberFormat="1" applyFont="1" applyFill="1" applyBorder="1" applyAlignment="1"/>
    <xf numFmtId="0" fontId="3" fillId="23" borderId="142" xfId="43" applyNumberFormat="1" applyFont="1" applyFill="1" applyBorder="1" applyAlignment="1">
      <alignment horizontal="center"/>
    </xf>
    <xf numFmtId="0" fontId="3" fillId="23" borderId="121" xfId="43" applyNumberFormat="1" applyFont="1" applyFill="1" applyBorder="1" applyAlignment="1">
      <alignment horizontal="center"/>
    </xf>
    <xf numFmtId="0" fontId="3" fillId="23" borderId="123" xfId="43" applyNumberFormat="1" applyFont="1" applyFill="1" applyBorder="1" applyAlignment="1">
      <alignment horizontal="center"/>
    </xf>
    <xf numFmtId="0" fontId="3" fillId="23" borderId="143" xfId="43" applyNumberFormat="1" applyFont="1" applyFill="1" applyBorder="1" applyAlignment="1">
      <alignment horizontal="center"/>
    </xf>
    <xf numFmtId="0" fontId="3" fillId="23" borderId="140" xfId="43" applyNumberFormat="1" applyFont="1" applyFill="1" applyBorder="1" applyAlignment="1">
      <alignment horizontal="center"/>
    </xf>
    <xf numFmtId="0" fontId="3" fillId="24" borderId="144" xfId="42" applyNumberFormat="1" applyFont="1" applyFill="1" applyBorder="1" applyAlignment="1">
      <alignment horizontal="center"/>
    </xf>
    <xf numFmtId="0" fontId="3" fillId="23" borderId="128" xfId="43" applyNumberFormat="1" applyFont="1" applyFill="1" applyBorder="1" applyAlignment="1">
      <alignment horizontal="center"/>
    </xf>
    <xf numFmtId="0" fontId="3" fillId="0" borderId="149" xfId="42" applyNumberFormat="1" applyFont="1" applyFill="1" applyBorder="1" applyAlignment="1">
      <alignment horizontal="center"/>
    </xf>
    <xf numFmtId="0" fontId="3" fillId="0" borderId="149" xfId="43" applyNumberFormat="1" applyFont="1" applyFill="1" applyBorder="1" applyAlignment="1">
      <alignment horizontal="center"/>
    </xf>
    <xf numFmtId="0" fontId="3" fillId="0" borderId="128" xfId="42" applyNumberFormat="1" applyFont="1" applyBorder="1" applyAlignment="1"/>
    <xf numFmtId="0" fontId="3" fillId="0" borderId="124" xfId="42" applyNumberFormat="1" applyFont="1" applyFill="1" applyBorder="1" applyAlignment="1"/>
    <xf numFmtId="0" fontId="3" fillId="0" borderId="142" xfId="43" applyNumberFormat="1" applyFont="1" applyBorder="1" applyAlignment="1">
      <alignment horizontal="center"/>
    </xf>
    <xf numFmtId="0" fontId="3" fillId="0" borderId="140" xfId="43" applyNumberFormat="1" applyFont="1" applyBorder="1" applyAlignment="1">
      <alignment horizontal="center"/>
    </xf>
    <xf numFmtId="0" fontId="3" fillId="0" borderId="121" xfId="43" applyNumberFormat="1" applyFont="1" applyBorder="1" applyAlignment="1">
      <alignment horizontal="center"/>
    </xf>
    <xf numFmtId="0" fontId="3" fillId="0" borderId="123" xfId="43" applyNumberFormat="1" applyFont="1" applyBorder="1" applyAlignment="1">
      <alignment horizontal="center"/>
    </xf>
    <xf numFmtId="0" fontId="3" fillId="0" borderId="143" xfId="43" applyNumberFormat="1" applyFont="1" applyBorder="1" applyAlignment="1">
      <alignment horizontal="center"/>
    </xf>
    <xf numFmtId="0" fontId="3" fillId="0" borderId="128" xfId="43" applyNumberFormat="1" applyFont="1" applyFill="1" applyBorder="1" applyAlignment="1">
      <alignment horizontal="center"/>
    </xf>
    <xf numFmtId="0" fontId="3" fillId="0" borderId="127" xfId="43" applyNumberFormat="1" applyFont="1" applyBorder="1" applyAlignment="1">
      <alignment horizontal="center"/>
    </xf>
    <xf numFmtId="0" fontId="3" fillId="0" borderId="73" xfId="42" applyNumberFormat="1" applyFont="1" applyBorder="1" applyAlignment="1"/>
    <xf numFmtId="0" fontId="3" fillId="0" borderId="74" xfId="43" applyNumberFormat="1" applyFont="1" applyBorder="1" applyAlignment="1">
      <alignment horizontal="center"/>
    </xf>
    <xf numFmtId="0" fontId="3" fillId="0" borderId="147" xfId="43" applyNumberFormat="1" applyFont="1" applyBorder="1" applyAlignment="1">
      <alignment horizontal="center"/>
    </xf>
    <xf numFmtId="0" fontId="3" fillId="0" borderId="156" xfId="43" applyNumberFormat="1" applyFont="1" applyBorder="1" applyAlignment="1">
      <alignment horizontal="center"/>
    </xf>
    <xf numFmtId="0" fontId="3" fillId="0" borderId="148" xfId="43" applyNumberFormat="1" applyFont="1" applyBorder="1" applyAlignment="1">
      <alignment horizontal="center"/>
    </xf>
    <xf numFmtId="0" fontId="3" fillId="24" borderId="120" xfId="42" applyNumberFormat="1" applyFont="1" applyFill="1" applyBorder="1" applyAlignment="1">
      <alignment horizontal="center"/>
    </xf>
    <xf numFmtId="0" fontId="3" fillId="0" borderId="73" xfId="43" applyNumberFormat="1" applyFont="1" applyFill="1" applyBorder="1" applyAlignment="1">
      <alignment horizontal="center"/>
    </xf>
    <xf numFmtId="0" fontId="3" fillId="2" borderId="128" xfId="42" applyNumberFormat="1" applyFont="1" applyFill="1" applyBorder="1" applyAlignment="1"/>
    <xf numFmtId="0" fontId="3" fillId="2" borderId="124" xfId="42" applyNumberFormat="1" applyFont="1" applyFill="1" applyBorder="1" applyAlignment="1"/>
    <xf numFmtId="0" fontId="3" fillId="2" borderId="146" xfId="43" applyNumberFormat="1" applyFont="1" applyFill="1" applyBorder="1" applyAlignment="1">
      <alignment horizontal="center"/>
    </xf>
    <xf numFmtId="0" fontId="3" fillId="2" borderId="171" xfId="43" applyNumberFormat="1" applyFont="1" applyFill="1" applyBorder="1" applyAlignment="1">
      <alignment horizontal="center"/>
    </xf>
    <xf numFmtId="0" fontId="3" fillId="2" borderId="166" xfId="43" applyNumberFormat="1" applyFont="1" applyFill="1" applyBorder="1" applyAlignment="1">
      <alignment horizontal="center"/>
    </xf>
    <xf numFmtId="0" fontId="3" fillId="2" borderId="143" xfId="43" applyNumberFormat="1" applyFont="1" applyFill="1" applyBorder="1" applyAlignment="1">
      <alignment horizontal="center"/>
    </xf>
    <xf numFmtId="0" fontId="3" fillId="2" borderId="142" xfId="43" applyNumberFormat="1" applyFont="1" applyFill="1" applyBorder="1" applyAlignment="1">
      <alignment horizontal="center"/>
    </xf>
    <xf numFmtId="0" fontId="3" fillId="2" borderId="121" xfId="43" applyNumberFormat="1" applyFont="1" applyFill="1" applyBorder="1" applyAlignment="1">
      <alignment horizontal="center"/>
    </xf>
    <xf numFmtId="0" fontId="3" fillId="2" borderId="123" xfId="43" applyNumberFormat="1" applyFont="1" applyFill="1" applyBorder="1" applyAlignment="1">
      <alignment horizontal="center"/>
    </xf>
    <xf numFmtId="0" fontId="5" fillId="24" borderId="128" xfId="42" applyNumberFormat="1" applyFont="1" applyFill="1" applyBorder="1" applyAlignment="1">
      <alignment horizontal="center"/>
    </xf>
    <xf numFmtId="0" fontId="3" fillId="2" borderId="128" xfId="43" applyNumberFormat="1" applyFont="1" applyFill="1" applyBorder="1" applyAlignment="1">
      <alignment horizontal="center"/>
    </xf>
    <xf numFmtId="0" fontId="3" fillId="2" borderId="67" xfId="43" applyNumberFormat="1" applyFont="1" applyFill="1" applyBorder="1" applyAlignment="1">
      <alignment horizontal="center"/>
    </xf>
    <xf numFmtId="0" fontId="3" fillId="2" borderId="122" xfId="43" applyNumberFormat="1" applyFont="1" applyFill="1" applyBorder="1" applyAlignment="1">
      <alignment horizontal="center"/>
    </xf>
    <xf numFmtId="0" fontId="3" fillId="2" borderId="60" xfId="43" applyNumberFormat="1" applyFont="1" applyFill="1" applyBorder="1" applyAlignment="1">
      <alignment horizontal="center"/>
    </xf>
    <xf numFmtId="0" fontId="3" fillId="0" borderId="146" xfId="43" applyNumberFormat="1" applyFont="1" applyBorder="1" applyAlignment="1">
      <alignment horizontal="center"/>
    </xf>
    <xf numFmtId="0" fontId="3" fillId="0" borderId="144" xfId="43" applyNumberFormat="1" applyFont="1" applyBorder="1" applyAlignment="1">
      <alignment horizontal="center"/>
    </xf>
    <xf numFmtId="0" fontId="3" fillId="0" borderId="154" xfId="43" applyNumberFormat="1" applyFont="1" applyBorder="1" applyAlignment="1">
      <alignment horizontal="center"/>
    </xf>
    <xf numFmtId="0" fontId="3" fillId="0" borderId="158" xfId="43" applyNumberFormat="1" applyFont="1" applyBorder="1" applyAlignment="1">
      <alignment horizontal="center"/>
    </xf>
    <xf numFmtId="0" fontId="3" fillId="0" borderId="175" xfId="42" applyNumberFormat="1" applyFont="1" applyBorder="1" applyAlignment="1"/>
    <xf numFmtId="0" fontId="3" fillId="0" borderId="184" xfId="42" applyNumberFormat="1" applyFont="1" applyFill="1" applyBorder="1" applyAlignment="1"/>
    <xf numFmtId="0" fontId="3" fillId="0" borderId="185" xfId="43" applyNumberFormat="1" applyFont="1" applyBorder="1" applyAlignment="1">
      <alignment horizontal="center"/>
    </xf>
    <xf numFmtId="0" fontId="3" fillId="0" borderId="186" xfId="43" applyNumberFormat="1" applyFont="1" applyBorder="1" applyAlignment="1">
      <alignment horizontal="center"/>
    </xf>
    <xf numFmtId="0" fontId="3" fillId="0" borderId="187" xfId="43" applyNumberFormat="1" applyFont="1" applyBorder="1" applyAlignment="1">
      <alignment horizontal="center"/>
    </xf>
    <xf numFmtId="0" fontId="3" fillId="0" borderId="178" xfId="43" applyNumberFormat="1" applyFont="1" applyBorder="1" applyAlignment="1">
      <alignment horizontal="center"/>
    </xf>
    <xf numFmtId="0" fontId="3" fillId="0" borderId="188" xfId="43" applyNumberFormat="1" applyFont="1" applyBorder="1" applyAlignment="1">
      <alignment horizontal="center"/>
    </xf>
    <xf numFmtId="0" fontId="3" fillId="0" borderId="189" xfId="43" applyNumberFormat="1" applyFont="1" applyBorder="1" applyAlignment="1">
      <alignment horizontal="center"/>
    </xf>
    <xf numFmtId="0" fontId="3" fillId="0" borderId="190" xfId="43" applyNumberFormat="1" applyFont="1" applyBorder="1" applyAlignment="1">
      <alignment horizontal="center"/>
    </xf>
    <xf numFmtId="0" fontId="5" fillId="24" borderId="175" xfId="42" applyNumberFormat="1" applyFont="1" applyFill="1" applyBorder="1" applyAlignment="1">
      <alignment horizontal="center"/>
    </xf>
    <xf numFmtId="0" fontId="3" fillId="0" borderId="175" xfId="43" applyNumberFormat="1" applyFont="1" applyFill="1" applyBorder="1" applyAlignment="1">
      <alignment horizontal="center"/>
    </xf>
    <xf numFmtId="0" fontId="3" fillId="0" borderId="132" xfId="42" applyNumberFormat="1" applyFont="1" applyFill="1" applyBorder="1" applyAlignment="1"/>
    <xf numFmtId="0" fontId="5" fillId="0" borderId="134" xfId="42" applyNumberFormat="1" applyFont="1" applyFill="1" applyBorder="1" applyAlignment="1">
      <alignment horizontal="left"/>
    </xf>
    <xf numFmtId="0" fontId="3" fillId="0" borderId="134" xfId="43" applyNumberFormat="1" applyFont="1" applyFill="1" applyBorder="1" applyAlignment="1">
      <alignment horizontal="center"/>
    </xf>
    <xf numFmtId="0" fontId="3" fillId="0" borderId="135" xfId="43" applyNumberFormat="1" applyFont="1" applyFill="1" applyBorder="1" applyAlignment="1">
      <alignment horizontal="center"/>
    </xf>
    <xf numFmtId="0" fontId="3" fillId="0" borderId="136" xfId="43" applyNumberFormat="1" applyFont="1" applyFill="1" applyBorder="1" applyAlignment="1">
      <alignment horizontal="center"/>
    </xf>
    <xf numFmtId="0" fontId="3" fillId="0" borderId="137" xfId="43" applyNumberFormat="1" applyFont="1" applyFill="1" applyBorder="1" applyAlignment="1">
      <alignment horizontal="center"/>
    </xf>
    <xf numFmtId="0" fontId="3" fillId="0" borderId="138" xfId="43" applyNumberFormat="1" applyFont="1" applyFill="1" applyBorder="1" applyAlignment="1">
      <alignment horizontal="center"/>
    </xf>
    <xf numFmtId="0" fontId="3" fillId="2" borderId="175" xfId="42" applyNumberFormat="1" applyFont="1" applyFill="1" applyBorder="1" applyAlignment="1"/>
    <xf numFmtId="0" fontId="3" fillId="2" borderId="177" xfId="42" applyNumberFormat="1" applyFont="1" applyFill="1" applyBorder="1" applyAlignment="1"/>
    <xf numFmtId="0" fontId="3" fillId="2" borderId="178" xfId="43" applyNumberFormat="1" applyFont="1" applyFill="1" applyBorder="1" applyAlignment="1">
      <alignment horizontal="center"/>
    </xf>
    <xf numFmtId="0" fontId="3" fillId="2" borderId="179" xfId="43" applyNumberFormat="1" applyFont="1" applyFill="1" applyBorder="1" applyAlignment="1">
      <alignment horizontal="center"/>
    </xf>
    <xf numFmtId="0" fontId="3" fillId="2" borderId="180" xfId="43" applyNumberFormat="1" applyFont="1" applyFill="1" applyBorder="1" applyAlignment="1">
      <alignment horizontal="center"/>
    </xf>
    <xf numFmtId="0" fontId="3" fillId="2" borderId="181" xfId="43" applyNumberFormat="1" applyFont="1" applyFill="1" applyBorder="1" applyAlignment="1">
      <alignment horizontal="center"/>
    </xf>
    <xf numFmtId="0" fontId="3" fillId="2" borderId="182" xfId="43" applyNumberFormat="1" applyFont="1" applyFill="1" applyBorder="1" applyAlignment="1">
      <alignment horizontal="center"/>
    </xf>
    <xf numFmtId="0" fontId="3" fillId="24" borderId="175" xfId="42" applyNumberFormat="1" applyFont="1" applyFill="1" applyBorder="1" applyAlignment="1">
      <alignment horizontal="center"/>
    </xf>
    <xf numFmtId="0" fontId="0" fillId="2" borderId="128" xfId="42" applyNumberFormat="1" applyFont="1" applyFill="1" applyBorder="1" applyAlignment="1">
      <alignment horizontal="center"/>
    </xf>
    <xf numFmtId="0" fontId="3" fillId="2" borderId="173" xfId="43" applyNumberFormat="1" applyFont="1" applyFill="1" applyBorder="1" applyAlignment="1">
      <alignment horizontal="center"/>
    </xf>
    <xf numFmtId="0" fontId="3" fillId="2" borderId="174" xfId="43" applyNumberFormat="1" applyFont="1" applyFill="1" applyBorder="1" applyAlignment="1">
      <alignment horizontal="center"/>
    </xf>
    <xf numFmtId="0" fontId="3" fillId="24" borderId="128" xfId="42" applyNumberFormat="1" applyFont="1" applyFill="1" applyBorder="1" applyAlignment="1">
      <alignment horizontal="center"/>
    </xf>
    <xf numFmtId="0" fontId="3" fillId="25" borderId="175" xfId="42" applyNumberFormat="1" applyFont="1" applyFill="1" applyBorder="1" applyAlignment="1"/>
    <xf numFmtId="0" fontId="3" fillId="25" borderId="191" xfId="42" applyNumberFormat="1" applyFont="1" applyFill="1" applyBorder="1" applyAlignment="1"/>
    <xf numFmtId="0" fontId="3" fillId="25" borderId="178" xfId="43" applyNumberFormat="1" applyFont="1" applyFill="1" applyBorder="1" applyAlignment="1">
      <alignment horizontal="center"/>
    </xf>
    <xf numFmtId="0" fontId="3" fillId="25" borderId="179" xfId="43" applyNumberFormat="1" applyFont="1" applyFill="1" applyBorder="1" applyAlignment="1">
      <alignment horizontal="center"/>
    </xf>
    <xf numFmtId="0" fontId="3" fillId="25" borderId="180" xfId="43" applyNumberFormat="1" applyFont="1" applyFill="1" applyBorder="1" applyAlignment="1">
      <alignment horizontal="center"/>
    </xf>
    <xf numFmtId="0" fontId="3" fillId="25" borderId="181" xfId="43" applyNumberFormat="1" applyFont="1" applyFill="1" applyBorder="1" applyAlignment="1">
      <alignment horizontal="center"/>
    </xf>
    <xf numFmtId="0" fontId="3" fillId="25" borderId="182" xfId="43" applyNumberFormat="1" applyFont="1" applyFill="1" applyBorder="1" applyAlignment="1">
      <alignment horizontal="center"/>
    </xf>
    <xf numFmtId="0" fontId="0" fillId="25" borderId="128" xfId="42" applyNumberFormat="1" applyFont="1" applyFill="1" applyBorder="1" applyAlignment="1">
      <alignment horizontal="center"/>
    </xf>
    <xf numFmtId="0" fontId="3" fillId="25" borderId="73" xfId="42" applyNumberFormat="1" applyFont="1" applyFill="1" applyBorder="1" applyAlignment="1"/>
    <xf numFmtId="0" fontId="3" fillId="25" borderId="183" xfId="42" applyNumberFormat="1" applyFont="1" applyFill="1" applyBorder="1" applyAlignment="1"/>
    <xf numFmtId="0" fontId="3" fillId="25" borderId="74" xfId="43" applyNumberFormat="1" applyFont="1" applyFill="1" applyBorder="1" applyAlignment="1">
      <alignment horizontal="center"/>
    </xf>
    <xf numFmtId="0" fontId="3" fillId="25" borderId="147" xfId="43" applyNumberFormat="1" applyFont="1" applyFill="1" applyBorder="1" applyAlignment="1">
      <alignment horizontal="center"/>
    </xf>
    <xf numFmtId="0" fontId="3" fillId="25" borderId="148" xfId="43" applyNumberFormat="1" applyFont="1" applyFill="1" applyBorder="1" applyAlignment="1">
      <alignment horizontal="center"/>
    </xf>
    <xf numFmtId="0" fontId="3" fillId="24" borderId="73" xfId="42" applyNumberFormat="1" applyFont="1" applyFill="1" applyBorder="1" applyAlignment="1">
      <alignment horizontal="center"/>
    </xf>
    <xf numFmtId="0" fontId="0" fillId="25" borderId="73" xfId="42" applyNumberFormat="1" applyFont="1" applyFill="1" applyBorder="1" applyAlignment="1">
      <alignment horizontal="center"/>
    </xf>
    <xf numFmtId="0" fontId="3" fillId="0" borderId="172" xfId="42" applyNumberFormat="1" applyFont="1" applyBorder="1" applyAlignment="1"/>
    <xf numFmtId="0" fontId="5" fillId="0" borderId="176" xfId="43" applyNumberFormat="1" applyFont="1" applyBorder="1" applyAlignment="1"/>
    <xf numFmtId="0" fontId="3" fillId="0" borderId="172" xfId="42" applyNumberFormat="1" applyFont="1" applyFill="1" applyBorder="1" applyAlignment="1">
      <alignment horizontal="center"/>
    </xf>
    <xf numFmtId="0" fontId="3" fillId="0" borderId="172" xfId="43" applyNumberFormat="1" applyFont="1" applyFill="1" applyBorder="1" applyAlignment="1">
      <alignment horizontal="center"/>
    </xf>
    <xf numFmtId="0" fontId="5" fillId="0" borderId="128" xfId="43" applyNumberFormat="1" applyFont="1" applyFill="1" applyBorder="1" applyAlignment="1">
      <alignment horizontal="center"/>
    </xf>
    <xf numFmtId="0" fontId="3" fillId="0" borderId="120" xfId="43" applyNumberFormat="1" applyFont="1" applyBorder="1" applyAlignment="1">
      <alignment horizontal="center"/>
    </xf>
    <xf numFmtId="0" fontId="5" fillId="0" borderId="73" xfId="43" applyNumberFormat="1" applyFont="1" applyFill="1" applyBorder="1" applyAlignment="1">
      <alignment horizontal="center"/>
    </xf>
    <xf numFmtId="0" fontId="3" fillId="0" borderId="151" xfId="43" applyNumberFormat="1" applyFont="1" applyBorder="1" applyAlignment="1">
      <alignment horizontal="center"/>
    </xf>
    <xf numFmtId="0" fontId="3" fillId="0" borderId="82" xfId="43" applyNumberFormat="1" applyFont="1" applyBorder="1" applyAlignment="1">
      <alignment horizontal="center"/>
    </xf>
    <xf numFmtId="0" fontId="3" fillId="0" borderId="122" xfId="43" applyNumberFormat="1" applyFont="1" applyBorder="1" applyAlignment="1">
      <alignment horizontal="center"/>
    </xf>
    <xf numFmtId="0" fontId="3" fillId="0" borderId="155" xfId="43" applyNumberFormat="1" applyFont="1" applyBorder="1" applyAlignment="1">
      <alignment horizontal="center"/>
    </xf>
    <xf numFmtId="0" fontId="3" fillId="24" borderId="153" xfId="42" applyNumberFormat="1" applyFont="1" applyFill="1" applyBorder="1" applyAlignment="1">
      <alignment horizontal="center"/>
    </xf>
    <xf numFmtId="0" fontId="3" fillId="0" borderId="170" xfId="42" applyNumberFormat="1" applyFont="1" applyFill="1" applyBorder="1" applyAlignment="1"/>
    <xf numFmtId="0" fontId="3" fillId="0" borderId="163" xfId="43" applyNumberFormat="1" applyFont="1" applyBorder="1" applyAlignment="1">
      <alignment horizontal="center"/>
    </xf>
    <xf numFmtId="0" fontId="5" fillId="0" borderId="0" xfId="43" applyNumberFormat="1" applyFont="1" applyFill="1" applyBorder="1" applyAlignment="1">
      <alignment horizontal="right" vertical="center"/>
    </xf>
    <xf numFmtId="0" fontId="3" fillId="0" borderId="141" xfId="43" applyNumberFormat="1" applyFont="1" applyBorder="1" applyAlignment="1">
      <alignment horizontal="center"/>
    </xf>
    <xf numFmtId="0" fontId="3" fillId="0" borderId="0" xfId="43" applyNumberFormat="1" applyFont="1" applyFill="1" applyBorder="1" applyAlignment="1">
      <alignment horizontal="left"/>
    </xf>
    <xf numFmtId="0" fontId="3" fillId="0" borderId="0" xfId="42" applyNumberFormat="1" applyFont="1" applyBorder="1" applyAlignment="1"/>
    <xf numFmtId="0" fontId="3" fillId="0" borderId="0" xfId="43" applyNumberFormat="1" applyFont="1" applyBorder="1" applyAlignment="1">
      <alignment horizontal="center"/>
    </xf>
    <xf numFmtId="0" fontId="3" fillId="0" borderId="0" xfId="42" applyNumberFormat="1" applyFont="1" applyFill="1" applyBorder="1" applyAlignment="1">
      <alignment horizontal="center"/>
    </xf>
    <xf numFmtId="0" fontId="5" fillId="0" borderId="0" xfId="43" applyNumberFormat="1" applyFont="1" applyFill="1" applyBorder="1" applyAlignment="1">
      <alignment horizontal="center"/>
    </xf>
    <xf numFmtId="0" fontId="3" fillId="0" borderId="0" xfId="42" applyNumberFormat="1" applyFont="1" applyAlignment="1"/>
    <xf numFmtId="0" fontId="0" fillId="0" borderId="0" xfId="42" applyNumberFormat="1" applyFont="1" applyAlignment="1"/>
    <xf numFmtId="0" fontId="3" fillId="0" borderId="0" xfId="42" applyNumberFormat="1" applyFont="1" applyFill="1" applyAlignment="1"/>
    <xf numFmtId="0" fontId="3" fillId="0" borderId="0" xfId="10" applyNumberFormat="1" applyFont="1"/>
    <xf numFmtId="0" fontId="25" fillId="6" borderId="173" xfId="40" applyNumberFormat="1" applyFont="1" applyFill="1" applyBorder="1" applyAlignment="1"/>
    <xf numFmtId="0" fontId="0" fillId="0" borderId="0" xfId="0" applyNumberFormat="1" applyAlignment="1">
      <alignment vertical="center"/>
    </xf>
    <xf numFmtId="0" fontId="3" fillId="2" borderId="173" xfId="42" applyNumberFormat="1" applyFont="1" applyFill="1" applyBorder="1" applyAlignment="1"/>
    <xf numFmtId="0" fontId="3" fillId="14" borderId="173" xfId="42" applyNumberFormat="1" applyFont="1" applyFill="1" applyBorder="1" applyAlignment="1"/>
    <xf numFmtId="0" fontId="3" fillId="0" borderId="173" xfId="40" applyNumberFormat="1" applyFont="1" applyFill="1" applyBorder="1" applyAlignment="1"/>
    <xf numFmtId="0" fontId="3" fillId="0" borderId="173" xfId="42" applyNumberFormat="1" applyFont="1" applyFill="1" applyBorder="1" applyAlignment="1"/>
    <xf numFmtId="0" fontId="3" fillId="0" borderId="173" xfId="42" applyNumberFormat="1" applyFont="1" applyBorder="1" applyAlignment="1"/>
    <xf numFmtId="0" fontId="22" fillId="0" borderId="0" xfId="38" applyNumberFormat="1" applyFont="1"/>
    <xf numFmtId="0" fontId="3" fillId="0" borderId="0" xfId="18" applyNumberFormat="1" applyFont="1" applyAlignment="1"/>
    <xf numFmtId="0" fontId="0" fillId="0" borderId="0" xfId="0" applyNumberFormat="1" applyAlignment="1"/>
    <xf numFmtId="0" fontId="5" fillId="2" borderId="0" xfId="0" applyNumberFormat="1" applyFont="1" applyFill="1" applyAlignment="1"/>
    <xf numFmtId="0" fontId="3" fillId="2" borderId="0" xfId="18" applyNumberFormat="1" applyFont="1" applyFill="1" applyAlignment="1"/>
    <xf numFmtId="0" fontId="3" fillId="0" borderId="0" xfId="19" applyNumberFormat="1" applyFont="1" applyAlignment="1"/>
    <xf numFmtId="0" fontId="5" fillId="0" borderId="121" xfId="18" applyNumberFormat="1" applyFont="1" applyBorder="1" applyAlignment="1"/>
    <xf numFmtId="0" fontId="5" fillId="0" borderId="121" xfId="18" applyNumberFormat="1" applyFont="1" applyFill="1" applyBorder="1" applyAlignment="1"/>
    <xf numFmtId="0" fontId="5" fillId="0" borderId="121" xfId="18" applyNumberFormat="1" applyFont="1" applyBorder="1" applyAlignment="1">
      <alignment horizontal="center"/>
    </xf>
    <xf numFmtId="0" fontId="5" fillId="0" borderId="121" xfId="18" applyNumberFormat="1" applyFont="1" applyFill="1" applyBorder="1" applyAlignment="1">
      <alignment horizontal="center"/>
    </xf>
    <xf numFmtId="0" fontId="5" fillId="0" borderId="0" xfId="19" applyNumberFormat="1" applyFont="1" applyFill="1" applyAlignment="1">
      <alignment horizontal="center"/>
    </xf>
    <xf numFmtId="0" fontId="5" fillId="0" borderId="0" xfId="18" quotePrefix="1" applyNumberFormat="1" applyFont="1" applyFill="1" applyAlignment="1">
      <alignment horizontal="center"/>
    </xf>
    <xf numFmtId="0" fontId="29" fillId="0" borderId="0" xfId="18" applyNumberFormat="1" applyFont="1" applyAlignment="1">
      <alignment horizontal="center"/>
    </xf>
    <xf numFmtId="0" fontId="0" fillId="0" borderId="121" xfId="19" applyNumberFormat="1" applyFont="1" applyFill="1" applyBorder="1" applyAlignment="1"/>
    <xf numFmtId="0" fontId="3" fillId="18" borderId="121" xfId="18" applyNumberFormat="1" applyFont="1" applyFill="1" applyBorder="1" applyAlignment="1">
      <alignment horizontal="center"/>
    </xf>
    <xf numFmtId="0" fontId="3" fillId="0" borderId="121" xfId="18" applyNumberFormat="1" applyFont="1" applyFill="1" applyBorder="1" applyAlignment="1">
      <alignment horizontal="center"/>
    </xf>
    <xf numFmtId="0" fontId="0" fillId="0" borderId="121" xfId="18" applyNumberFormat="1" applyFont="1" applyFill="1" applyBorder="1" applyAlignment="1">
      <alignment horizontal="center"/>
    </xf>
    <xf numFmtId="0" fontId="3" fillId="0" borderId="0" xfId="19" applyNumberFormat="1" applyFont="1" applyFill="1" applyAlignment="1">
      <alignment horizontal="center"/>
    </xf>
    <xf numFmtId="0" fontId="3" fillId="0" borderId="0" xfId="18" applyNumberFormat="1" applyFont="1" applyFill="1" applyBorder="1" applyAlignment="1">
      <alignment horizontal="center" wrapText="1"/>
    </xf>
    <xf numFmtId="0" fontId="29" fillId="0" borderId="0" xfId="18" applyNumberFormat="1" applyFont="1" applyFill="1" applyBorder="1" applyAlignment="1">
      <alignment horizontal="center" wrapText="1"/>
    </xf>
    <xf numFmtId="0" fontId="0" fillId="0" borderId="121" xfId="0" applyNumberFormat="1" applyBorder="1" applyAlignment="1"/>
    <xf numFmtId="0" fontId="3" fillId="0" borderId="0" xfId="15" applyNumberFormat="1" applyFont="1" applyFill="1" applyAlignment="1">
      <alignment horizontal="center"/>
    </xf>
    <xf numFmtId="0" fontId="3" fillId="0" borderId="0" xfId="18" applyNumberFormat="1" applyFont="1" applyFill="1" applyBorder="1" applyAlignment="1">
      <alignment horizontal="center"/>
    </xf>
    <xf numFmtId="0" fontId="29" fillId="0" borderId="0" xfId="18" applyNumberFormat="1" applyFont="1" applyFill="1" applyBorder="1" applyAlignment="1">
      <alignment horizontal="center"/>
    </xf>
    <xf numFmtId="0" fontId="28" fillId="0" borderId="121" xfId="18" applyNumberFormat="1" applyFont="1" applyFill="1" applyBorder="1" applyAlignment="1">
      <alignment horizontal="center"/>
    </xf>
    <xf numFmtId="0" fontId="0" fillId="0" borderId="121" xfId="0" applyNumberFormat="1" applyFill="1" applyBorder="1" applyAlignment="1"/>
    <xf numFmtId="0" fontId="3" fillId="0" borderId="121" xfId="18" applyNumberFormat="1" applyFont="1" applyBorder="1" applyAlignment="1">
      <alignment horizontal="center"/>
    </xf>
    <xf numFmtId="0" fontId="5" fillId="0" borderId="0" xfId="18" applyNumberFormat="1" applyFont="1" applyBorder="1" applyAlignment="1"/>
    <xf numFmtId="0" fontId="43" fillId="0" borderId="0" xfId="19" applyNumberFormat="1" applyFont="1" applyFill="1" applyAlignment="1"/>
    <xf numFmtId="0" fontId="3" fillId="0" borderId="0" xfId="18" applyNumberFormat="1" applyFont="1" applyBorder="1" applyAlignment="1"/>
    <xf numFmtId="0" fontId="3" fillId="0" borderId="0" xfId="18" applyNumberFormat="1" applyFont="1" applyFill="1" applyBorder="1" applyAlignment="1"/>
    <xf numFmtId="0" fontId="43" fillId="0" borderId="0" xfId="18" applyNumberFormat="1" applyFont="1" applyFill="1" applyAlignment="1"/>
    <xf numFmtId="0" fontId="3" fillId="0" borderId="0" xfId="19" applyNumberFormat="1" applyFont="1" applyFill="1" applyAlignment="1"/>
    <xf numFmtId="0" fontId="29" fillId="0" borderId="0" xfId="18" applyNumberFormat="1" applyFont="1" applyFill="1" applyAlignment="1">
      <alignment horizontal="center"/>
    </xf>
    <xf numFmtId="0" fontId="0" fillId="0" borderId="121" xfId="18" applyNumberFormat="1" applyFont="1" applyFill="1" applyBorder="1" applyAlignment="1"/>
    <xf numFmtId="0" fontId="0" fillId="0" borderId="0" xfId="19" applyNumberFormat="1" applyFont="1" applyFill="1" applyAlignment="1"/>
    <xf numFmtId="0" fontId="3" fillId="0" borderId="0" xfId="18" applyNumberFormat="1" applyFont="1" applyFill="1" applyAlignment="1"/>
    <xf numFmtId="0" fontId="3" fillId="0" borderId="0" xfId="15" applyNumberFormat="1" applyFont="1" applyFill="1" applyAlignment="1"/>
    <xf numFmtId="0" fontId="29" fillId="0" borderId="0" xfId="15" applyNumberFormat="1" applyFont="1" applyFill="1" applyAlignment="1"/>
    <xf numFmtId="0" fontId="0" fillId="0" borderId="121" xfId="18" applyNumberFormat="1" applyFont="1" applyBorder="1" applyAlignment="1"/>
    <xf numFmtId="0" fontId="0" fillId="0" borderId="0" xfId="18" applyNumberFormat="1" applyFont="1" applyFill="1" applyBorder="1" applyAlignment="1"/>
    <xf numFmtId="0" fontId="28" fillId="0" borderId="0" xfId="18" applyNumberFormat="1" applyFont="1" applyFill="1" applyBorder="1" applyAlignment="1"/>
    <xf numFmtId="0" fontId="3" fillId="0" borderId="0" xfId="18" applyNumberFormat="1" applyFont="1" applyBorder="1" applyAlignment="1">
      <alignment horizontal="right"/>
    </xf>
    <xf numFmtId="0" fontId="3" fillId="0" borderId="0" xfId="18" applyNumberFormat="1" applyFont="1" applyBorder="1" applyAlignment="1">
      <alignment horizontal="center"/>
    </xf>
    <xf numFmtId="0" fontId="0" fillId="0" borderId="0" xfId="18" applyNumberFormat="1" applyFont="1" applyBorder="1" applyAlignment="1"/>
    <xf numFmtId="0" fontId="0" fillId="0" borderId="0" xfId="0" applyNumberFormat="1" applyFill="1" applyAlignment="1"/>
    <xf numFmtId="0" fontId="15" fillId="0" borderId="0" xfId="18" applyNumberFormat="1" applyFont="1" applyBorder="1"/>
    <xf numFmtId="0" fontId="3" fillId="0" borderId="0" xfId="18" applyNumberFormat="1" applyFont="1" applyBorder="1"/>
    <xf numFmtId="0" fontId="3" fillId="0" borderId="0" xfId="18" applyNumberFormat="1" applyFont="1"/>
    <xf numFmtId="0" fontId="3" fillId="0" borderId="0" xfId="18" applyNumberFormat="1" applyFont="1" applyFill="1"/>
    <xf numFmtId="0" fontId="3" fillId="0" borderId="0" xfId="19" applyNumberFormat="1" applyFont="1"/>
    <xf numFmtId="0" fontId="5" fillId="0" borderId="0" xfId="18" applyNumberFormat="1" applyFont="1" applyFill="1" applyBorder="1" applyAlignment="1">
      <alignment horizontal="right"/>
    </xf>
    <xf numFmtId="0" fontId="0" fillId="0" borderId="77" xfId="18" applyNumberFormat="1" applyFont="1" applyFill="1" applyBorder="1"/>
    <xf numFmtId="0" fontId="3" fillId="0" borderId="0" xfId="18" applyNumberFormat="1" applyFont="1" applyAlignment="1">
      <alignment horizontal="left"/>
    </xf>
    <xf numFmtId="0" fontId="5" fillId="0" borderId="0" xfId="18" applyNumberFormat="1" applyFont="1" applyAlignment="1">
      <alignment horizontal="right"/>
    </xf>
    <xf numFmtId="0" fontId="3" fillId="0" borderId="125" xfId="18" applyNumberFormat="1" applyFont="1" applyFill="1" applyBorder="1"/>
    <xf numFmtId="0" fontId="0" fillId="0" borderId="78" xfId="18" applyNumberFormat="1" applyFont="1" applyBorder="1"/>
    <xf numFmtId="0" fontId="0" fillId="0" borderId="79" xfId="18" applyNumberFormat="1" applyFont="1" applyFill="1" applyBorder="1"/>
    <xf numFmtId="0" fontId="3" fillId="0" borderId="56" xfId="18" applyNumberFormat="1" applyFont="1" applyBorder="1" applyAlignment="1">
      <alignment horizontal="left"/>
    </xf>
    <xf numFmtId="0" fontId="3" fillId="0" borderId="126" xfId="18" applyNumberFormat="1" applyFont="1" applyBorder="1"/>
    <xf numFmtId="0" fontId="3" fillId="0" borderId="81" xfId="18" applyNumberFormat="1" applyFont="1" applyBorder="1"/>
    <xf numFmtId="0" fontId="3" fillId="0" borderId="127" xfId="18" applyNumberFormat="1" applyFont="1" applyBorder="1"/>
    <xf numFmtId="0" fontId="3" fillId="0" borderId="79" xfId="18" applyNumberFormat="1" applyFont="1" applyBorder="1"/>
    <xf numFmtId="0" fontId="5" fillId="0" borderId="0" xfId="18" applyNumberFormat="1" applyFont="1"/>
    <xf numFmtId="0" fontId="3" fillId="8" borderId="0" xfId="18" applyNumberFormat="1" applyFont="1" applyFill="1" applyAlignment="1">
      <alignment horizontal="left"/>
    </xf>
    <xf numFmtId="0" fontId="0" fillId="0" borderId="0" xfId="18" applyNumberFormat="1" applyFont="1" applyBorder="1"/>
    <xf numFmtId="0" fontId="3" fillId="0" borderId="82" xfId="18" applyNumberFormat="1" applyFont="1" applyBorder="1"/>
    <xf numFmtId="0" fontId="5" fillId="0" borderId="76" xfId="18" applyNumberFormat="1" applyFont="1" applyBorder="1"/>
    <xf numFmtId="0" fontId="0" fillId="0" borderId="76" xfId="0" applyNumberFormat="1" applyBorder="1"/>
    <xf numFmtId="0" fontId="3" fillId="8" borderId="56" xfId="18" applyNumberFormat="1" applyFont="1" applyFill="1" applyBorder="1" applyAlignment="1">
      <alignment horizontal="left"/>
    </xf>
    <xf numFmtId="0" fontId="0" fillId="0" borderId="54" xfId="18" applyNumberFormat="1" applyFont="1" applyBorder="1"/>
    <xf numFmtId="0" fontId="0" fillId="0" borderId="54" xfId="0" applyNumberFormat="1" applyBorder="1"/>
    <xf numFmtId="0" fontId="5" fillId="0" borderId="0" xfId="18" applyNumberFormat="1" applyFont="1" applyBorder="1"/>
    <xf numFmtId="0" fontId="3" fillId="0" borderId="0" xfId="18" applyNumberFormat="1" applyFont="1" applyBorder="1" applyAlignment="1">
      <alignment horizontal="left"/>
    </xf>
    <xf numFmtId="0" fontId="3" fillId="0" borderId="125" xfId="18" applyNumberFormat="1" applyFont="1" applyBorder="1"/>
    <xf numFmtId="0" fontId="0" fillId="0" borderId="83" xfId="18" applyNumberFormat="1" applyFont="1" applyBorder="1"/>
    <xf numFmtId="0" fontId="0" fillId="0" borderId="77" xfId="18" applyNumberFormat="1" applyFont="1" applyBorder="1"/>
    <xf numFmtId="0" fontId="3" fillId="0" borderId="125" xfId="18" applyNumberFormat="1" applyFont="1" applyBorder="1" applyAlignment="1">
      <alignment horizontal="left"/>
    </xf>
    <xf numFmtId="0" fontId="3" fillId="0" borderId="126" xfId="18" applyNumberFormat="1" applyFont="1" applyBorder="1" applyAlignment="1">
      <alignment horizontal="left"/>
    </xf>
    <xf numFmtId="0" fontId="3" fillId="0" borderId="79" xfId="18" applyNumberFormat="1" applyFont="1" applyBorder="1" applyAlignment="1">
      <alignment horizontal="left"/>
    </xf>
    <xf numFmtId="0" fontId="3" fillId="0" borderId="81" xfId="18" applyNumberFormat="1" applyFont="1" applyBorder="1" applyAlignment="1">
      <alignment horizontal="left"/>
    </xf>
    <xf numFmtId="0" fontId="0" fillId="0" borderId="56" xfId="18" applyNumberFormat="1" applyFont="1" applyBorder="1"/>
    <xf numFmtId="0" fontId="3" fillId="0" borderId="54" xfId="18" applyNumberFormat="1" applyFont="1" applyBorder="1"/>
    <xf numFmtId="0" fontId="15" fillId="0" borderId="0" xfId="18" applyNumberFormat="1" applyFont="1"/>
    <xf numFmtId="0" fontId="0" fillId="0" borderId="126" xfId="0" applyNumberFormat="1" applyFont="1" applyBorder="1"/>
    <xf numFmtId="0" fontId="0" fillId="0" borderId="79" xfId="0" applyNumberFormat="1" applyFont="1" applyBorder="1"/>
    <xf numFmtId="0" fontId="0" fillId="0" borderId="0" xfId="0" applyNumberFormat="1" applyAlignment="1">
      <alignment horizontal="right"/>
    </xf>
    <xf numFmtId="0" fontId="3" fillId="2" borderId="0" xfId="7" applyNumberFormat="1" applyFont="1" applyFill="1" applyBorder="1" applyAlignment="1"/>
    <xf numFmtId="0" fontId="3" fillId="2" borderId="0" xfId="1" applyNumberFormat="1" applyFont="1" applyFill="1"/>
    <xf numFmtId="0" fontId="0" fillId="0" borderId="0" xfId="1" applyNumberFormat="1" applyFont="1"/>
    <xf numFmtId="0" fontId="5" fillId="0" borderId="1" xfId="17" applyNumberFormat="1" applyFont="1" applyBorder="1" applyAlignment="1"/>
    <xf numFmtId="0" fontId="5" fillId="0" borderId="1" xfId="17" applyNumberFormat="1" applyFont="1" applyFill="1" applyBorder="1" applyAlignment="1"/>
    <xf numFmtId="0" fontId="5" fillId="0" borderId="1" xfId="17" applyNumberFormat="1" applyFont="1" applyBorder="1" applyAlignment="1">
      <alignment horizontal="center"/>
    </xf>
    <xf numFmtId="0" fontId="5" fillId="0" borderId="1" xfId="17" applyNumberFormat="1" applyFont="1" applyFill="1" applyBorder="1" applyAlignment="1">
      <alignment horizontal="center"/>
    </xf>
    <xf numFmtId="0" fontId="5" fillId="0" borderId="0" xfId="16" applyNumberFormat="1" applyFont="1" applyFill="1" applyAlignment="1">
      <alignment horizontal="center"/>
    </xf>
    <xf numFmtId="0" fontId="5" fillId="0" borderId="0" xfId="17" applyNumberFormat="1" applyFont="1" applyFill="1" applyAlignment="1">
      <alignment horizontal="center"/>
    </xf>
    <xf numFmtId="0" fontId="5" fillId="0" borderId="0" xfId="17" quotePrefix="1" applyNumberFormat="1" applyFont="1" applyFill="1" applyAlignment="1">
      <alignment horizontal="center"/>
    </xf>
    <xf numFmtId="0" fontId="5" fillId="19" borderId="0" xfId="0" applyNumberFormat="1" applyFont="1" applyFill="1" applyAlignment="1">
      <alignment horizontal="center"/>
    </xf>
    <xf numFmtId="0" fontId="33" fillId="0" borderId="0" xfId="17" applyNumberFormat="1" applyFont="1" applyAlignment="1">
      <alignment horizontal="center"/>
    </xf>
    <xf numFmtId="0" fontId="33" fillId="0" borderId="0" xfId="17" applyNumberFormat="1" applyFont="1" applyFill="1" applyAlignment="1">
      <alignment horizontal="center"/>
    </xf>
    <xf numFmtId="0" fontId="0" fillId="0" borderId="1" xfId="16" applyNumberFormat="1" applyFont="1" applyFill="1" applyBorder="1" applyAlignment="1"/>
    <xf numFmtId="0" fontId="3" fillId="18" borderId="1" xfId="17" applyNumberFormat="1" applyFont="1" applyFill="1" applyBorder="1" applyAlignment="1">
      <alignment horizontal="center"/>
    </xf>
    <xf numFmtId="0" fontId="3" fillId="0" borderId="1" xfId="17" applyNumberFormat="1" applyFont="1" applyFill="1" applyBorder="1" applyAlignment="1">
      <alignment horizontal="center"/>
    </xf>
    <xf numFmtId="0" fontId="0" fillId="0" borderId="1" xfId="17" applyNumberFormat="1" applyFont="1" applyFill="1" applyBorder="1" applyAlignment="1">
      <alignment horizontal="center"/>
    </xf>
    <xf numFmtId="0" fontId="3" fillId="0" borderId="0" xfId="16" applyNumberFormat="1" applyFont="1" applyFill="1" applyAlignment="1">
      <alignment horizontal="center"/>
    </xf>
    <xf numFmtId="0" fontId="43" fillId="0" borderId="0" xfId="17" applyNumberFormat="1" applyFont="1" applyFill="1" applyBorder="1" applyAlignment="1">
      <alignment horizontal="center" wrapText="1"/>
    </xf>
    <xf numFmtId="0" fontId="3" fillId="0" borderId="0" xfId="17" applyNumberFormat="1" applyFont="1" applyFill="1" applyBorder="1" applyAlignment="1">
      <alignment horizontal="right" wrapText="1"/>
    </xf>
    <xf numFmtId="0" fontId="43" fillId="0" borderId="0" xfId="17" applyNumberFormat="1" applyFont="1" applyFill="1" applyBorder="1" applyAlignment="1">
      <alignment horizontal="center"/>
    </xf>
    <xf numFmtId="0" fontId="0" fillId="0" borderId="0" xfId="0" applyNumberFormat="1" applyFill="1" applyAlignment="1">
      <alignment horizontal="right"/>
    </xf>
    <xf numFmtId="0" fontId="43" fillId="0" borderId="0" xfId="0" applyNumberFormat="1" applyFont="1" applyFill="1" applyAlignment="1"/>
    <xf numFmtId="0" fontId="29" fillId="0" borderId="0" xfId="17" applyNumberFormat="1" applyFont="1" applyFill="1" applyBorder="1" applyAlignment="1">
      <alignment horizontal="center" wrapText="1"/>
    </xf>
    <xf numFmtId="0" fontId="29" fillId="0" borderId="0" xfId="17" applyNumberFormat="1" applyFont="1" applyFill="1" applyBorder="1" applyAlignment="1">
      <alignment horizontal="right" wrapText="1"/>
    </xf>
    <xf numFmtId="0" fontId="29" fillId="0" borderId="0" xfId="0" applyNumberFormat="1" applyFont="1" applyFill="1" applyAlignment="1">
      <alignment horizontal="center"/>
    </xf>
    <xf numFmtId="0" fontId="0" fillId="0" borderId="0" xfId="0" applyNumberFormat="1" applyFont="1" applyFill="1" applyBorder="1" applyProtection="1">
      <protection locked="0"/>
    </xf>
    <xf numFmtId="0" fontId="0" fillId="0" borderId="1" xfId="0" applyNumberFormat="1" applyBorder="1" applyAlignment="1"/>
    <xf numFmtId="0" fontId="3" fillId="0" borderId="0" xfId="17" applyNumberFormat="1" applyFont="1" applyFill="1" applyBorder="1" applyAlignment="1">
      <alignment horizontal="right"/>
    </xf>
    <xf numFmtId="0" fontId="29" fillId="0" borderId="0" xfId="17" applyNumberFormat="1" applyFont="1" applyFill="1" applyBorder="1" applyAlignment="1">
      <alignment horizontal="center"/>
    </xf>
    <xf numFmtId="0" fontId="28" fillId="0" borderId="1" xfId="17" applyNumberFormat="1" applyFont="1" applyFill="1" applyBorder="1" applyAlignment="1">
      <alignment horizontal="center"/>
    </xf>
    <xf numFmtId="0" fontId="0" fillId="0" borderId="1" xfId="0" applyNumberFormat="1" applyFill="1" applyBorder="1" applyAlignment="1"/>
    <xf numFmtId="0" fontId="3" fillId="0" borderId="1" xfId="17" applyNumberFormat="1" applyFont="1" applyBorder="1" applyAlignment="1">
      <alignment horizontal="center"/>
    </xf>
    <xf numFmtId="0" fontId="5" fillId="0" borderId="0" xfId="17" applyNumberFormat="1" applyFont="1" applyBorder="1" applyAlignment="1"/>
    <xf numFmtId="0" fontId="43" fillId="0" borderId="0" xfId="16" applyNumberFormat="1" applyFont="1" applyFill="1" applyAlignment="1"/>
    <xf numFmtId="0" fontId="3" fillId="0" borderId="0" xfId="17" applyNumberFormat="1" applyFont="1" applyBorder="1" applyAlignment="1"/>
    <xf numFmtId="0" fontId="3" fillId="0" borderId="0" xfId="17" applyNumberFormat="1" applyFont="1" applyFill="1" applyBorder="1" applyAlignment="1"/>
    <xf numFmtId="0" fontId="3" fillId="0" borderId="0" xfId="17" applyNumberFormat="1" applyFont="1" applyAlignment="1"/>
    <xf numFmtId="0" fontId="3" fillId="0" borderId="0" xfId="16" applyNumberFormat="1" applyFont="1" applyFill="1" applyAlignment="1"/>
    <xf numFmtId="0" fontId="33" fillId="0" borderId="0" xfId="16" applyNumberFormat="1" applyFont="1" applyAlignment="1"/>
    <xf numFmtId="0" fontId="0" fillId="0" borderId="1" xfId="17" applyNumberFormat="1" applyFont="1" applyFill="1" applyBorder="1" applyAlignment="1"/>
    <xf numFmtId="0" fontId="43" fillId="0" borderId="0" xfId="17" applyNumberFormat="1" applyFont="1" applyFill="1" applyAlignment="1"/>
    <xf numFmtId="0" fontId="5" fillId="0" borderId="0" xfId="17" applyNumberFormat="1" applyFont="1" applyAlignment="1"/>
    <xf numFmtId="0" fontId="3" fillId="0" borderId="0" xfId="17" applyNumberFormat="1" applyFont="1" applyFill="1" applyAlignment="1"/>
    <xf numFmtId="0" fontId="0" fillId="0" borderId="1" xfId="17" applyNumberFormat="1" applyFont="1" applyBorder="1" applyAlignment="1"/>
    <xf numFmtId="0" fontId="0" fillId="0" borderId="0" xfId="0" applyNumberFormat="1" applyFont="1" applyFill="1"/>
    <xf numFmtId="0" fontId="0" fillId="0" borderId="0" xfId="17" applyNumberFormat="1" applyFont="1" applyFill="1" applyBorder="1" applyAlignment="1"/>
    <xf numFmtId="0" fontId="28" fillId="0" borderId="0" xfId="17" applyNumberFormat="1" applyFont="1" applyFill="1" applyBorder="1" applyAlignment="1"/>
    <xf numFmtId="0" fontId="3" fillId="0" borderId="0" xfId="17" applyNumberFormat="1" applyFont="1" applyBorder="1" applyAlignment="1">
      <alignment horizontal="right"/>
    </xf>
    <xf numFmtId="0" fontId="3" fillId="0" borderId="0" xfId="17" applyNumberFormat="1" applyFont="1" applyFill="1" applyBorder="1" applyAlignment="1">
      <alignment horizontal="center"/>
    </xf>
    <xf numFmtId="0" fontId="3" fillId="0" borderId="0" xfId="17" applyNumberFormat="1" applyFont="1" applyBorder="1" applyAlignment="1">
      <alignment horizontal="center"/>
    </xf>
    <xf numFmtId="0" fontId="0" fillId="0" borderId="0" xfId="17" applyNumberFormat="1" applyFont="1" applyBorder="1" applyAlignment="1"/>
    <xf numFmtId="0" fontId="0" fillId="0" borderId="0" xfId="17" applyNumberFormat="1" applyFont="1" applyBorder="1" applyAlignment="1">
      <alignment horizontal="center"/>
    </xf>
    <xf numFmtId="0" fontId="15" fillId="0" borderId="0" xfId="17" applyNumberFormat="1" applyFont="1" applyBorder="1"/>
    <xf numFmtId="0" fontId="5" fillId="0" borderId="0" xfId="17" applyNumberFormat="1" applyFont="1" applyAlignment="1">
      <alignment horizontal="right"/>
    </xf>
    <xf numFmtId="0" fontId="0" fillId="0" borderId="77" xfId="17" applyNumberFormat="1" applyFont="1" applyFill="1" applyBorder="1"/>
    <xf numFmtId="0" fontId="3" fillId="0" borderId="0" xfId="17" applyNumberFormat="1" applyFont="1" applyAlignment="1">
      <alignment horizontal="left"/>
    </xf>
    <xf numFmtId="0" fontId="3" fillId="0" borderId="0" xfId="17" applyNumberFormat="1" applyFont="1"/>
    <xf numFmtId="0" fontId="3" fillId="0" borderId="107" xfId="17" applyNumberFormat="1" applyFont="1" applyFill="1" applyBorder="1"/>
    <xf numFmtId="0" fontId="0" fillId="0" borderId="78" xfId="17" applyNumberFormat="1" applyFont="1" applyBorder="1"/>
    <xf numFmtId="0" fontId="0" fillId="0" borderId="79" xfId="17" applyNumberFormat="1" applyFont="1" applyFill="1" applyBorder="1"/>
    <xf numFmtId="0" fontId="3" fillId="0" borderId="56" xfId="17" applyNumberFormat="1" applyFont="1" applyBorder="1" applyAlignment="1">
      <alignment horizontal="left"/>
    </xf>
    <xf numFmtId="0" fontId="3" fillId="0" borderId="80" xfId="17" applyNumberFormat="1" applyFont="1" applyBorder="1" applyAlignment="1">
      <alignment horizontal="left"/>
    </xf>
    <xf numFmtId="0" fontId="3" fillId="0" borderId="0" xfId="17" applyNumberFormat="1" applyFont="1" applyFill="1"/>
    <xf numFmtId="0" fontId="3" fillId="0" borderId="0" xfId="17" applyNumberFormat="1" applyFont="1" applyBorder="1" applyAlignment="1">
      <alignment horizontal="left"/>
    </xf>
    <xf numFmtId="0" fontId="3" fillId="0" borderId="81" xfId="17" applyNumberFormat="1" applyFont="1" applyBorder="1" applyAlignment="1">
      <alignment horizontal="left"/>
    </xf>
    <xf numFmtId="0" fontId="0" fillId="0" borderId="56" xfId="17" applyNumberFormat="1" applyFont="1" applyBorder="1"/>
    <xf numFmtId="0" fontId="0" fillId="0" borderId="0" xfId="17" applyNumberFormat="1" applyFont="1" applyBorder="1"/>
    <xf numFmtId="0" fontId="3" fillId="0" borderId="82" xfId="17" applyNumberFormat="1" applyFont="1" applyBorder="1"/>
    <xf numFmtId="0" fontId="5" fillId="0" borderId="76" xfId="17" applyNumberFormat="1" applyFont="1" applyBorder="1"/>
    <xf numFmtId="0" fontId="3" fillId="0" borderId="79" xfId="17" applyNumberFormat="1" applyFont="1" applyBorder="1"/>
    <xf numFmtId="0" fontId="3" fillId="0" borderId="0" xfId="17" applyNumberFormat="1" applyFont="1" applyBorder="1"/>
    <xf numFmtId="0" fontId="0" fillId="0" borderId="54" xfId="17" applyNumberFormat="1" applyFont="1" applyBorder="1"/>
    <xf numFmtId="0" fontId="5" fillId="0" borderId="0" xfId="17" applyNumberFormat="1" applyFont="1"/>
    <xf numFmtId="0" fontId="3" fillId="0" borderId="107" xfId="17" applyNumberFormat="1" applyFont="1" applyBorder="1"/>
    <xf numFmtId="0" fontId="3" fillId="0" borderId="80" xfId="17" applyNumberFormat="1" applyFont="1" applyBorder="1"/>
    <xf numFmtId="0" fontId="0" fillId="0" borderId="83" xfId="17" applyNumberFormat="1" applyFont="1" applyBorder="1"/>
    <xf numFmtId="0" fontId="0" fillId="0" borderId="77" xfId="17" applyNumberFormat="1" applyFont="1" applyBorder="1"/>
    <xf numFmtId="0" fontId="3" fillId="0" borderId="54" xfId="17" applyNumberFormat="1" applyFont="1" applyBorder="1"/>
    <xf numFmtId="0" fontId="3" fillId="8" borderId="0" xfId="17" applyNumberFormat="1" applyFont="1" applyFill="1" applyBorder="1" applyAlignment="1">
      <alignment horizontal="left"/>
    </xf>
    <xf numFmtId="0" fontId="0" fillId="0" borderId="1" xfId="6" applyNumberFormat="1" applyFont="1" applyFill="1" applyBorder="1" applyAlignment="1">
      <alignment vertical="center" wrapText="1"/>
    </xf>
    <xf numFmtId="0" fontId="3" fillId="0" borderId="67" xfId="1" applyNumberFormat="1" applyFont="1" applyBorder="1" applyAlignment="1">
      <alignment horizontal="center"/>
    </xf>
    <xf numFmtId="0" fontId="3" fillId="2" borderId="67" xfId="1" applyNumberFormat="1" applyFont="1" applyFill="1" applyBorder="1" applyAlignment="1"/>
    <xf numFmtId="0" fontId="3" fillId="0" borderId="0" xfId="5" applyNumberFormat="1" applyFont="1" applyFill="1" applyAlignment="1"/>
    <xf numFmtId="0" fontId="3" fillId="2" borderId="0" xfId="5" applyNumberFormat="1" applyFont="1" applyFill="1" applyAlignment="1"/>
    <xf numFmtId="0" fontId="5" fillId="0" borderId="0" xfId="5" applyNumberFormat="1" applyFont="1" applyFill="1" applyBorder="1" applyAlignment="1"/>
    <xf numFmtId="0" fontId="5" fillId="2" borderId="0" xfId="5" applyNumberFormat="1" applyFont="1" applyFill="1" applyBorder="1" applyAlignment="1"/>
    <xf numFmtId="0" fontId="5" fillId="0" borderId="0" xfId="5" applyNumberFormat="1" applyFont="1" applyFill="1" applyBorder="1" applyAlignment="1">
      <alignment horizontal="center"/>
    </xf>
    <xf numFmtId="0" fontId="0" fillId="2" borderId="0" xfId="0" applyNumberFormat="1" applyFont="1" applyFill="1"/>
    <xf numFmtId="0" fontId="5" fillId="2" borderId="0" xfId="5" applyNumberFormat="1" applyFont="1" applyFill="1" applyBorder="1" applyAlignment="1">
      <alignment horizontal="center"/>
    </xf>
    <xf numFmtId="0" fontId="3" fillId="0" borderId="0" xfId="5" applyNumberFormat="1" applyFont="1" applyFill="1" applyBorder="1" applyAlignment="1"/>
    <xf numFmtId="0" fontId="3" fillId="0" borderId="0" xfId="5" applyNumberFormat="1" applyFont="1" applyFill="1" applyAlignment="1">
      <alignment horizontal="center"/>
    </xf>
    <xf numFmtId="0" fontId="7" fillId="0" borderId="0" xfId="2" applyNumberFormat="1" applyAlignment="1"/>
    <xf numFmtId="0" fontId="3" fillId="0" borderId="0" xfId="5" applyNumberFormat="1" applyFont="1" applyFill="1" applyAlignment="1">
      <alignment textRotation="90"/>
    </xf>
    <xf numFmtId="0" fontId="5" fillId="6" borderId="0" xfId="5" applyNumberFormat="1" applyFont="1" applyFill="1" applyAlignment="1"/>
    <xf numFmtId="0" fontId="21" fillId="0" borderId="0" xfId="5" applyNumberFormat="1" applyFont="1" applyFill="1" applyBorder="1" applyAlignment="1"/>
    <xf numFmtId="0" fontId="3" fillId="14" borderId="0" xfId="5" applyNumberFormat="1" applyFont="1" applyFill="1" applyAlignment="1"/>
    <xf numFmtId="0" fontId="21" fillId="0" borderId="1" xfId="5" applyNumberFormat="1" applyFont="1" applyFill="1" applyBorder="1" applyAlignment="1"/>
    <xf numFmtId="0" fontId="3" fillId="0" borderId="1" xfId="5" applyNumberFormat="1" applyFont="1" applyFill="1" applyBorder="1" applyAlignment="1"/>
    <xf numFmtId="0" fontId="3" fillId="0" borderId="1" xfId="9" applyNumberFormat="1" applyFont="1" applyFill="1" applyBorder="1" applyAlignment="1">
      <alignment horizontal="center"/>
    </xf>
    <xf numFmtId="0" fontId="3" fillId="0" borderId="1" xfId="5" applyNumberFormat="1" applyFont="1" applyFill="1" applyBorder="1" applyAlignment="1">
      <alignment horizontal="center" wrapText="1"/>
    </xf>
    <xf numFmtId="0" fontId="0" fillId="8" borderId="1" xfId="5" applyNumberFormat="1" applyFont="1" applyFill="1" applyBorder="1" applyAlignment="1">
      <alignment horizontal="center" wrapText="1"/>
    </xf>
    <xf numFmtId="0" fontId="0" fillId="0" borderId="1" xfId="5" applyNumberFormat="1" applyFont="1" applyFill="1" applyBorder="1" applyAlignment="1">
      <alignment horizontal="center" wrapText="1"/>
    </xf>
    <xf numFmtId="0" fontId="0" fillId="3" borderId="1" xfId="5" applyNumberFormat="1" applyFont="1" applyFill="1" applyBorder="1" applyAlignment="1">
      <alignment horizontal="center" wrapText="1"/>
    </xf>
    <xf numFmtId="0" fontId="0" fillId="6" borderId="1" xfId="8" applyNumberFormat="1" applyFont="1" applyFill="1" applyBorder="1" applyAlignment="1">
      <alignment textRotation="90"/>
    </xf>
    <xf numFmtId="0" fontId="0" fillId="15" borderId="1" xfId="8" applyNumberFormat="1" applyFont="1" applyFill="1" applyBorder="1" applyAlignment="1">
      <alignment textRotation="90"/>
    </xf>
    <xf numFmtId="0" fontId="0" fillId="12" borderId="1" xfId="8" applyNumberFormat="1" applyFont="1" applyFill="1" applyBorder="1" applyAlignment="1">
      <alignment textRotation="90"/>
    </xf>
    <xf numFmtId="0" fontId="3" fillId="0" borderId="1" xfId="5" applyNumberFormat="1" applyFont="1" applyFill="1" applyBorder="1" applyAlignment="1">
      <alignment horizontal="center" textRotation="90"/>
    </xf>
    <xf numFmtId="0" fontId="3" fillId="16" borderId="1" xfId="8" applyNumberFormat="1" applyFont="1" applyFill="1" applyBorder="1" applyAlignment="1">
      <alignment textRotation="90"/>
    </xf>
    <xf numFmtId="0" fontId="5" fillId="2" borderId="57" xfId="5" applyNumberFormat="1" applyFont="1" applyFill="1" applyBorder="1" applyAlignment="1">
      <alignment horizontal="center"/>
    </xf>
    <xf numFmtId="0" fontId="5" fillId="2" borderId="58" xfId="5" applyNumberFormat="1" applyFont="1" applyFill="1" applyBorder="1" applyAlignment="1">
      <alignment horizontal="center"/>
    </xf>
    <xf numFmtId="0" fontId="3" fillId="2" borderId="58" xfId="5" applyNumberFormat="1" applyFont="1" applyFill="1" applyBorder="1" applyAlignment="1"/>
    <xf numFmtId="0" fontId="5" fillId="2" borderId="58" xfId="5" applyNumberFormat="1" applyFont="1" applyFill="1" applyBorder="1" applyAlignment="1">
      <alignment horizontal="right"/>
    </xf>
    <xf numFmtId="0" fontId="5" fillId="2" borderId="59" xfId="5" applyNumberFormat="1" applyFont="1" applyFill="1" applyBorder="1" applyAlignment="1">
      <alignment horizontal="right"/>
    </xf>
    <xf numFmtId="0" fontId="5" fillId="0" borderId="59" xfId="5" applyNumberFormat="1" applyFont="1" applyFill="1" applyBorder="1" applyAlignment="1">
      <alignment horizontal="center"/>
    </xf>
    <xf numFmtId="0" fontId="24" fillId="16" borderId="1" xfId="5" applyNumberFormat="1" applyFont="1" applyFill="1" applyBorder="1" applyAlignment="1">
      <alignment horizontal="center"/>
    </xf>
    <xf numFmtId="0" fontId="25" fillId="0" borderId="1" xfId="9" applyNumberFormat="1" applyFont="1" applyFill="1" applyBorder="1" applyAlignment="1">
      <alignment horizontal="center"/>
    </xf>
    <xf numFmtId="0" fontId="22" fillId="0" borderId="1" xfId="9" applyNumberFormat="1" applyFont="1" applyFill="1" applyBorder="1" applyAlignment="1">
      <alignment horizontal="center"/>
    </xf>
    <xf numFmtId="0" fontId="26" fillId="0" borderId="1" xfId="9" applyNumberFormat="1" applyFont="1" applyFill="1" applyBorder="1" applyAlignment="1">
      <alignment horizontal="center"/>
    </xf>
    <xf numFmtId="0" fontId="27" fillId="0" borderId="1" xfId="9" applyNumberFormat="1" applyFont="1" applyFill="1" applyBorder="1" applyAlignment="1">
      <alignment horizontal="center"/>
    </xf>
    <xf numFmtId="0" fontId="5" fillId="2" borderId="1" xfId="10" applyNumberFormat="1" applyFont="1" applyFill="1" applyBorder="1" applyAlignment="1">
      <alignment horizontal="center"/>
    </xf>
    <xf numFmtId="0" fontId="5" fillId="0" borderId="1" xfId="5" applyNumberFormat="1" applyFont="1" applyFill="1" applyBorder="1" applyAlignment="1">
      <alignment horizontal="center"/>
    </xf>
    <xf numFmtId="0" fontId="3" fillId="3" borderId="1" xfId="9" applyNumberFormat="1" applyFont="1" applyFill="1" applyBorder="1" applyAlignment="1">
      <alignment horizontal="center"/>
    </xf>
    <xf numFmtId="0" fontId="5" fillId="2" borderId="1" xfId="8" applyNumberFormat="1" applyFont="1" applyFill="1" applyBorder="1" applyAlignment="1">
      <alignment horizontal="center"/>
    </xf>
    <xf numFmtId="0" fontId="29" fillId="0" borderId="1" xfId="9" applyNumberFormat="1" applyFont="1" applyFill="1" applyBorder="1" applyAlignment="1">
      <alignment horizontal="center"/>
    </xf>
    <xf numFmtId="0" fontId="29" fillId="0" borderId="1" xfId="8" applyNumberFormat="1" applyFont="1" applyFill="1" applyBorder="1" applyAlignment="1">
      <alignment horizontal="center"/>
    </xf>
    <xf numFmtId="0" fontId="29" fillId="0" borderId="1" xfId="8" applyNumberFormat="1" applyFont="1" applyFill="1" applyBorder="1" applyAlignment="1"/>
    <xf numFmtId="0" fontId="7" fillId="16" borderId="1" xfId="2" applyNumberFormat="1" applyFill="1" applyBorder="1" applyAlignment="1">
      <alignment horizontal="center"/>
    </xf>
    <xf numFmtId="0" fontId="3" fillId="0" borderId="56" xfId="5" applyNumberFormat="1" applyFont="1" applyFill="1" applyBorder="1" applyAlignment="1">
      <alignment textRotation="90"/>
    </xf>
    <xf numFmtId="0" fontId="3" fillId="0" borderId="0" xfId="5" applyNumberFormat="1" applyFont="1" applyFill="1" applyAlignment="1">
      <alignment horizontal="center" textRotation="90"/>
    </xf>
    <xf numFmtId="0" fontId="22" fillId="0" borderId="1" xfId="9" applyNumberFormat="1" applyFont="1" applyFill="1" applyBorder="1" applyAlignment="1"/>
    <xf numFmtId="0" fontId="27" fillId="0" borderId="1" xfId="9" applyNumberFormat="1" applyFont="1" applyFill="1" applyBorder="1" applyAlignment="1"/>
    <xf numFmtId="0" fontId="5" fillId="2" borderId="1" xfId="8" applyNumberFormat="1" applyFont="1" applyFill="1" applyBorder="1" applyAlignment="1"/>
    <xf numFmtId="0" fontId="0" fillId="0" borderId="1" xfId="5" applyNumberFormat="1" applyFont="1" applyFill="1" applyBorder="1" applyAlignment="1"/>
    <xf numFmtId="0" fontId="29" fillId="3" borderId="1" xfId="8" applyNumberFormat="1" applyFont="1" applyFill="1" applyBorder="1" applyAlignment="1">
      <alignment horizontal="center"/>
    </xf>
    <xf numFmtId="0" fontId="3" fillId="0" borderId="1" xfId="11" applyNumberFormat="1" applyFont="1" applyFill="1" applyBorder="1" applyAlignment="1">
      <alignment horizontal="center"/>
    </xf>
    <xf numFmtId="0" fontId="3" fillId="0" borderId="1" xfId="5" applyNumberFormat="1" applyFont="1" applyFill="1" applyBorder="1" applyAlignment="1">
      <alignment horizontal="center"/>
    </xf>
    <xf numFmtId="0" fontId="3" fillId="0" borderId="0" xfId="5" applyNumberFormat="1" applyFont="1" applyFill="1" applyBorder="1" applyAlignment="1">
      <alignment horizontal="center"/>
    </xf>
    <xf numFmtId="0" fontId="0" fillId="0" borderId="1" xfId="12" applyNumberFormat="1" applyFont="1" applyFill="1" applyBorder="1" applyAlignment="1"/>
    <xf numFmtId="0" fontId="3" fillId="0" borderId="1" xfId="1" applyNumberFormat="1" applyFont="1" applyFill="1" applyBorder="1" applyAlignment="1"/>
    <xf numFmtId="0" fontId="0" fillId="3" borderId="1" xfId="9" applyNumberFormat="1" applyFont="1" applyFill="1" applyBorder="1" applyAlignment="1">
      <alignment horizontal="center"/>
    </xf>
    <xf numFmtId="0" fontId="0" fillId="26" borderId="1" xfId="5" applyNumberFormat="1" applyFont="1" applyFill="1" applyBorder="1" applyAlignment="1"/>
    <xf numFmtId="0" fontId="5" fillId="0" borderId="0" xfId="5" applyNumberFormat="1" applyFont="1" applyFill="1" applyAlignment="1">
      <alignment horizontal="center"/>
    </xf>
    <xf numFmtId="0" fontId="0" fillId="0" borderId="1" xfId="1" applyNumberFormat="1" applyFont="1" applyFill="1" applyBorder="1" applyAlignment="1"/>
    <xf numFmtId="0" fontId="0" fillId="0" borderId="2" xfId="1" applyNumberFormat="1" applyFont="1" applyFill="1" applyBorder="1" applyAlignment="1"/>
    <xf numFmtId="0" fontId="5" fillId="2" borderId="57" xfId="8" applyNumberFormat="1" applyFont="1" applyFill="1" applyBorder="1" applyAlignment="1"/>
    <xf numFmtId="0" fontId="22" fillId="0" borderId="59" xfId="9" applyNumberFormat="1" applyFont="1" applyFill="1" applyBorder="1" applyAlignment="1">
      <alignment horizontal="center"/>
    </xf>
    <xf numFmtId="0" fontId="3" fillId="0" borderId="60" xfId="5" applyNumberFormat="1" applyFont="1" applyFill="1" applyBorder="1" applyAlignment="1"/>
    <xf numFmtId="0" fontId="0" fillId="0" borderId="0" xfId="5" applyNumberFormat="1" applyFont="1" applyFill="1" applyAlignment="1"/>
    <xf numFmtId="0" fontId="3" fillId="0" borderId="121" xfId="5" applyNumberFormat="1" applyFont="1" applyFill="1" applyBorder="1" applyAlignment="1"/>
    <xf numFmtId="0" fontId="22" fillId="0" borderId="121" xfId="9" applyNumberFormat="1" applyFont="1" applyFill="1" applyBorder="1" applyAlignment="1">
      <alignment horizontal="center"/>
    </xf>
    <xf numFmtId="0" fontId="0" fillId="0" borderId="121" xfId="5" applyNumberFormat="1" applyFont="1" applyFill="1" applyBorder="1" applyAlignment="1"/>
    <xf numFmtId="0" fontId="3" fillId="3" borderId="121" xfId="9" applyNumberFormat="1" applyFont="1" applyFill="1" applyBorder="1" applyAlignment="1">
      <alignment horizontal="center"/>
    </xf>
    <xf numFmtId="0" fontId="0" fillId="0" borderId="121" xfId="0" applyNumberFormat="1" applyFill="1" applyBorder="1" applyAlignment="1">
      <alignment vertical="center" wrapText="1"/>
    </xf>
    <xf numFmtId="0" fontId="3" fillId="0" borderId="173" xfId="5" applyNumberFormat="1" applyFont="1" applyFill="1" applyBorder="1" applyAlignment="1"/>
    <xf numFmtId="0" fontId="22" fillId="0" borderId="173" xfId="9" applyNumberFormat="1" applyFont="1" applyFill="1" applyBorder="1" applyAlignment="1">
      <alignment horizontal="center"/>
    </xf>
    <xf numFmtId="0" fontId="3" fillId="3" borderId="173" xfId="9" applyNumberFormat="1" applyFont="1" applyFill="1" applyBorder="1" applyAlignment="1">
      <alignment horizontal="center"/>
    </xf>
    <xf numFmtId="0" fontId="22" fillId="7" borderId="1" xfId="9" applyNumberFormat="1" applyFont="1" applyFill="1" applyBorder="1" applyAlignment="1">
      <alignment horizontal="center"/>
    </xf>
    <xf numFmtId="0" fontId="0" fillId="3" borderId="1" xfId="10" applyNumberFormat="1" applyFont="1" applyFill="1" applyBorder="1" applyAlignment="1">
      <alignment horizontal="center"/>
    </xf>
    <xf numFmtId="0" fontId="25" fillId="2" borderId="0" xfId="5" applyNumberFormat="1" applyFont="1" applyFill="1" applyAlignment="1"/>
    <xf numFmtId="0" fontId="26" fillId="2" borderId="0" xfId="5" applyNumberFormat="1" applyFont="1" applyFill="1" applyAlignment="1"/>
    <xf numFmtId="0" fontId="5" fillId="2" borderId="0" xfId="5" applyNumberFormat="1" applyFont="1" applyFill="1" applyAlignment="1"/>
    <xf numFmtId="0" fontId="3" fillId="2" borderId="0" xfId="5" applyNumberFormat="1" applyFont="1" applyFill="1" applyAlignment="1">
      <alignment horizontal="right"/>
    </xf>
    <xf numFmtId="0" fontId="5" fillId="2" borderId="0" xfId="5" applyNumberFormat="1" applyFont="1" applyFill="1" applyAlignment="1">
      <alignment horizontal="center"/>
    </xf>
    <xf numFmtId="0" fontId="3" fillId="2" borderId="0" xfId="5" applyNumberFormat="1" applyFont="1" applyFill="1" applyAlignment="1">
      <alignment horizontal="center"/>
    </xf>
    <xf numFmtId="0" fontId="3" fillId="2" borderId="0" xfId="13" applyNumberFormat="1" applyFont="1" applyFill="1" applyBorder="1" applyAlignment="1">
      <alignment horizontal="center"/>
    </xf>
    <xf numFmtId="0" fontId="5" fillId="0" borderId="0" xfId="5" applyNumberFormat="1" applyFont="1" applyFill="1" applyAlignment="1"/>
    <xf numFmtId="0" fontId="21" fillId="0" borderId="0" xfId="5" applyNumberFormat="1" applyFont="1" applyFill="1" applyAlignment="1"/>
    <xf numFmtId="0" fontId="8" fillId="0" borderId="0" xfId="5" applyNumberFormat="1" applyFont="1" applyFill="1" applyAlignment="1"/>
    <xf numFmtId="0" fontId="46" fillId="0" borderId="13" xfId="2" applyNumberFormat="1" applyFont="1" applyFill="1" applyBorder="1" applyAlignment="1"/>
    <xf numFmtId="0" fontId="74" fillId="0" borderId="13" xfId="2" applyNumberFormat="1" applyFont="1" applyBorder="1" applyAlignment="1"/>
    <xf numFmtId="0" fontId="74" fillId="0" borderId="17" xfId="2" applyNumberFormat="1" applyFont="1" applyBorder="1" applyAlignment="1"/>
    <xf numFmtId="0" fontId="75" fillId="0" borderId="22" xfId="2" applyNumberFormat="1" applyFont="1" applyFill="1" applyBorder="1" applyAlignment="1"/>
    <xf numFmtId="0" fontId="76" fillId="0" borderId="100" xfId="1" applyNumberFormat="1" applyFont="1" applyFill="1" applyBorder="1" applyAlignment="1"/>
    <xf numFmtId="0" fontId="19" fillId="0" borderId="9" xfId="15" applyNumberFormat="1" applyFont="1" applyFill="1" applyBorder="1" applyAlignment="1"/>
    <xf numFmtId="0" fontId="3" fillId="0" borderId="56" xfId="5" applyNumberFormat="1" applyFont="1" applyFill="1" applyBorder="1" applyAlignment="1">
      <alignment textRotation="90"/>
    </xf>
    <xf numFmtId="0" fontId="3" fillId="0" borderId="0" xfId="5" applyNumberFormat="1" applyFont="1" applyFill="1" applyAlignment="1">
      <alignment horizontal="center" textRotation="90"/>
    </xf>
    <xf numFmtId="0" fontId="3" fillId="0" borderId="0" xfId="5" applyNumberFormat="1" applyFont="1" applyFill="1" applyAlignment="1">
      <alignment textRotation="90"/>
    </xf>
    <xf numFmtId="0" fontId="3" fillId="0" borderId="142" xfId="43" applyNumberFormat="1" applyFont="1" applyBorder="1" applyAlignment="1">
      <alignment horizontal="center"/>
    </xf>
    <xf numFmtId="0" fontId="3" fillId="0" borderId="121" xfId="43" applyNumberFormat="1" applyFont="1" applyBorder="1" applyAlignment="1">
      <alignment horizontal="center"/>
    </xf>
    <xf numFmtId="0" fontId="3" fillId="0" borderId="143" xfId="43" applyNumberFormat="1" applyFont="1" applyBorder="1" applyAlignment="1">
      <alignment horizontal="center"/>
    </xf>
    <xf numFmtId="0" fontId="3" fillId="0" borderId="146" xfId="43" applyNumberFormat="1" applyFont="1" applyBorder="1" applyAlignment="1">
      <alignment horizontal="center"/>
    </xf>
    <xf numFmtId="0" fontId="3" fillId="0" borderId="157" xfId="43" applyNumberFormat="1" applyFont="1" applyBorder="1" applyAlignment="1">
      <alignment horizontal="center"/>
    </xf>
    <xf numFmtId="0" fontId="3" fillId="0" borderId="144" xfId="43" applyNumberFormat="1" applyFont="1" applyBorder="1" applyAlignment="1">
      <alignment horizontal="center"/>
    </xf>
    <xf numFmtId="0" fontId="3" fillId="0" borderId="52" xfId="8" applyNumberFormat="1" applyFont="1" applyFill="1" applyBorder="1" applyAlignment="1">
      <alignment textRotation="90"/>
    </xf>
    <xf numFmtId="0" fontId="0" fillId="0" borderId="0" xfId="8" applyNumberFormat="1" applyFont="1" applyFill="1" applyBorder="1" applyAlignment="1">
      <alignment textRotation="90"/>
    </xf>
    <xf numFmtId="0" fontId="3" fillId="0" borderId="0" xfId="8" applyNumberFormat="1" applyFont="1" applyFill="1" applyAlignment="1">
      <alignment textRotation="90"/>
    </xf>
    <xf numFmtId="0" fontId="28" fillId="0" borderId="0" xfId="0" applyNumberFormat="1" applyFont="1" applyAlignment="1">
      <alignment horizontal="right"/>
    </xf>
  </cellXfs>
  <cellStyles count="45">
    <cellStyle name="Hyperlink" xfId="2" builtinId="8"/>
    <cellStyle name="Hyperlink 2" xfId="4"/>
    <cellStyle name="Hyperlink 2 2" xfId="14"/>
    <cellStyle name="Hyperlink 3" xfId="20"/>
    <cellStyle name="Hyperlink 3 2" xfId="21"/>
    <cellStyle name="Hyperlink 4" xfId="41"/>
    <cellStyle name="Normal" xfId="0" builtinId="0"/>
    <cellStyle name="Normal 10" xfId="39"/>
    <cellStyle name="Normal 11" xfId="44"/>
    <cellStyle name="Normal 2" xfId="1"/>
    <cellStyle name="Normal 2 2" xfId="13"/>
    <cellStyle name="Normal 2 2 2" xfId="22"/>
    <cellStyle name="Normal 2 2 2 2" xfId="8"/>
    <cellStyle name="Normal 2 2 2 2 2" xfId="43"/>
    <cellStyle name="Normal 2 2 3" xfId="23"/>
    <cellStyle name="Normal 2 2 4" xfId="24"/>
    <cellStyle name="Normal 2 3" xfId="5"/>
    <cellStyle name="Normal 2 3 2" xfId="12"/>
    <cellStyle name="Normal 2 4" xfId="25"/>
    <cellStyle name="Normal 2 4 2" xfId="15"/>
    <cellStyle name="Normal 2 5" xfId="7"/>
    <cellStyle name="Normal 2 5 2" xfId="19"/>
    <cellStyle name="Normal 2 5 2 2" xfId="16"/>
    <cellStyle name="Normal 2 6" xfId="38"/>
    <cellStyle name="Normal 3" xfId="26"/>
    <cellStyle name="Normal 3 2" xfId="10"/>
    <cellStyle name="Normal 3 2 2" xfId="42"/>
    <cellStyle name="Normal 3 3" xfId="9"/>
    <cellStyle name="Normal 3 4" xfId="27"/>
    <cellStyle name="Normal 4" xfId="3"/>
    <cellStyle name="Normal 4 2" xfId="28"/>
    <cellStyle name="Normal 4 3" xfId="29"/>
    <cellStyle name="Normal 5" xfId="6"/>
    <cellStyle name="Normal 5 2" xfId="18"/>
    <cellStyle name="Normal 5 3" xfId="40"/>
    <cellStyle name="Normal 5 3 2" xfId="17"/>
    <cellStyle name="Normal 6" xfId="30"/>
    <cellStyle name="Normal 6 2" xfId="31"/>
    <cellStyle name="Normal 6 2 2" xfId="11"/>
    <cellStyle name="Normal 6 3" xfId="32"/>
    <cellStyle name="Normal 6 4" xfId="33"/>
    <cellStyle name="Normal 7" xfId="34"/>
    <cellStyle name="Normal 8" xfId="35"/>
    <cellStyle name="Normal 9" xfId="36"/>
    <cellStyle name="WinCalendar_BlankCells_35" xfId="37"/>
  </cellStyles>
  <dxfs count="2338">
    <dxf>
      <font>
        <color rgb="FF9C0006"/>
      </font>
      <fill>
        <patternFill>
          <bgColor rgb="FFFFC7CE"/>
        </patternFill>
      </fill>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color rgb="FF0070C0"/>
      </font>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CCFFCC"/>
        </patternFill>
      </fill>
    </dxf>
    <dxf>
      <font>
        <color rgb="FFCC0000"/>
      </font>
    </dxf>
    <dxf>
      <fill>
        <patternFill>
          <bgColor rgb="FFFFFF99"/>
        </patternFill>
      </fill>
    </dxf>
    <dxf>
      <fill>
        <patternFill>
          <bgColor theme="0" tint="-0.14996795556505021"/>
        </patternFill>
      </fill>
    </dxf>
    <dxf>
      <fill>
        <patternFill>
          <bgColor rgb="FFFFCC99"/>
        </patternFill>
      </fill>
    </dxf>
    <dxf>
      <font>
        <color rgb="FF9C0006"/>
      </font>
      <fill>
        <patternFill>
          <bgColor rgb="FFFFC7CE"/>
        </patternFill>
      </fill>
    </dxf>
    <dxf>
      <font>
        <strike/>
        <color rgb="FF00B0F0"/>
      </font>
    </dxf>
    <dxf>
      <font>
        <color theme="0"/>
      </font>
    </dxf>
    <dxf>
      <font>
        <b/>
        <i val="0"/>
      </font>
      <fill>
        <patternFill>
          <bgColor rgb="FFFFFF99"/>
        </patternFill>
      </fill>
    </dxf>
    <dxf>
      <fill>
        <patternFill>
          <bgColor theme="0" tint="-0.14996795556505021"/>
        </patternFill>
      </fill>
    </dxf>
    <dxf>
      <fill>
        <patternFill>
          <bgColor rgb="FFFFCC99"/>
        </patternFill>
      </fill>
    </dxf>
    <dxf>
      <font>
        <b/>
        <i val="0"/>
      </font>
    </dxf>
    <dxf>
      <font>
        <color theme="4" tint="-0.24994659260841701"/>
      </font>
    </dxf>
    <dxf>
      <font>
        <b/>
        <i val="0"/>
      </font>
    </dxf>
    <dxf>
      <font>
        <b/>
        <i val="0"/>
      </font>
    </dxf>
    <dxf>
      <font>
        <color theme="4" tint="-0.24994659260841701"/>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00B05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strike/>
        <color rgb="FF00B0F0"/>
      </font>
    </dxf>
    <dxf>
      <font>
        <color theme="0"/>
      </font>
    </dxf>
    <dxf>
      <fill>
        <patternFill>
          <bgColor rgb="FFFFFF99"/>
        </patternFill>
      </fill>
    </dxf>
    <dxf>
      <fill>
        <patternFill>
          <bgColor rgb="FFFFFF99"/>
        </patternFill>
      </fill>
    </dxf>
    <dxf>
      <font>
        <b/>
        <i val="0"/>
      </font>
    </dxf>
    <dxf>
      <font>
        <color theme="4" tint="-0.24994659260841701"/>
      </font>
    </dxf>
    <dxf>
      <font>
        <b/>
        <i val="0"/>
      </font>
    </dxf>
    <dxf>
      <font>
        <b/>
        <i val="0"/>
      </font>
    </dxf>
    <dxf>
      <font>
        <color rgb="FF9C0006"/>
      </font>
      <fill>
        <patternFill>
          <bgColor rgb="FFFFC7CE"/>
        </patternFill>
      </fill>
    </dxf>
    <dxf>
      <font>
        <b/>
        <i val="0"/>
      </font>
    </dxf>
    <dxf>
      <fill>
        <patternFill>
          <bgColor rgb="FFCCFFCC"/>
        </patternFill>
      </fill>
    </dxf>
    <dxf>
      <font>
        <color rgb="FFCC0000"/>
      </font>
    </dxf>
    <dxf>
      <fill>
        <patternFill>
          <bgColor rgb="FFFFFF99"/>
        </patternFill>
      </fill>
    </dxf>
    <dxf>
      <fill>
        <patternFill>
          <bgColor rgb="FFFFCC99"/>
        </patternFill>
      </fill>
    </dxf>
    <dxf>
      <font>
        <color theme="4" tint="-0.24994659260841701"/>
      </font>
    </dxf>
    <dxf>
      <font>
        <b/>
        <i val="0"/>
      </font>
      <fill>
        <patternFill>
          <bgColor rgb="FFFFFF99"/>
        </patternFill>
      </fill>
    </dxf>
    <dxf>
      <fill>
        <patternFill>
          <bgColor theme="0" tint="-0.14996795556505021"/>
        </patternFill>
      </fill>
    </dxf>
    <dxf>
      <fill>
        <patternFill>
          <bgColor rgb="FFFFCC99"/>
        </patternFill>
      </fill>
    </dxf>
    <dxf>
      <font>
        <b/>
        <i val="0"/>
      </font>
      <fill>
        <patternFill>
          <bgColor rgb="FFFFFF99"/>
        </patternFill>
      </fill>
    </dxf>
    <dxf>
      <fill>
        <patternFill>
          <bgColor theme="0" tint="-0.14996795556505021"/>
        </patternFill>
      </fill>
    </dxf>
    <dxf>
      <fill>
        <patternFill>
          <bgColor rgb="FFFFCC99"/>
        </patternFill>
      </fill>
    </dxf>
    <dxf>
      <font>
        <b/>
        <i val="0"/>
      </font>
      <fill>
        <patternFill>
          <bgColor rgb="FFFFFF99"/>
        </patternFill>
      </fill>
    </dxf>
    <dxf>
      <fill>
        <patternFill>
          <bgColor theme="0" tint="-0.14996795556505021"/>
        </patternFill>
      </fill>
    </dxf>
    <dxf>
      <fill>
        <patternFill>
          <bgColor rgb="FFFFCC99"/>
        </patternFill>
      </fill>
    </dxf>
    <dxf>
      <font>
        <b/>
        <i val="0"/>
      </font>
      <fill>
        <patternFill>
          <bgColor rgb="FFFFFF99"/>
        </patternFill>
      </fill>
    </dxf>
    <dxf>
      <fill>
        <patternFill>
          <bgColor theme="0" tint="-0.14996795556505021"/>
        </patternFill>
      </fill>
    </dxf>
    <dxf>
      <fill>
        <patternFill>
          <bgColor theme="9" tint="0.39994506668294322"/>
        </patternFill>
      </fill>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color rgb="FF0070C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00B05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00B05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9C0006"/>
      </font>
      <fill>
        <patternFill>
          <bgColor rgb="FFFFC7CE"/>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ont>
        <b/>
        <i val="0"/>
      </font>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ont>
        <b/>
        <i val="0"/>
        <color rgb="FFFF0000"/>
      </font>
    </dxf>
    <dxf>
      <font>
        <color rgb="FF0070C0"/>
      </font>
      <fill>
        <patternFill patternType="none">
          <bgColor auto="1"/>
        </patternFill>
      </fill>
    </dxf>
    <dxf>
      <font>
        <b/>
        <i val="0"/>
      </font>
    </dxf>
    <dxf>
      <font>
        <color rgb="FFFF0000"/>
      </font>
    </dxf>
    <dxf>
      <font>
        <b/>
        <i val="0"/>
      </font>
    </dxf>
    <dxf>
      <font>
        <color rgb="FFFF0000"/>
      </font>
    </dxf>
    <dxf>
      <font>
        <b/>
        <i val="0"/>
        <color rgb="FFFF0000"/>
      </font>
    </dxf>
    <dxf>
      <font>
        <b/>
        <i val="0"/>
      </font>
    </dxf>
    <dxf>
      <font>
        <color rgb="FFFF0000"/>
      </font>
    </dxf>
    <dxf>
      <font>
        <b/>
        <i val="0"/>
      </font>
    </dxf>
    <dxf>
      <font>
        <color rgb="FFFF0000"/>
      </font>
    </dxf>
    <dxf>
      <font>
        <color rgb="FF9C0006"/>
      </font>
      <fill>
        <patternFill>
          <bgColor rgb="FFFFC7CE"/>
        </patternFill>
      </fill>
    </dxf>
    <dxf>
      <font>
        <b/>
        <i val="0"/>
        <color rgb="FFFF0000"/>
      </font>
    </dxf>
    <dxf>
      <font>
        <b/>
        <i val="0"/>
        <color rgb="FFFF0000"/>
      </font>
    </dxf>
    <dxf>
      <font>
        <color rgb="FFFF0000"/>
      </font>
    </dxf>
    <dxf>
      <font>
        <b/>
        <i val="0"/>
      </font>
    </dxf>
    <dxf>
      <font>
        <color rgb="FFFF0000"/>
      </font>
    </dxf>
    <dxf>
      <font>
        <b/>
        <i val="0"/>
      </font>
    </dxf>
    <dxf>
      <font>
        <color rgb="FFFF0000"/>
      </font>
    </dxf>
    <dxf>
      <font>
        <b/>
        <i val="0"/>
      </font>
    </dxf>
    <dxf>
      <font>
        <b/>
        <i val="0"/>
      </font>
    </dxf>
    <dxf>
      <font>
        <b/>
        <i val="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4" tint="0.59996337778862885"/>
        </patternFill>
      </fill>
    </dxf>
    <dxf>
      <fill>
        <patternFill>
          <bgColor theme="4" tint="0.59996337778862885"/>
        </patternFill>
      </fill>
    </dxf>
    <dxf>
      <fill>
        <patternFill>
          <bgColor theme="9" tint="0.59996337778862885"/>
        </patternFill>
      </fill>
    </dxf>
    <dxf>
      <font>
        <color theme="0"/>
      </font>
    </dxf>
    <dxf>
      <font>
        <color theme="0"/>
      </font>
    </dxf>
    <dxf>
      <font>
        <color theme="0"/>
      </font>
    </dxf>
    <dxf>
      <font>
        <color theme="0"/>
      </font>
    </dxf>
    <dxf>
      <font>
        <color theme="0"/>
      </font>
    </dxf>
    <dxf>
      <fill>
        <patternFill>
          <bgColor theme="4" tint="0.79998168889431442"/>
        </patternFill>
      </fill>
    </dxf>
    <dxf>
      <fill>
        <patternFill>
          <bgColor theme="9" tint="0.79998168889431442"/>
        </patternFill>
      </fill>
    </dxf>
    <dxf>
      <fill>
        <patternFill>
          <bgColor theme="4" tint="0.79998168889431442"/>
        </patternFill>
      </fill>
    </dxf>
    <dxf>
      <font>
        <b/>
        <i val="0"/>
      </font>
    </dxf>
    <dxf>
      <font>
        <b/>
        <i val="0"/>
      </font>
    </dxf>
    <dxf>
      <font>
        <b/>
        <i val="0"/>
        <color rgb="FFFF0000"/>
      </font>
    </dxf>
    <dxf>
      <font>
        <color rgb="FF9C0006"/>
      </font>
      <fill>
        <patternFill>
          <bgColor rgb="FFFFC7CE"/>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4"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color rgb="FF9C0006"/>
      </font>
      <fill>
        <patternFill>
          <bgColor rgb="FFFFC7CE"/>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color rgb="FF9C0006"/>
      </font>
      <fill>
        <patternFill>
          <bgColor rgb="FFFFC7CE"/>
        </patternFill>
      </fill>
    </dxf>
    <dxf>
      <font>
        <b/>
        <i val="0"/>
        <color rgb="FFFF0000"/>
      </font>
    </dxf>
    <dxf>
      <font>
        <color rgb="FF00B05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00B050"/>
      </font>
    </dxf>
    <dxf>
      <font>
        <b/>
        <i val="0"/>
        <color rgb="FFFF0000"/>
      </font>
    </dxf>
    <dxf>
      <font>
        <color rgb="FF9C0006"/>
      </font>
      <fill>
        <patternFill>
          <bgColor rgb="FFFFC7CE"/>
        </patternFill>
      </fill>
    </dxf>
    <dxf>
      <font>
        <color theme="1"/>
      </font>
      <fill>
        <patternFill patternType="none">
          <bgColor auto="1"/>
        </patternFill>
      </fill>
    </dxf>
    <dxf>
      <fill>
        <patternFill>
          <bgColor theme="0" tint="-4.9989318521683403E-2"/>
        </patternFill>
      </fill>
    </dxf>
    <dxf>
      <font>
        <b/>
        <i val="0"/>
      </font>
    </dxf>
    <dxf>
      <font>
        <color rgb="FF9C0006"/>
      </font>
      <fill>
        <patternFill>
          <bgColor rgb="FFFFC7CE"/>
        </patternFill>
      </fill>
    </dxf>
    <dxf>
      <font>
        <color theme="1"/>
      </font>
      <fill>
        <patternFill patternType="none">
          <bgColor auto="1"/>
        </patternFill>
      </fill>
    </dxf>
    <dxf>
      <font>
        <color rgb="FF9C0006"/>
      </font>
      <fill>
        <patternFill>
          <bgColor rgb="FFFFC7CE"/>
        </patternFill>
      </fill>
    </dxf>
    <dxf>
      <font>
        <color theme="1"/>
      </font>
      <fill>
        <patternFill patternType="none">
          <bgColor auto="1"/>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ont>
        <color theme="1"/>
      </font>
      <fill>
        <patternFill patternType="none">
          <bgColor auto="1"/>
        </patternFill>
      </fill>
    </dxf>
    <dxf>
      <fill>
        <patternFill>
          <bgColor theme="0" tint="-4.9989318521683403E-2"/>
        </patternFill>
      </fill>
    </dxf>
    <dxf>
      <font>
        <b/>
        <i val="0"/>
      </font>
    </dxf>
    <dxf>
      <font>
        <color rgb="FF9C0006"/>
      </font>
      <fill>
        <patternFill>
          <bgColor rgb="FFFFC7CE"/>
        </patternFill>
      </fill>
    </dxf>
    <dxf>
      <font>
        <color theme="1"/>
      </font>
      <fill>
        <patternFill patternType="none">
          <bgColor auto="1"/>
        </patternFill>
      </fill>
    </dxf>
    <dxf>
      <font>
        <color rgb="FF9C0006"/>
      </font>
      <fill>
        <patternFill>
          <bgColor rgb="FFFFC7CE"/>
        </patternFill>
      </fill>
    </dxf>
    <dxf>
      <font>
        <color theme="1"/>
      </font>
      <fill>
        <patternFill patternType="none">
          <bgColor auto="1"/>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b/>
        <i val="0"/>
        <color rgb="FFFF0000"/>
      </font>
    </dxf>
    <dxf>
      <font>
        <b/>
        <i val="0"/>
        <color rgb="FFFF0000"/>
      </font>
    </dxf>
    <dxf>
      <font>
        <b/>
        <i val="0"/>
        <color rgb="FFFF000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rgb="FFFFFF99"/>
        </patternFill>
      </fill>
    </dxf>
    <dxf>
      <font>
        <color rgb="FF9C0006"/>
      </font>
      <fill>
        <patternFill>
          <bgColor rgb="FFFFC7CE"/>
        </patternFill>
      </fill>
    </dxf>
    <dxf>
      <font>
        <color rgb="FFCC0000"/>
      </font>
    </dxf>
    <dxf>
      <fill>
        <patternFill>
          <bgColor rgb="FFCCFFCC"/>
        </patternFill>
      </fill>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color theme="0"/>
      </font>
    </dxf>
    <dxf>
      <fill>
        <patternFill>
          <bgColor rgb="FFFFFF99"/>
        </patternFill>
      </fill>
    </dxf>
    <dxf>
      <fill>
        <patternFill>
          <bgColor theme="0" tint="-0.14996795556505021"/>
        </patternFill>
      </fill>
    </dxf>
    <dxf>
      <fill>
        <patternFill>
          <bgColor rgb="FFFFCC99"/>
        </patternFill>
      </fill>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92D050"/>
      </font>
    </dxf>
    <dxf>
      <font>
        <color theme="0"/>
      </font>
    </dxf>
    <dxf>
      <fill>
        <patternFill>
          <bgColor rgb="FFFFFF99"/>
        </patternFill>
      </fill>
    </dxf>
    <dxf>
      <font>
        <color theme="5" tint="0.39994506668294322"/>
      </font>
    </dxf>
    <dxf>
      <font>
        <color theme="0"/>
      </font>
    </dxf>
    <dxf>
      <font>
        <color rgb="FF0070C0"/>
      </font>
    </dxf>
    <dxf>
      <font>
        <color rgb="FF0070C0"/>
      </font>
    </dxf>
    <dxf>
      <font>
        <color theme="0" tint="-0.14996795556505021"/>
      </font>
    </dxf>
    <dxf>
      <font>
        <b/>
        <i val="0"/>
      </font>
    </dxf>
    <dxf>
      <font>
        <b/>
        <i val="0"/>
      </font>
    </dxf>
    <dxf>
      <font>
        <b/>
        <i val="0"/>
      </font>
    </dxf>
    <dxf>
      <font>
        <b/>
        <i val="0"/>
      </font>
    </dxf>
    <dxf>
      <font>
        <b/>
        <i val="0"/>
        <color rgb="FFFF0000"/>
      </font>
    </dxf>
  </dxfs>
  <tableStyles count="0" defaultTableStyle="TableStyleMedium2" defaultPivotStyle="PivotStyleLight16"/>
  <colors>
    <mruColors>
      <color rgb="FFFFFF99"/>
      <color rgb="FFFFCC99"/>
      <color rgb="FF66FF66"/>
      <color rgb="FFCCFFCC"/>
      <color rgb="FF99FF99"/>
      <color rgb="FFFFFFCC"/>
      <color rgb="FFFF9999"/>
      <color rgb="FFFFCCCC"/>
      <color rgb="FF33CCFF"/>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260250</xdr:colOff>
      <xdr:row>1</xdr:row>
      <xdr:rowOff>160348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241200" cy="303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252307</xdr:colOff>
      <xdr:row>1</xdr:row>
      <xdr:rowOff>159526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1"/>
          <a:ext cx="233257" cy="302400"/>
        </a:xfrm>
        <a:prstGeom prst="rect">
          <a:avLst/>
        </a:prstGeom>
      </xdr:spPr>
    </xdr:pic>
    <xdr:clientData/>
  </xdr:twoCellAnchor>
  <xdr:oneCellAnchor>
    <xdr:from>
      <xdr:col>10</xdr:col>
      <xdr:colOff>1019175</xdr:colOff>
      <xdr:row>28</xdr:row>
      <xdr:rowOff>47625</xdr:rowOff>
    </xdr:from>
    <xdr:ext cx="255968" cy="171451"/>
    <xdr:pic>
      <xdr:nvPicPr>
        <xdr:cNvPr id="45" name="Picture 4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0100" y="4705350"/>
          <a:ext cx="255968" cy="171451"/>
        </a:xfrm>
        <a:prstGeom prst="rect">
          <a:avLst/>
        </a:prstGeom>
      </xdr:spPr>
    </xdr:pic>
    <xdr:clientData/>
  </xdr:oneCellAnchor>
  <xdr:twoCellAnchor editAs="oneCell">
    <xdr:from>
      <xdr:col>10</xdr:col>
      <xdr:colOff>857251</xdr:colOff>
      <xdr:row>4</xdr:row>
      <xdr:rowOff>9525</xdr:rowOff>
    </xdr:from>
    <xdr:to>
      <xdr:col>10</xdr:col>
      <xdr:colOff>1221067</xdr:colOff>
      <xdr:row>6</xdr:row>
      <xdr:rowOff>57150</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8176" y="685800"/>
          <a:ext cx="363816" cy="371475"/>
        </a:xfrm>
        <a:prstGeom prst="rect">
          <a:avLst/>
        </a:prstGeom>
      </xdr:spPr>
    </xdr:pic>
    <xdr:clientData/>
  </xdr:twoCellAnchor>
  <xdr:oneCellAnchor>
    <xdr:from>
      <xdr:col>10</xdr:col>
      <xdr:colOff>965455</xdr:colOff>
      <xdr:row>12</xdr:row>
      <xdr:rowOff>9525</xdr:rowOff>
    </xdr:from>
    <xdr:ext cx="228600" cy="304800"/>
    <xdr:pic>
      <xdr:nvPicPr>
        <xdr:cNvPr id="68" name="Picture 6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6380" y="2343150"/>
          <a:ext cx="228600" cy="304800"/>
        </a:xfrm>
        <a:prstGeom prst="rect">
          <a:avLst/>
        </a:prstGeom>
      </xdr:spPr>
    </xdr:pic>
    <xdr:clientData/>
  </xdr:oneCellAnchor>
  <xdr:twoCellAnchor editAs="oneCell">
    <xdr:from>
      <xdr:col>6</xdr:col>
      <xdr:colOff>9525</xdr:colOff>
      <xdr:row>8</xdr:row>
      <xdr:rowOff>152400</xdr:rowOff>
    </xdr:from>
    <xdr:to>
      <xdr:col>6</xdr:col>
      <xdr:colOff>729192</xdr:colOff>
      <xdr:row>10</xdr:row>
      <xdr:rowOff>152400</xdr:rowOff>
    </xdr:to>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66925" y="1828800"/>
          <a:ext cx="719667" cy="323850"/>
        </a:xfrm>
        <a:prstGeom prst="rect">
          <a:avLst/>
        </a:prstGeom>
      </xdr:spPr>
    </xdr:pic>
    <xdr:clientData/>
  </xdr:twoCellAnchor>
  <xdr:oneCellAnchor>
    <xdr:from>
      <xdr:col>10</xdr:col>
      <xdr:colOff>1047750</xdr:colOff>
      <xdr:row>18</xdr:row>
      <xdr:rowOff>152400</xdr:rowOff>
    </xdr:from>
    <xdr:ext cx="184663" cy="301292"/>
    <xdr:pic>
      <xdr:nvPicPr>
        <xdr:cNvPr id="70" name="Picture 6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53150" y="2819400"/>
          <a:ext cx="184663" cy="301292"/>
        </a:xfrm>
        <a:prstGeom prst="rect">
          <a:avLst/>
        </a:prstGeom>
      </xdr:spPr>
    </xdr:pic>
    <xdr:clientData/>
  </xdr:oneCellAnchor>
  <xdr:oneCellAnchor>
    <xdr:from>
      <xdr:col>8</xdr:col>
      <xdr:colOff>9525</xdr:colOff>
      <xdr:row>21</xdr:row>
      <xdr:rowOff>0</xdr:rowOff>
    </xdr:from>
    <xdr:ext cx="352425" cy="169164"/>
    <xdr:pic>
      <xdr:nvPicPr>
        <xdr:cNvPr id="72" name="Picture 7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86125" y="4152900"/>
          <a:ext cx="352425" cy="169164"/>
        </a:xfrm>
        <a:prstGeom prst="rect">
          <a:avLst/>
        </a:prstGeom>
      </xdr:spPr>
    </xdr:pic>
    <xdr:clientData/>
  </xdr:oneCellAnchor>
  <xdr:oneCellAnchor>
    <xdr:from>
      <xdr:col>12</xdr:col>
      <xdr:colOff>965455</xdr:colOff>
      <xdr:row>12</xdr:row>
      <xdr:rowOff>9525</xdr:rowOff>
    </xdr:from>
    <xdr:ext cx="228600" cy="304800"/>
    <xdr:pic>
      <xdr:nvPicPr>
        <xdr:cNvPr id="48" name="Picture 4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6380" y="2343150"/>
          <a:ext cx="228600" cy="304800"/>
        </a:xfrm>
        <a:prstGeom prst="rect">
          <a:avLst/>
        </a:prstGeom>
      </xdr:spPr>
    </xdr:pic>
    <xdr:clientData/>
  </xdr:oneCellAnchor>
  <xdr:oneCellAnchor>
    <xdr:from>
      <xdr:col>10</xdr:col>
      <xdr:colOff>1019175</xdr:colOff>
      <xdr:row>45</xdr:row>
      <xdr:rowOff>47625</xdr:rowOff>
    </xdr:from>
    <xdr:ext cx="255968" cy="171451"/>
    <xdr:pic>
      <xdr:nvPicPr>
        <xdr:cNvPr id="50" name="Picture 4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0100" y="7515225"/>
          <a:ext cx="255968" cy="171451"/>
        </a:xfrm>
        <a:prstGeom prst="rect">
          <a:avLst/>
        </a:prstGeom>
      </xdr:spPr>
    </xdr:pic>
    <xdr:clientData/>
  </xdr:oneCellAnchor>
  <xdr:oneCellAnchor>
    <xdr:from>
      <xdr:col>12</xdr:col>
      <xdr:colOff>1000125</xdr:colOff>
      <xdr:row>45</xdr:row>
      <xdr:rowOff>47625</xdr:rowOff>
    </xdr:from>
    <xdr:ext cx="255968" cy="171451"/>
    <xdr:pic>
      <xdr:nvPicPr>
        <xdr:cNvPr id="51" name="Picture 5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5525" y="7515225"/>
          <a:ext cx="255968" cy="171451"/>
        </a:xfrm>
        <a:prstGeom prst="rect">
          <a:avLst/>
        </a:prstGeom>
      </xdr:spPr>
    </xdr:pic>
    <xdr:clientData/>
  </xdr:oneCellAnchor>
  <xdr:oneCellAnchor>
    <xdr:from>
      <xdr:col>10</xdr:col>
      <xdr:colOff>1019175</xdr:colOff>
      <xdr:row>38</xdr:row>
      <xdr:rowOff>47625</xdr:rowOff>
    </xdr:from>
    <xdr:ext cx="255968" cy="171451"/>
    <xdr:pic>
      <xdr:nvPicPr>
        <xdr:cNvPr id="55" name="Picture 5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0100" y="6372225"/>
          <a:ext cx="255968" cy="171451"/>
        </a:xfrm>
        <a:prstGeom prst="rect">
          <a:avLst/>
        </a:prstGeom>
      </xdr:spPr>
    </xdr:pic>
    <xdr:clientData/>
  </xdr:oneCellAnchor>
  <xdr:oneCellAnchor>
    <xdr:from>
      <xdr:col>8</xdr:col>
      <xdr:colOff>333375</xdr:colOff>
      <xdr:row>39</xdr:row>
      <xdr:rowOff>19051</xdr:rowOff>
    </xdr:from>
    <xdr:ext cx="219075" cy="146740"/>
    <xdr:pic>
      <xdr:nvPicPr>
        <xdr:cNvPr id="58" name="Picture 5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43275" y="6667501"/>
          <a:ext cx="219075" cy="146740"/>
        </a:xfrm>
        <a:prstGeom prst="rect">
          <a:avLst/>
        </a:prstGeom>
      </xdr:spPr>
    </xdr:pic>
    <xdr:clientData/>
  </xdr:oneCellAnchor>
  <xdr:oneCellAnchor>
    <xdr:from>
      <xdr:col>3</xdr:col>
      <xdr:colOff>133350</xdr:colOff>
      <xdr:row>48</xdr:row>
      <xdr:rowOff>0</xdr:rowOff>
    </xdr:from>
    <xdr:ext cx="352425" cy="169164"/>
    <xdr:pic>
      <xdr:nvPicPr>
        <xdr:cNvPr id="61" name="Picture 6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04925" y="7962900"/>
          <a:ext cx="352425" cy="169164"/>
        </a:xfrm>
        <a:prstGeom prst="rect">
          <a:avLst/>
        </a:prstGeom>
      </xdr:spPr>
    </xdr:pic>
    <xdr:clientData/>
  </xdr:oneCellAnchor>
  <xdr:twoCellAnchor editAs="oneCell">
    <xdr:from>
      <xdr:col>10</xdr:col>
      <xdr:colOff>1009650</xdr:colOff>
      <xdr:row>53</xdr:row>
      <xdr:rowOff>57150</xdr:rowOff>
    </xdr:from>
    <xdr:to>
      <xdr:col>10</xdr:col>
      <xdr:colOff>1254579</xdr:colOff>
      <xdr:row>54</xdr:row>
      <xdr:rowOff>142875</xdr:rowOff>
    </xdr:to>
    <xdr:pic>
      <xdr:nvPicPr>
        <xdr:cNvPr id="2" name="Picture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00575" y="7715250"/>
          <a:ext cx="244929" cy="247650"/>
        </a:xfrm>
        <a:prstGeom prst="rect">
          <a:avLst/>
        </a:prstGeom>
      </xdr:spPr>
    </xdr:pic>
    <xdr:clientData/>
  </xdr:twoCellAnchor>
  <xdr:oneCellAnchor>
    <xdr:from>
      <xdr:col>12</xdr:col>
      <xdr:colOff>1009650</xdr:colOff>
      <xdr:row>53</xdr:row>
      <xdr:rowOff>57150</xdr:rowOff>
    </xdr:from>
    <xdr:ext cx="244929" cy="247650"/>
    <xdr:pic>
      <xdr:nvPicPr>
        <xdr:cNvPr id="64" name="Picture 6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00575" y="7715250"/>
          <a:ext cx="244929" cy="247650"/>
        </a:xfrm>
        <a:prstGeom prst="rect">
          <a:avLst/>
        </a:prstGeom>
      </xdr:spPr>
    </xdr:pic>
    <xdr:clientData/>
  </xdr:oneCellAnchor>
  <xdr:oneCellAnchor>
    <xdr:from>
      <xdr:col>10</xdr:col>
      <xdr:colOff>1085850</xdr:colOff>
      <xdr:row>56</xdr:row>
      <xdr:rowOff>28575</xdr:rowOff>
    </xdr:from>
    <xdr:ext cx="206129" cy="255600"/>
    <xdr:pic>
      <xdr:nvPicPr>
        <xdr:cNvPr id="65" name="Picture 6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76775" y="8191500"/>
          <a:ext cx="206129" cy="255600"/>
        </a:xfrm>
        <a:prstGeom prst="rect">
          <a:avLst/>
        </a:prstGeom>
      </xdr:spPr>
    </xdr:pic>
    <xdr:clientData/>
  </xdr:oneCellAnchor>
  <xdr:oneCellAnchor>
    <xdr:from>
      <xdr:col>12</xdr:col>
      <xdr:colOff>1085850</xdr:colOff>
      <xdr:row>56</xdr:row>
      <xdr:rowOff>28575</xdr:rowOff>
    </xdr:from>
    <xdr:ext cx="206129" cy="255600"/>
    <xdr:pic>
      <xdr:nvPicPr>
        <xdr:cNvPr id="66" name="Picture 6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76775" y="8191500"/>
          <a:ext cx="206129" cy="255600"/>
        </a:xfrm>
        <a:prstGeom prst="rect">
          <a:avLst/>
        </a:prstGeom>
      </xdr:spPr>
    </xdr:pic>
    <xdr:clientData/>
  </xdr:oneCellAnchor>
  <xdr:oneCellAnchor>
    <xdr:from>
      <xdr:col>10</xdr:col>
      <xdr:colOff>1019175</xdr:colOff>
      <xdr:row>60</xdr:row>
      <xdr:rowOff>47625</xdr:rowOff>
    </xdr:from>
    <xdr:ext cx="255968" cy="171451"/>
    <xdr:pic>
      <xdr:nvPicPr>
        <xdr:cNvPr id="73" name="Picture 7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0100" y="9982200"/>
          <a:ext cx="255968" cy="171451"/>
        </a:xfrm>
        <a:prstGeom prst="rect">
          <a:avLst/>
        </a:prstGeom>
      </xdr:spPr>
    </xdr:pic>
    <xdr:clientData/>
  </xdr:oneCellAnchor>
  <xdr:oneCellAnchor>
    <xdr:from>
      <xdr:col>12</xdr:col>
      <xdr:colOff>1000125</xdr:colOff>
      <xdr:row>60</xdr:row>
      <xdr:rowOff>47625</xdr:rowOff>
    </xdr:from>
    <xdr:ext cx="255968" cy="171451"/>
    <xdr:pic>
      <xdr:nvPicPr>
        <xdr:cNvPr id="74" name="Picture 7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5525" y="9982200"/>
          <a:ext cx="255968" cy="171451"/>
        </a:xfrm>
        <a:prstGeom prst="rect">
          <a:avLst/>
        </a:prstGeom>
      </xdr:spPr>
    </xdr:pic>
    <xdr:clientData/>
  </xdr:oneCellAnchor>
  <xdr:oneCellAnchor>
    <xdr:from>
      <xdr:col>10</xdr:col>
      <xdr:colOff>1038226</xdr:colOff>
      <xdr:row>70</xdr:row>
      <xdr:rowOff>28575</xdr:rowOff>
    </xdr:from>
    <xdr:ext cx="227796" cy="323850"/>
    <xdr:pic>
      <xdr:nvPicPr>
        <xdr:cNvPr id="77" name="Picture 7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29151" y="9848850"/>
          <a:ext cx="227796" cy="323850"/>
        </a:xfrm>
        <a:prstGeom prst="rect">
          <a:avLst/>
        </a:prstGeom>
      </xdr:spPr>
    </xdr:pic>
    <xdr:clientData/>
  </xdr:oneCellAnchor>
  <xdr:oneCellAnchor>
    <xdr:from>
      <xdr:col>12</xdr:col>
      <xdr:colOff>1038226</xdr:colOff>
      <xdr:row>70</xdr:row>
      <xdr:rowOff>28575</xdr:rowOff>
    </xdr:from>
    <xdr:ext cx="227796" cy="323850"/>
    <xdr:pic>
      <xdr:nvPicPr>
        <xdr:cNvPr id="78" name="Picture 7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29151" y="9848850"/>
          <a:ext cx="227796" cy="323850"/>
        </a:xfrm>
        <a:prstGeom prst="rect">
          <a:avLst/>
        </a:prstGeom>
      </xdr:spPr>
    </xdr:pic>
    <xdr:clientData/>
  </xdr:oneCellAnchor>
  <xdr:oneCellAnchor>
    <xdr:from>
      <xdr:col>10</xdr:col>
      <xdr:colOff>1019175</xdr:colOff>
      <xdr:row>77</xdr:row>
      <xdr:rowOff>38100</xdr:rowOff>
    </xdr:from>
    <xdr:ext cx="255968" cy="171451"/>
    <xdr:pic>
      <xdr:nvPicPr>
        <xdr:cNvPr id="46" name="Picture 4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0100" y="12611100"/>
          <a:ext cx="255968" cy="171451"/>
        </a:xfrm>
        <a:prstGeom prst="rect">
          <a:avLst/>
        </a:prstGeom>
      </xdr:spPr>
    </xdr:pic>
    <xdr:clientData/>
  </xdr:oneCellAnchor>
  <xdr:twoCellAnchor editAs="oneCell">
    <xdr:from>
      <xdr:col>10</xdr:col>
      <xdr:colOff>1076326</xdr:colOff>
      <xdr:row>42</xdr:row>
      <xdr:rowOff>9526</xdr:rowOff>
    </xdr:from>
    <xdr:to>
      <xdr:col>10</xdr:col>
      <xdr:colOff>1254063</xdr:colOff>
      <xdr:row>43</xdr:row>
      <xdr:rowOff>78001</xdr:rowOff>
    </xdr:to>
    <xdr:pic>
      <xdr:nvPicPr>
        <xdr:cNvPr id="5" name="Picture 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67251" y="7134226"/>
          <a:ext cx="177737" cy="230400"/>
        </a:xfrm>
        <a:prstGeom prst="rect">
          <a:avLst/>
        </a:prstGeom>
      </xdr:spPr>
    </xdr:pic>
    <xdr:clientData/>
  </xdr:twoCellAnchor>
  <xdr:oneCellAnchor>
    <xdr:from>
      <xdr:col>12</xdr:col>
      <xdr:colOff>1076326</xdr:colOff>
      <xdr:row>42</xdr:row>
      <xdr:rowOff>9526</xdr:rowOff>
    </xdr:from>
    <xdr:ext cx="177737" cy="230400"/>
    <xdr:pic>
      <xdr:nvPicPr>
        <xdr:cNvPr id="59" name="Picture 5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67251" y="7134226"/>
          <a:ext cx="177737" cy="230400"/>
        </a:xfrm>
        <a:prstGeom prst="rect">
          <a:avLst/>
        </a:prstGeom>
      </xdr:spPr>
    </xdr:pic>
    <xdr:clientData/>
  </xdr:oneCellAnchor>
  <xdr:oneCellAnchor>
    <xdr:from>
      <xdr:col>10</xdr:col>
      <xdr:colOff>1057275</xdr:colOff>
      <xdr:row>8</xdr:row>
      <xdr:rowOff>28575</xdr:rowOff>
    </xdr:from>
    <xdr:ext cx="155520" cy="216000"/>
    <xdr:pic>
      <xdr:nvPicPr>
        <xdr:cNvPr id="63" name="Picture 6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39225" y="2362200"/>
          <a:ext cx="155520" cy="216000"/>
        </a:xfrm>
        <a:prstGeom prst="rect">
          <a:avLst/>
        </a:prstGeom>
      </xdr:spPr>
    </xdr:pic>
    <xdr:clientData/>
  </xdr:oneCellAnchor>
  <xdr:twoCellAnchor editAs="oneCell">
    <xdr:from>
      <xdr:col>12</xdr:col>
      <xdr:colOff>923924</xdr:colOff>
      <xdr:row>83</xdr:row>
      <xdr:rowOff>156877</xdr:rowOff>
    </xdr:from>
    <xdr:to>
      <xdr:col>12</xdr:col>
      <xdr:colOff>1266825</xdr:colOff>
      <xdr:row>85</xdr:row>
      <xdr:rowOff>67489</xdr:rowOff>
    </xdr:to>
    <xdr:pic>
      <xdr:nvPicPr>
        <xdr:cNvPr id="4" name="Picture 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29324" y="13558552"/>
          <a:ext cx="342901" cy="234462"/>
        </a:xfrm>
        <a:prstGeom prst="rect">
          <a:avLst/>
        </a:prstGeom>
      </xdr:spPr>
    </xdr:pic>
    <xdr:clientData/>
  </xdr:twoCellAnchor>
  <xdr:oneCellAnchor>
    <xdr:from>
      <xdr:col>10</xdr:col>
      <xdr:colOff>1047750</xdr:colOff>
      <xdr:row>63</xdr:row>
      <xdr:rowOff>152400</xdr:rowOff>
    </xdr:from>
    <xdr:ext cx="184663" cy="301292"/>
    <xdr:pic>
      <xdr:nvPicPr>
        <xdr:cNvPr id="36" name="Picture 3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38675" y="3629025"/>
          <a:ext cx="184663" cy="301292"/>
        </a:xfrm>
        <a:prstGeom prst="rect">
          <a:avLst/>
        </a:prstGeom>
      </xdr:spPr>
    </xdr:pic>
    <xdr:clientData/>
  </xdr:oneCellAnchor>
  <xdr:oneCellAnchor>
    <xdr:from>
      <xdr:col>12</xdr:col>
      <xdr:colOff>1047750</xdr:colOff>
      <xdr:row>63</xdr:row>
      <xdr:rowOff>152400</xdr:rowOff>
    </xdr:from>
    <xdr:ext cx="184663" cy="301292"/>
    <xdr:pic>
      <xdr:nvPicPr>
        <xdr:cNvPr id="37" name="Picture 3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38675" y="10077450"/>
          <a:ext cx="184663" cy="301292"/>
        </a:xfrm>
        <a:prstGeom prst="rect">
          <a:avLst/>
        </a:prstGeom>
      </xdr:spPr>
    </xdr:pic>
    <xdr:clientData/>
  </xdr:oneCellAnchor>
  <xdr:twoCellAnchor editAs="oneCell">
    <xdr:from>
      <xdr:col>13</xdr:col>
      <xdr:colOff>0</xdr:colOff>
      <xdr:row>8</xdr:row>
      <xdr:rowOff>0</xdr:rowOff>
    </xdr:from>
    <xdr:to>
      <xdr:col>13</xdr:col>
      <xdr:colOff>176690</xdr:colOff>
      <xdr:row>9</xdr:row>
      <xdr:rowOff>57675</xdr:rowOff>
    </xdr:to>
    <xdr:pic>
      <xdr:nvPicPr>
        <xdr:cNvPr id="38" name="Picture 3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647950" y="9601200"/>
          <a:ext cx="176690" cy="219600"/>
        </a:xfrm>
        <a:prstGeom prst="rect">
          <a:avLst/>
        </a:prstGeom>
      </xdr:spPr>
    </xdr:pic>
    <xdr:clientData/>
  </xdr:twoCellAnchor>
  <xdr:twoCellAnchor editAs="oneCell">
    <xdr:from>
      <xdr:col>13</xdr:col>
      <xdr:colOff>0</xdr:colOff>
      <xdr:row>23</xdr:row>
      <xdr:rowOff>19050</xdr:rowOff>
    </xdr:from>
    <xdr:to>
      <xdr:col>13</xdr:col>
      <xdr:colOff>176690</xdr:colOff>
      <xdr:row>24</xdr:row>
      <xdr:rowOff>76725</xdr:rowOff>
    </xdr:to>
    <xdr:pic>
      <xdr:nvPicPr>
        <xdr:cNvPr id="39" name="Picture 3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00800" y="4343400"/>
          <a:ext cx="176690" cy="219600"/>
        </a:xfrm>
        <a:prstGeom prst="rect">
          <a:avLst/>
        </a:prstGeom>
      </xdr:spPr>
    </xdr:pic>
    <xdr:clientData/>
  </xdr:twoCellAnchor>
  <xdr:twoCellAnchor editAs="oneCell">
    <xdr:from>
      <xdr:col>13</xdr:col>
      <xdr:colOff>0</xdr:colOff>
      <xdr:row>36</xdr:row>
      <xdr:rowOff>19050</xdr:rowOff>
    </xdr:from>
    <xdr:to>
      <xdr:col>13</xdr:col>
      <xdr:colOff>176690</xdr:colOff>
      <xdr:row>37</xdr:row>
      <xdr:rowOff>67200</xdr:rowOff>
    </xdr:to>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00800" y="6657975"/>
          <a:ext cx="176690" cy="219600"/>
        </a:xfrm>
        <a:prstGeom prst="rect">
          <a:avLst/>
        </a:prstGeom>
      </xdr:spPr>
    </xdr:pic>
    <xdr:clientData/>
  </xdr:twoCellAnchor>
  <xdr:oneCellAnchor>
    <xdr:from>
      <xdr:col>13</xdr:col>
      <xdr:colOff>0</xdr:colOff>
      <xdr:row>67</xdr:row>
      <xdr:rowOff>19050</xdr:rowOff>
    </xdr:from>
    <xdr:ext cx="191045" cy="247650"/>
    <xdr:pic>
      <xdr:nvPicPr>
        <xdr:cNvPr id="42" name="Picture 4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00800" y="10934700"/>
          <a:ext cx="191045" cy="247650"/>
        </a:xfrm>
        <a:prstGeom prst="rect">
          <a:avLst/>
        </a:prstGeom>
      </xdr:spPr>
    </xdr:pic>
    <xdr:clientData/>
  </xdr:oneCellAnchor>
  <xdr:oneCellAnchor>
    <xdr:from>
      <xdr:col>13</xdr:col>
      <xdr:colOff>0</xdr:colOff>
      <xdr:row>87</xdr:row>
      <xdr:rowOff>0</xdr:rowOff>
    </xdr:from>
    <xdr:ext cx="174682" cy="229125"/>
    <xdr:pic>
      <xdr:nvPicPr>
        <xdr:cNvPr id="43" name="Picture 4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00800" y="12544425"/>
          <a:ext cx="174682" cy="229125"/>
        </a:xfrm>
        <a:prstGeom prst="rect">
          <a:avLst/>
        </a:prstGeom>
      </xdr:spPr>
    </xdr:pic>
    <xdr:clientData/>
  </xdr:oneCellAnchor>
  <xdr:twoCellAnchor editAs="oneCell">
    <xdr:from>
      <xdr:col>12</xdr:col>
      <xdr:colOff>1085850</xdr:colOff>
      <xdr:row>28</xdr:row>
      <xdr:rowOff>28575</xdr:rowOff>
    </xdr:from>
    <xdr:to>
      <xdr:col>12</xdr:col>
      <xdr:colOff>1275628</xdr:colOff>
      <xdr:row>29</xdr:row>
      <xdr:rowOff>86250</xdr:rowOff>
    </xdr:to>
    <xdr:pic>
      <xdr:nvPicPr>
        <xdr:cNvPr id="8" name="Picture 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91250" y="4686300"/>
          <a:ext cx="189778" cy="219600"/>
        </a:xfrm>
        <a:prstGeom prst="rect">
          <a:avLst/>
        </a:prstGeom>
      </xdr:spPr>
    </xdr:pic>
    <xdr:clientData/>
  </xdr:twoCellAnchor>
  <xdr:oneCellAnchor>
    <xdr:from>
      <xdr:col>13</xdr:col>
      <xdr:colOff>9525</xdr:colOff>
      <xdr:row>15</xdr:row>
      <xdr:rowOff>19050</xdr:rowOff>
    </xdr:from>
    <xdr:ext cx="174682" cy="219600"/>
    <xdr:pic>
      <xdr:nvPicPr>
        <xdr:cNvPr id="47" name="Picture 4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10325" y="11439525"/>
          <a:ext cx="174682" cy="219600"/>
        </a:xfrm>
        <a:prstGeom prst="rect">
          <a:avLst/>
        </a:prstGeom>
      </xdr:spPr>
    </xdr:pic>
    <xdr:clientData/>
  </xdr:oneCellAnchor>
  <xdr:oneCellAnchor>
    <xdr:from>
      <xdr:col>12</xdr:col>
      <xdr:colOff>1285875</xdr:colOff>
      <xdr:row>19</xdr:row>
      <xdr:rowOff>19050</xdr:rowOff>
    </xdr:from>
    <xdr:ext cx="193846" cy="216000"/>
    <xdr:pic>
      <xdr:nvPicPr>
        <xdr:cNvPr id="53" name="Picture 5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91275" y="3190875"/>
          <a:ext cx="193846" cy="216000"/>
        </a:xfrm>
        <a:prstGeom prst="rect">
          <a:avLst/>
        </a:prstGeom>
      </xdr:spPr>
    </xdr:pic>
    <xdr:clientData/>
  </xdr:oneCellAnchor>
  <xdr:oneCellAnchor>
    <xdr:from>
      <xdr:col>13</xdr:col>
      <xdr:colOff>9525</xdr:colOff>
      <xdr:row>32</xdr:row>
      <xdr:rowOff>19050</xdr:rowOff>
    </xdr:from>
    <xdr:ext cx="174682" cy="219600"/>
    <xdr:pic>
      <xdr:nvPicPr>
        <xdr:cNvPr id="54" name="Picture 5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10325" y="2505075"/>
          <a:ext cx="174682" cy="219600"/>
        </a:xfrm>
        <a:prstGeom prst="rect">
          <a:avLst/>
        </a:prstGeom>
      </xdr:spPr>
    </xdr:pic>
    <xdr:clientData/>
  </xdr:oneCellAnchor>
  <xdr:oneCellAnchor>
    <xdr:from>
      <xdr:col>12</xdr:col>
      <xdr:colOff>1285875</xdr:colOff>
      <xdr:row>74</xdr:row>
      <xdr:rowOff>19050</xdr:rowOff>
    </xdr:from>
    <xdr:ext cx="193846" cy="216000"/>
    <xdr:pic>
      <xdr:nvPicPr>
        <xdr:cNvPr id="62" name="Picture 6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91275" y="3190875"/>
          <a:ext cx="193846" cy="216000"/>
        </a:xfrm>
        <a:prstGeom prst="rect">
          <a:avLst/>
        </a:prstGeom>
      </xdr:spPr>
    </xdr:pic>
    <xdr:clientData/>
  </xdr:oneCellAnchor>
  <xdr:oneCellAnchor>
    <xdr:from>
      <xdr:col>13</xdr:col>
      <xdr:colOff>9525</xdr:colOff>
      <xdr:row>78</xdr:row>
      <xdr:rowOff>19050</xdr:rowOff>
    </xdr:from>
    <xdr:ext cx="174682" cy="219600"/>
    <xdr:pic>
      <xdr:nvPicPr>
        <xdr:cNvPr id="67" name="Picture 6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10325" y="5334000"/>
          <a:ext cx="174682" cy="219600"/>
        </a:xfrm>
        <a:prstGeom prst="rect">
          <a:avLst/>
        </a:prstGeom>
      </xdr:spPr>
    </xdr:pic>
    <xdr:clientData/>
  </xdr:oneCellAnchor>
  <xdr:oneCellAnchor>
    <xdr:from>
      <xdr:col>12</xdr:col>
      <xdr:colOff>1285875</xdr:colOff>
      <xdr:row>93</xdr:row>
      <xdr:rowOff>19050</xdr:rowOff>
    </xdr:from>
    <xdr:ext cx="193846" cy="216000"/>
    <xdr:pic>
      <xdr:nvPicPr>
        <xdr:cNvPr id="69" name="Picture 6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143875" y="12087225"/>
          <a:ext cx="193846" cy="216000"/>
        </a:xfrm>
        <a:prstGeom prst="rect">
          <a:avLst/>
        </a:prstGeom>
      </xdr:spPr>
    </xdr:pic>
    <xdr:clientData/>
  </xdr:oneCellAnchor>
  <xdr:oneCellAnchor>
    <xdr:from>
      <xdr:col>12</xdr:col>
      <xdr:colOff>1285875</xdr:colOff>
      <xdr:row>93</xdr:row>
      <xdr:rowOff>19050</xdr:rowOff>
    </xdr:from>
    <xdr:ext cx="193846" cy="216000"/>
    <xdr:pic>
      <xdr:nvPicPr>
        <xdr:cNvPr id="71" name="Picture 7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143875" y="12087225"/>
          <a:ext cx="193846" cy="216000"/>
        </a:xfrm>
        <a:prstGeom prst="rect">
          <a:avLst/>
        </a:prstGeom>
      </xdr:spPr>
    </xdr:pic>
    <xdr:clientData/>
  </xdr:oneCellAnchor>
  <xdr:oneCellAnchor>
    <xdr:from>
      <xdr:col>13</xdr:col>
      <xdr:colOff>9525</xdr:colOff>
      <xdr:row>97</xdr:row>
      <xdr:rowOff>19050</xdr:rowOff>
    </xdr:from>
    <xdr:ext cx="174682" cy="219600"/>
    <xdr:pic>
      <xdr:nvPicPr>
        <xdr:cNvPr id="75" name="Picture 7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62925" y="14249400"/>
          <a:ext cx="174682" cy="219600"/>
        </a:xfrm>
        <a:prstGeom prst="rect">
          <a:avLst/>
        </a:prstGeom>
      </xdr:spPr>
    </xdr:pic>
    <xdr:clientData/>
  </xdr:oneCellAnchor>
  <xdr:twoCellAnchor editAs="oneCell">
    <xdr:from>
      <xdr:col>12</xdr:col>
      <xdr:colOff>1276350</xdr:colOff>
      <xdr:row>50</xdr:row>
      <xdr:rowOff>19050</xdr:rowOff>
    </xdr:from>
    <xdr:to>
      <xdr:col>13</xdr:col>
      <xdr:colOff>178027</xdr:colOff>
      <xdr:row>51</xdr:row>
      <xdr:rowOff>76725</xdr:rowOff>
    </xdr:to>
    <xdr:pic>
      <xdr:nvPicPr>
        <xdr:cNvPr id="6" name="Picture 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81750" y="8305800"/>
          <a:ext cx="197077" cy="219600"/>
        </a:xfrm>
        <a:prstGeom prst="rect">
          <a:avLst/>
        </a:prstGeom>
      </xdr:spPr>
    </xdr:pic>
    <xdr:clientData/>
  </xdr:twoCellAnchor>
  <xdr:oneCellAnchor>
    <xdr:from>
      <xdr:col>7</xdr:col>
      <xdr:colOff>9525</xdr:colOff>
      <xdr:row>50</xdr:row>
      <xdr:rowOff>19050</xdr:rowOff>
    </xdr:from>
    <xdr:ext cx="174682" cy="219600"/>
    <xdr:pic>
      <xdr:nvPicPr>
        <xdr:cNvPr id="60" name="Picture 5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10325" y="12087225"/>
          <a:ext cx="174682" cy="219600"/>
        </a:xfrm>
        <a:prstGeom prst="rect">
          <a:avLst/>
        </a:prstGeom>
      </xdr:spPr>
    </xdr:pic>
    <xdr:clientData/>
  </xdr:oneCellAnchor>
  <xdr:twoCellAnchor editAs="oneCell">
    <xdr:from>
      <xdr:col>10</xdr:col>
      <xdr:colOff>1019175</xdr:colOff>
      <xdr:row>67</xdr:row>
      <xdr:rowOff>0</xdr:rowOff>
    </xdr:from>
    <xdr:to>
      <xdr:col>10</xdr:col>
      <xdr:colOff>1276215</xdr:colOff>
      <xdr:row>68</xdr:row>
      <xdr:rowOff>140475</xdr:rowOff>
    </xdr:to>
    <xdr:pic>
      <xdr:nvPicPr>
        <xdr:cNvPr id="76" name="Picture 7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648200" y="11763375"/>
          <a:ext cx="257040" cy="30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19051</xdr:colOff>
      <xdr:row>0</xdr:row>
      <xdr:rowOff>19050</xdr:rowOff>
    </xdr:from>
    <xdr:to>
      <xdr:col>2</xdr:col>
      <xdr:colOff>152400</xdr:colOff>
      <xdr:row>2</xdr:row>
      <xdr:rowOff>138247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1" y="19050"/>
          <a:ext cx="352424" cy="4430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95286</xdr:colOff>
      <xdr:row>5</xdr:row>
      <xdr:rowOff>85945</xdr:rowOff>
    </xdr:from>
    <xdr:to>
      <xdr:col>5</xdr:col>
      <xdr:colOff>88098</xdr:colOff>
      <xdr:row>5</xdr:row>
      <xdr:rowOff>661945</xdr:rowOff>
    </xdr:to>
    <xdr:grpSp>
      <xdr:nvGrpSpPr>
        <xdr:cNvPr id="2" name="Group 1"/>
        <xdr:cNvGrpSpPr>
          <a:grpSpLocks noChangeAspect="1"/>
        </xdr:cNvGrpSpPr>
      </xdr:nvGrpSpPr>
      <xdr:grpSpPr>
        <a:xfrm>
          <a:off x="1552611" y="905095"/>
          <a:ext cx="535737" cy="576000"/>
          <a:chOff x="1546061" y="855808"/>
          <a:chExt cx="601200" cy="648000"/>
        </a:xfrm>
      </xdr:grpSpPr>
      <xdr:sp macro="" textlink="">
        <xdr:nvSpPr>
          <xdr:cNvPr id="3" name="Oval 40"/>
          <xdr:cNvSpPr>
            <a:spLocks noChangeAspect="1" noChangeArrowheads="1"/>
          </xdr:cNvSpPr>
        </xdr:nvSpPr>
        <xdr:spPr bwMode="auto">
          <a:xfrm>
            <a:off x="1546061" y="855808"/>
            <a:ext cx="601200" cy="648000"/>
          </a:xfrm>
          <a:prstGeom prst="ellipse">
            <a:avLst/>
          </a:prstGeom>
          <a:solidFill>
            <a:srgbClr val="C0C0C0"/>
          </a:solidFill>
          <a:ln w="19050">
            <a:solidFill>
              <a:srgbClr val="000000"/>
            </a:solidFill>
            <a:round/>
            <a:headEnd/>
            <a:tailEnd/>
          </a:ln>
        </xdr:spPr>
      </xdr:sp>
      <xdr:sp macro="" textlink="">
        <xdr:nvSpPr>
          <xdr:cNvPr id="4" name="Oval 1"/>
          <xdr:cNvSpPr>
            <a:spLocks noChangeAspect="1" noChangeArrowheads="1"/>
          </xdr:cNvSpPr>
        </xdr:nvSpPr>
        <xdr:spPr bwMode="auto">
          <a:xfrm>
            <a:off x="1806723" y="1129706"/>
            <a:ext cx="93600" cy="100206"/>
          </a:xfrm>
          <a:prstGeom prst="ellipse">
            <a:avLst/>
          </a:prstGeom>
          <a:solidFill>
            <a:srgbClr val="FFFFFF"/>
          </a:solidFill>
          <a:ln w="9525">
            <a:solidFill>
              <a:srgbClr val="000000"/>
            </a:solidFill>
            <a:round/>
            <a:headEnd/>
            <a:tailEnd/>
          </a:ln>
        </xdr:spPr>
      </xdr:sp>
    </xdr:grpSp>
    <xdr:clientData/>
  </xdr:twoCellAnchor>
  <xdr:twoCellAnchor>
    <xdr:from>
      <xdr:col>10</xdr:col>
      <xdr:colOff>96835</xdr:colOff>
      <xdr:row>5</xdr:row>
      <xdr:rowOff>85168</xdr:rowOff>
    </xdr:from>
    <xdr:to>
      <xdr:col>13</xdr:col>
      <xdr:colOff>89647</xdr:colOff>
      <xdr:row>5</xdr:row>
      <xdr:rowOff>661168</xdr:rowOff>
    </xdr:to>
    <xdr:grpSp>
      <xdr:nvGrpSpPr>
        <xdr:cNvPr id="5" name="Group 4"/>
        <xdr:cNvGrpSpPr>
          <a:grpSpLocks noChangeAspect="1"/>
        </xdr:cNvGrpSpPr>
      </xdr:nvGrpSpPr>
      <xdr:grpSpPr>
        <a:xfrm>
          <a:off x="3001960" y="904318"/>
          <a:ext cx="535737" cy="576000"/>
          <a:chOff x="2989845" y="855809"/>
          <a:chExt cx="601200" cy="648000"/>
        </a:xfrm>
      </xdr:grpSpPr>
      <xdr:sp macro="" textlink="">
        <xdr:nvSpPr>
          <xdr:cNvPr id="6" name="Oval 62"/>
          <xdr:cNvSpPr>
            <a:spLocks noChangeAspect="1" noChangeArrowheads="1"/>
          </xdr:cNvSpPr>
        </xdr:nvSpPr>
        <xdr:spPr bwMode="auto">
          <a:xfrm>
            <a:off x="2989845" y="855809"/>
            <a:ext cx="601200" cy="648000"/>
          </a:xfrm>
          <a:prstGeom prst="ellipse">
            <a:avLst/>
          </a:prstGeom>
          <a:solidFill>
            <a:srgbClr val="C0C0C0"/>
          </a:solidFill>
          <a:ln w="19050">
            <a:solidFill>
              <a:srgbClr val="000000"/>
            </a:solidFill>
            <a:round/>
            <a:headEnd/>
            <a:tailEnd/>
          </a:ln>
        </xdr:spPr>
      </xdr:sp>
      <xdr:sp macro="" textlink="">
        <xdr:nvSpPr>
          <xdr:cNvPr id="7" name="Oval 67"/>
          <xdr:cNvSpPr>
            <a:spLocks noChangeAspect="1" noChangeArrowheads="1"/>
          </xdr:cNvSpPr>
        </xdr:nvSpPr>
        <xdr:spPr bwMode="auto">
          <a:xfrm>
            <a:off x="3250506" y="1129706"/>
            <a:ext cx="93600" cy="100206"/>
          </a:xfrm>
          <a:prstGeom prst="ellipse">
            <a:avLst/>
          </a:prstGeom>
          <a:solidFill>
            <a:srgbClr val="FFFFFF"/>
          </a:solidFill>
          <a:ln w="9525">
            <a:solidFill>
              <a:srgbClr val="000000"/>
            </a:solidFill>
            <a:round/>
            <a:headEnd/>
            <a:tailEnd/>
          </a:ln>
        </xdr:spPr>
      </xdr:sp>
      <xdr:sp macro="" textlink="">
        <xdr:nvSpPr>
          <xdr:cNvPr id="8" name="Oval 68"/>
          <xdr:cNvSpPr>
            <a:spLocks noChangeAspect="1" noChangeArrowheads="1"/>
          </xdr:cNvSpPr>
        </xdr:nvSpPr>
        <xdr:spPr bwMode="auto">
          <a:xfrm>
            <a:off x="3120176" y="1129706"/>
            <a:ext cx="93600" cy="100206"/>
          </a:xfrm>
          <a:prstGeom prst="ellipse">
            <a:avLst/>
          </a:prstGeom>
          <a:solidFill>
            <a:srgbClr val="0000FF"/>
          </a:solidFill>
          <a:ln w="9525">
            <a:solidFill>
              <a:srgbClr val="000000"/>
            </a:solidFill>
            <a:round/>
            <a:headEnd/>
            <a:tailEnd/>
          </a:ln>
        </xdr:spPr>
      </xdr:sp>
      <xdr:sp macro="" textlink="">
        <xdr:nvSpPr>
          <xdr:cNvPr id="9" name="Oval 69"/>
          <xdr:cNvSpPr>
            <a:spLocks noChangeAspect="1" noChangeArrowheads="1"/>
          </xdr:cNvSpPr>
        </xdr:nvSpPr>
        <xdr:spPr bwMode="auto">
          <a:xfrm>
            <a:off x="3387696" y="1129706"/>
            <a:ext cx="93600" cy="100206"/>
          </a:xfrm>
          <a:prstGeom prst="ellipse">
            <a:avLst/>
          </a:prstGeom>
          <a:solidFill>
            <a:srgbClr val="0000FF"/>
          </a:solidFill>
          <a:ln w="9525">
            <a:solidFill>
              <a:srgbClr val="000000"/>
            </a:solidFill>
            <a:round/>
            <a:headEnd/>
            <a:tailEnd/>
          </a:ln>
        </xdr:spPr>
      </xdr:sp>
    </xdr:grpSp>
    <xdr:clientData/>
  </xdr:twoCellAnchor>
  <xdr:twoCellAnchor>
    <xdr:from>
      <xdr:col>14</xdr:col>
      <xdr:colOff>96834</xdr:colOff>
      <xdr:row>5</xdr:row>
      <xdr:rowOff>85168</xdr:rowOff>
    </xdr:from>
    <xdr:to>
      <xdr:col>17</xdr:col>
      <xdr:colOff>89646</xdr:colOff>
      <xdr:row>5</xdr:row>
      <xdr:rowOff>661168</xdr:rowOff>
    </xdr:to>
    <xdr:grpSp>
      <xdr:nvGrpSpPr>
        <xdr:cNvPr id="10" name="Group 9"/>
        <xdr:cNvGrpSpPr>
          <a:grpSpLocks noChangeAspect="1"/>
        </xdr:cNvGrpSpPr>
      </xdr:nvGrpSpPr>
      <xdr:grpSpPr>
        <a:xfrm>
          <a:off x="3725859" y="904318"/>
          <a:ext cx="535737" cy="576000"/>
          <a:chOff x="3711740" y="855809"/>
          <a:chExt cx="601200" cy="648000"/>
        </a:xfrm>
      </xdr:grpSpPr>
      <xdr:sp macro="" textlink="">
        <xdr:nvSpPr>
          <xdr:cNvPr id="11" name="Oval 63"/>
          <xdr:cNvSpPr>
            <a:spLocks noChangeAspect="1" noChangeArrowheads="1"/>
          </xdr:cNvSpPr>
        </xdr:nvSpPr>
        <xdr:spPr bwMode="auto">
          <a:xfrm>
            <a:off x="3711740" y="855809"/>
            <a:ext cx="601200" cy="648000"/>
          </a:xfrm>
          <a:prstGeom prst="ellipse">
            <a:avLst/>
          </a:prstGeom>
          <a:solidFill>
            <a:srgbClr val="C0C0C0"/>
          </a:solidFill>
          <a:ln w="19050">
            <a:solidFill>
              <a:srgbClr val="000000"/>
            </a:solidFill>
            <a:round/>
            <a:headEnd/>
            <a:tailEnd/>
          </a:ln>
        </xdr:spPr>
      </xdr:sp>
      <xdr:sp macro="" textlink="">
        <xdr:nvSpPr>
          <xdr:cNvPr id="12" name="Oval 66"/>
          <xdr:cNvSpPr>
            <a:spLocks noChangeAspect="1" noChangeArrowheads="1"/>
          </xdr:cNvSpPr>
        </xdr:nvSpPr>
        <xdr:spPr bwMode="auto">
          <a:xfrm>
            <a:off x="3965542" y="1129706"/>
            <a:ext cx="93600" cy="100206"/>
          </a:xfrm>
          <a:prstGeom prst="ellipse">
            <a:avLst/>
          </a:prstGeom>
          <a:solidFill>
            <a:srgbClr val="FFFFFF"/>
          </a:solidFill>
          <a:ln w="9525">
            <a:solidFill>
              <a:srgbClr val="000000"/>
            </a:solidFill>
            <a:round/>
            <a:headEnd/>
            <a:tailEnd/>
          </a:ln>
        </xdr:spPr>
      </xdr:sp>
      <xdr:sp macro="" textlink="">
        <xdr:nvSpPr>
          <xdr:cNvPr id="13" name="Oval 70"/>
          <xdr:cNvSpPr>
            <a:spLocks noChangeAspect="1" noChangeArrowheads="1"/>
          </xdr:cNvSpPr>
        </xdr:nvSpPr>
        <xdr:spPr bwMode="auto">
          <a:xfrm>
            <a:off x="3965542" y="1276675"/>
            <a:ext cx="93600" cy="100206"/>
          </a:xfrm>
          <a:prstGeom prst="ellipse">
            <a:avLst/>
          </a:prstGeom>
          <a:solidFill>
            <a:srgbClr val="0000FF"/>
          </a:solidFill>
          <a:ln w="9525">
            <a:solidFill>
              <a:srgbClr val="000000"/>
            </a:solidFill>
            <a:round/>
            <a:headEnd/>
            <a:tailEnd/>
          </a:ln>
        </xdr:spPr>
      </xdr:sp>
    </xdr:grpSp>
    <xdr:clientData/>
  </xdr:twoCellAnchor>
  <xdr:twoCellAnchor>
    <xdr:from>
      <xdr:col>18</xdr:col>
      <xdr:colOff>96834</xdr:colOff>
      <xdr:row>5</xdr:row>
      <xdr:rowOff>85168</xdr:rowOff>
    </xdr:from>
    <xdr:to>
      <xdr:col>21</xdr:col>
      <xdr:colOff>89646</xdr:colOff>
      <xdr:row>5</xdr:row>
      <xdr:rowOff>661168</xdr:rowOff>
    </xdr:to>
    <xdr:grpSp>
      <xdr:nvGrpSpPr>
        <xdr:cNvPr id="14" name="Group 13"/>
        <xdr:cNvGrpSpPr>
          <a:grpSpLocks noChangeAspect="1"/>
        </xdr:cNvGrpSpPr>
      </xdr:nvGrpSpPr>
      <xdr:grpSpPr>
        <a:xfrm>
          <a:off x="4449759" y="904318"/>
          <a:ext cx="535737" cy="576000"/>
          <a:chOff x="4433634" y="855809"/>
          <a:chExt cx="601200" cy="648000"/>
        </a:xfrm>
      </xdr:grpSpPr>
      <xdr:sp macro="" textlink="">
        <xdr:nvSpPr>
          <xdr:cNvPr id="15" name="Oval 64"/>
          <xdr:cNvSpPr>
            <a:spLocks noChangeAspect="1" noChangeArrowheads="1"/>
          </xdr:cNvSpPr>
        </xdr:nvSpPr>
        <xdr:spPr bwMode="auto">
          <a:xfrm>
            <a:off x="4433634" y="855809"/>
            <a:ext cx="601200" cy="648000"/>
          </a:xfrm>
          <a:prstGeom prst="ellipse">
            <a:avLst/>
          </a:prstGeom>
          <a:solidFill>
            <a:srgbClr val="C0C0C0"/>
          </a:solidFill>
          <a:ln w="19050">
            <a:solidFill>
              <a:srgbClr val="000000"/>
            </a:solidFill>
            <a:round/>
            <a:headEnd/>
            <a:tailEnd/>
          </a:ln>
        </xdr:spPr>
      </xdr:sp>
      <xdr:sp macro="" textlink="">
        <xdr:nvSpPr>
          <xdr:cNvPr id="16" name="Oval 71"/>
          <xdr:cNvSpPr>
            <a:spLocks noChangeAspect="1" noChangeArrowheads="1"/>
          </xdr:cNvSpPr>
        </xdr:nvSpPr>
        <xdr:spPr bwMode="auto">
          <a:xfrm>
            <a:off x="4714873" y="1336799"/>
            <a:ext cx="43200" cy="46763"/>
          </a:xfrm>
          <a:prstGeom prst="ellipse">
            <a:avLst/>
          </a:prstGeom>
          <a:solidFill>
            <a:srgbClr val="FFFFFF"/>
          </a:solidFill>
          <a:ln w="9525">
            <a:solidFill>
              <a:srgbClr val="000000"/>
            </a:solidFill>
            <a:round/>
            <a:headEnd/>
            <a:tailEnd/>
          </a:ln>
        </xdr:spPr>
      </xdr:sp>
    </xdr:grpSp>
    <xdr:clientData/>
  </xdr:twoCellAnchor>
  <xdr:twoCellAnchor>
    <xdr:from>
      <xdr:col>6</xdr:col>
      <xdr:colOff>96057</xdr:colOff>
      <xdr:row>5</xdr:row>
      <xdr:rowOff>85169</xdr:rowOff>
    </xdr:from>
    <xdr:to>
      <xdr:col>9</xdr:col>
      <xdr:colOff>88869</xdr:colOff>
      <xdr:row>5</xdr:row>
      <xdr:rowOff>661169</xdr:rowOff>
    </xdr:to>
    <xdr:grpSp>
      <xdr:nvGrpSpPr>
        <xdr:cNvPr id="17" name="Group 16"/>
        <xdr:cNvGrpSpPr>
          <a:grpSpLocks noChangeAspect="1"/>
        </xdr:cNvGrpSpPr>
      </xdr:nvGrpSpPr>
      <xdr:grpSpPr>
        <a:xfrm>
          <a:off x="2277282" y="904319"/>
          <a:ext cx="535737" cy="576000"/>
          <a:chOff x="2267951" y="852923"/>
          <a:chExt cx="601200" cy="648000"/>
        </a:xfrm>
      </xdr:grpSpPr>
      <xdr:sp macro="" textlink="">
        <xdr:nvSpPr>
          <xdr:cNvPr id="18" name="Oval 61"/>
          <xdr:cNvSpPr>
            <a:spLocks noChangeAspect="1" noChangeArrowheads="1"/>
          </xdr:cNvSpPr>
        </xdr:nvSpPr>
        <xdr:spPr bwMode="auto">
          <a:xfrm>
            <a:off x="2267951" y="852923"/>
            <a:ext cx="601200" cy="648000"/>
          </a:xfrm>
          <a:prstGeom prst="ellipse">
            <a:avLst/>
          </a:prstGeom>
          <a:solidFill>
            <a:srgbClr val="C0C0C0"/>
          </a:solidFill>
          <a:ln w="19050">
            <a:solidFill>
              <a:srgbClr val="000000"/>
            </a:solidFill>
            <a:round/>
            <a:headEnd/>
            <a:tailEnd/>
          </a:ln>
        </xdr:spPr>
      </xdr:sp>
      <xdr:sp macro="" textlink="">
        <xdr:nvSpPr>
          <xdr:cNvPr id="19" name="Oval 65"/>
          <xdr:cNvSpPr>
            <a:spLocks noChangeAspect="1" noChangeArrowheads="1"/>
          </xdr:cNvSpPr>
        </xdr:nvSpPr>
        <xdr:spPr bwMode="auto">
          <a:xfrm>
            <a:off x="2521752" y="1129706"/>
            <a:ext cx="93600" cy="100206"/>
          </a:xfrm>
          <a:prstGeom prst="ellipse">
            <a:avLst/>
          </a:prstGeom>
          <a:solidFill>
            <a:srgbClr val="FFFFFF"/>
          </a:solidFill>
          <a:ln w="9525">
            <a:solidFill>
              <a:srgbClr val="000000"/>
            </a:solidFill>
            <a:round/>
            <a:headEnd/>
            <a:tailEnd/>
          </a:ln>
        </xdr:spPr>
      </xdr:sp>
      <xdr:sp macro="" textlink="">
        <xdr:nvSpPr>
          <xdr:cNvPr id="20" name="Oval 72"/>
          <xdr:cNvSpPr>
            <a:spLocks noChangeAspect="1" noChangeArrowheads="1"/>
          </xdr:cNvSpPr>
        </xdr:nvSpPr>
        <xdr:spPr bwMode="auto">
          <a:xfrm>
            <a:off x="2549190" y="1296716"/>
            <a:ext cx="43200" cy="46763"/>
          </a:xfrm>
          <a:prstGeom prst="ellipse">
            <a:avLst/>
          </a:prstGeom>
          <a:solidFill>
            <a:srgbClr val="0000FF"/>
          </a:solidFill>
          <a:ln w="9525">
            <a:solidFill>
              <a:srgbClr val="000000"/>
            </a:solidFill>
            <a:round/>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0</xdr:row>
      <xdr:rowOff>28574</xdr:rowOff>
    </xdr:from>
    <xdr:to>
      <xdr:col>6</xdr:col>
      <xdr:colOff>156065</xdr:colOff>
      <xdr:row>2</xdr:row>
      <xdr:rowOff>133349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28574"/>
          <a:ext cx="384664" cy="428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esti-reiting-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lend"/>
      <sheetName val="Üldreiting"/>
      <sheetName val="1"/>
      <sheetName val="2"/>
      <sheetName val="3Mb"/>
      <sheetName val="3M"/>
      <sheetName val="3Nb"/>
      <sheetName val="3Na (2)"/>
      <sheetName val="3N"/>
      <sheetName val="3J"/>
      <sheetName val="3Ja"/>
      <sheetName val="4"/>
      <sheetName val="5"/>
      <sheetName val="6"/>
      <sheetName val="7"/>
      <sheetName val="KV-2"/>
      <sheetName val="KV-F"/>
      <sheetName val="8M"/>
      <sheetName val="8N"/>
      <sheetName val="9"/>
      <sheetName val="10"/>
      <sheetName val="11"/>
      <sheetName val="12"/>
      <sheetName val="Ee-So"/>
      <sheetName val="Juhend"/>
      <sheetName val="Arvestus"/>
      <sheetName val="Punktid"/>
      <sheetName val="Litsentsid"/>
      <sheetName val="KV juhend"/>
      <sheetName val="PEMV"/>
      <sheetName val="P-EV"/>
    </sheetNames>
    <sheetDataSet>
      <sheetData sheetId="0"/>
      <sheetData sheetId="1">
        <row r="1">
          <cell r="M1">
            <v>0</v>
          </cell>
        </row>
        <row r="3">
          <cell r="H3" t="str">
            <v xml:space="preserve">   Rasvases trükis on Ida-Virumaa petankerid</v>
          </cell>
          <cell r="M3">
            <v>0</v>
          </cell>
        </row>
        <row r="4">
          <cell r="H4" t="str">
            <v xml:space="preserve"> </v>
          </cell>
          <cell r="M4" t="str">
            <v xml:space="preserve"> </v>
          </cell>
        </row>
        <row r="5">
          <cell r="H5" t="str">
            <v xml:space="preserve"> </v>
          </cell>
          <cell r="M5" t="str">
            <v xml:space="preserve"> </v>
          </cell>
        </row>
        <row r="6">
          <cell r="H6" t="str">
            <v xml:space="preserve"> </v>
          </cell>
          <cell r="M6" t="str">
            <v>KOKKU</v>
          </cell>
        </row>
        <row r="7">
          <cell r="H7" t="str">
            <v xml:space="preserve"> </v>
          </cell>
          <cell r="M7" t="str">
            <v>Üld</v>
          </cell>
        </row>
        <row r="8">
          <cell r="H8" t="str">
            <v>Võistleja nimi</v>
          </cell>
          <cell r="M8" t="str">
            <v>val1</v>
          </cell>
        </row>
        <row r="9">
          <cell r="H9" t="str">
            <v>Urmo Auväärt</v>
          </cell>
          <cell r="M9">
            <v>1136</v>
          </cell>
        </row>
        <row r="10">
          <cell r="H10" t="str">
            <v>Marek Kolk</v>
          </cell>
          <cell r="M10">
            <v>1081</v>
          </cell>
        </row>
        <row r="11">
          <cell r="H11" t="str">
            <v>Katri Aavekukk</v>
          </cell>
          <cell r="M11">
            <v>1079</v>
          </cell>
        </row>
        <row r="12">
          <cell r="H12" t="str">
            <v>Ruudi Väärtnõu</v>
          </cell>
          <cell r="M12">
            <v>972</v>
          </cell>
        </row>
        <row r="13">
          <cell r="H13" t="str">
            <v>Aigi Orro</v>
          </cell>
          <cell r="M13">
            <v>918.5</v>
          </cell>
        </row>
        <row r="14">
          <cell r="H14" t="str">
            <v>Kalle Orro</v>
          </cell>
          <cell r="M14">
            <v>918.5</v>
          </cell>
        </row>
        <row r="15">
          <cell r="H15" t="str">
            <v>Janek Kiisk</v>
          </cell>
          <cell r="M15">
            <v>863.5</v>
          </cell>
        </row>
        <row r="16">
          <cell r="H16" t="str">
            <v>Varje Reede</v>
          </cell>
          <cell r="M16">
            <v>841</v>
          </cell>
        </row>
        <row r="17">
          <cell r="H17" t="str">
            <v>Silver Kingissepp</v>
          </cell>
          <cell r="M17">
            <v>826</v>
          </cell>
        </row>
        <row r="18">
          <cell r="H18" t="str">
            <v>Margus Berkmann</v>
          </cell>
          <cell r="M18">
            <v>796.5</v>
          </cell>
        </row>
        <row r="19">
          <cell r="H19" t="str">
            <v>Maive Sein</v>
          </cell>
          <cell r="M19">
            <v>785</v>
          </cell>
        </row>
        <row r="20">
          <cell r="H20" t="str">
            <v>Andero Kelu</v>
          </cell>
          <cell r="M20">
            <v>775</v>
          </cell>
        </row>
        <row r="21">
          <cell r="H21" t="str">
            <v>Marge Mägi</v>
          </cell>
          <cell r="M21">
            <v>745</v>
          </cell>
        </row>
        <row r="22">
          <cell r="H22" t="str">
            <v>Mare Kingissepp</v>
          </cell>
          <cell r="M22">
            <v>726</v>
          </cell>
        </row>
        <row r="23">
          <cell r="H23" t="str">
            <v>Kaido Kopel</v>
          </cell>
          <cell r="M23">
            <v>720</v>
          </cell>
        </row>
        <row r="24">
          <cell r="H24" t="str">
            <v>Kevin Sten Liik</v>
          </cell>
          <cell r="M24">
            <v>715</v>
          </cell>
        </row>
        <row r="25">
          <cell r="H25" t="str">
            <v>Aimar Poom</v>
          </cell>
          <cell r="M25">
            <v>701</v>
          </cell>
        </row>
        <row r="26">
          <cell r="H26" t="str">
            <v>Ivar Viljaste</v>
          </cell>
          <cell r="M26">
            <v>695</v>
          </cell>
        </row>
        <row r="27">
          <cell r="H27" t="str">
            <v>Margo Peebo</v>
          </cell>
          <cell r="M27">
            <v>658</v>
          </cell>
        </row>
        <row r="28">
          <cell r="H28" t="str">
            <v>Kertu Palm</v>
          </cell>
          <cell r="M28">
            <v>627</v>
          </cell>
        </row>
        <row r="29">
          <cell r="H29" t="str">
            <v>Jaan Joonas</v>
          </cell>
          <cell r="M29">
            <v>612</v>
          </cell>
        </row>
        <row r="30">
          <cell r="H30" t="str">
            <v>Elmo Lageda</v>
          </cell>
          <cell r="M30">
            <v>606</v>
          </cell>
        </row>
        <row r="31">
          <cell r="H31" t="str">
            <v>Kalju Olmre</v>
          </cell>
          <cell r="M31">
            <v>600</v>
          </cell>
        </row>
        <row r="32">
          <cell r="H32" t="str">
            <v>Külli Kariste</v>
          </cell>
          <cell r="M32">
            <v>593</v>
          </cell>
        </row>
        <row r="33">
          <cell r="H33" t="str">
            <v>Valmar Pantšenko</v>
          </cell>
          <cell r="M33">
            <v>580</v>
          </cell>
        </row>
        <row r="34">
          <cell r="H34" t="str">
            <v>Kenneth Muusikus</v>
          </cell>
          <cell r="M34">
            <v>555</v>
          </cell>
        </row>
        <row r="35">
          <cell r="H35" t="str">
            <v>Veiko Proos</v>
          </cell>
          <cell r="M35">
            <v>554.5</v>
          </cell>
        </row>
        <row r="36">
          <cell r="H36" t="str">
            <v>Aivar Sein</v>
          </cell>
          <cell r="M36">
            <v>546</v>
          </cell>
        </row>
        <row r="37">
          <cell r="H37" t="str">
            <v>Maris Rõõm</v>
          </cell>
          <cell r="M37">
            <v>542</v>
          </cell>
        </row>
        <row r="38">
          <cell r="H38" t="str">
            <v>Merike Aava</v>
          </cell>
          <cell r="M38">
            <v>536</v>
          </cell>
        </row>
        <row r="39">
          <cell r="H39" t="str">
            <v>Meelis Münt</v>
          </cell>
          <cell r="M39">
            <v>511</v>
          </cell>
        </row>
        <row r="40">
          <cell r="H40" t="str">
            <v>Hardo Sokk</v>
          </cell>
          <cell r="M40">
            <v>510</v>
          </cell>
        </row>
        <row r="41">
          <cell r="H41" t="str">
            <v>Kadri Arunurm</v>
          </cell>
          <cell r="M41">
            <v>509</v>
          </cell>
        </row>
        <row r="42">
          <cell r="H42" t="str">
            <v>Mait Metsla</v>
          </cell>
          <cell r="M42">
            <v>502</v>
          </cell>
        </row>
        <row r="43">
          <cell r="H43" t="str">
            <v>Ülo Piik</v>
          </cell>
          <cell r="M43">
            <v>489</v>
          </cell>
        </row>
        <row r="44">
          <cell r="H44" t="str">
            <v>Toomas Hoole</v>
          </cell>
          <cell r="M44">
            <v>468</v>
          </cell>
        </row>
        <row r="45">
          <cell r="H45" t="str">
            <v>Marju Velga</v>
          </cell>
          <cell r="M45">
            <v>453</v>
          </cell>
        </row>
        <row r="46">
          <cell r="H46" t="str">
            <v>Svetlana Veski</v>
          </cell>
          <cell r="M46">
            <v>401.5</v>
          </cell>
        </row>
        <row r="47">
          <cell r="H47" t="str">
            <v>Johannes Neiland</v>
          </cell>
          <cell r="M47">
            <v>397</v>
          </cell>
        </row>
        <row r="48">
          <cell r="H48" t="str">
            <v>Egert Kingissepp</v>
          </cell>
          <cell r="M48">
            <v>386</v>
          </cell>
        </row>
        <row r="49">
          <cell r="H49" t="str">
            <v>Jaan Sepp</v>
          </cell>
          <cell r="M49">
            <v>386</v>
          </cell>
        </row>
        <row r="50">
          <cell r="H50" t="str">
            <v>Marta Ruus</v>
          </cell>
          <cell r="M50">
            <v>371</v>
          </cell>
        </row>
        <row r="51">
          <cell r="H51" t="str">
            <v>Kadri Veljend</v>
          </cell>
          <cell r="M51">
            <v>361</v>
          </cell>
        </row>
        <row r="52">
          <cell r="H52" t="str">
            <v>Tõnis Neiland</v>
          </cell>
          <cell r="M52">
            <v>345</v>
          </cell>
        </row>
        <row r="53">
          <cell r="H53" t="str">
            <v>Marek Lehis</v>
          </cell>
          <cell r="M53">
            <v>332.5</v>
          </cell>
        </row>
        <row r="54">
          <cell r="H54" t="str">
            <v>Andres Veski</v>
          </cell>
          <cell r="M54">
            <v>320.5</v>
          </cell>
        </row>
        <row r="55">
          <cell r="H55" t="str">
            <v>Alari Keedus</v>
          </cell>
          <cell r="M55">
            <v>320</v>
          </cell>
        </row>
        <row r="56">
          <cell r="H56" t="str">
            <v>Toomas Tauk</v>
          </cell>
          <cell r="M56">
            <v>317</v>
          </cell>
        </row>
        <row r="57">
          <cell r="H57" t="str">
            <v>Allar Elerand</v>
          </cell>
          <cell r="M57">
            <v>293</v>
          </cell>
        </row>
        <row r="58">
          <cell r="H58" t="str">
            <v>Toomas Reede</v>
          </cell>
          <cell r="M58">
            <v>287</v>
          </cell>
        </row>
        <row r="59">
          <cell r="H59" t="str">
            <v>Jelena Brakina</v>
          </cell>
          <cell r="M59">
            <v>276</v>
          </cell>
        </row>
        <row r="60">
          <cell r="H60" t="str">
            <v>Kevin Kangur</v>
          </cell>
          <cell r="M60">
            <v>274</v>
          </cell>
        </row>
        <row r="61">
          <cell r="H61" t="str">
            <v>Danel Pilv</v>
          </cell>
          <cell r="M61">
            <v>258</v>
          </cell>
        </row>
        <row r="62">
          <cell r="H62" t="str">
            <v>Aigar Lusbo</v>
          </cell>
          <cell r="M62">
            <v>250</v>
          </cell>
        </row>
        <row r="63">
          <cell r="H63" t="str">
            <v>Irene Võrklaev</v>
          </cell>
          <cell r="M63">
            <v>248</v>
          </cell>
        </row>
        <row r="64">
          <cell r="H64" t="str">
            <v>Mihkel Filipenko</v>
          </cell>
          <cell r="M64">
            <v>245</v>
          </cell>
        </row>
        <row r="65">
          <cell r="H65" t="str">
            <v>Oskar Sepp</v>
          </cell>
          <cell r="M65">
            <v>241</v>
          </cell>
        </row>
        <row r="66">
          <cell r="H66" t="str">
            <v>Tanel Vähk</v>
          </cell>
          <cell r="M66">
            <v>231</v>
          </cell>
        </row>
        <row r="67">
          <cell r="H67" t="str">
            <v>Henri Mitt</v>
          </cell>
          <cell r="M67">
            <v>227</v>
          </cell>
        </row>
        <row r="68">
          <cell r="H68" t="str">
            <v>Marina Vallik</v>
          </cell>
          <cell r="M68">
            <v>208</v>
          </cell>
        </row>
        <row r="69">
          <cell r="H69" t="str">
            <v>Aarne Välja</v>
          </cell>
          <cell r="M69">
            <v>205</v>
          </cell>
        </row>
        <row r="70">
          <cell r="H70" t="str">
            <v>Piret Kopel</v>
          </cell>
          <cell r="M70">
            <v>201</v>
          </cell>
        </row>
        <row r="71">
          <cell r="H71" t="str">
            <v>Harry Lusbo</v>
          </cell>
          <cell r="M71">
            <v>188</v>
          </cell>
        </row>
        <row r="72">
          <cell r="H72" t="str">
            <v>Arvi Palla</v>
          </cell>
          <cell r="M72">
            <v>186</v>
          </cell>
        </row>
        <row r="73">
          <cell r="H73" t="str">
            <v>Mati Rõõm</v>
          </cell>
          <cell r="M73">
            <v>182</v>
          </cell>
        </row>
        <row r="74">
          <cell r="H74" t="str">
            <v>Mihkel Lillemets</v>
          </cell>
          <cell r="M74">
            <v>182</v>
          </cell>
        </row>
        <row r="75">
          <cell r="H75" t="str">
            <v>Janek Tarto</v>
          </cell>
          <cell r="M75">
            <v>181</v>
          </cell>
        </row>
        <row r="76">
          <cell r="H76" t="str">
            <v>Anti Alasi</v>
          </cell>
          <cell r="M76">
            <v>178</v>
          </cell>
        </row>
        <row r="77">
          <cell r="H77" t="str">
            <v>Matti Vinni</v>
          </cell>
          <cell r="M77">
            <v>174</v>
          </cell>
        </row>
        <row r="78">
          <cell r="H78" t="str">
            <v>Vahur Raudsepp</v>
          </cell>
          <cell r="M78">
            <v>167</v>
          </cell>
        </row>
        <row r="79">
          <cell r="H79" t="str">
            <v>Kaarel Mikk</v>
          </cell>
          <cell r="M79">
            <v>165</v>
          </cell>
        </row>
        <row r="80">
          <cell r="H80" t="str">
            <v>Marika Poom</v>
          </cell>
          <cell r="M80">
            <v>163</v>
          </cell>
        </row>
        <row r="81">
          <cell r="H81" t="str">
            <v>Sirje Viljaste</v>
          </cell>
          <cell r="M81">
            <v>160</v>
          </cell>
        </row>
        <row r="82">
          <cell r="H82" t="str">
            <v>Triin Gretel Tauk</v>
          </cell>
          <cell r="M82">
            <v>160</v>
          </cell>
        </row>
        <row r="83">
          <cell r="H83" t="str">
            <v>Angelika Tauk</v>
          </cell>
          <cell r="M83">
            <v>159</v>
          </cell>
        </row>
        <row r="84">
          <cell r="H84" t="str">
            <v>Mihkel Palk</v>
          </cell>
          <cell r="M84">
            <v>151</v>
          </cell>
        </row>
        <row r="85">
          <cell r="H85" t="str">
            <v>Alar Sinimäe</v>
          </cell>
          <cell r="M85">
            <v>149</v>
          </cell>
        </row>
        <row r="86">
          <cell r="H86" t="str">
            <v>Robert Schmidt</v>
          </cell>
          <cell r="M86">
            <v>138</v>
          </cell>
        </row>
        <row r="87">
          <cell r="H87" t="str">
            <v>Endla Antsve</v>
          </cell>
          <cell r="M87">
            <v>136</v>
          </cell>
        </row>
        <row r="88">
          <cell r="H88" t="str">
            <v>Kaur Kangur</v>
          </cell>
          <cell r="M88">
            <v>135</v>
          </cell>
        </row>
        <row r="89">
          <cell r="H89" t="str">
            <v>Uku Kollom</v>
          </cell>
          <cell r="M89">
            <v>133</v>
          </cell>
        </row>
        <row r="90">
          <cell r="H90" t="str">
            <v>Ott Karl Kopel</v>
          </cell>
          <cell r="M90">
            <v>127</v>
          </cell>
        </row>
        <row r="91">
          <cell r="H91" t="str">
            <v>Markus Erik Tommula</v>
          </cell>
          <cell r="M91">
            <v>118</v>
          </cell>
        </row>
        <row r="92">
          <cell r="H92" t="str">
            <v>Arti Lindvest</v>
          </cell>
          <cell r="M92">
            <v>118</v>
          </cell>
        </row>
        <row r="93">
          <cell r="H93" t="str">
            <v>Eve Oidsalu</v>
          </cell>
          <cell r="M93">
            <v>115</v>
          </cell>
        </row>
        <row r="94">
          <cell r="H94" t="str">
            <v>Peep Peenema</v>
          </cell>
          <cell r="M94">
            <v>110</v>
          </cell>
        </row>
        <row r="95">
          <cell r="H95" t="str">
            <v>Jaan Lüitsepp</v>
          </cell>
          <cell r="M95">
            <v>105</v>
          </cell>
        </row>
        <row r="96">
          <cell r="H96" t="str">
            <v>Lemmit Toomra</v>
          </cell>
          <cell r="M96">
            <v>105</v>
          </cell>
        </row>
        <row r="97">
          <cell r="H97" t="str">
            <v>Kristjan Raudsepp</v>
          </cell>
          <cell r="M97">
            <v>104</v>
          </cell>
        </row>
        <row r="98">
          <cell r="H98" t="str">
            <v>Indrek Vaho</v>
          </cell>
          <cell r="M98">
            <v>100</v>
          </cell>
        </row>
        <row r="99">
          <cell r="H99" t="str">
            <v>Sebastien Schang</v>
          </cell>
          <cell r="M99">
            <v>97</v>
          </cell>
        </row>
        <row r="100">
          <cell r="H100" t="str">
            <v>Andrus Tommula</v>
          </cell>
          <cell r="M100">
            <v>96</v>
          </cell>
        </row>
        <row r="101">
          <cell r="H101" t="str">
            <v>Tiit Kattai</v>
          </cell>
          <cell r="M101">
            <v>90</v>
          </cell>
        </row>
        <row r="102">
          <cell r="H102" t="str">
            <v>Ljudmila Varendi</v>
          </cell>
          <cell r="M102">
            <v>90</v>
          </cell>
        </row>
        <row r="103">
          <cell r="H103" t="str">
            <v>Viktor Švarõgin</v>
          </cell>
          <cell r="M103">
            <v>90</v>
          </cell>
        </row>
        <row r="104">
          <cell r="H104" t="str">
            <v>Igor Kostin</v>
          </cell>
          <cell r="M104">
            <v>84</v>
          </cell>
        </row>
        <row r="105">
          <cell r="H105" t="str">
            <v>Jelena Tjurina</v>
          </cell>
          <cell r="M105">
            <v>84</v>
          </cell>
        </row>
        <row r="106">
          <cell r="H106" t="str">
            <v>Urmas Berkmann</v>
          </cell>
          <cell r="M106">
            <v>84</v>
          </cell>
        </row>
        <row r="107">
          <cell r="H107" t="str">
            <v>Katrin Tiido</v>
          </cell>
          <cell r="M107">
            <v>79</v>
          </cell>
        </row>
        <row r="108">
          <cell r="H108" t="str">
            <v>Märten Aardevälja</v>
          </cell>
          <cell r="M108">
            <v>79</v>
          </cell>
        </row>
        <row r="109">
          <cell r="H109" t="str">
            <v>Siim Oks</v>
          </cell>
          <cell r="M109">
            <v>79</v>
          </cell>
        </row>
        <row r="110">
          <cell r="H110" t="str">
            <v>Tõnu Sõrmus</v>
          </cell>
          <cell r="M110">
            <v>78</v>
          </cell>
        </row>
        <row r="111">
          <cell r="H111" t="str">
            <v>Viljar Kerb</v>
          </cell>
          <cell r="M111">
            <v>78</v>
          </cell>
        </row>
        <row r="112">
          <cell r="H112" t="str">
            <v>Jaanus Otsman</v>
          </cell>
          <cell r="M112">
            <v>75</v>
          </cell>
        </row>
        <row r="113">
          <cell r="H113" t="str">
            <v>Vello Pluum</v>
          </cell>
          <cell r="M113">
            <v>70</v>
          </cell>
        </row>
        <row r="114">
          <cell r="H114" t="str">
            <v>Thibaut Sergeï Mathon</v>
          </cell>
          <cell r="M114">
            <v>69</v>
          </cell>
        </row>
        <row r="115">
          <cell r="H115" t="str">
            <v>Ülo Luuka</v>
          </cell>
          <cell r="M115">
            <v>69</v>
          </cell>
        </row>
        <row r="116">
          <cell r="H116" t="str">
            <v>Karla Purgats</v>
          </cell>
          <cell r="M116">
            <v>65</v>
          </cell>
        </row>
        <row r="117">
          <cell r="H117" t="str">
            <v>Boriss Klubov</v>
          </cell>
          <cell r="M117">
            <v>64</v>
          </cell>
        </row>
        <row r="118">
          <cell r="H118" t="str">
            <v>Tõnu Haga</v>
          </cell>
          <cell r="M118">
            <v>64</v>
          </cell>
        </row>
        <row r="119">
          <cell r="H119" t="str">
            <v>Vello Vasser</v>
          </cell>
          <cell r="M119">
            <v>64</v>
          </cell>
        </row>
        <row r="120">
          <cell r="H120" t="str">
            <v>Margus Strööm</v>
          </cell>
          <cell r="M120">
            <v>61</v>
          </cell>
        </row>
        <row r="121">
          <cell r="H121" t="str">
            <v>Martha Aavisto</v>
          </cell>
          <cell r="M121">
            <v>60</v>
          </cell>
        </row>
        <row r="122">
          <cell r="H122" t="str">
            <v>Enn Laanemäe</v>
          </cell>
          <cell r="M122">
            <v>56</v>
          </cell>
        </row>
        <row r="123">
          <cell r="H123" t="str">
            <v>Margus Külaviir</v>
          </cell>
          <cell r="M123">
            <v>56</v>
          </cell>
        </row>
        <row r="124">
          <cell r="H124" t="str">
            <v>Ruti Loid</v>
          </cell>
          <cell r="M124">
            <v>56</v>
          </cell>
        </row>
        <row r="125">
          <cell r="H125" t="str">
            <v>Argo Sepp</v>
          </cell>
          <cell r="M125">
            <v>53</v>
          </cell>
        </row>
        <row r="126">
          <cell r="H126" t="str">
            <v>Enn Kivisaar</v>
          </cell>
          <cell r="M126">
            <v>52</v>
          </cell>
        </row>
        <row r="127">
          <cell r="H127" t="str">
            <v>Enn Tõppan</v>
          </cell>
          <cell r="M127">
            <v>52</v>
          </cell>
        </row>
        <row r="128">
          <cell r="H128" t="str">
            <v>Peeter Zirk</v>
          </cell>
          <cell r="M128">
            <v>52</v>
          </cell>
        </row>
        <row r="129">
          <cell r="H129" t="str">
            <v>Vladimir Ogneštšikov</v>
          </cell>
          <cell r="M129">
            <v>50</v>
          </cell>
        </row>
        <row r="130">
          <cell r="H130" t="str">
            <v>Brigitta Neiland</v>
          </cell>
          <cell r="M130">
            <v>49</v>
          </cell>
        </row>
        <row r="131">
          <cell r="H131" t="str">
            <v>Marko Neemelaik</v>
          </cell>
          <cell r="M131">
            <v>49</v>
          </cell>
        </row>
        <row r="132">
          <cell r="H132" t="str">
            <v>Tiit Palk</v>
          </cell>
          <cell r="M132">
            <v>47</v>
          </cell>
        </row>
        <row r="133">
          <cell r="H133" t="str">
            <v>Tõnu Piik</v>
          </cell>
          <cell r="M133">
            <v>43</v>
          </cell>
        </row>
        <row r="134">
          <cell r="H134" t="str">
            <v>Veiko Mäekivi</v>
          </cell>
          <cell r="M134">
            <v>43</v>
          </cell>
        </row>
        <row r="135">
          <cell r="H135" t="str">
            <v>Peeter Mäeots</v>
          </cell>
          <cell r="M135">
            <v>42</v>
          </cell>
        </row>
        <row r="136">
          <cell r="H136" t="str">
            <v>Oksana Sažina</v>
          </cell>
          <cell r="M136">
            <v>29</v>
          </cell>
        </row>
        <row r="137">
          <cell r="H137" t="str">
            <v>Oleg Rõndenkov</v>
          </cell>
          <cell r="M137">
            <v>21</v>
          </cell>
        </row>
        <row r="138">
          <cell r="H138" t="str">
            <v>Einar Juhkam</v>
          </cell>
          <cell r="M138">
            <v>19</v>
          </cell>
        </row>
        <row r="139">
          <cell r="H139" t="str">
            <v>Grettel Kiho</v>
          </cell>
          <cell r="M139">
            <v>10</v>
          </cell>
        </row>
        <row r="140">
          <cell r="H140" t="str">
            <v>Peep Puiestik</v>
          </cell>
          <cell r="M140">
            <v>10</v>
          </cell>
        </row>
        <row r="141">
          <cell r="H141" t="str">
            <v>Heigo Kullang</v>
          </cell>
          <cell r="M141">
            <v>2</v>
          </cell>
        </row>
        <row r="142">
          <cell r="H142" t="str">
            <v>Andrus Treiman</v>
          </cell>
          <cell r="M142">
            <v>1</v>
          </cell>
        </row>
        <row r="143">
          <cell r="H143" t="str">
            <v>Anne Sillamaa</v>
          </cell>
          <cell r="M143">
            <v>1</v>
          </cell>
        </row>
        <row r="144">
          <cell r="H144" t="str">
            <v>Anu Uusio</v>
          </cell>
          <cell r="M144">
            <v>1</v>
          </cell>
        </row>
        <row r="145">
          <cell r="H145" t="str">
            <v>Ilmar Vainsalu</v>
          </cell>
          <cell r="M145">
            <v>1</v>
          </cell>
        </row>
        <row r="146">
          <cell r="H146" t="str">
            <v>Ingar Mäesalu</v>
          </cell>
          <cell r="M146">
            <v>1</v>
          </cell>
        </row>
        <row r="147">
          <cell r="H147" t="str">
            <v>Kaido Antsve</v>
          </cell>
          <cell r="M147">
            <v>1</v>
          </cell>
        </row>
        <row r="148">
          <cell r="H148" t="str">
            <v>Kati Nieminen</v>
          </cell>
          <cell r="M148">
            <v>1</v>
          </cell>
        </row>
        <row r="149">
          <cell r="H149" t="str">
            <v>Katrin Lember</v>
          </cell>
          <cell r="M149">
            <v>1</v>
          </cell>
        </row>
        <row r="150">
          <cell r="H150" t="str">
            <v>Kristo Viljaste</v>
          </cell>
          <cell r="M150">
            <v>1</v>
          </cell>
        </row>
        <row r="151">
          <cell r="H151" t="str">
            <v>Marko Ode</v>
          </cell>
          <cell r="M151">
            <v>1</v>
          </cell>
        </row>
        <row r="152">
          <cell r="H152" t="str">
            <v>Mati Tapo</v>
          </cell>
          <cell r="M152">
            <v>1</v>
          </cell>
        </row>
        <row r="153">
          <cell r="H153" t="str">
            <v>Merike Lusbo</v>
          </cell>
          <cell r="M153">
            <v>1</v>
          </cell>
        </row>
        <row r="154">
          <cell r="H154" t="str">
            <v>Piibe Kerge</v>
          </cell>
          <cell r="M154">
            <v>1</v>
          </cell>
        </row>
        <row r="155">
          <cell r="H155" t="str">
            <v>Rutt Voldek</v>
          </cell>
          <cell r="M155">
            <v>1</v>
          </cell>
        </row>
        <row r="156">
          <cell r="H156" t="str">
            <v>Tõnu Kapper</v>
          </cell>
          <cell r="M156">
            <v>1</v>
          </cell>
        </row>
        <row r="157">
          <cell r="H157" t="str">
            <v>Vallo Sillamaa</v>
          </cell>
          <cell r="M157">
            <v>1</v>
          </cell>
        </row>
        <row r="158">
          <cell r="H158" t="str">
            <v>Vello Sillasoo</v>
          </cell>
          <cell r="M158">
            <v>1</v>
          </cell>
        </row>
        <row r="159">
          <cell r="H159" t="str">
            <v>Agita Lejniece (Läti)</v>
          </cell>
          <cell r="M159">
            <v>0</v>
          </cell>
        </row>
        <row r="160">
          <cell r="H160" t="str">
            <v>Airi Kruusma</v>
          </cell>
          <cell r="M160">
            <v>0</v>
          </cell>
        </row>
        <row r="161">
          <cell r="H161" t="str">
            <v>Alex Lember</v>
          </cell>
          <cell r="M161">
            <v>0</v>
          </cell>
        </row>
        <row r="162">
          <cell r="H162" t="str">
            <v>Andres Pebre</v>
          </cell>
          <cell r="M162">
            <v>0</v>
          </cell>
        </row>
        <row r="163">
          <cell r="H163" t="str">
            <v>Anna Liisa Kattai</v>
          </cell>
          <cell r="M163">
            <v>0</v>
          </cell>
        </row>
        <row r="164">
          <cell r="H164" t="str">
            <v>Anneli Kattai</v>
          </cell>
          <cell r="M164">
            <v>0</v>
          </cell>
        </row>
        <row r="165">
          <cell r="H165" t="str">
            <v>Anny Lusbo</v>
          </cell>
          <cell r="M165">
            <v>0</v>
          </cell>
        </row>
        <row r="166">
          <cell r="H166" t="str">
            <v>Eeva Liisa Perttula (Soome)</v>
          </cell>
          <cell r="M166">
            <v>0</v>
          </cell>
        </row>
        <row r="167">
          <cell r="H167" t="str">
            <v>Egils Lejnieks (Läti)</v>
          </cell>
          <cell r="M167">
            <v>0</v>
          </cell>
        </row>
        <row r="168">
          <cell r="H168" t="str">
            <v>Eve Müüdla</v>
          </cell>
          <cell r="M168">
            <v>0</v>
          </cell>
        </row>
        <row r="169">
          <cell r="H169" t="str">
            <v>Eve Tõnisson</v>
          </cell>
          <cell r="M169">
            <v>0</v>
          </cell>
        </row>
        <row r="170">
          <cell r="H170" t="str">
            <v>Evgeny Osokin (Venemaa)</v>
          </cell>
          <cell r="M170">
            <v>0</v>
          </cell>
        </row>
        <row r="171">
          <cell r="H171" t="str">
            <v>Gunnar Hiiu</v>
          </cell>
          <cell r="M171">
            <v>0</v>
          </cell>
        </row>
        <row r="172">
          <cell r="H172" t="str">
            <v>Gunnar Usin</v>
          </cell>
          <cell r="M172">
            <v>0</v>
          </cell>
        </row>
        <row r="173">
          <cell r="H173" t="str">
            <v>Hannes Lõps</v>
          </cell>
          <cell r="M173">
            <v>0</v>
          </cell>
        </row>
        <row r="174">
          <cell r="H174" t="str">
            <v xml:space="preserve">Heili Vasser </v>
          </cell>
          <cell r="M174">
            <v>0</v>
          </cell>
        </row>
        <row r="175">
          <cell r="H175" t="str">
            <v>Helle Siidla</v>
          </cell>
          <cell r="M175">
            <v>0</v>
          </cell>
        </row>
        <row r="176">
          <cell r="H176" t="str">
            <v>Jaanus Kasper</v>
          </cell>
          <cell r="M176">
            <v>0</v>
          </cell>
        </row>
        <row r="177">
          <cell r="H177" t="str">
            <v>Janek Kangur</v>
          </cell>
          <cell r="M177">
            <v>0</v>
          </cell>
        </row>
        <row r="178">
          <cell r="H178" t="str">
            <v>Joonas Tohert</v>
          </cell>
          <cell r="M178">
            <v>0</v>
          </cell>
        </row>
        <row r="179">
          <cell r="H179" t="str">
            <v xml:space="preserve">Katri Aavekukk </v>
          </cell>
          <cell r="M179">
            <v>0</v>
          </cell>
        </row>
        <row r="180">
          <cell r="H180" t="str">
            <v>Klavdia Piik</v>
          </cell>
          <cell r="M180">
            <v>0</v>
          </cell>
        </row>
        <row r="181">
          <cell r="H181" t="str">
            <v xml:space="preserve">Ljudmila Varendi </v>
          </cell>
          <cell r="M181">
            <v>0</v>
          </cell>
        </row>
        <row r="182">
          <cell r="H182" t="str">
            <v>Maret Arike</v>
          </cell>
          <cell r="M182">
            <v>0</v>
          </cell>
        </row>
        <row r="183">
          <cell r="H183" t="str">
            <v>Margus Limberg</v>
          </cell>
          <cell r="M183">
            <v>0</v>
          </cell>
        </row>
        <row r="184">
          <cell r="H184" t="str">
            <v>Margus Vasser</v>
          </cell>
          <cell r="M184">
            <v>0</v>
          </cell>
        </row>
        <row r="185">
          <cell r="H185" t="str">
            <v>Marita Salomäki (Soome)</v>
          </cell>
          <cell r="M185">
            <v>0</v>
          </cell>
        </row>
        <row r="186">
          <cell r="H186" t="str">
            <v>Mauno Mill</v>
          </cell>
          <cell r="M186">
            <v>0</v>
          </cell>
        </row>
        <row r="187">
          <cell r="H187" t="str">
            <v>Nikolai Palkin</v>
          </cell>
          <cell r="M187">
            <v>0</v>
          </cell>
        </row>
        <row r="188">
          <cell r="H188" t="str">
            <v>Olga Malyarenko (Ukraina)</v>
          </cell>
          <cell r="M188">
            <v>0</v>
          </cell>
        </row>
        <row r="189">
          <cell r="H189" t="str">
            <v>Pentti Leppänen (Soome)</v>
          </cell>
          <cell r="M189">
            <v>0</v>
          </cell>
        </row>
        <row r="190">
          <cell r="H190" t="str">
            <v>Priit Koppel</v>
          </cell>
          <cell r="M190">
            <v>0</v>
          </cell>
        </row>
        <row r="191">
          <cell r="H191" t="str">
            <v>Roman Olmre</v>
          </cell>
          <cell r="M191">
            <v>0</v>
          </cell>
        </row>
        <row r="192">
          <cell r="H192" t="str">
            <v>Romek Tarto</v>
          </cell>
          <cell r="M192">
            <v>0</v>
          </cell>
        </row>
        <row r="193">
          <cell r="H193" t="str">
            <v>Sari Muko (Soome)</v>
          </cell>
          <cell r="M193">
            <v>0</v>
          </cell>
        </row>
        <row r="194">
          <cell r="H194" t="str">
            <v>Siiri Baranova</v>
          </cell>
          <cell r="M194">
            <v>0</v>
          </cell>
        </row>
        <row r="195">
          <cell r="H195" t="str">
            <v>Sille-Liisi Eving</v>
          </cell>
          <cell r="M195">
            <v>0</v>
          </cell>
        </row>
        <row r="196">
          <cell r="H196" t="str">
            <v>Tapio Salomäki (Soome)</v>
          </cell>
          <cell r="M196">
            <v>0</v>
          </cell>
        </row>
        <row r="197">
          <cell r="H197" t="str">
            <v>Triin Mäe</v>
          </cell>
          <cell r="M197">
            <v>0</v>
          </cell>
        </row>
        <row r="198">
          <cell r="H198" t="str">
            <v>Tuula Hallikainen (Soome)</v>
          </cell>
          <cell r="M198">
            <v>0</v>
          </cell>
        </row>
        <row r="199">
          <cell r="H199" t="str">
            <v>Uudo Blaasen</v>
          </cell>
          <cell r="M199">
            <v>0</v>
          </cell>
        </row>
        <row r="200">
          <cell r="H200" t="str">
            <v>Vahur Soover</v>
          </cell>
          <cell r="M200">
            <v>0</v>
          </cell>
        </row>
        <row r="201">
          <cell r="H201" t="str">
            <v>Ville Liimatainen (Soome)</v>
          </cell>
          <cell r="M201">
            <v>0</v>
          </cell>
        </row>
        <row r="202">
          <cell r="H202" t="str">
            <v>Osalejaid</v>
          </cell>
          <cell r="M202">
            <v>0</v>
          </cell>
        </row>
        <row r="203">
          <cell r="H203" t="str">
            <v>Võistkondi</v>
          </cell>
          <cell r="M20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P53"/>
  <sheetViews>
    <sheetView showGridLines="0" showRowColHeaders="0" zoomScaleNormal="100" workbookViewId="0">
      <pane ySplit="3" topLeftCell="A4" activePane="bottomLeft" state="frozen"/>
      <selection pane="bottomLeft" activeCell="I1" sqref="I1"/>
    </sheetView>
  </sheetViews>
  <sheetFormatPr defaultRowHeight="12.75" x14ac:dyDescent="0.2"/>
  <cols>
    <col min="1" max="1" width="12.5703125" style="13" customWidth="1"/>
    <col min="2" max="2" width="5.5703125" style="13" customWidth="1"/>
    <col min="3" max="3" width="26.42578125" style="13" customWidth="1"/>
    <col min="4" max="4" width="8.28515625" style="13" customWidth="1"/>
    <col min="5" max="5" width="6" style="13" customWidth="1"/>
    <col min="6" max="6" width="15.5703125" style="13" customWidth="1"/>
    <col min="7" max="7" width="14.85546875" style="13" customWidth="1"/>
    <col min="8" max="8" width="4.5703125" style="13" customWidth="1"/>
    <col min="9" max="9" width="5" style="13" customWidth="1"/>
    <col min="10" max="16384" width="9.140625" style="13"/>
  </cols>
  <sheetData>
    <row r="1" spans="1:10" x14ac:dyDescent="0.2">
      <c r="A1" s="8"/>
      <c r="B1" s="8"/>
      <c r="C1" s="401" t="s">
        <v>380</v>
      </c>
      <c r="D1" s="8"/>
      <c r="E1" s="8"/>
      <c r="F1" s="9" t="str">
        <f>HYPERLINK("","")</f>
        <v/>
      </c>
      <c r="G1" s="12"/>
      <c r="H1" s="11" t="s">
        <v>635</v>
      </c>
      <c r="I1" s="12"/>
    </row>
    <row r="2" spans="1:10" x14ac:dyDescent="0.2">
      <c r="A2" s="8"/>
      <c r="B2" s="8"/>
      <c r="C2" s="8"/>
      <c r="D2" s="8"/>
      <c r="E2" s="8"/>
      <c r="F2" s="10"/>
      <c r="G2" s="12"/>
      <c r="H2" s="12"/>
      <c r="I2" s="402"/>
    </row>
    <row r="3" spans="1:10" ht="13.5" thickBot="1" x14ac:dyDescent="0.25">
      <c r="A3" s="403" t="s">
        <v>0</v>
      </c>
      <c r="B3" s="403" t="s">
        <v>1</v>
      </c>
      <c r="C3" s="404" t="s">
        <v>2</v>
      </c>
      <c r="D3" s="404" t="s">
        <v>3</v>
      </c>
      <c r="E3" s="404" t="s">
        <v>4</v>
      </c>
      <c r="F3" s="404" t="s">
        <v>5</v>
      </c>
      <c r="G3" s="404" t="s">
        <v>6</v>
      </c>
      <c r="H3" s="404" t="s">
        <v>395</v>
      </c>
      <c r="I3" s="404" t="s">
        <v>8</v>
      </c>
    </row>
    <row r="4" spans="1:10" ht="13.5" thickBot="1" x14ac:dyDescent="0.25">
      <c r="A4" s="405" t="s">
        <v>373</v>
      </c>
      <c r="B4" s="406"/>
      <c r="C4" s="8"/>
      <c r="D4" s="8"/>
      <c r="E4" s="8"/>
      <c r="F4" s="8"/>
      <c r="G4" s="8"/>
      <c r="H4" s="407"/>
      <c r="I4" s="8"/>
    </row>
    <row r="5" spans="1:10" x14ac:dyDescent="0.2">
      <c r="A5" s="408" t="s">
        <v>390</v>
      </c>
      <c r="B5" s="408" t="s">
        <v>10</v>
      </c>
      <c r="C5" s="409" t="s">
        <v>392</v>
      </c>
      <c r="D5" s="409" t="s">
        <v>11</v>
      </c>
      <c r="E5" s="410" t="str">
        <f>HYPERLINK("#1!A5","1")</f>
        <v>1</v>
      </c>
      <c r="F5" s="411" t="str">
        <f>HYPERLINK("https://kaart.delfi.ee/?bookmark=521b80d6ceeefbe3e5d227267242b206","K-Järve spordihoone")</f>
        <v>K-Järve spordihoone</v>
      </c>
      <c r="G5" s="412" t="s">
        <v>12</v>
      </c>
      <c r="H5" s="413">
        <v>3</v>
      </c>
      <c r="I5" s="413">
        <f>Reit!P116</f>
        <v>30</v>
      </c>
    </row>
    <row r="6" spans="1:10" x14ac:dyDescent="0.2">
      <c r="A6" s="414" t="s">
        <v>421</v>
      </c>
      <c r="B6" s="415" t="s">
        <v>13</v>
      </c>
      <c r="C6" s="415" t="s">
        <v>419</v>
      </c>
      <c r="D6" s="415" t="s">
        <v>14</v>
      </c>
      <c r="E6" s="416" t="str">
        <f>HYPERLINK("#V1!A5","V1")</f>
        <v>V1</v>
      </c>
      <c r="F6" s="417" t="str">
        <f>HYPERLINK("https://kaart.delfi.ee/?bookmark=2456dbce930692d81ec761beacb7a00a","Voka staadion")</f>
        <v>Voka staadion</v>
      </c>
      <c r="G6" s="414" t="s">
        <v>9</v>
      </c>
      <c r="H6" s="418">
        <v>3</v>
      </c>
      <c r="I6" s="418">
        <f>V!Z57</f>
        <v>24</v>
      </c>
    </row>
    <row r="7" spans="1:10" x14ac:dyDescent="0.2">
      <c r="A7" s="419" t="s">
        <v>396</v>
      </c>
      <c r="B7" s="420" t="s">
        <v>10</v>
      </c>
      <c r="C7" s="420" t="s">
        <v>397</v>
      </c>
      <c r="D7" s="420" t="s">
        <v>16</v>
      </c>
      <c r="E7" s="421" t="str">
        <f>HYPERLINK("#M1!A5","M1")</f>
        <v>M1</v>
      </c>
      <c r="F7" s="422" t="str">
        <f>HYPERLINK("https://kaart.delfi.ee/?bookmark=521b80d6ceeefbe3e5d227267242b206","K-Järve spordihoone")</f>
        <v>K-Järve spordihoone</v>
      </c>
      <c r="G7" s="420" t="s">
        <v>12</v>
      </c>
      <c r="H7" s="423">
        <v>5</v>
      </c>
      <c r="I7" s="423">
        <f>M!M156</f>
        <v>18</v>
      </c>
    </row>
    <row r="8" spans="1:10" ht="13.5" thickBot="1" x14ac:dyDescent="0.25">
      <c r="A8" s="424" t="s">
        <v>439</v>
      </c>
      <c r="B8" s="424" t="s">
        <v>10</v>
      </c>
      <c r="C8" s="424" t="s">
        <v>18</v>
      </c>
      <c r="D8" s="424" t="s">
        <v>16</v>
      </c>
      <c r="E8" s="425" t="str">
        <f>HYPERLINK("#2!A5","2")</f>
        <v>2</v>
      </c>
      <c r="F8" s="426" t="str">
        <f>HYPERLINK("https://kaart.delfi.ee/?bookmark=2456dbce930692d81ec761beacb7a00a","Voka staadion")</f>
        <v>Voka staadion</v>
      </c>
      <c r="G8" s="424" t="s">
        <v>9</v>
      </c>
      <c r="H8" s="427">
        <v>3</v>
      </c>
      <c r="I8" s="427">
        <f>Reit!Q116</f>
        <v>22</v>
      </c>
    </row>
    <row r="9" spans="1:10" ht="13.5" thickBot="1" x14ac:dyDescent="0.25">
      <c r="A9" s="405" t="s">
        <v>374</v>
      </c>
      <c r="B9" s="406"/>
      <c r="C9" s="428"/>
      <c r="D9" s="428"/>
      <c r="E9" s="428"/>
      <c r="F9" s="428"/>
      <c r="G9" s="428"/>
      <c r="H9" s="429"/>
      <c r="I9" s="429"/>
      <c r="J9" s="318"/>
    </row>
    <row r="10" spans="1:10" x14ac:dyDescent="0.2">
      <c r="A10" s="430" t="s">
        <v>382</v>
      </c>
      <c r="B10" s="431" t="s">
        <v>10</v>
      </c>
      <c r="C10" s="432" t="s">
        <v>381</v>
      </c>
      <c r="D10" s="433" t="s">
        <v>16</v>
      </c>
      <c r="E10" s="434"/>
      <c r="F10" s="435" t="str">
        <f>HYPERLINK("https://kaart.delfi.ee/?bookmark=2456dbce930692d81ec761beacb7a00a","Voka staadion")</f>
        <v>Voka staadion</v>
      </c>
      <c r="G10" s="433" t="s">
        <v>17</v>
      </c>
      <c r="H10" s="436" t="s">
        <v>20</v>
      </c>
      <c r="I10" s="437">
        <v>98</v>
      </c>
      <c r="J10" s="318"/>
    </row>
    <row r="11" spans="1:10" s="318" customFormat="1" x14ac:dyDescent="0.2">
      <c r="A11" s="438" t="s">
        <v>441</v>
      </c>
      <c r="B11" s="439" t="s">
        <v>10</v>
      </c>
      <c r="C11" s="440" t="s">
        <v>440</v>
      </c>
      <c r="D11" s="439" t="s">
        <v>11</v>
      </c>
      <c r="E11" s="441" t="str">
        <f>HYPERLINK("#3!A5","3")</f>
        <v>3</v>
      </c>
      <c r="F11" s="442" t="str">
        <f>HYPERLINK("https://kaart.delfi.ee/?bookmark=2456dbce930692d81ec761beacb7a00a","Voka staadion")</f>
        <v>Voka staadion</v>
      </c>
      <c r="G11" s="438" t="s">
        <v>9</v>
      </c>
      <c r="H11" s="443">
        <v>3</v>
      </c>
      <c r="I11" s="444">
        <f>Reit!R116</f>
        <v>33</v>
      </c>
    </row>
    <row r="12" spans="1:10" x14ac:dyDescent="0.2">
      <c r="A12" s="445" t="s">
        <v>389</v>
      </c>
      <c r="B12" s="445" t="s">
        <v>10</v>
      </c>
      <c r="C12" s="445" t="s">
        <v>393</v>
      </c>
      <c r="D12" s="445" t="s">
        <v>14</v>
      </c>
      <c r="E12" s="446" t="str">
        <f>HYPERLINK("#4!A5","4")</f>
        <v>4</v>
      </c>
      <c r="F12" s="447" t="str">
        <f>HYPERLINK("https://kaart.delfi.ee/?bookmark=521b80d6ceeefbe3e5d227267242b206","K-Järve spordihoone")</f>
        <v>K-Järve spordihoone</v>
      </c>
      <c r="G12" s="448" t="s">
        <v>12</v>
      </c>
      <c r="H12" s="449">
        <v>3</v>
      </c>
      <c r="I12" s="449">
        <f>Reit!S116</f>
        <v>20</v>
      </c>
      <c r="J12" s="318"/>
    </row>
    <row r="13" spans="1:10" x14ac:dyDescent="0.2">
      <c r="A13" s="450" t="s">
        <v>422</v>
      </c>
      <c r="B13" s="451" t="s">
        <v>13</v>
      </c>
      <c r="C13" s="451" t="s">
        <v>420</v>
      </c>
      <c r="D13" s="451" t="s">
        <v>14</v>
      </c>
      <c r="E13" s="452" t="str">
        <f>HYPERLINK("#V2!A5","V2")</f>
        <v>V2</v>
      </c>
      <c r="F13" s="453" t="str">
        <f>HYPERLINK("https://kaart.delfi.ee/?bookmark=2456dbce930692d81ec761beacb7a00a","Voka staadion")</f>
        <v>Voka staadion</v>
      </c>
      <c r="G13" s="450" t="s">
        <v>9</v>
      </c>
      <c r="H13" s="454">
        <v>3</v>
      </c>
      <c r="I13" s="454">
        <f>V!AA57</f>
        <v>22</v>
      </c>
    </row>
    <row r="14" spans="1:10" x14ac:dyDescent="0.2">
      <c r="A14" s="455" t="s">
        <v>383</v>
      </c>
      <c r="B14" s="455" t="s">
        <v>15</v>
      </c>
      <c r="C14" s="456" t="str">
        <f>HYPERLINK("https://www.petanque.ee/index.php?id=103820&amp;cid=892","25. Eesti MV")</f>
        <v>25. Eesti MV</v>
      </c>
      <c r="D14" s="455" t="s">
        <v>386</v>
      </c>
      <c r="E14" s="457" t="str">
        <f>HYPERLINK("https://www.petanque.ee/index.php?id=103820&amp;cid=892","e3")</f>
        <v>e3</v>
      </c>
      <c r="F14" s="456" t="str">
        <f>HYPERLINK("https://kaart.delfi.ee/?bookmark=521b80d6ceeefbe3e5d227267242b206","K-Järve spordihoone")</f>
        <v>K-Järve spordihoone</v>
      </c>
      <c r="G14" s="458" t="s">
        <v>447</v>
      </c>
      <c r="H14" s="459">
        <v>15</v>
      </c>
      <c r="I14" s="459">
        <v>60</v>
      </c>
      <c r="J14" s="318"/>
    </row>
    <row r="15" spans="1:10" x14ac:dyDescent="0.2">
      <c r="A15" s="460" t="s">
        <v>384</v>
      </c>
      <c r="B15" s="460" t="s">
        <v>15</v>
      </c>
      <c r="C15" s="461" t="str">
        <f>HYPERLINK("https://www.petanque.ee/index.php?id=103820&amp;cid=893","9. Viru karikas")</f>
        <v>9. Viru karikas</v>
      </c>
      <c r="D15" s="460" t="s">
        <v>14</v>
      </c>
      <c r="E15" s="462"/>
      <c r="F15" s="461" t="str">
        <f>HYPERLINK("https://kaart.delfi.ee/?bookmark=521b80d6ceeefbe3e5d227267242b206","K-Järve spordihoone")</f>
        <v>K-Järve spordihoone</v>
      </c>
      <c r="G15" s="463" t="s">
        <v>407</v>
      </c>
      <c r="H15" s="464">
        <v>12</v>
      </c>
      <c r="I15" s="464"/>
      <c r="J15" s="318"/>
    </row>
    <row r="16" spans="1:10" hidden="1" x14ac:dyDescent="0.2">
      <c r="A16" s="465" t="s">
        <v>423</v>
      </c>
      <c r="B16" s="466" t="s">
        <v>13</v>
      </c>
      <c r="C16" s="466" t="s">
        <v>424</v>
      </c>
      <c r="D16" s="466" t="s">
        <v>14</v>
      </c>
      <c r="E16" s="467" t="str">
        <f>HYPERLINK("#V3!A5","V3")</f>
        <v>V3</v>
      </c>
      <c r="F16" s="468" t="str">
        <f>HYPERLINK("https://kaart.delfi.ee/?bookmark=2456dbce930692d81ec761beacb7a00a","Voka staadion")</f>
        <v>Voka staadion</v>
      </c>
      <c r="G16" s="465" t="s">
        <v>9</v>
      </c>
      <c r="H16" s="469">
        <v>3</v>
      </c>
      <c r="I16" s="469">
        <f>V!AB57</f>
        <v>20</v>
      </c>
    </row>
    <row r="17" spans="1:10" ht="13.5" thickBot="1" x14ac:dyDescent="0.25">
      <c r="A17" s="470" t="s">
        <v>442</v>
      </c>
      <c r="B17" s="470" t="s">
        <v>10</v>
      </c>
      <c r="C17" s="471" t="s">
        <v>18</v>
      </c>
      <c r="D17" s="471" t="s">
        <v>386</v>
      </c>
      <c r="E17" s="472" t="str">
        <f>HYPERLINK("#5!A5","5")</f>
        <v>5</v>
      </c>
      <c r="F17" s="473" t="str">
        <f>HYPERLINK("https://kaart.delfi.ee/?bookmark=2456dbce930692d81ec761beacb7a00a","Voka staadion")</f>
        <v>Voka staadion</v>
      </c>
      <c r="G17" s="471" t="s">
        <v>9</v>
      </c>
      <c r="H17" s="474">
        <v>3</v>
      </c>
      <c r="I17" s="474">
        <f>Reit!T116</f>
        <v>18</v>
      </c>
      <c r="J17" s="318"/>
    </row>
    <row r="18" spans="1:10" ht="13.5" thickBot="1" x14ac:dyDescent="0.25">
      <c r="A18" s="405" t="s">
        <v>375</v>
      </c>
      <c r="B18" s="406"/>
      <c r="C18" s="475"/>
      <c r="D18" s="475"/>
      <c r="E18" s="476"/>
      <c r="F18" s="475"/>
      <c r="G18" s="475"/>
      <c r="H18" s="477"/>
      <c r="I18" s="477"/>
    </row>
    <row r="19" spans="1:10" x14ac:dyDescent="0.2">
      <c r="A19" s="478" t="s">
        <v>410</v>
      </c>
      <c r="B19" s="479" t="s">
        <v>10</v>
      </c>
      <c r="C19" s="480" t="s">
        <v>398</v>
      </c>
      <c r="D19" s="480" t="s">
        <v>16</v>
      </c>
      <c r="E19" s="481" t="str">
        <f>HYPERLINK("#M2!A5","M2")</f>
        <v>M2</v>
      </c>
      <c r="F19" s="482" t="str">
        <f>HYPERLINK("https://kaart.delfi.ee/?bookmark=521b80d6ceeefbe3e5d227267242b206","K-Järve spordihoone")</f>
        <v>K-Järve spordihoone</v>
      </c>
      <c r="G19" s="480" t="s">
        <v>12</v>
      </c>
      <c r="H19" s="483">
        <v>5</v>
      </c>
      <c r="I19" s="483">
        <f>M!N156</f>
        <v>25</v>
      </c>
    </row>
    <row r="20" spans="1:10" x14ac:dyDescent="0.2">
      <c r="A20" s="484" t="s">
        <v>391</v>
      </c>
      <c r="B20" s="445" t="s">
        <v>10</v>
      </c>
      <c r="C20" s="445" t="s">
        <v>393</v>
      </c>
      <c r="D20" s="445" t="s">
        <v>16</v>
      </c>
      <c r="E20" s="446" t="str">
        <f>HYPERLINK("#6!A5","6")</f>
        <v>6</v>
      </c>
      <c r="F20" s="447" t="str">
        <f>HYPERLINK("https://kaart.delfi.ee/?bookmark=521b80d6ceeefbe3e5d227267242b206","K-Järve spordihoone")</f>
        <v>K-Järve spordihoone</v>
      </c>
      <c r="G20" s="448" t="s">
        <v>12</v>
      </c>
      <c r="H20" s="449">
        <v>3</v>
      </c>
      <c r="I20" s="449">
        <f>Reit!U116</f>
        <v>24</v>
      </c>
    </row>
    <row r="21" spans="1:10" x14ac:dyDescent="0.2">
      <c r="A21" s="450" t="s">
        <v>425</v>
      </c>
      <c r="B21" s="451" t="s">
        <v>13</v>
      </c>
      <c r="C21" s="451" t="s">
        <v>426</v>
      </c>
      <c r="D21" s="451" t="s">
        <v>14</v>
      </c>
      <c r="E21" s="485" t="str">
        <f>HYPERLINK("#V4!A5","V4")</f>
        <v>V4</v>
      </c>
      <c r="F21" s="453" t="str">
        <f>HYPERLINK("https://kaart.delfi.ee/?bookmark=2456dbce930692d81ec761beacb7a00a","Voka staadion")</f>
        <v>Voka staadion</v>
      </c>
      <c r="G21" s="450" t="s">
        <v>9</v>
      </c>
      <c r="H21" s="454">
        <v>3</v>
      </c>
      <c r="I21" s="454">
        <f>V!AC57</f>
        <v>22</v>
      </c>
    </row>
    <row r="22" spans="1:10" x14ac:dyDescent="0.2">
      <c r="A22" s="450" t="s">
        <v>429</v>
      </c>
      <c r="B22" s="451" t="s">
        <v>13</v>
      </c>
      <c r="C22" s="451" t="s">
        <v>427</v>
      </c>
      <c r="D22" s="451" t="s">
        <v>14</v>
      </c>
      <c r="E22" s="452" t="str">
        <f>HYPERLINK("#V5!A5","V5")</f>
        <v>V5</v>
      </c>
      <c r="F22" s="453" t="str">
        <f t="shared" ref="F22:F25" si="0">HYPERLINK("https://kaart.delfi.ee/?bookmark=2456dbce930692d81ec761beacb7a00a","Voka staadion")</f>
        <v>Voka staadion</v>
      </c>
      <c r="G22" s="450" t="s">
        <v>9</v>
      </c>
      <c r="H22" s="454">
        <v>3</v>
      </c>
      <c r="I22" s="454">
        <f>V!AD57</f>
        <v>20</v>
      </c>
    </row>
    <row r="23" spans="1:10" x14ac:dyDescent="0.2">
      <c r="A23" s="486" t="s">
        <v>453</v>
      </c>
      <c r="B23" s="486" t="s">
        <v>13</v>
      </c>
      <c r="C23" s="486" t="s">
        <v>18</v>
      </c>
      <c r="D23" s="486" t="s">
        <v>19</v>
      </c>
      <c r="E23" s="487" t="str">
        <f>HYPERLINK("#7!A5","7")</f>
        <v>7</v>
      </c>
      <c r="F23" s="488" t="str">
        <f>HYPERLINK("http://kaart.delfi.ee//?bookmark=1840db012ef3a4aff78d37f1f3ff52b8","K-Järve spordihoone")</f>
        <v>K-Järve spordihoone</v>
      </c>
      <c r="G23" s="489" t="s">
        <v>12</v>
      </c>
      <c r="H23" s="490">
        <v>3</v>
      </c>
      <c r="I23" s="490">
        <f ca="1">Reit!V116</f>
        <v>14</v>
      </c>
    </row>
    <row r="24" spans="1:10" x14ac:dyDescent="0.2">
      <c r="A24" s="491" t="s">
        <v>443</v>
      </c>
      <c r="B24" s="492" t="s">
        <v>10</v>
      </c>
      <c r="C24" s="492" t="s">
        <v>571</v>
      </c>
      <c r="D24" s="492" t="s">
        <v>16</v>
      </c>
      <c r="E24" s="493" t="str">
        <f>HYPERLINK("#Mu!A5","Mu")</f>
        <v>Mu</v>
      </c>
      <c r="F24" s="494" t="str">
        <f t="shared" si="0"/>
        <v>Voka staadion</v>
      </c>
      <c r="G24" s="491" t="s">
        <v>9</v>
      </c>
      <c r="H24" s="495">
        <v>3</v>
      </c>
      <c r="I24" s="495"/>
    </row>
    <row r="25" spans="1:10" ht="13.5" thickBot="1" x14ac:dyDescent="0.25">
      <c r="A25" s="496" t="s">
        <v>430</v>
      </c>
      <c r="B25" s="497" t="s">
        <v>13</v>
      </c>
      <c r="C25" s="497" t="s">
        <v>428</v>
      </c>
      <c r="D25" s="497" t="s">
        <v>14</v>
      </c>
      <c r="E25" s="498" t="str">
        <f>HYPERLINK("#V6!A5","V6")</f>
        <v>V6</v>
      </c>
      <c r="F25" s="499" t="str">
        <f t="shared" si="0"/>
        <v>Voka staadion</v>
      </c>
      <c r="G25" s="496" t="s">
        <v>9</v>
      </c>
      <c r="H25" s="500">
        <v>3</v>
      </c>
      <c r="I25" s="500">
        <f>V!AE57</f>
        <v>20</v>
      </c>
    </row>
    <row r="26" spans="1:10" ht="13.5" thickBot="1" x14ac:dyDescent="0.25">
      <c r="A26" s="405" t="s">
        <v>376</v>
      </c>
      <c r="B26" s="406"/>
      <c r="C26" s="501"/>
      <c r="D26" s="501"/>
      <c r="E26" s="501"/>
      <c r="F26" s="501"/>
      <c r="G26" s="501"/>
      <c r="H26" s="502"/>
      <c r="I26" s="502"/>
    </row>
    <row r="27" spans="1:10" x14ac:dyDescent="0.2">
      <c r="A27" s="503" t="s">
        <v>431</v>
      </c>
      <c r="B27" s="504" t="s">
        <v>13</v>
      </c>
      <c r="C27" s="497" t="s">
        <v>432</v>
      </c>
      <c r="D27" s="497" t="s">
        <v>14</v>
      </c>
      <c r="E27" s="498" t="str">
        <f>HYPERLINK("#V7!A5","V7")</f>
        <v>V7</v>
      </c>
      <c r="F27" s="499" t="str">
        <f t="shared" ref="F27:F29" si="1">HYPERLINK("https://kaart.delfi.ee/?bookmark=2456dbce930692d81ec761beacb7a00a","Voka staadion")</f>
        <v>Voka staadion</v>
      </c>
      <c r="G27" s="496" t="s">
        <v>9</v>
      </c>
      <c r="H27" s="500">
        <v>3</v>
      </c>
      <c r="I27" s="500">
        <f>V!AF57</f>
        <v>27</v>
      </c>
    </row>
    <row r="28" spans="1:10" x14ac:dyDescent="0.2">
      <c r="A28" s="505" t="s">
        <v>691</v>
      </c>
      <c r="B28" s="506" t="s">
        <v>13</v>
      </c>
      <c r="C28" s="507" t="s">
        <v>695</v>
      </c>
      <c r="D28" s="507" t="s">
        <v>14</v>
      </c>
      <c r="E28" s="508" t="str">
        <f>HYPERLINK("#V3!A5","V3")</f>
        <v>V3</v>
      </c>
      <c r="F28" s="508" t="str">
        <f>HYPERLINK("https://kaart.delfi.ee/?bookmark=2456dbce930692d81ec761beacb7a00a","Voka staadion")</f>
        <v>Voka staadion</v>
      </c>
      <c r="G28" s="505" t="s">
        <v>9</v>
      </c>
      <c r="H28" s="509">
        <v>3</v>
      </c>
      <c r="I28" s="509">
        <f>V!AB57</f>
        <v>20</v>
      </c>
    </row>
    <row r="29" spans="1:10" x14ac:dyDescent="0.2">
      <c r="A29" s="505" t="s">
        <v>433</v>
      </c>
      <c r="B29" s="506" t="s">
        <v>13</v>
      </c>
      <c r="C29" s="506" t="s">
        <v>434</v>
      </c>
      <c r="D29" s="506" t="s">
        <v>14</v>
      </c>
      <c r="E29" s="510" t="str">
        <f>HYPERLINK("#V8!A5","V8")</f>
        <v>V8</v>
      </c>
      <c r="F29" s="508" t="str">
        <f t="shared" si="1"/>
        <v>Voka staadion</v>
      </c>
      <c r="G29" s="505" t="s">
        <v>9</v>
      </c>
      <c r="H29" s="509">
        <v>3</v>
      </c>
      <c r="I29" s="509">
        <f>V!AG57</f>
        <v>22</v>
      </c>
    </row>
    <row r="30" spans="1:10" x14ac:dyDescent="0.2">
      <c r="A30" s="511" t="s">
        <v>399</v>
      </c>
      <c r="B30" s="512" t="s">
        <v>10</v>
      </c>
      <c r="C30" s="512" t="s">
        <v>400</v>
      </c>
      <c r="D30" s="512" t="s">
        <v>16</v>
      </c>
      <c r="E30" s="513" t="str">
        <f>HYPERLINK("#M3!A5","M3")</f>
        <v>M3</v>
      </c>
      <c r="F30" s="514" t="str">
        <f>HYPERLINK("https://kaart.delfi.ee/?bookmark=521b80d6ceeefbe3e5d227267242b206","K-Järve spordihoone")</f>
        <v>K-Järve spordihoone</v>
      </c>
      <c r="G30" s="512" t="s">
        <v>12</v>
      </c>
      <c r="H30" s="515">
        <v>5</v>
      </c>
      <c r="I30" s="515">
        <f>M!O156</f>
        <v>22</v>
      </c>
    </row>
    <row r="31" spans="1:10" ht="13.5" thickBot="1" x14ac:dyDescent="0.25">
      <c r="A31" s="516" t="s">
        <v>409</v>
      </c>
      <c r="B31" s="517" t="s">
        <v>10</v>
      </c>
      <c r="C31" s="518" t="s">
        <v>440</v>
      </c>
      <c r="D31" s="519" t="s">
        <v>14</v>
      </c>
      <c r="E31" s="520" t="str">
        <f>HYPERLINK("#8!A5","8")</f>
        <v>8</v>
      </c>
      <c r="F31" s="521" t="str">
        <f>HYPERLINK("https://kaart.delfi.ee/?bookmark=2456dbce930692d81ec761beacb7a00a","Voka staadion")</f>
        <v>Voka staadion</v>
      </c>
      <c r="G31" s="522" t="s">
        <v>9</v>
      </c>
      <c r="H31" s="523">
        <v>3</v>
      </c>
      <c r="I31" s="524">
        <f>Reit!W116</f>
        <v>30</v>
      </c>
    </row>
    <row r="32" spans="1:10" ht="13.5" thickBot="1" x14ac:dyDescent="0.25">
      <c r="A32" s="405" t="s">
        <v>377</v>
      </c>
      <c r="B32" s="406"/>
      <c r="C32" s="501"/>
      <c r="D32" s="501"/>
      <c r="E32" s="501"/>
      <c r="F32" s="501"/>
      <c r="G32" s="501"/>
      <c r="H32" s="502"/>
      <c r="I32" s="502"/>
    </row>
    <row r="33" spans="1:9" x14ac:dyDescent="0.2">
      <c r="A33" s="525" t="s">
        <v>476</v>
      </c>
      <c r="B33" s="525" t="s">
        <v>10</v>
      </c>
      <c r="C33" s="526" t="s">
        <v>18</v>
      </c>
      <c r="D33" s="526" t="s">
        <v>14</v>
      </c>
      <c r="E33" s="527" t="str">
        <f>HYPERLINK("#9!A5","9")</f>
        <v>9</v>
      </c>
      <c r="F33" s="528" t="str">
        <f t="shared" ref="F33" si="2">HYPERLINK("https://kaart.delfi.ee/?bookmark=2456dbce930692d81ec761beacb7a00a","Voka staadion")</f>
        <v>Voka staadion</v>
      </c>
      <c r="G33" s="526" t="s">
        <v>9</v>
      </c>
      <c r="H33" s="529">
        <v>3</v>
      </c>
      <c r="I33" s="529">
        <f>Reit!Y116</f>
        <v>21</v>
      </c>
    </row>
    <row r="34" spans="1:9" x14ac:dyDescent="0.2">
      <c r="A34" s="530" t="s">
        <v>437</v>
      </c>
      <c r="B34" s="531" t="s">
        <v>13</v>
      </c>
      <c r="C34" s="531" t="s">
        <v>435</v>
      </c>
      <c r="D34" s="531" t="s">
        <v>14</v>
      </c>
      <c r="E34" s="493" t="str">
        <f>HYPERLINK("#V9!A5","V9")</f>
        <v>V9</v>
      </c>
      <c r="F34" s="532" t="str">
        <f t="shared" ref="F34" si="3">HYPERLINK("https://kaart.delfi.ee/?bookmark=2456dbce930692d81ec761beacb7a00a","Voka staadion")</f>
        <v>Voka staadion</v>
      </c>
      <c r="G34" s="530" t="s">
        <v>9</v>
      </c>
      <c r="H34" s="533">
        <v>3</v>
      </c>
      <c r="I34" s="533">
        <f>V!AH57</f>
        <v>17</v>
      </c>
    </row>
    <row r="35" spans="1:9" x14ac:dyDescent="0.2">
      <c r="A35" s="526" t="s">
        <v>394</v>
      </c>
      <c r="B35" s="526" t="s">
        <v>10</v>
      </c>
      <c r="C35" s="526" t="s">
        <v>18</v>
      </c>
      <c r="D35" s="526" t="s">
        <v>11</v>
      </c>
      <c r="E35" s="527" t="str">
        <f>HYPERLINK("#10!A5","10")</f>
        <v>10</v>
      </c>
      <c r="F35" s="528" t="str">
        <f>HYPERLINK("https://kaart.delfi.ee/?bookmark=521b80d6ceeefbe3e5d227267242b206","K-Järve spordihoone")</f>
        <v>K-Järve spordihoone</v>
      </c>
      <c r="G35" s="534" t="s">
        <v>12</v>
      </c>
      <c r="H35" s="529">
        <v>3</v>
      </c>
      <c r="I35" s="529">
        <f>Reit!X116</f>
        <v>20</v>
      </c>
    </row>
    <row r="36" spans="1:9" x14ac:dyDescent="0.2">
      <c r="A36" s="535" t="s">
        <v>438</v>
      </c>
      <c r="B36" s="536" t="s">
        <v>13</v>
      </c>
      <c r="C36" s="536" t="s">
        <v>436</v>
      </c>
      <c r="D36" s="536" t="s">
        <v>14</v>
      </c>
      <c r="E36" s="537" t="str">
        <f>HYPERLINK("#V10!A5","V10")</f>
        <v>V10</v>
      </c>
      <c r="F36" s="538" t="str">
        <f t="shared" ref="F36" si="4">HYPERLINK("https://kaart.delfi.ee/?bookmark=2456dbce930692d81ec761beacb7a00a","Voka staadion")</f>
        <v>Voka staadion</v>
      </c>
      <c r="G36" s="535" t="s">
        <v>9</v>
      </c>
      <c r="H36" s="539">
        <v>3</v>
      </c>
      <c r="I36" s="539">
        <f>V!AI57</f>
        <v>16</v>
      </c>
    </row>
    <row r="37" spans="1:9" x14ac:dyDescent="0.2">
      <c r="A37" s="540" t="s">
        <v>401</v>
      </c>
      <c r="B37" s="541" t="s">
        <v>10</v>
      </c>
      <c r="C37" s="541" t="s">
        <v>402</v>
      </c>
      <c r="D37" s="541" t="s">
        <v>16</v>
      </c>
      <c r="E37" s="542" t="str">
        <f>HYPERLINK("#M4!A5","M4")</f>
        <v>M4</v>
      </c>
      <c r="F37" s="543" t="str">
        <f>HYPERLINK("https://kaart.delfi.ee/?bookmark=521b80d6ceeefbe3e5d227267242b206","K-Järve spordihoone")</f>
        <v>K-Järve spordihoone</v>
      </c>
      <c r="G37" s="541" t="s">
        <v>12</v>
      </c>
      <c r="H37" s="544">
        <v>5</v>
      </c>
      <c r="I37" s="544">
        <f>M!P156</f>
        <v>16</v>
      </c>
    </row>
    <row r="38" spans="1:9" ht="13.5" thickBot="1" x14ac:dyDescent="0.25">
      <c r="A38" s="545" t="s">
        <v>444</v>
      </c>
      <c r="B38" s="546" t="s">
        <v>10</v>
      </c>
      <c r="C38" s="518" t="s">
        <v>440</v>
      </c>
      <c r="D38" s="519" t="s">
        <v>16</v>
      </c>
      <c r="E38" s="520" t="str">
        <f>HYPERLINK("#11!A5","11")</f>
        <v>11</v>
      </c>
      <c r="F38" s="521" t="str">
        <f>HYPERLINK("https://kaart.delfi.ee/?bookmark=2456dbce930692d81ec761beacb7a00a","Voka staadion")</f>
        <v>Voka staadion</v>
      </c>
      <c r="G38" s="522" t="s">
        <v>9</v>
      </c>
      <c r="H38" s="523">
        <v>3</v>
      </c>
      <c r="I38" s="524">
        <f>Reit!Z116</f>
        <v>14</v>
      </c>
    </row>
    <row r="39" spans="1:9" ht="13.5" thickBot="1" x14ac:dyDescent="0.25">
      <c r="A39" s="405" t="s">
        <v>378</v>
      </c>
      <c r="B39" s="406"/>
      <c r="C39" s="475"/>
      <c r="D39" s="475"/>
      <c r="E39" s="475"/>
      <c r="F39" s="475"/>
      <c r="G39" s="475"/>
      <c r="H39" s="477"/>
      <c r="I39" s="477"/>
    </row>
    <row r="40" spans="1:9" x14ac:dyDescent="0.2">
      <c r="A40" s="478" t="s">
        <v>404</v>
      </c>
      <c r="B40" s="479" t="s">
        <v>10</v>
      </c>
      <c r="C40" s="547" t="s">
        <v>403</v>
      </c>
      <c r="D40" s="547" t="s">
        <v>16</v>
      </c>
      <c r="E40" s="548" t="str">
        <f>HYPERLINK("#M5!A5","M5")</f>
        <v>M5</v>
      </c>
      <c r="F40" s="549" t="str">
        <f>HYPERLINK("https://kaart.delfi.ee/?bookmark=521b80d6ceeefbe3e5d227267242b206","K-Järve spordihoone")</f>
        <v>K-Järve spordihoone</v>
      </c>
      <c r="G40" s="547" t="s">
        <v>12</v>
      </c>
      <c r="H40" s="550">
        <v>5</v>
      </c>
      <c r="I40" s="550">
        <f>M!Q156</f>
        <v>20</v>
      </c>
    </row>
    <row r="41" spans="1:9" x14ac:dyDescent="0.2">
      <c r="A41" s="551" t="s">
        <v>445</v>
      </c>
      <c r="B41" s="552" t="s">
        <v>10</v>
      </c>
      <c r="C41" s="553" t="s">
        <v>21</v>
      </c>
      <c r="D41" s="552" t="s">
        <v>16</v>
      </c>
      <c r="E41" s="554"/>
      <c r="F41" s="555" t="str">
        <f>HYPERLINK("https://kaart.delfi.ee/?bookmark=2456dbce930692d81ec761beacb7a00a","Voka staadion")</f>
        <v>Voka staadion</v>
      </c>
      <c r="G41" s="552"/>
      <c r="H41" s="556">
        <v>0</v>
      </c>
      <c r="I41" s="556"/>
    </row>
    <row r="42" spans="1:9" x14ac:dyDescent="0.2">
      <c r="A42" s="557" t="s">
        <v>693</v>
      </c>
      <c r="B42" s="558"/>
      <c r="C42" s="559"/>
      <c r="D42" s="558"/>
      <c r="E42" s="560"/>
      <c r="F42" s="561"/>
      <c r="G42" s="558"/>
      <c r="H42" s="562"/>
      <c r="I42" s="562"/>
    </row>
    <row r="43" spans="1:9" s="318" customFormat="1" x14ac:dyDescent="0.2">
      <c r="A43" s="563"/>
      <c r="B43" s="564"/>
      <c r="C43" s="21"/>
      <c r="D43" s="565"/>
      <c r="E43" s="128"/>
      <c r="F43" s="128"/>
      <c r="G43" s="564"/>
      <c r="H43" s="566"/>
      <c r="I43" s="566"/>
    </row>
    <row r="44" spans="1:9" s="318" customFormat="1" x14ac:dyDescent="0.2">
      <c r="A44" s="386" t="s">
        <v>405</v>
      </c>
      <c r="B44" s="567"/>
      <c r="C44" s="330"/>
      <c r="D44" s="568"/>
      <c r="E44" s="569"/>
      <c r="F44" s="569"/>
      <c r="G44" s="567"/>
      <c r="H44" s="566"/>
      <c r="I44" s="566"/>
    </row>
    <row r="45" spans="1:9" x14ac:dyDescent="0.2">
      <c r="A45" s="386" t="s">
        <v>406</v>
      </c>
      <c r="B45" s="330"/>
      <c r="C45" s="330"/>
      <c r="D45" s="330"/>
      <c r="E45" s="330"/>
      <c r="F45" s="330"/>
      <c r="G45" s="330" t="s">
        <v>446</v>
      </c>
      <c r="H45" s="475"/>
      <c r="I45" s="475"/>
    </row>
    <row r="46" spans="1:9" hidden="1" x14ac:dyDescent="0.2">
      <c r="A46" s="7" t="s">
        <v>22</v>
      </c>
      <c r="B46" s="8"/>
      <c r="C46" s="8"/>
      <c r="D46" s="8"/>
      <c r="E46" s="8"/>
      <c r="F46" s="8"/>
      <c r="G46" s="8"/>
      <c r="H46" s="8"/>
      <c r="I46" s="8"/>
    </row>
    <row r="47" spans="1:9" hidden="1" x14ac:dyDescent="0.2">
      <c r="A47" s="570" t="s">
        <v>23</v>
      </c>
      <c r="B47" s="8"/>
      <c r="C47" s="8"/>
      <c r="D47" s="8"/>
      <c r="E47" s="8"/>
      <c r="F47" s="8"/>
      <c r="G47" s="8"/>
      <c r="H47" s="8"/>
      <c r="I47" s="8"/>
    </row>
    <row r="48" spans="1:9" hidden="1" x14ac:dyDescent="0.2">
      <c r="A48" s="392" t="s">
        <v>25</v>
      </c>
      <c r="B48" s="392"/>
      <c r="C48" s="392"/>
      <c r="D48" s="392"/>
      <c r="E48" s="392"/>
      <c r="F48" s="392"/>
      <c r="G48" s="392"/>
      <c r="H48" s="392"/>
      <c r="I48" s="392"/>
    </row>
    <row r="49" spans="1:16" x14ac:dyDescent="0.2">
      <c r="A49" s="392" t="s">
        <v>24</v>
      </c>
      <c r="B49" s="392"/>
      <c r="C49" s="392"/>
      <c r="D49" s="394" t="str">
        <f>HYPERLINK("https://webzone.ee/petank/juhendid/voka-9-kv-2022-juhend.pdf","Juhend")</f>
        <v>Juhend</v>
      </c>
      <c r="E49" s="12"/>
      <c r="F49" s="12"/>
      <c r="G49" s="12"/>
      <c r="H49" s="12"/>
      <c r="I49" s="12"/>
    </row>
    <row r="50" spans="1:16" x14ac:dyDescent="0.2">
      <c r="A50" s="395" t="s">
        <v>448</v>
      </c>
      <c r="B50" s="12"/>
      <c r="C50" s="12"/>
      <c r="D50" s="394" t="str">
        <f>HYPERLINK("https://www.petanque.ee/juhendid/reitinguarvestus-2022/","Juhend")</f>
        <v>Juhend</v>
      </c>
      <c r="E50" s="12"/>
      <c r="F50" s="12"/>
      <c r="G50" s="12"/>
      <c r="H50" s="12"/>
      <c r="I50" s="12"/>
      <c r="J50" s="12"/>
      <c r="K50" s="12"/>
      <c r="L50" s="12"/>
      <c r="M50" s="12"/>
      <c r="N50" s="390"/>
      <c r="O50" s="10"/>
      <c r="P50" s="10"/>
    </row>
    <row r="51" spans="1:16" x14ac:dyDescent="0.2">
      <c r="A51" s="396" t="s">
        <v>449</v>
      </c>
      <c r="B51" s="12"/>
      <c r="C51" s="12"/>
      <c r="D51" s="12"/>
      <c r="E51" s="390"/>
      <c r="F51" s="390"/>
      <c r="G51" s="12"/>
      <c r="H51" s="12"/>
      <c r="I51" s="12"/>
      <c r="J51" s="12"/>
      <c r="K51" s="12"/>
      <c r="L51" s="12"/>
      <c r="M51" s="12"/>
      <c r="O51" s="10"/>
      <c r="P51" s="10"/>
    </row>
    <row r="52" spans="1:16" x14ac:dyDescent="0.2">
      <c r="A52" s="571" t="s">
        <v>26</v>
      </c>
      <c r="B52" s="8"/>
      <c r="C52" s="8"/>
      <c r="D52" s="8"/>
      <c r="E52" s="8"/>
      <c r="F52" s="8"/>
      <c r="G52" s="8"/>
      <c r="H52" s="8"/>
      <c r="I52" s="8"/>
    </row>
    <row r="53" spans="1:16" x14ac:dyDescent="0.2">
      <c r="A53" s="8"/>
      <c r="B53" s="8"/>
      <c r="C53" s="8"/>
      <c r="D53" s="8"/>
      <c r="E53" s="8"/>
      <c r="F53" s="8"/>
      <c r="G53" s="8"/>
      <c r="H53" s="8"/>
      <c r="I53" s="8"/>
    </row>
  </sheetData>
  <conditionalFormatting sqref="I5:I42">
    <cfRule type="top10" dxfId="2337" priority="548" stopIfTrue="1" rank="1"/>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J328"/>
  <sheetViews>
    <sheetView showGridLines="0" showRowColHeaders="0" zoomScaleNormal="100" workbookViewId="0">
      <pane ySplit="7" topLeftCell="A8" activePane="bottomLeft" state="frozen"/>
      <selection activeCell="I1" sqref="I1"/>
      <selection pane="bottomLeft" activeCell="I1" sqref="I1"/>
    </sheetView>
  </sheetViews>
  <sheetFormatPr defaultRowHeight="12.75" x14ac:dyDescent="0.2"/>
  <cols>
    <col min="1" max="1" width="3" style="906" customWidth="1"/>
    <col min="2" max="2" width="18.85546875" style="906" customWidth="1"/>
    <col min="3" max="22" width="2.7109375" style="906" customWidth="1"/>
    <col min="23" max="23" width="3" style="906" bestFit="1" customWidth="1"/>
    <col min="24" max="24" width="11.5703125" style="906" bestFit="1" customWidth="1"/>
    <col min="25" max="25" width="3" style="906" customWidth="1"/>
    <col min="26" max="26" width="9" style="906" hidden="1" customWidth="1"/>
    <col min="27" max="27" width="4" style="906" hidden="1" customWidth="1"/>
    <col min="28" max="28" width="4.5703125" style="906" hidden="1" customWidth="1"/>
    <col min="29" max="30" width="9.140625" style="906"/>
    <col min="31" max="31" width="0" style="906" hidden="1" customWidth="1"/>
    <col min="32" max="32" width="18.7109375" style="906" hidden="1" customWidth="1"/>
    <col min="33" max="34" width="0" style="906" hidden="1" customWidth="1"/>
    <col min="35" max="35" width="16.42578125" style="906" hidden="1" customWidth="1"/>
    <col min="36" max="36" width="6" style="906" hidden="1" customWidth="1"/>
    <col min="37" max="216" width="9.140625" style="906"/>
    <col min="217" max="217" width="3" style="906" customWidth="1"/>
    <col min="218" max="218" width="18.7109375" style="906" customWidth="1"/>
    <col min="219" max="238" width="2.85546875" style="906" customWidth="1"/>
    <col min="239" max="239" width="3" style="906" bestFit="1" customWidth="1"/>
    <col min="240" max="240" width="10.5703125" style="906" customWidth="1"/>
    <col min="241" max="243" width="0" style="906" hidden="1" customWidth="1"/>
    <col min="244" max="472" width="9.140625" style="906"/>
    <col min="473" max="473" width="3" style="906" customWidth="1"/>
    <col min="474" max="474" width="18.7109375" style="906" customWidth="1"/>
    <col min="475" max="494" width="2.85546875" style="906" customWidth="1"/>
    <col min="495" max="495" width="3" style="906" bestFit="1" customWidth="1"/>
    <col min="496" max="496" width="10.5703125" style="906" customWidth="1"/>
    <col min="497" max="499" width="0" style="906" hidden="1" customWidth="1"/>
    <col min="500" max="728" width="9.140625" style="906"/>
    <col min="729" max="729" width="3" style="906" customWidth="1"/>
    <col min="730" max="730" width="18.7109375" style="906" customWidth="1"/>
    <col min="731" max="750" width="2.85546875" style="906" customWidth="1"/>
    <col min="751" max="751" width="3" style="906" bestFit="1" customWidth="1"/>
    <col min="752" max="752" width="10.5703125" style="906" customWidth="1"/>
    <col min="753" max="755" width="0" style="906" hidden="1" customWidth="1"/>
    <col min="756" max="984" width="9.140625" style="906"/>
    <col min="985" max="985" width="3" style="906" customWidth="1"/>
    <col min="986" max="986" width="18.7109375" style="906" customWidth="1"/>
    <col min="987" max="1006" width="2.85546875" style="906" customWidth="1"/>
    <col min="1007" max="1007" width="3" style="906" bestFit="1" customWidth="1"/>
    <col min="1008" max="1008" width="10.5703125" style="906" customWidth="1"/>
    <col min="1009" max="1011" width="0" style="906" hidden="1" customWidth="1"/>
    <col min="1012" max="1240" width="9.140625" style="906"/>
    <col min="1241" max="1241" width="3" style="906" customWidth="1"/>
    <col min="1242" max="1242" width="18.7109375" style="906" customWidth="1"/>
    <col min="1243" max="1262" width="2.85546875" style="906" customWidth="1"/>
    <col min="1263" max="1263" width="3" style="906" bestFit="1" customWidth="1"/>
    <col min="1264" max="1264" width="10.5703125" style="906" customWidth="1"/>
    <col min="1265" max="1267" width="0" style="906" hidden="1" customWidth="1"/>
    <col min="1268" max="1496" width="9.140625" style="906"/>
    <col min="1497" max="1497" width="3" style="906" customWidth="1"/>
    <col min="1498" max="1498" width="18.7109375" style="906" customWidth="1"/>
    <col min="1499" max="1518" width="2.85546875" style="906" customWidth="1"/>
    <col min="1519" max="1519" width="3" style="906" bestFit="1" customWidth="1"/>
    <col min="1520" max="1520" width="10.5703125" style="906" customWidth="1"/>
    <col min="1521" max="1523" width="0" style="906" hidden="1" customWidth="1"/>
    <col min="1524" max="1752" width="9.140625" style="906"/>
    <col min="1753" max="1753" width="3" style="906" customWidth="1"/>
    <col min="1754" max="1754" width="18.7109375" style="906" customWidth="1"/>
    <col min="1755" max="1774" width="2.85546875" style="906" customWidth="1"/>
    <col min="1775" max="1775" width="3" style="906" bestFit="1" customWidth="1"/>
    <col min="1776" max="1776" width="10.5703125" style="906" customWidth="1"/>
    <col min="1777" max="1779" width="0" style="906" hidden="1" customWidth="1"/>
    <col min="1780" max="2008" width="9.140625" style="906"/>
    <col min="2009" max="2009" width="3" style="906" customWidth="1"/>
    <col min="2010" max="2010" width="18.7109375" style="906" customWidth="1"/>
    <col min="2011" max="2030" width="2.85546875" style="906" customWidth="1"/>
    <col min="2031" max="2031" width="3" style="906" bestFit="1" customWidth="1"/>
    <col min="2032" max="2032" width="10.5703125" style="906" customWidth="1"/>
    <col min="2033" max="2035" width="0" style="906" hidden="1" customWidth="1"/>
    <col min="2036" max="2264" width="9.140625" style="906"/>
    <col min="2265" max="2265" width="3" style="906" customWidth="1"/>
    <col min="2266" max="2266" width="18.7109375" style="906" customWidth="1"/>
    <col min="2267" max="2286" width="2.85546875" style="906" customWidth="1"/>
    <col min="2287" max="2287" width="3" style="906" bestFit="1" customWidth="1"/>
    <col min="2288" max="2288" width="10.5703125" style="906" customWidth="1"/>
    <col min="2289" max="2291" width="0" style="906" hidden="1" customWidth="1"/>
    <col min="2292" max="2520" width="9.140625" style="906"/>
    <col min="2521" max="2521" width="3" style="906" customWidth="1"/>
    <col min="2522" max="2522" width="18.7109375" style="906" customWidth="1"/>
    <col min="2523" max="2542" width="2.85546875" style="906" customWidth="1"/>
    <col min="2543" max="2543" width="3" style="906" bestFit="1" customWidth="1"/>
    <col min="2544" max="2544" width="10.5703125" style="906" customWidth="1"/>
    <col min="2545" max="2547" width="0" style="906" hidden="1" customWidth="1"/>
    <col min="2548" max="2776" width="9.140625" style="906"/>
    <col min="2777" max="2777" width="3" style="906" customWidth="1"/>
    <col min="2778" max="2778" width="18.7109375" style="906" customWidth="1"/>
    <col min="2779" max="2798" width="2.85546875" style="906" customWidth="1"/>
    <col min="2799" max="2799" width="3" style="906" bestFit="1" customWidth="1"/>
    <col min="2800" max="2800" width="10.5703125" style="906" customWidth="1"/>
    <col min="2801" max="2803" width="0" style="906" hidden="1" customWidth="1"/>
    <col min="2804" max="3032" width="9.140625" style="906"/>
    <col min="3033" max="3033" width="3" style="906" customWidth="1"/>
    <col min="3034" max="3034" width="18.7109375" style="906" customWidth="1"/>
    <col min="3035" max="3054" width="2.85546875" style="906" customWidth="1"/>
    <col min="3055" max="3055" width="3" style="906" bestFit="1" customWidth="1"/>
    <col min="3056" max="3056" width="10.5703125" style="906" customWidth="1"/>
    <col min="3057" max="3059" width="0" style="906" hidden="1" customWidth="1"/>
    <col min="3060" max="3288" width="9.140625" style="906"/>
    <col min="3289" max="3289" width="3" style="906" customWidth="1"/>
    <col min="3290" max="3290" width="18.7109375" style="906" customWidth="1"/>
    <col min="3291" max="3310" width="2.85546875" style="906" customWidth="1"/>
    <col min="3311" max="3311" width="3" style="906" bestFit="1" customWidth="1"/>
    <col min="3312" max="3312" width="10.5703125" style="906" customWidth="1"/>
    <col min="3313" max="3315" width="0" style="906" hidden="1" customWidth="1"/>
    <col min="3316" max="3544" width="9.140625" style="906"/>
    <col min="3545" max="3545" width="3" style="906" customWidth="1"/>
    <col min="3546" max="3546" width="18.7109375" style="906" customWidth="1"/>
    <col min="3547" max="3566" width="2.85546875" style="906" customWidth="1"/>
    <col min="3567" max="3567" width="3" style="906" bestFit="1" customWidth="1"/>
    <col min="3568" max="3568" width="10.5703125" style="906" customWidth="1"/>
    <col min="3569" max="3571" width="0" style="906" hidden="1" customWidth="1"/>
    <col min="3572" max="3800" width="9.140625" style="906"/>
    <col min="3801" max="3801" width="3" style="906" customWidth="1"/>
    <col min="3802" max="3802" width="18.7109375" style="906" customWidth="1"/>
    <col min="3803" max="3822" width="2.85546875" style="906" customWidth="1"/>
    <col min="3823" max="3823" width="3" style="906" bestFit="1" customWidth="1"/>
    <col min="3824" max="3824" width="10.5703125" style="906" customWidth="1"/>
    <col min="3825" max="3827" width="0" style="906" hidden="1" customWidth="1"/>
    <col min="3828" max="4056" width="9.140625" style="906"/>
    <col min="4057" max="4057" width="3" style="906" customWidth="1"/>
    <col min="4058" max="4058" width="18.7109375" style="906" customWidth="1"/>
    <col min="4059" max="4078" width="2.85546875" style="906" customWidth="1"/>
    <col min="4079" max="4079" width="3" style="906" bestFit="1" customWidth="1"/>
    <col min="4080" max="4080" width="10.5703125" style="906" customWidth="1"/>
    <col min="4081" max="4083" width="0" style="906" hidden="1" customWidth="1"/>
    <col min="4084" max="4312" width="9.140625" style="906"/>
    <col min="4313" max="4313" width="3" style="906" customWidth="1"/>
    <col min="4314" max="4314" width="18.7109375" style="906" customWidth="1"/>
    <col min="4315" max="4334" width="2.85546875" style="906" customWidth="1"/>
    <col min="4335" max="4335" width="3" style="906" bestFit="1" customWidth="1"/>
    <col min="4336" max="4336" width="10.5703125" style="906" customWidth="1"/>
    <col min="4337" max="4339" width="0" style="906" hidden="1" customWidth="1"/>
    <col min="4340" max="4568" width="9.140625" style="906"/>
    <col min="4569" max="4569" width="3" style="906" customWidth="1"/>
    <col min="4570" max="4570" width="18.7109375" style="906" customWidth="1"/>
    <col min="4571" max="4590" width="2.85546875" style="906" customWidth="1"/>
    <col min="4591" max="4591" width="3" style="906" bestFit="1" customWidth="1"/>
    <col min="4592" max="4592" width="10.5703125" style="906" customWidth="1"/>
    <col min="4593" max="4595" width="0" style="906" hidden="1" customWidth="1"/>
    <col min="4596" max="4824" width="9.140625" style="906"/>
    <col min="4825" max="4825" width="3" style="906" customWidth="1"/>
    <col min="4826" max="4826" width="18.7109375" style="906" customWidth="1"/>
    <col min="4827" max="4846" width="2.85546875" style="906" customWidth="1"/>
    <col min="4847" max="4847" width="3" style="906" bestFit="1" customWidth="1"/>
    <col min="4848" max="4848" width="10.5703125" style="906" customWidth="1"/>
    <col min="4849" max="4851" width="0" style="906" hidden="1" customWidth="1"/>
    <col min="4852" max="5080" width="9.140625" style="906"/>
    <col min="5081" max="5081" width="3" style="906" customWidth="1"/>
    <col min="5082" max="5082" width="18.7109375" style="906" customWidth="1"/>
    <col min="5083" max="5102" width="2.85546875" style="906" customWidth="1"/>
    <col min="5103" max="5103" width="3" style="906" bestFit="1" customWidth="1"/>
    <col min="5104" max="5104" width="10.5703125" style="906" customWidth="1"/>
    <col min="5105" max="5107" width="0" style="906" hidden="1" customWidth="1"/>
    <col min="5108" max="5336" width="9.140625" style="906"/>
    <col min="5337" max="5337" width="3" style="906" customWidth="1"/>
    <col min="5338" max="5338" width="18.7109375" style="906" customWidth="1"/>
    <col min="5339" max="5358" width="2.85546875" style="906" customWidth="1"/>
    <col min="5359" max="5359" width="3" style="906" bestFit="1" customWidth="1"/>
    <col min="5360" max="5360" width="10.5703125" style="906" customWidth="1"/>
    <col min="5361" max="5363" width="0" style="906" hidden="1" customWidth="1"/>
    <col min="5364" max="5592" width="9.140625" style="906"/>
    <col min="5593" max="5593" width="3" style="906" customWidth="1"/>
    <col min="5594" max="5594" width="18.7109375" style="906" customWidth="1"/>
    <col min="5595" max="5614" width="2.85546875" style="906" customWidth="1"/>
    <col min="5615" max="5615" width="3" style="906" bestFit="1" customWidth="1"/>
    <col min="5616" max="5616" width="10.5703125" style="906" customWidth="1"/>
    <col min="5617" max="5619" width="0" style="906" hidden="1" customWidth="1"/>
    <col min="5620" max="5848" width="9.140625" style="906"/>
    <col min="5849" max="5849" width="3" style="906" customWidth="1"/>
    <col min="5850" max="5850" width="18.7109375" style="906" customWidth="1"/>
    <col min="5851" max="5870" width="2.85546875" style="906" customWidth="1"/>
    <col min="5871" max="5871" width="3" style="906" bestFit="1" customWidth="1"/>
    <col min="5872" max="5872" width="10.5703125" style="906" customWidth="1"/>
    <col min="5873" max="5875" width="0" style="906" hidden="1" customWidth="1"/>
    <col min="5876" max="6104" width="9.140625" style="906"/>
    <col min="6105" max="6105" width="3" style="906" customWidth="1"/>
    <col min="6106" max="6106" width="18.7109375" style="906" customWidth="1"/>
    <col min="6107" max="6126" width="2.85546875" style="906" customWidth="1"/>
    <col min="6127" max="6127" width="3" style="906" bestFit="1" customWidth="1"/>
    <col min="6128" max="6128" width="10.5703125" style="906" customWidth="1"/>
    <col min="6129" max="6131" width="0" style="906" hidden="1" customWidth="1"/>
    <col min="6132" max="6360" width="9.140625" style="906"/>
    <col min="6361" max="6361" width="3" style="906" customWidth="1"/>
    <col min="6362" max="6362" width="18.7109375" style="906" customWidth="1"/>
    <col min="6363" max="6382" width="2.85546875" style="906" customWidth="1"/>
    <col min="6383" max="6383" width="3" style="906" bestFit="1" customWidth="1"/>
    <col min="6384" max="6384" width="10.5703125" style="906" customWidth="1"/>
    <col min="6385" max="6387" width="0" style="906" hidden="1" customWidth="1"/>
    <col min="6388" max="6616" width="9.140625" style="906"/>
    <col min="6617" max="6617" width="3" style="906" customWidth="1"/>
    <col min="6618" max="6618" width="18.7109375" style="906" customWidth="1"/>
    <col min="6619" max="6638" width="2.85546875" style="906" customWidth="1"/>
    <col min="6639" max="6639" width="3" style="906" bestFit="1" customWidth="1"/>
    <col min="6640" max="6640" width="10.5703125" style="906" customWidth="1"/>
    <col min="6641" max="6643" width="0" style="906" hidden="1" customWidth="1"/>
    <col min="6644" max="6872" width="9.140625" style="906"/>
    <col min="6873" max="6873" width="3" style="906" customWidth="1"/>
    <col min="6874" max="6874" width="18.7109375" style="906" customWidth="1"/>
    <col min="6875" max="6894" width="2.85546875" style="906" customWidth="1"/>
    <col min="6895" max="6895" width="3" style="906" bestFit="1" customWidth="1"/>
    <col min="6896" max="6896" width="10.5703125" style="906" customWidth="1"/>
    <col min="6897" max="6899" width="0" style="906" hidden="1" customWidth="1"/>
    <col min="6900" max="7128" width="9.140625" style="906"/>
    <col min="7129" max="7129" width="3" style="906" customWidth="1"/>
    <col min="7130" max="7130" width="18.7109375" style="906" customWidth="1"/>
    <col min="7131" max="7150" width="2.85546875" style="906" customWidth="1"/>
    <col min="7151" max="7151" width="3" style="906" bestFit="1" customWidth="1"/>
    <col min="7152" max="7152" width="10.5703125" style="906" customWidth="1"/>
    <col min="7153" max="7155" width="0" style="906" hidden="1" customWidth="1"/>
    <col min="7156" max="7384" width="9.140625" style="906"/>
    <col min="7385" max="7385" width="3" style="906" customWidth="1"/>
    <col min="7386" max="7386" width="18.7109375" style="906" customWidth="1"/>
    <col min="7387" max="7406" width="2.85546875" style="906" customWidth="1"/>
    <col min="7407" max="7407" width="3" style="906" bestFit="1" customWidth="1"/>
    <col min="7408" max="7408" width="10.5703125" style="906" customWidth="1"/>
    <col min="7409" max="7411" width="0" style="906" hidden="1" customWidth="1"/>
    <col min="7412" max="7640" width="9.140625" style="906"/>
    <col min="7641" max="7641" width="3" style="906" customWidth="1"/>
    <col min="7642" max="7642" width="18.7109375" style="906" customWidth="1"/>
    <col min="7643" max="7662" width="2.85546875" style="906" customWidth="1"/>
    <col min="7663" max="7663" width="3" style="906" bestFit="1" customWidth="1"/>
    <col min="7664" max="7664" width="10.5703125" style="906" customWidth="1"/>
    <col min="7665" max="7667" width="0" style="906" hidden="1" customWidth="1"/>
    <col min="7668" max="7896" width="9.140625" style="906"/>
    <col min="7897" max="7897" width="3" style="906" customWidth="1"/>
    <col min="7898" max="7898" width="18.7109375" style="906" customWidth="1"/>
    <col min="7899" max="7918" width="2.85546875" style="906" customWidth="1"/>
    <col min="7919" max="7919" width="3" style="906" bestFit="1" customWidth="1"/>
    <col min="7920" max="7920" width="10.5703125" style="906" customWidth="1"/>
    <col min="7921" max="7923" width="0" style="906" hidden="1" customWidth="1"/>
    <col min="7924" max="8152" width="9.140625" style="906"/>
    <col min="8153" max="8153" width="3" style="906" customWidth="1"/>
    <col min="8154" max="8154" width="18.7109375" style="906" customWidth="1"/>
    <col min="8155" max="8174" width="2.85546875" style="906" customWidth="1"/>
    <col min="8175" max="8175" width="3" style="906" bestFit="1" customWidth="1"/>
    <col min="8176" max="8176" width="10.5703125" style="906" customWidth="1"/>
    <col min="8177" max="8179" width="0" style="906" hidden="1" customWidth="1"/>
    <col min="8180" max="8408" width="9.140625" style="906"/>
    <col min="8409" max="8409" width="3" style="906" customWidth="1"/>
    <col min="8410" max="8410" width="18.7109375" style="906" customWidth="1"/>
    <col min="8411" max="8430" width="2.85546875" style="906" customWidth="1"/>
    <col min="8431" max="8431" width="3" style="906" bestFit="1" customWidth="1"/>
    <col min="8432" max="8432" width="10.5703125" style="906" customWidth="1"/>
    <col min="8433" max="8435" width="0" style="906" hidden="1" customWidth="1"/>
    <col min="8436" max="8664" width="9.140625" style="906"/>
    <col min="8665" max="8665" width="3" style="906" customWidth="1"/>
    <col min="8666" max="8666" width="18.7109375" style="906" customWidth="1"/>
    <col min="8667" max="8686" width="2.85546875" style="906" customWidth="1"/>
    <col min="8687" max="8687" width="3" style="906" bestFit="1" customWidth="1"/>
    <col min="8688" max="8688" width="10.5703125" style="906" customWidth="1"/>
    <col min="8689" max="8691" width="0" style="906" hidden="1" customWidth="1"/>
    <col min="8692" max="8920" width="9.140625" style="906"/>
    <col min="8921" max="8921" width="3" style="906" customWidth="1"/>
    <col min="8922" max="8922" width="18.7109375" style="906" customWidth="1"/>
    <col min="8923" max="8942" width="2.85546875" style="906" customWidth="1"/>
    <col min="8943" max="8943" width="3" style="906" bestFit="1" customWidth="1"/>
    <col min="8944" max="8944" width="10.5703125" style="906" customWidth="1"/>
    <col min="8945" max="8947" width="0" style="906" hidden="1" customWidth="1"/>
    <col min="8948" max="9176" width="9.140625" style="906"/>
    <col min="9177" max="9177" width="3" style="906" customWidth="1"/>
    <col min="9178" max="9178" width="18.7109375" style="906" customWidth="1"/>
    <col min="9179" max="9198" width="2.85546875" style="906" customWidth="1"/>
    <col min="9199" max="9199" width="3" style="906" bestFit="1" customWidth="1"/>
    <col min="9200" max="9200" width="10.5703125" style="906" customWidth="1"/>
    <col min="9201" max="9203" width="0" style="906" hidden="1" customWidth="1"/>
    <col min="9204" max="9432" width="9.140625" style="906"/>
    <col min="9433" max="9433" width="3" style="906" customWidth="1"/>
    <col min="9434" max="9434" width="18.7109375" style="906" customWidth="1"/>
    <col min="9435" max="9454" width="2.85546875" style="906" customWidth="1"/>
    <col min="9455" max="9455" width="3" style="906" bestFit="1" customWidth="1"/>
    <col min="9456" max="9456" width="10.5703125" style="906" customWidth="1"/>
    <col min="9457" max="9459" width="0" style="906" hidden="1" customWidth="1"/>
    <col min="9460" max="9688" width="9.140625" style="906"/>
    <col min="9689" max="9689" width="3" style="906" customWidth="1"/>
    <col min="9690" max="9690" width="18.7109375" style="906" customWidth="1"/>
    <col min="9691" max="9710" width="2.85546875" style="906" customWidth="1"/>
    <col min="9711" max="9711" width="3" style="906" bestFit="1" customWidth="1"/>
    <col min="9712" max="9712" width="10.5703125" style="906" customWidth="1"/>
    <col min="9713" max="9715" width="0" style="906" hidden="1" customWidth="1"/>
    <col min="9716" max="9944" width="9.140625" style="906"/>
    <col min="9945" max="9945" width="3" style="906" customWidth="1"/>
    <col min="9946" max="9946" width="18.7109375" style="906" customWidth="1"/>
    <col min="9947" max="9966" width="2.85546875" style="906" customWidth="1"/>
    <col min="9967" max="9967" width="3" style="906" bestFit="1" customWidth="1"/>
    <col min="9968" max="9968" width="10.5703125" style="906" customWidth="1"/>
    <col min="9969" max="9971" width="0" style="906" hidden="1" customWidth="1"/>
    <col min="9972" max="10200" width="9.140625" style="906"/>
    <col min="10201" max="10201" width="3" style="906" customWidth="1"/>
    <col min="10202" max="10202" width="18.7109375" style="906" customWidth="1"/>
    <col min="10203" max="10222" width="2.85546875" style="906" customWidth="1"/>
    <col min="10223" max="10223" width="3" style="906" bestFit="1" customWidth="1"/>
    <col min="10224" max="10224" width="10.5703125" style="906" customWidth="1"/>
    <col min="10225" max="10227" width="0" style="906" hidden="1" customWidth="1"/>
    <col min="10228" max="10456" width="9.140625" style="906"/>
    <col min="10457" max="10457" width="3" style="906" customWidth="1"/>
    <col min="10458" max="10458" width="18.7109375" style="906" customWidth="1"/>
    <col min="10459" max="10478" width="2.85546875" style="906" customWidth="1"/>
    <col min="10479" max="10479" width="3" style="906" bestFit="1" customWidth="1"/>
    <col min="10480" max="10480" width="10.5703125" style="906" customWidth="1"/>
    <col min="10481" max="10483" width="0" style="906" hidden="1" customWidth="1"/>
    <col min="10484" max="10712" width="9.140625" style="906"/>
    <col min="10713" max="10713" width="3" style="906" customWidth="1"/>
    <col min="10714" max="10714" width="18.7109375" style="906" customWidth="1"/>
    <col min="10715" max="10734" width="2.85546875" style="906" customWidth="1"/>
    <col min="10735" max="10735" width="3" style="906" bestFit="1" customWidth="1"/>
    <col min="10736" max="10736" width="10.5703125" style="906" customWidth="1"/>
    <col min="10737" max="10739" width="0" style="906" hidden="1" customWidth="1"/>
    <col min="10740" max="10968" width="9.140625" style="906"/>
    <col min="10969" max="10969" width="3" style="906" customWidth="1"/>
    <col min="10970" max="10970" width="18.7109375" style="906" customWidth="1"/>
    <col min="10971" max="10990" width="2.85546875" style="906" customWidth="1"/>
    <col min="10991" max="10991" width="3" style="906" bestFit="1" customWidth="1"/>
    <col min="10992" max="10992" width="10.5703125" style="906" customWidth="1"/>
    <col min="10993" max="10995" width="0" style="906" hidden="1" customWidth="1"/>
    <col min="10996" max="11224" width="9.140625" style="906"/>
    <col min="11225" max="11225" width="3" style="906" customWidth="1"/>
    <col min="11226" max="11226" width="18.7109375" style="906" customWidth="1"/>
    <col min="11227" max="11246" width="2.85546875" style="906" customWidth="1"/>
    <col min="11247" max="11247" width="3" style="906" bestFit="1" customWidth="1"/>
    <col min="11248" max="11248" width="10.5703125" style="906" customWidth="1"/>
    <col min="11249" max="11251" width="0" style="906" hidden="1" customWidth="1"/>
    <col min="11252" max="11480" width="9.140625" style="906"/>
    <col min="11481" max="11481" width="3" style="906" customWidth="1"/>
    <col min="11482" max="11482" width="18.7109375" style="906" customWidth="1"/>
    <col min="11483" max="11502" width="2.85546875" style="906" customWidth="1"/>
    <col min="11503" max="11503" width="3" style="906" bestFit="1" customWidth="1"/>
    <col min="11504" max="11504" width="10.5703125" style="906" customWidth="1"/>
    <col min="11505" max="11507" width="0" style="906" hidden="1" customWidth="1"/>
    <col min="11508" max="11736" width="9.140625" style="906"/>
    <col min="11737" max="11737" width="3" style="906" customWidth="1"/>
    <col min="11738" max="11738" width="18.7109375" style="906" customWidth="1"/>
    <col min="11739" max="11758" width="2.85546875" style="906" customWidth="1"/>
    <col min="11759" max="11759" width="3" style="906" bestFit="1" customWidth="1"/>
    <col min="11760" max="11760" width="10.5703125" style="906" customWidth="1"/>
    <col min="11761" max="11763" width="0" style="906" hidden="1" customWidth="1"/>
    <col min="11764" max="11992" width="9.140625" style="906"/>
    <col min="11993" max="11993" width="3" style="906" customWidth="1"/>
    <col min="11994" max="11994" width="18.7109375" style="906" customWidth="1"/>
    <col min="11995" max="12014" width="2.85546875" style="906" customWidth="1"/>
    <col min="12015" max="12015" width="3" style="906" bestFit="1" customWidth="1"/>
    <col min="12016" max="12016" width="10.5703125" style="906" customWidth="1"/>
    <col min="12017" max="12019" width="0" style="906" hidden="1" customWidth="1"/>
    <col min="12020" max="12248" width="9.140625" style="906"/>
    <col min="12249" max="12249" width="3" style="906" customWidth="1"/>
    <col min="12250" max="12250" width="18.7109375" style="906" customWidth="1"/>
    <col min="12251" max="12270" width="2.85546875" style="906" customWidth="1"/>
    <col min="12271" max="12271" width="3" style="906" bestFit="1" customWidth="1"/>
    <col min="12272" max="12272" width="10.5703125" style="906" customWidth="1"/>
    <col min="12273" max="12275" width="0" style="906" hidden="1" customWidth="1"/>
    <col min="12276" max="12504" width="9.140625" style="906"/>
    <col min="12505" max="12505" width="3" style="906" customWidth="1"/>
    <col min="12506" max="12506" width="18.7109375" style="906" customWidth="1"/>
    <col min="12507" max="12526" width="2.85546875" style="906" customWidth="1"/>
    <col min="12527" max="12527" width="3" style="906" bestFit="1" customWidth="1"/>
    <col min="12528" max="12528" width="10.5703125" style="906" customWidth="1"/>
    <col min="12529" max="12531" width="0" style="906" hidden="1" customWidth="1"/>
    <col min="12532" max="12760" width="9.140625" style="906"/>
    <col min="12761" max="12761" width="3" style="906" customWidth="1"/>
    <col min="12762" max="12762" width="18.7109375" style="906" customWidth="1"/>
    <col min="12763" max="12782" width="2.85546875" style="906" customWidth="1"/>
    <col min="12783" max="12783" width="3" style="906" bestFit="1" customWidth="1"/>
    <col min="12784" max="12784" width="10.5703125" style="906" customWidth="1"/>
    <col min="12785" max="12787" width="0" style="906" hidden="1" customWidth="1"/>
    <col min="12788" max="13016" width="9.140625" style="906"/>
    <col min="13017" max="13017" width="3" style="906" customWidth="1"/>
    <col min="13018" max="13018" width="18.7109375" style="906" customWidth="1"/>
    <col min="13019" max="13038" width="2.85546875" style="906" customWidth="1"/>
    <col min="13039" max="13039" width="3" style="906" bestFit="1" customWidth="1"/>
    <col min="13040" max="13040" width="10.5703125" style="906" customWidth="1"/>
    <col min="13041" max="13043" width="0" style="906" hidden="1" customWidth="1"/>
    <col min="13044" max="13272" width="9.140625" style="906"/>
    <col min="13273" max="13273" width="3" style="906" customWidth="1"/>
    <col min="13274" max="13274" width="18.7109375" style="906" customWidth="1"/>
    <col min="13275" max="13294" width="2.85546875" style="906" customWidth="1"/>
    <col min="13295" max="13295" width="3" style="906" bestFit="1" customWidth="1"/>
    <col min="13296" max="13296" width="10.5703125" style="906" customWidth="1"/>
    <col min="13297" max="13299" width="0" style="906" hidden="1" customWidth="1"/>
    <col min="13300" max="13528" width="9.140625" style="906"/>
    <col min="13529" max="13529" width="3" style="906" customWidth="1"/>
    <col min="13530" max="13530" width="18.7109375" style="906" customWidth="1"/>
    <col min="13531" max="13550" width="2.85546875" style="906" customWidth="1"/>
    <col min="13551" max="13551" width="3" style="906" bestFit="1" customWidth="1"/>
    <col min="13552" max="13552" width="10.5703125" style="906" customWidth="1"/>
    <col min="13553" max="13555" width="0" style="906" hidden="1" customWidth="1"/>
    <col min="13556" max="13784" width="9.140625" style="906"/>
    <col min="13785" max="13785" width="3" style="906" customWidth="1"/>
    <col min="13786" max="13786" width="18.7109375" style="906" customWidth="1"/>
    <col min="13787" max="13806" width="2.85546875" style="906" customWidth="1"/>
    <col min="13807" max="13807" width="3" style="906" bestFit="1" customWidth="1"/>
    <col min="13808" max="13808" width="10.5703125" style="906" customWidth="1"/>
    <col min="13809" max="13811" width="0" style="906" hidden="1" customWidth="1"/>
    <col min="13812" max="14040" width="9.140625" style="906"/>
    <col min="14041" max="14041" width="3" style="906" customWidth="1"/>
    <col min="14042" max="14042" width="18.7109375" style="906" customWidth="1"/>
    <col min="14043" max="14062" width="2.85546875" style="906" customWidth="1"/>
    <col min="14063" max="14063" width="3" style="906" bestFit="1" customWidth="1"/>
    <col min="14064" max="14064" width="10.5703125" style="906" customWidth="1"/>
    <col min="14065" max="14067" width="0" style="906" hidden="1" customWidth="1"/>
    <col min="14068" max="14296" width="9.140625" style="906"/>
    <col min="14297" max="14297" width="3" style="906" customWidth="1"/>
    <col min="14298" max="14298" width="18.7109375" style="906" customWidth="1"/>
    <col min="14299" max="14318" width="2.85546875" style="906" customWidth="1"/>
    <col min="14319" max="14319" width="3" style="906" bestFit="1" customWidth="1"/>
    <col min="14320" max="14320" width="10.5703125" style="906" customWidth="1"/>
    <col min="14321" max="14323" width="0" style="906" hidden="1" customWidth="1"/>
    <col min="14324" max="14552" width="9.140625" style="906"/>
    <col min="14553" max="14553" width="3" style="906" customWidth="1"/>
    <col min="14554" max="14554" width="18.7109375" style="906" customWidth="1"/>
    <col min="14555" max="14574" width="2.85546875" style="906" customWidth="1"/>
    <col min="14575" max="14575" width="3" style="906" bestFit="1" customWidth="1"/>
    <col min="14576" max="14576" width="10.5703125" style="906" customWidth="1"/>
    <col min="14577" max="14579" width="0" style="906" hidden="1" customWidth="1"/>
    <col min="14580" max="14808" width="9.140625" style="906"/>
    <col min="14809" max="14809" width="3" style="906" customWidth="1"/>
    <col min="14810" max="14810" width="18.7109375" style="906" customWidth="1"/>
    <col min="14811" max="14830" width="2.85546875" style="906" customWidth="1"/>
    <col min="14831" max="14831" width="3" style="906" bestFit="1" customWidth="1"/>
    <col min="14832" max="14832" width="10.5703125" style="906" customWidth="1"/>
    <col min="14833" max="14835" width="0" style="906" hidden="1" customWidth="1"/>
    <col min="14836" max="15064" width="9.140625" style="906"/>
    <col min="15065" max="15065" width="3" style="906" customWidth="1"/>
    <col min="15066" max="15066" width="18.7109375" style="906" customWidth="1"/>
    <col min="15067" max="15086" width="2.85546875" style="906" customWidth="1"/>
    <col min="15087" max="15087" width="3" style="906" bestFit="1" customWidth="1"/>
    <col min="15088" max="15088" width="10.5703125" style="906" customWidth="1"/>
    <col min="15089" max="15091" width="0" style="906" hidden="1" customWidth="1"/>
    <col min="15092" max="15320" width="9.140625" style="906"/>
    <col min="15321" max="15321" width="3" style="906" customWidth="1"/>
    <col min="15322" max="15322" width="18.7109375" style="906" customWidth="1"/>
    <col min="15323" max="15342" width="2.85546875" style="906" customWidth="1"/>
    <col min="15343" max="15343" width="3" style="906" bestFit="1" customWidth="1"/>
    <col min="15344" max="15344" width="10.5703125" style="906" customWidth="1"/>
    <col min="15345" max="15347" width="0" style="906" hidden="1" customWidth="1"/>
    <col min="15348" max="15576" width="9.140625" style="906"/>
    <col min="15577" max="15577" width="3" style="906" customWidth="1"/>
    <col min="15578" max="15578" width="18.7109375" style="906" customWidth="1"/>
    <col min="15579" max="15598" width="2.85546875" style="906" customWidth="1"/>
    <col min="15599" max="15599" width="3" style="906" bestFit="1" customWidth="1"/>
    <col min="15600" max="15600" width="10.5703125" style="906" customWidth="1"/>
    <col min="15601" max="15603" width="0" style="906" hidden="1" customWidth="1"/>
    <col min="15604" max="15832" width="9.140625" style="906"/>
    <col min="15833" max="15833" width="3" style="906" customWidth="1"/>
    <col min="15834" max="15834" width="18.7109375" style="906" customWidth="1"/>
    <col min="15835" max="15854" width="2.85546875" style="906" customWidth="1"/>
    <col min="15855" max="15855" width="3" style="906" bestFit="1" customWidth="1"/>
    <col min="15856" max="15856" width="10.5703125" style="906" customWidth="1"/>
    <col min="15857" max="15859" width="0" style="906" hidden="1" customWidth="1"/>
    <col min="15860" max="16088" width="9.140625" style="906"/>
    <col min="16089" max="16089" width="3" style="906" customWidth="1"/>
    <col min="16090" max="16090" width="18.7109375" style="906" customWidth="1"/>
    <col min="16091" max="16110" width="2.85546875" style="906" customWidth="1"/>
    <col min="16111" max="16111" width="3" style="906" bestFit="1" customWidth="1"/>
    <col min="16112" max="16112" width="10.5703125" style="906" customWidth="1"/>
    <col min="16113" max="16115" width="0" style="906" hidden="1" customWidth="1"/>
    <col min="16116" max="16384" width="9.140625" style="906"/>
  </cols>
  <sheetData>
    <row r="1" spans="1:36" s="892" customFormat="1" x14ac:dyDescent="0.2">
      <c r="A1" s="807" t="str">
        <f>UPPER((Kalend!E23)&amp;" - "&amp;(Kalend!C23)&amp;" - "&amp;(Kalend!D23))</f>
        <v>7 - IDA-VIRUMAA MV - TULISTAMINE</v>
      </c>
      <c r="B1" s="891"/>
      <c r="C1" s="891"/>
      <c r="D1" s="891"/>
      <c r="E1" s="891"/>
      <c r="I1" s="893"/>
      <c r="J1" s="893"/>
      <c r="K1" s="893"/>
      <c r="L1" s="893"/>
      <c r="M1" s="893"/>
      <c r="N1" s="893"/>
      <c r="O1" s="893"/>
      <c r="P1" s="893"/>
      <c r="Q1" s="893"/>
      <c r="R1" s="893"/>
      <c r="S1" s="893"/>
      <c r="T1" s="893"/>
      <c r="U1" s="893"/>
      <c r="V1" s="893"/>
      <c r="Y1" s="893"/>
      <c r="AE1" s="582" t="s">
        <v>53</v>
      </c>
      <c r="AF1" s="580"/>
      <c r="AG1" s="580"/>
      <c r="AH1" s="894" t="s">
        <v>53</v>
      </c>
      <c r="AI1" s="895"/>
      <c r="AJ1" s="895"/>
    </row>
    <row r="2" spans="1:36" s="892" customFormat="1" x14ac:dyDescent="0.2">
      <c r="A2" s="811" t="str">
        <f>"Toimumisaeg: "&amp;(Kalend!A23)&amp;" kell "&amp;(Kalend!B23)</f>
        <v>Toimumisaeg: N, 21.07.2022 kell 18:00</v>
      </c>
      <c r="B2" s="891"/>
      <c r="C2" s="891"/>
      <c r="D2" s="891"/>
      <c r="E2" s="891"/>
      <c r="O2" s="891"/>
      <c r="P2" s="891"/>
      <c r="Q2" s="891"/>
      <c r="R2" s="891"/>
      <c r="S2" s="891"/>
      <c r="T2" s="891"/>
      <c r="Y2" s="893"/>
      <c r="AE2" s="573"/>
      <c r="AF2" s="573"/>
      <c r="AG2" s="573"/>
    </row>
    <row r="3" spans="1:36" s="892" customFormat="1" x14ac:dyDescent="0.2">
      <c r="A3" s="811" t="str">
        <f>"Toimumiskoht: "&amp;(Kalend!F23)</f>
        <v>Toimumiskoht: K-Järve spordihoone</v>
      </c>
      <c r="B3" s="891"/>
      <c r="C3" s="891"/>
      <c r="D3" s="891"/>
      <c r="E3" s="891"/>
      <c r="O3" s="891"/>
      <c r="P3" s="891"/>
      <c r="Q3" s="891"/>
      <c r="R3" s="891"/>
      <c r="S3" s="891"/>
      <c r="T3" s="891"/>
      <c r="Y3" s="893"/>
      <c r="AE3" s="573"/>
      <c r="AF3" s="573"/>
      <c r="AG3" s="573"/>
    </row>
    <row r="4" spans="1:36" s="892" customFormat="1" x14ac:dyDescent="0.2">
      <c r="A4" s="811" t="str">
        <f>"Korraldaja: "&amp;(Kalend!G23)</f>
        <v>Korraldaja: Ivar Viljaste</v>
      </c>
      <c r="B4" s="891"/>
      <c r="Y4" s="893"/>
      <c r="AE4" s="591" t="s">
        <v>273</v>
      </c>
      <c r="AF4" s="581"/>
      <c r="AG4" s="583"/>
    </row>
    <row r="5" spans="1:36" s="892" customFormat="1" ht="13.5" thickBot="1" x14ac:dyDescent="0.25">
      <c r="A5" s="891"/>
      <c r="B5" s="891"/>
      <c r="C5" s="896"/>
      <c r="D5" s="896"/>
      <c r="E5" s="896"/>
      <c r="F5" s="896"/>
      <c r="G5" s="896"/>
      <c r="H5" s="896"/>
      <c r="I5" s="896"/>
      <c r="J5" s="896"/>
      <c r="K5" s="896"/>
      <c r="L5" s="893"/>
      <c r="M5" s="893"/>
      <c r="N5" s="893"/>
      <c r="O5" s="893"/>
      <c r="P5" s="893"/>
      <c r="Q5" s="893"/>
      <c r="R5" s="893"/>
      <c r="S5" s="893"/>
      <c r="T5" s="893"/>
      <c r="U5" s="893"/>
      <c r="V5" s="893"/>
      <c r="W5" s="893"/>
      <c r="X5" s="893"/>
      <c r="Y5" s="893"/>
      <c r="AE5" s="594" t="s">
        <v>310</v>
      </c>
      <c r="AF5" s="595" t="s">
        <v>77</v>
      </c>
      <c r="AG5" s="596"/>
      <c r="AH5" s="897" t="s">
        <v>273</v>
      </c>
      <c r="AI5" s="898"/>
      <c r="AJ5" s="898"/>
    </row>
    <row r="6" spans="1:36" ht="58.5" thickBot="1" x14ac:dyDescent="0.25">
      <c r="A6" s="899"/>
      <c r="B6" s="900"/>
      <c r="C6" s="901"/>
      <c r="D6" s="901"/>
      <c r="E6" s="901"/>
      <c r="F6" s="901"/>
      <c r="G6" s="902"/>
      <c r="H6" s="901"/>
      <c r="I6" s="901"/>
      <c r="J6" s="903"/>
      <c r="K6" s="901"/>
      <c r="L6" s="901"/>
      <c r="M6" s="901"/>
      <c r="N6" s="901"/>
      <c r="O6" s="902"/>
      <c r="P6" s="901"/>
      <c r="Q6" s="901"/>
      <c r="R6" s="903"/>
      <c r="S6" s="901"/>
      <c r="T6" s="901"/>
      <c r="U6" s="901"/>
      <c r="V6" s="901"/>
      <c r="W6" s="904"/>
      <c r="X6" s="904"/>
      <c r="Y6" s="905" t="s">
        <v>572</v>
      </c>
      <c r="AE6" s="594" t="s">
        <v>275</v>
      </c>
      <c r="AF6" s="581"/>
      <c r="AG6" s="595"/>
      <c r="AH6" s="907" t="s">
        <v>11</v>
      </c>
      <c r="AI6" s="908"/>
      <c r="AJ6" s="908"/>
    </row>
    <row r="7" spans="1:36" s="916" customFormat="1" ht="13.5" thickBot="1" x14ac:dyDescent="0.25">
      <c r="A7" s="909"/>
      <c r="B7" s="910"/>
      <c r="C7" s="911">
        <v>6</v>
      </c>
      <c r="D7" s="912">
        <v>7</v>
      </c>
      <c r="E7" s="912">
        <v>8</v>
      </c>
      <c r="F7" s="913">
        <v>9</v>
      </c>
      <c r="G7" s="911">
        <v>6</v>
      </c>
      <c r="H7" s="912">
        <v>7</v>
      </c>
      <c r="I7" s="912">
        <v>8</v>
      </c>
      <c r="J7" s="913">
        <v>9</v>
      </c>
      <c r="K7" s="911">
        <v>6</v>
      </c>
      <c r="L7" s="912">
        <v>7</v>
      </c>
      <c r="M7" s="912">
        <v>8</v>
      </c>
      <c r="N7" s="913">
        <v>9</v>
      </c>
      <c r="O7" s="911">
        <v>6</v>
      </c>
      <c r="P7" s="912">
        <v>7</v>
      </c>
      <c r="Q7" s="912">
        <v>8</v>
      </c>
      <c r="R7" s="913">
        <v>9</v>
      </c>
      <c r="S7" s="911">
        <v>6</v>
      </c>
      <c r="T7" s="912">
        <v>7</v>
      </c>
      <c r="U7" s="912">
        <v>8</v>
      </c>
      <c r="V7" s="913">
        <v>9</v>
      </c>
      <c r="W7" s="914" t="s">
        <v>78</v>
      </c>
      <c r="X7" s="915" t="s">
        <v>573</v>
      </c>
      <c r="Y7" s="915" t="s">
        <v>258</v>
      </c>
      <c r="AE7" s="605"/>
      <c r="AF7" s="596"/>
      <c r="AG7" s="596"/>
      <c r="AH7" s="907" t="s">
        <v>275</v>
      </c>
      <c r="AI7" s="917" t="s">
        <v>276</v>
      </c>
      <c r="AJ7" s="917"/>
    </row>
    <row r="8" spans="1:36" x14ac:dyDescent="0.2">
      <c r="A8" s="918" t="s">
        <v>574</v>
      </c>
      <c r="B8" s="919" t="s">
        <v>307</v>
      </c>
      <c r="C8" s="920"/>
      <c r="D8" s="921"/>
      <c r="E8" s="921"/>
      <c r="F8" s="922"/>
      <c r="G8" s="923"/>
      <c r="H8" s="924"/>
      <c r="I8" s="921"/>
      <c r="J8" s="925"/>
      <c r="K8" s="920"/>
      <c r="L8" s="921"/>
      <c r="M8" s="921"/>
      <c r="N8" s="922"/>
      <c r="O8" s="923"/>
      <c r="P8" s="921"/>
      <c r="Q8" s="921"/>
      <c r="R8" s="925"/>
      <c r="S8" s="920"/>
      <c r="T8" s="921"/>
      <c r="U8" s="921"/>
      <c r="V8" s="922"/>
      <c r="W8" s="926"/>
      <c r="X8" s="927"/>
      <c r="Y8" s="928"/>
      <c r="AE8" s="618"/>
      <c r="AF8" s="619"/>
      <c r="AG8" s="620"/>
      <c r="AH8" s="907" t="s">
        <v>287</v>
      </c>
      <c r="AI8" s="908"/>
      <c r="AJ8" s="908"/>
    </row>
    <row r="9" spans="1:36" x14ac:dyDescent="0.2">
      <c r="A9" s="929">
        <v>1</v>
      </c>
      <c r="B9" s="930" t="s">
        <v>92</v>
      </c>
      <c r="C9" s="931">
        <v>3</v>
      </c>
      <c r="D9" s="932">
        <v>0</v>
      </c>
      <c r="E9" s="932">
        <v>0</v>
      </c>
      <c r="F9" s="933">
        <v>0</v>
      </c>
      <c r="G9" s="934">
        <v>1</v>
      </c>
      <c r="H9" s="932">
        <v>0</v>
      </c>
      <c r="I9" s="935">
        <v>0</v>
      </c>
      <c r="J9" s="936">
        <v>5</v>
      </c>
      <c r="K9" s="931">
        <v>1</v>
      </c>
      <c r="L9" s="932">
        <v>0</v>
      </c>
      <c r="M9" s="932">
        <v>0</v>
      </c>
      <c r="N9" s="933">
        <v>0</v>
      </c>
      <c r="O9" s="931">
        <v>3</v>
      </c>
      <c r="P9" s="932">
        <v>0</v>
      </c>
      <c r="Q9" s="932">
        <v>3</v>
      </c>
      <c r="R9" s="936">
        <v>0</v>
      </c>
      <c r="S9" s="931">
        <v>0</v>
      </c>
      <c r="T9" s="932">
        <v>0</v>
      </c>
      <c r="U9" s="932">
        <v>0</v>
      </c>
      <c r="V9" s="933">
        <v>5</v>
      </c>
      <c r="W9" s="937">
        <f t="shared" ref="W9:W22" si="0">SUM(C9:V9)+COUNTIF(C9:V9,5)/100+COUNTIF(C9:V9,3)/10000</f>
        <v>21.020299999999999</v>
      </c>
      <c r="X9" s="938" t="str">
        <f t="shared" ref="X9:X22" si="1">IF(COUNTA(C9:V9)=0,"",IF(RANK(W9,W$9:W$22)&lt;3,"edasi "&amp;RANK(W9,W$9:W$22),IF(RANK(W9,W$9:W$22)&lt;9,"vahevooru "&amp;RANK(W9,W$9:W$22)-2,RANK(W9,W$9:W$22))))</f>
        <v>edasi 1</v>
      </c>
      <c r="Y9" s="939"/>
      <c r="AE9" s="618">
        <f t="shared" ref="AE9:AE22" ca="1" si="2">SUM(AG9:AG9)</f>
        <v>133</v>
      </c>
      <c r="AF9" s="619" t="str">
        <f t="shared" ref="AF9:AF22" si="3">$B9</f>
        <v>Andres Veski</v>
      </c>
      <c r="AG9" s="620">
        <f ca="1">IFERROR(INDEX(Reit!$I:$I,MATCH(AF9,Reit!$F:$F,0)),"")</f>
        <v>133</v>
      </c>
      <c r="AH9" s="940">
        <f t="shared" ref="AH9:AH22" ca="1" si="4">SUM(AJ300:AR300)</f>
        <v>695</v>
      </c>
      <c r="AI9" s="941" t="str">
        <f t="shared" ref="AI9:AI22" ca="1" si="5">B300</f>
        <v>Ivar Viljaste</v>
      </c>
      <c r="AJ9" s="942">
        <f ca="1">IFERROR(INDEX([1]Üldreiting!$M:$M,MATCH(AI9,[1]Üldreiting!$H:$H,0)),"")</f>
        <v>695</v>
      </c>
    </row>
    <row r="10" spans="1:36" x14ac:dyDescent="0.2">
      <c r="A10" s="929">
        <v>2</v>
      </c>
      <c r="B10" s="943" t="s">
        <v>90</v>
      </c>
      <c r="C10" s="931">
        <v>3</v>
      </c>
      <c r="D10" s="932">
        <v>3</v>
      </c>
      <c r="E10" s="932">
        <v>3</v>
      </c>
      <c r="F10" s="933">
        <v>0</v>
      </c>
      <c r="G10" s="935">
        <v>0</v>
      </c>
      <c r="H10" s="932">
        <v>0</v>
      </c>
      <c r="I10" s="932">
        <v>0</v>
      </c>
      <c r="J10" s="944">
        <v>1</v>
      </c>
      <c r="K10" s="931">
        <v>0</v>
      </c>
      <c r="L10" s="932">
        <v>0</v>
      </c>
      <c r="M10" s="932">
        <v>0</v>
      </c>
      <c r="N10" s="933">
        <v>3</v>
      </c>
      <c r="O10" s="935">
        <v>0</v>
      </c>
      <c r="P10" s="932">
        <v>3</v>
      </c>
      <c r="Q10" s="932">
        <v>0</v>
      </c>
      <c r="R10" s="944">
        <v>0</v>
      </c>
      <c r="S10" s="931">
        <v>0</v>
      </c>
      <c r="T10" s="932">
        <v>5</v>
      </c>
      <c r="U10" s="932">
        <v>0</v>
      </c>
      <c r="V10" s="933">
        <v>0</v>
      </c>
      <c r="W10" s="937">
        <f t="shared" si="0"/>
        <v>21.0105</v>
      </c>
      <c r="X10" s="938" t="str">
        <f t="shared" si="1"/>
        <v>edasi 2</v>
      </c>
      <c r="AE10" s="618">
        <f t="shared" ca="1" si="2"/>
        <v>262</v>
      </c>
      <c r="AF10" s="619" t="str">
        <f t="shared" si="3"/>
        <v>Kenneth Muusikus</v>
      </c>
      <c r="AG10" s="620">
        <f ca="1">IFERROR(INDEX(Reit!$I:$I,MATCH(AF10,Reit!$F:$F,0)),"")</f>
        <v>262</v>
      </c>
      <c r="AH10" s="940">
        <f t="shared" ca="1" si="4"/>
        <v>227</v>
      </c>
      <c r="AI10" s="941" t="str">
        <f t="shared" ca="1" si="5"/>
        <v>Henri Mitt</v>
      </c>
      <c r="AJ10" s="942">
        <f ca="1">IFERROR(INDEX([1]Üldreiting!$M:$M,MATCH(AI10,[1]Üldreiting!$H:$H,0)),"")</f>
        <v>227</v>
      </c>
    </row>
    <row r="11" spans="1:36" x14ac:dyDescent="0.2">
      <c r="A11" s="945">
        <v>3</v>
      </c>
      <c r="B11" s="946" t="s">
        <v>104</v>
      </c>
      <c r="C11" s="947">
        <v>0</v>
      </c>
      <c r="D11" s="948">
        <v>0</v>
      </c>
      <c r="E11" s="948">
        <v>3</v>
      </c>
      <c r="F11" s="949">
        <v>0</v>
      </c>
      <c r="G11" s="950">
        <v>0</v>
      </c>
      <c r="H11" s="948">
        <v>0</v>
      </c>
      <c r="I11" s="948">
        <v>0</v>
      </c>
      <c r="J11" s="951">
        <v>0</v>
      </c>
      <c r="K11" s="947">
        <v>1</v>
      </c>
      <c r="L11" s="948">
        <v>0</v>
      </c>
      <c r="M11" s="948">
        <v>0</v>
      </c>
      <c r="N11" s="949">
        <v>0</v>
      </c>
      <c r="O11" s="950">
        <v>1</v>
      </c>
      <c r="P11" s="948">
        <v>0</v>
      </c>
      <c r="Q11" s="948">
        <v>0</v>
      </c>
      <c r="R11" s="951">
        <v>0</v>
      </c>
      <c r="S11" s="947">
        <v>5</v>
      </c>
      <c r="T11" s="948">
        <v>5</v>
      </c>
      <c r="U11" s="948">
        <v>0</v>
      </c>
      <c r="V11" s="949">
        <v>5</v>
      </c>
      <c r="W11" s="952">
        <f t="shared" si="0"/>
        <v>20.030100000000001</v>
      </c>
      <c r="X11" s="953" t="str">
        <f t="shared" si="1"/>
        <v>vahevooru 1</v>
      </c>
      <c r="AE11" s="618">
        <f t="shared" ca="1" si="2"/>
        <v>110</v>
      </c>
      <c r="AF11" s="619" t="str">
        <f t="shared" si="3"/>
        <v>Henri Mitt</v>
      </c>
      <c r="AG11" s="620">
        <f ca="1">IFERROR(INDEX(Reit!$I:$I,MATCH(AF11,Reit!$F:$F,0)),"")</f>
        <v>110</v>
      </c>
      <c r="AH11" s="940">
        <f t="shared" ca="1" si="4"/>
        <v>555</v>
      </c>
      <c r="AI11" s="941" t="str">
        <f t="shared" ca="1" si="5"/>
        <v>Kenneth Muusikus</v>
      </c>
      <c r="AJ11" s="942">
        <f ca="1">IFERROR(INDEX([1]Üldreiting!$M:$M,MATCH(AI11,[1]Üldreiting!$H:$H,0)),"")</f>
        <v>555</v>
      </c>
    </row>
    <row r="12" spans="1:36" x14ac:dyDescent="0.2">
      <c r="A12" s="945">
        <v>4</v>
      </c>
      <c r="B12" s="954" t="s">
        <v>88</v>
      </c>
      <c r="C12" s="947">
        <v>3</v>
      </c>
      <c r="D12" s="948">
        <v>0</v>
      </c>
      <c r="E12" s="948">
        <v>3</v>
      </c>
      <c r="F12" s="949">
        <v>3</v>
      </c>
      <c r="G12" s="950">
        <v>0</v>
      </c>
      <c r="H12" s="948">
        <v>0</v>
      </c>
      <c r="I12" s="948">
        <v>3</v>
      </c>
      <c r="J12" s="951">
        <v>0</v>
      </c>
      <c r="K12" s="947">
        <v>0</v>
      </c>
      <c r="L12" s="948">
        <v>1</v>
      </c>
      <c r="M12" s="948">
        <v>0</v>
      </c>
      <c r="N12" s="949">
        <v>3</v>
      </c>
      <c r="O12" s="950">
        <v>3</v>
      </c>
      <c r="P12" s="948">
        <v>0</v>
      </c>
      <c r="Q12" s="948">
        <v>0</v>
      </c>
      <c r="R12" s="951">
        <v>0</v>
      </c>
      <c r="S12" s="947">
        <v>0</v>
      </c>
      <c r="T12" s="948">
        <v>0</v>
      </c>
      <c r="U12" s="948">
        <v>0</v>
      </c>
      <c r="V12" s="949">
        <v>0</v>
      </c>
      <c r="W12" s="952">
        <f t="shared" si="0"/>
        <v>19.000599999999999</v>
      </c>
      <c r="X12" s="955" t="str">
        <f t="shared" si="1"/>
        <v>vahevooru 2</v>
      </c>
      <c r="AE12" s="618">
        <f t="shared" ca="1" si="2"/>
        <v>232</v>
      </c>
      <c r="AF12" s="619" t="str">
        <f t="shared" si="3"/>
        <v>Oleg Rõndenkov</v>
      </c>
      <c r="AG12" s="620">
        <f ca="1">IFERROR(INDEX(Reit!$I:$I,MATCH(AF12,Reit!$F:$F,0)),"")</f>
        <v>232</v>
      </c>
      <c r="AH12" s="940">
        <f t="shared" ca="1" si="4"/>
        <v>320.5</v>
      </c>
      <c r="AI12" s="941" t="str">
        <f t="shared" ca="1" si="5"/>
        <v>Andres Veski</v>
      </c>
      <c r="AJ12" s="942">
        <f ca="1">IFERROR(INDEX([1]Üldreiting!$M:$M,MATCH(AI12,[1]Üldreiting!$H:$H,0)),"")</f>
        <v>320.5</v>
      </c>
    </row>
    <row r="13" spans="1:36" x14ac:dyDescent="0.2">
      <c r="A13" s="945">
        <v>5</v>
      </c>
      <c r="B13" s="954" t="s">
        <v>102</v>
      </c>
      <c r="C13" s="947">
        <v>5</v>
      </c>
      <c r="D13" s="948">
        <v>0</v>
      </c>
      <c r="E13" s="948">
        <v>0</v>
      </c>
      <c r="F13" s="949">
        <v>0</v>
      </c>
      <c r="G13" s="950">
        <v>0</v>
      </c>
      <c r="H13" s="948">
        <v>0</v>
      </c>
      <c r="I13" s="948">
        <v>0</v>
      </c>
      <c r="J13" s="951">
        <v>0</v>
      </c>
      <c r="K13" s="947">
        <v>0</v>
      </c>
      <c r="L13" s="948">
        <v>0</v>
      </c>
      <c r="M13" s="948">
        <v>0</v>
      </c>
      <c r="N13" s="949">
        <v>0</v>
      </c>
      <c r="O13" s="950">
        <v>0</v>
      </c>
      <c r="P13" s="948">
        <v>3</v>
      </c>
      <c r="Q13" s="948">
        <v>0</v>
      </c>
      <c r="R13" s="951">
        <v>0</v>
      </c>
      <c r="S13" s="947">
        <v>0</v>
      </c>
      <c r="T13" s="948">
        <v>3</v>
      </c>
      <c r="U13" s="948">
        <v>5</v>
      </c>
      <c r="V13" s="949">
        <v>0</v>
      </c>
      <c r="W13" s="952">
        <f t="shared" si="0"/>
        <v>16.020199999999999</v>
      </c>
      <c r="X13" s="955" t="str">
        <f t="shared" si="1"/>
        <v>vahevooru 3</v>
      </c>
      <c r="AE13" s="618">
        <f t="shared" ca="1" si="2"/>
        <v>87</v>
      </c>
      <c r="AF13" s="619" t="str">
        <f t="shared" si="3"/>
        <v>Vladimir Ogneštšikov</v>
      </c>
      <c r="AG13" s="620">
        <f ca="1">IFERROR(INDEX(Reit!$I:$I,MATCH(AF13,Reit!$F:$F,0)),"")</f>
        <v>87</v>
      </c>
      <c r="AH13" s="940">
        <f t="shared" si="4"/>
        <v>21</v>
      </c>
      <c r="AI13" s="941" t="str">
        <f t="shared" si="5"/>
        <v>Oleg Rõndenkov</v>
      </c>
      <c r="AJ13" s="942">
        <f>IFERROR(INDEX([1]Üldreiting!$M:$M,MATCH(AI13,[1]Üldreiting!$H:$H,0)),"")</f>
        <v>21</v>
      </c>
    </row>
    <row r="14" spans="1:36" x14ac:dyDescent="0.2">
      <c r="A14" s="945">
        <v>6</v>
      </c>
      <c r="B14" s="954" t="s">
        <v>12</v>
      </c>
      <c r="C14" s="947">
        <v>3</v>
      </c>
      <c r="D14" s="948">
        <v>3</v>
      </c>
      <c r="E14" s="948">
        <v>3</v>
      </c>
      <c r="F14" s="949">
        <v>0</v>
      </c>
      <c r="G14" s="950">
        <v>0</v>
      </c>
      <c r="H14" s="948">
        <v>0</v>
      </c>
      <c r="I14" s="948">
        <v>0</v>
      </c>
      <c r="J14" s="951">
        <v>1</v>
      </c>
      <c r="K14" s="947">
        <v>0</v>
      </c>
      <c r="L14" s="948">
        <v>0</v>
      </c>
      <c r="M14" s="948">
        <v>0</v>
      </c>
      <c r="N14" s="949">
        <v>3</v>
      </c>
      <c r="O14" s="950">
        <v>0</v>
      </c>
      <c r="P14" s="948">
        <v>3</v>
      </c>
      <c r="Q14" s="948">
        <v>0</v>
      </c>
      <c r="R14" s="951">
        <v>0</v>
      </c>
      <c r="S14" s="947">
        <v>0</v>
      </c>
      <c r="T14" s="956">
        <v>0</v>
      </c>
      <c r="U14" s="956">
        <v>0</v>
      </c>
      <c r="V14" s="949">
        <v>0</v>
      </c>
      <c r="W14" s="952">
        <f t="shared" si="0"/>
        <v>16.000499999999999</v>
      </c>
      <c r="X14" s="955" t="str">
        <f t="shared" si="1"/>
        <v>vahevooru 4</v>
      </c>
      <c r="AE14" s="618">
        <f t="shared" ca="1" si="2"/>
        <v>268</v>
      </c>
      <c r="AF14" s="619" t="str">
        <f t="shared" si="3"/>
        <v>Ivar Viljaste</v>
      </c>
      <c r="AG14" s="620">
        <f ca="1">IFERROR(INDEX(Reit!$I:$I,MATCH(AF14,Reit!$F:$F,0)),"")</f>
        <v>268</v>
      </c>
      <c r="AH14" s="940">
        <f t="shared" si="4"/>
        <v>90</v>
      </c>
      <c r="AI14" s="941" t="str">
        <f t="shared" si="5"/>
        <v>Viktor Švarõgin</v>
      </c>
      <c r="AJ14" s="942">
        <f>IFERROR(INDEX([1]Üldreiting!$M:$M,MATCH(AI14,[1]Üldreiting!$H:$H,0)),"")</f>
        <v>90</v>
      </c>
    </row>
    <row r="15" spans="1:36" x14ac:dyDescent="0.2">
      <c r="A15" s="945">
        <v>7</v>
      </c>
      <c r="B15" s="957" t="s">
        <v>116</v>
      </c>
      <c r="C15" s="947">
        <v>3</v>
      </c>
      <c r="D15" s="948">
        <v>5</v>
      </c>
      <c r="E15" s="948">
        <v>0</v>
      </c>
      <c r="F15" s="949">
        <v>0</v>
      </c>
      <c r="G15" s="950">
        <v>0</v>
      </c>
      <c r="H15" s="948">
        <v>0</v>
      </c>
      <c r="I15" s="948">
        <v>0</v>
      </c>
      <c r="J15" s="951">
        <v>0</v>
      </c>
      <c r="K15" s="947">
        <v>1</v>
      </c>
      <c r="L15" s="948">
        <v>1</v>
      </c>
      <c r="M15" s="948">
        <v>0</v>
      </c>
      <c r="N15" s="949">
        <v>0</v>
      </c>
      <c r="O15" s="950">
        <v>0</v>
      </c>
      <c r="P15" s="948">
        <v>0</v>
      </c>
      <c r="Q15" s="948">
        <v>0</v>
      </c>
      <c r="R15" s="951">
        <v>0</v>
      </c>
      <c r="S15" s="958">
        <v>0</v>
      </c>
      <c r="T15" s="948">
        <v>0</v>
      </c>
      <c r="U15" s="948">
        <v>3</v>
      </c>
      <c r="V15" s="959">
        <v>0</v>
      </c>
      <c r="W15" s="952">
        <f t="shared" si="0"/>
        <v>13.010199999999999</v>
      </c>
      <c r="X15" s="953" t="str">
        <f t="shared" si="1"/>
        <v>vahevooru 5</v>
      </c>
      <c r="Y15" s="939"/>
      <c r="AE15" s="618">
        <f t="shared" ca="1" si="2"/>
        <v>228</v>
      </c>
      <c r="AF15" s="619" t="str">
        <f t="shared" si="3"/>
        <v>Kaspar Mänd</v>
      </c>
      <c r="AG15" s="620">
        <f ca="1">IFERROR(INDEX(Reit!$I:$I,MATCH(AF15,Reit!$F:$F,0)),"")</f>
        <v>228</v>
      </c>
      <c r="AH15" s="940">
        <f t="shared" si="4"/>
        <v>0</v>
      </c>
      <c r="AI15" s="941" t="str">
        <f t="shared" si="5"/>
        <v>Kaspar Mänd</v>
      </c>
      <c r="AJ15" s="942" t="str">
        <f>IFERROR(INDEX([1]Üldreiting!$M:$M,MATCH(AI15,[1]Üldreiting!$H:$H,0)),"")</f>
        <v/>
      </c>
    </row>
    <row r="16" spans="1:36" x14ac:dyDescent="0.2">
      <c r="A16" s="945">
        <v>8</v>
      </c>
      <c r="B16" s="954" t="s">
        <v>119</v>
      </c>
      <c r="C16" s="947">
        <v>3</v>
      </c>
      <c r="D16" s="948">
        <v>3</v>
      </c>
      <c r="E16" s="948">
        <v>0</v>
      </c>
      <c r="F16" s="949">
        <v>0</v>
      </c>
      <c r="G16" s="960">
        <v>0</v>
      </c>
      <c r="H16" s="948">
        <v>0</v>
      </c>
      <c r="I16" s="948">
        <v>0</v>
      </c>
      <c r="J16" s="951">
        <v>0</v>
      </c>
      <c r="K16" s="947">
        <v>5</v>
      </c>
      <c r="L16" s="956">
        <v>0</v>
      </c>
      <c r="M16" s="948">
        <v>0</v>
      </c>
      <c r="N16" s="949">
        <v>1</v>
      </c>
      <c r="O16" s="950">
        <v>0</v>
      </c>
      <c r="P16" s="948">
        <v>0</v>
      </c>
      <c r="Q16" s="948">
        <v>0</v>
      </c>
      <c r="R16" s="951">
        <v>0</v>
      </c>
      <c r="S16" s="961">
        <v>0</v>
      </c>
      <c r="T16" s="948">
        <v>0</v>
      </c>
      <c r="U16" s="948">
        <v>0</v>
      </c>
      <c r="V16" s="959">
        <v>0</v>
      </c>
      <c r="W16" s="952">
        <f t="shared" si="0"/>
        <v>12.010199999999999</v>
      </c>
      <c r="X16" s="953" t="str">
        <f t="shared" si="1"/>
        <v>vahevooru 6</v>
      </c>
      <c r="Y16" s="939"/>
      <c r="Z16" s="939"/>
      <c r="AA16" s="939"/>
      <c r="AB16" s="939"/>
      <c r="AE16" s="618">
        <f t="shared" ca="1" si="2"/>
        <v>166</v>
      </c>
      <c r="AF16" s="619" t="str">
        <f t="shared" si="3"/>
        <v>Viktor Švarõgin</v>
      </c>
      <c r="AG16" s="620">
        <f ca="1">IFERROR(INDEX(Reit!$I:$I,MATCH(AF16,Reit!$F:$F,0)),"")</f>
        <v>166</v>
      </c>
      <c r="AH16" s="940">
        <f t="shared" si="4"/>
        <v>50</v>
      </c>
      <c r="AI16" s="941" t="str">
        <f t="shared" si="5"/>
        <v>Vladimir Ogneštšikov</v>
      </c>
      <c r="AJ16" s="942">
        <f>IFERROR(INDEX([1]Üldreiting!$M:$M,MATCH(AI16,[1]Üldreiting!$H:$H,0)),"")</f>
        <v>50</v>
      </c>
    </row>
    <row r="17" spans="1:36" x14ac:dyDescent="0.2">
      <c r="A17" s="962">
        <v>9</v>
      </c>
      <c r="B17" s="963" t="s">
        <v>129</v>
      </c>
      <c r="C17" s="964">
        <v>3</v>
      </c>
      <c r="D17" s="965">
        <v>0</v>
      </c>
      <c r="E17" s="965">
        <v>0</v>
      </c>
      <c r="F17" s="966">
        <v>0</v>
      </c>
      <c r="G17" s="964">
        <v>5</v>
      </c>
      <c r="H17" s="967">
        <v>0</v>
      </c>
      <c r="I17" s="965">
        <v>0</v>
      </c>
      <c r="J17" s="968">
        <v>0</v>
      </c>
      <c r="K17" s="969">
        <v>0</v>
      </c>
      <c r="L17" s="965">
        <v>0</v>
      </c>
      <c r="M17" s="967">
        <v>1</v>
      </c>
      <c r="N17" s="970">
        <v>0</v>
      </c>
      <c r="O17" s="967">
        <v>0</v>
      </c>
      <c r="P17" s="965">
        <v>0</v>
      </c>
      <c r="Q17" s="965">
        <v>0</v>
      </c>
      <c r="R17" s="966">
        <v>0</v>
      </c>
      <c r="S17" s="964">
        <v>0</v>
      </c>
      <c r="T17" s="971">
        <v>0</v>
      </c>
      <c r="U17" s="972">
        <v>0</v>
      </c>
      <c r="V17" s="970">
        <v>0</v>
      </c>
      <c r="W17" s="973">
        <f t="shared" si="0"/>
        <v>9.0100999999999996</v>
      </c>
      <c r="X17" s="974">
        <f t="shared" si="1"/>
        <v>9</v>
      </c>
      <c r="AE17" s="618">
        <f t="shared" ca="1" si="2"/>
        <v>144</v>
      </c>
      <c r="AF17" s="619" t="str">
        <f t="shared" si="3"/>
        <v>Vadim Tihhonjuk</v>
      </c>
      <c r="AG17" s="620">
        <f ca="1">IFERROR(INDEX(Reit!$I:$I,MATCH(AF17,Reit!$F:$F,0)),"")</f>
        <v>144</v>
      </c>
      <c r="AH17" s="940">
        <f t="shared" si="4"/>
        <v>0</v>
      </c>
      <c r="AI17" s="941" t="str">
        <f t="shared" si="5"/>
        <v>Vadim Tihhonjuk</v>
      </c>
      <c r="AJ17" s="942" t="str">
        <f>IFERROR(INDEX([1]Üldreiting!$M:$M,MATCH(AI17,[1]Üldreiting!$H:$H,0)),"")</f>
        <v/>
      </c>
    </row>
    <row r="18" spans="1:36" x14ac:dyDescent="0.2">
      <c r="A18" s="962">
        <v>10</v>
      </c>
      <c r="B18" s="963" t="s">
        <v>94</v>
      </c>
      <c r="C18" s="964">
        <v>0</v>
      </c>
      <c r="D18" s="965">
        <v>0</v>
      </c>
      <c r="E18" s="965">
        <v>0</v>
      </c>
      <c r="F18" s="966">
        <v>0</v>
      </c>
      <c r="G18" s="964">
        <v>0</v>
      </c>
      <c r="H18" s="967">
        <v>3</v>
      </c>
      <c r="I18" s="965">
        <v>0</v>
      </c>
      <c r="J18" s="968">
        <v>0</v>
      </c>
      <c r="K18" s="969">
        <v>0</v>
      </c>
      <c r="L18" s="965">
        <v>1</v>
      </c>
      <c r="M18" s="967">
        <v>0</v>
      </c>
      <c r="N18" s="970">
        <v>0</v>
      </c>
      <c r="O18" s="967">
        <v>0</v>
      </c>
      <c r="P18" s="965">
        <v>5</v>
      </c>
      <c r="Q18" s="965">
        <v>0</v>
      </c>
      <c r="R18" s="966">
        <v>0</v>
      </c>
      <c r="S18" s="964">
        <v>0</v>
      </c>
      <c r="T18" s="967">
        <v>0</v>
      </c>
      <c r="U18" s="965">
        <v>0</v>
      </c>
      <c r="V18" s="970">
        <v>0</v>
      </c>
      <c r="W18" s="973">
        <f t="shared" si="0"/>
        <v>9.0100999999999996</v>
      </c>
      <c r="X18" s="974">
        <f t="shared" si="1"/>
        <v>9</v>
      </c>
      <c r="Y18" s="939"/>
      <c r="Z18" s="975"/>
      <c r="AA18" s="939"/>
      <c r="AB18" s="939"/>
      <c r="AE18" s="618">
        <f t="shared" ca="1" si="2"/>
        <v>113</v>
      </c>
      <c r="AF18" s="619" t="str">
        <f t="shared" si="3"/>
        <v>Janek Tarto</v>
      </c>
      <c r="AG18" s="620">
        <f ca="1">IFERROR(INDEX(Reit!$I:$I,MATCH(AF18,Reit!$F:$F,0)),"")</f>
        <v>113</v>
      </c>
      <c r="AH18" s="940">
        <f t="shared" si="4"/>
        <v>181</v>
      </c>
      <c r="AI18" s="941" t="str">
        <f t="shared" si="5"/>
        <v>Janek Tarto</v>
      </c>
      <c r="AJ18" s="942">
        <f>IFERROR(INDEX([1]Üldreiting!$M:$M,MATCH(AI18,[1]Üldreiting!$H:$H,0)),"")</f>
        <v>181</v>
      </c>
    </row>
    <row r="19" spans="1:36" x14ac:dyDescent="0.2">
      <c r="A19" s="962">
        <v>11</v>
      </c>
      <c r="B19" s="963" t="s">
        <v>108</v>
      </c>
      <c r="C19" s="964">
        <v>0</v>
      </c>
      <c r="D19" s="965">
        <v>3</v>
      </c>
      <c r="E19" s="965">
        <v>0</v>
      </c>
      <c r="F19" s="966">
        <v>0</v>
      </c>
      <c r="G19" s="964">
        <v>0</v>
      </c>
      <c r="H19" s="967">
        <v>0</v>
      </c>
      <c r="I19" s="965">
        <v>0</v>
      </c>
      <c r="J19" s="968">
        <v>0</v>
      </c>
      <c r="K19" s="969">
        <v>0</v>
      </c>
      <c r="L19" s="965">
        <v>0</v>
      </c>
      <c r="M19" s="967">
        <v>3</v>
      </c>
      <c r="N19" s="970">
        <v>0</v>
      </c>
      <c r="O19" s="967">
        <v>0</v>
      </c>
      <c r="P19" s="965">
        <v>0</v>
      </c>
      <c r="Q19" s="965">
        <v>0</v>
      </c>
      <c r="R19" s="966">
        <v>3</v>
      </c>
      <c r="S19" s="964">
        <v>0</v>
      </c>
      <c r="T19" s="967">
        <v>0</v>
      </c>
      <c r="U19" s="965">
        <v>0</v>
      </c>
      <c r="V19" s="970">
        <v>0</v>
      </c>
      <c r="W19" s="973">
        <f t="shared" si="0"/>
        <v>9.0002999999999993</v>
      </c>
      <c r="X19" s="974">
        <f t="shared" si="1"/>
        <v>11</v>
      </c>
      <c r="AE19" s="618">
        <f t="shared" ca="1" si="2"/>
        <v>32</v>
      </c>
      <c r="AF19" s="619" t="str">
        <f t="shared" si="3"/>
        <v>Kalle Orro</v>
      </c>
      <c r="AG19" s="620">
        <f ca="1">IFERROR(INDEX(Reit!$I:$I,MATCH(AF19,Reit!$F:$F,0)),"")</f>
        <v>32</v>
      </c>
      <c r="AH19" s="940">
        <f t="shared" si="4"/>
        <v>918.5</v>
      </c>
      <c r="AI19" s="941" t="str">
        <f t="shared" si="5"/>
        <v>Kalle Orro</v>
      </c>
      <c r="AJ19" s="942">
        <f>IFERROR(INDEX([1]Üldreiting!$M:$M,MATCH(AI19,[1]Üldreiting!$H:$H,0)),"")</f>
        <v>918.5</v>
      </c>
    </row>
    <row r="20" spans="1:36" x14ac:dyDescent="0.2">
      <c r="A20" s="962">
        <v>12</v>
      </c>
      <c r="B20" s="963" t="s">
        <v>125</v>
      </c>
      <c r="C20" s="964">
        <v>1</v>
      </c>
      <c r="D20" s="965">
        <v>5</v>
      </c>
      <c r="E20" s="965">
        <v>0</v>
      </c>
      <c r="F20" s="966">
        <v>0</v>
      </c>
      <c r="G20" s="964">
        <v>0</v>
      </c>
      <c r="H20" s="967">
        <v>1</v>
      </c>
      <c r="I20" s="965">
        <v>0</v>
      </c>
      <c r="J20" s="968">
        <v>0</v>
      </c>
      <c r="K20" s="969">
        <v>0</v>
      </c>
      <c r="L20" s="965">
        <v>0</v>
      </c>
      <c r="M20" s="967">
        <v>0</v>
      </c>
      <c r="N20" s="970">
        <v>0</v>
      </c>
      <c r="O20" s="967">
        <v>0</v>
      </c>
      <c r="P20" s="965">
        <v>0</v>
      </c>
      <c r="Q20" s="965">
        <v>0</v>
      </c>
      <c r="R20" s="966">
        <v>0</v>
      </c>
      <c r="S20" s="964">
        <v>0</v>
      </c>
      <c r="T20" s="967">
        <v>0</v>
      </c>
      <c r="U20" s="965">
        <v>0</v>
      </c>
      <c r="V20" s="970">
        <v>0</v>
      </c>
      <c r="W20" s="973">
        <f t="shared" si="0"/>
        <v>7.01</v>
      </c>
      <c r="X20" s="974">
        <f t="shared" si="1"/>
        <v>12</v>
      </c>
      <c r="AE20" s="618">
        <f t="shared" ca="1" si="2"/>
        <v>113</v>
      </c>
      <c r="AF20" s="619" t="str">
        <f t="shared" si="3"/>
        <v>Urmas Jõeäär</v>
      </c>
      <c r="AG20" s="620">
        <f ca="1">IFERROR(INDEX(Reit!$I:$I,MATCH(AF20,Reit!$F:$F,0)),"")</f>
        <v>113</v>
      </c>
      <c r="AH20" s="940">
        <f t="shared" si="4"/>
        <v>0</v>
      </c>
      <c r="AI20" s="941" t="str">
        <f t="shared" si="5"/>
        <v>Urmas Jõeäär</v>
      </c>
      <c r="AJ20" s="942" t="str">
        <f>IFERROR(INDEX([1]Üldreiting!$M:$M,MATCH(AI20,[1]Üldreiting!$H:$H,0)),"")</f>
        <v/>
      </c>
    </row>
    <row r="21" spans="1:36" x14ac:dyDescent="0.2">
      <c r="A21" s="962">
        <v>13</v>
      </c>
      <c r="B21" s="963" t="s">
        <v>97</v>
      </c>
      <c r="C21" s="964">
        <v>0</v>
      </c>
      <c r="D21" s="965">
        <v>0</v>
      </c>
      <c r="E21" s="965">
        <v>0</v>
      </c>
      <c r="F21" s="966">
        <v>3</v>
      </c>
      <c r="G21" s="964">
        <v>0</v>
      </c>
      <c r="H21" s="967">
        <v>0</v>
      </c>
      <c r="I21" s="965">
        <v>0</v>
      </c>
      <c r="J21" s="968">
        <v>0</v>
      </c>
      <c r="K21" s="969">
        <v>0</v>
      </c>
      <c r="L21" s="965">
        <v>0</v>
      </c>
      <c r="M21" s="967">
        <v>0</v>
      </c>
      <c r="N21" s="970">
        <v>0</v>
      </c>
      <c r="O21" s="967">
        <v>0</v>
      </c>
      <c r="P21" s="965">
        <v>0</v>
      </c>
      <c r="Q21" s="965">
        <v>0</v>
      </c>
      <c r="R21" s="966">
        <v>0</v>
      </c>
      <c r="S21" s="964">
        <v>0</v>
      </c>
      <c r="T21" s="967">
        <v>0</v>
      </c>
      <c r="U21" s="965">
        <v>0</v>
      </c>
      <c r="V21" s="970">
        <v>0</v>
      </c>
      <c r="W21" s="973">
        <f t="shared" si="0"/>
        <v>3.0001000000000002</v>
      </c>
      <c r="X21" s="974">
        <f t="shared" si="1"/>
        <v>13</v>
      </c>
      <c r="Y21" s="939"/>
      <c r="Z21" s="939"/>
      <c r="AA21" s="939"/>
      <c r="AB21" s="939"/>
      <c r="AE21" s="618">
        <f t="shared" ca="1" si="2"/>
        <v>124</v>
      </c>
      <c r="AF21" s="619" t="str">
        <f t="shared" si="3"/>
        <v>Andrei Grintšak</v>
      </c>
      <c r="AG21" s="620">
        <f ca="1">IFERROR(INDEX(Reit!$I:$I,MATCH(AF21,Reit!$F:$F,0)),"")</f>
        <v>124</v>
      </c>
      <c r="AH21" s="940">
        <f t="shared" si="4"/>
        <v>0</v>
      </c>
      <c r="AI21" s="941" t="str">
        <f t="shared" si="5"/>
        <v>Andrei Grintšak</v>
      </c>
      <c r="AJ21" s="942" t="str">
        <f>IFERROR(INDEX([1]Üldreiting!$M:$M,MATCH(AI21,[1]Üldreiting!$H:$H,0)),"")</f>
        <v/>
      </c>
    </row>
    <row r="22" spans="1:36" ht="13.5" thickBot="1" x14ac:dyDescent="0.25">
      <c r="A22" s="962">
        <v>14</v>
      </c>
      <c r="B22" s="963" t="s">
        <v>98</v>
      </c>
      <c r="C22" s="976">
        <v>0</v>
      </c>
      <c r="D22" s="977">
        <v>0</v>
      </c>
      <c r="E22" s="977">
        <v>0</v>
      </c>
      <c r="F22" s="978">
        <v>0</v>
      </c>
      <c r="G22" s="976">
        <v>0</v>
      </c>
      <c r="H22" s="979">
        <v>0</v>
      </c>
      <c r="I22" s="977">
        <v>0</v>
      </c>
      <c r="J22" s="978">
        <v>0</v>
      </c>
      <c r="K22" s="980">
        <v>0</v>
      </c>
      <c r="L22" s="977">
        <v>1</v>
      </c>
      <c r="M22" s="979">
        <v>0</v>
      </c>
      <c r="N22" s="981">
        <v>0</v>
      </c>
      <c r="O22" s="979">
        <v>0</v>
      </c>
      <c r="P22" s="977">
        <v>0</v>
      </c>
      <c r="Q22" s="977">
        <v>0</v>
      </c>
      <c r="R22" s="978">
        <v>0</v>
      </c>
      <c r="S22" s="976">
        <v>0</v>
      </c>
      <c r="T22" s="979">
        <v>0</v>
      </c>
      <c r="U22" s="977">
        <v>0</v>
      </c>
      <c r="V22" s="981">
        <v>0</v>
      </c>
      <c r="W22" s="973">
        <f t="shared" si="0"/>
        <v>1</v>
      </c>
      <c r="X22" s="974">
        <f t="shared" si="1"/>
        <v>14</v>
      </c>
      <c r="Y22" s="939"/>
      <c r="AE22" s="618">
        <f t="shared" ca="1" si="2"/>
        <v>101</v>
      </c>
      <c r="AF22" s="619" t="str">
        <f t="shared" si="3"/>
        <v>Svetlana Veski</v>
      </c>
      <c r="AG22" s="620">
        <f ca="1">IFERROR(INDEX(Reit!$I:$I,MATCH(AF22,Reit!$F:$F,0)),"")</f>
        <v>101</v>
      </c>
      <c r="AH22" s="940">
        <f t="shared" si="4"/>
        <v>401.5</v>
      </c>
      <c r="AI22" s="941" t="str">
        <f t="shared" si="5"/>
        <v>Svetlana Veski</v>
      </c>
      <c r="AJ22" s="942">
        <f>IFERROR(INDEX([1]Üldreiting!$M:$M,MATCH(AI22,[1]Üldreiting!$H:$H,0)),"")</f>
        <v>401.5</v>
      </c>
    </row>
    <row r="23" spans="1:36" x14ac:dyDescent="0.2">
      <c r="A23" s="982"/>
      <c r="B23" s="983" t="s">
        <v>576</v>
      </c>
      <c r="C23" s="984"/>
      <c r="D23" s="985"/>
      <c r="E23" s="985"/>
      <c r="F23" s="986"/>
      <c r="G23" s="987"/>
      <c r="H23" s="988"/>
      <c r="I23" s="988"/>
      <c r="J23" s="986"/>
      <c r="K23" s="987"/>
      <c r="L23" s="988"/>
      <c r="M23" s="985"/>
      <c r="N23" s="989"/>
      <c r="O23" s="987"/>
      <c r="P23" s="988"/>
      <c r="Q23" s="988"/>
      <c r="R23" s="989"/>
      <c r="S23" s="987"/>
      <c r="T23" s="985"/>
      <c r="U23" s="985"/>
      <c r="V23" s="986"/>
      <c r="W23" s="927"/>
      <c r="X23" s="927"/>
      <c r="Y23" s="990" t="s">
        <v>258</v>
      </c>
      <c r="AH23" s="940" t="e">
        <f>SUM(#REF!)</f>
        <v>#REF!</v>
      </c>
      <c r="AI23" s="941" t="e">
        <f>#REF!</f>
        <v>#REF!</v>
      </c>
      <c r="AJ23" s="942" t="str">
        <f>IFERROR(INDEX([1]Üldreiting!$M:$M,MATCH(AI23,[1]Üldreiting!$H:$H,0)),"")</f>
        <v/>
      </c>
    </row>
    <row r="24" spans="1:36" x14ac:dyDescent="0.2">
      <c r="A24" s="991">
        <v>1</v>
      </c>
      <c r="B24" s="992" t="s">
        <v>104</v>
      </c>
      <c r="C24" s="993">
        <v>5</v>
      </c>
      <c r="D24" s="994">
        <v>0</v>
      </c>
      <c r="E24" s="995">
        <v>3</v>
      </c>
      <c r="F24" s="996">
        <v>3</v>
      </c>
      <c r="G24" s="994">
        <v>5</v>
      </c>
      <c r="H24" s="997">
        <v>1</v>
      </c>
      <c r="I24" s="998">
        <v>0</v>
      </c>
      <c r="J24" s="999">
        <v>0</v>
      </c>
      <c r="K24" s="1000">
        <v>1</v>
      </c>
      <c r="L24" s="1001">
        <v>3</v>
      </c>
      <c r="M24" s="995">
        <v>1</v>
      </c>
      <c r="N24" s="1002">
        <v>3</v>
      </c>
      <c r="O24" s="993">
        <v>0</v>
      </c>
      <c r="P24" s="995">
        <v>0</v>
      </c>
      <c r="Q24" s="995">
        <v>0</v>
      </c>
      <c r="R24" s="1001">
        <v>0</v>
      </c>
      <c r="S24" s="1003">
        <v>0</v>
      </c>
      <c r="T24" s="995">
        <v>0</v>
      </c>
      <c r="U24" s="998">
        <v>0</v>
      </c>
      <c r="V24" s="999">
        <v>5</v>
      </c>
      <c r="W24" s="1004">
        <f t="shared" ref="W24:W31" si="6">SUM(C24:V24)</f>
        <v>30</v>
      </c>
      <c r="X24" s="938" t="str">
        <f>IF(RANK(Y24,$Y$24:$Y$56)&lt;3,"edasi "&amp;RANK(Y24,$Y$24:$Y$56)+2,RANK(Y24,$Y$24:$Y$56)+4)</f>
        <v>edasi 3</v>
      </c>
      <c r="Y24" s="1005">
        <f t="shared" ref="Y24:Y56" si="7">W24+IFERROR(INDEX(W$9:W$22,MATCH(B24,B$9:B$22,0)),0)</f>
        <v>50.030100000000004</v>
      </c>
      <c r="AH24" s="940" t="e">
        <f>SUM(#REF!)</f>
        <v>#REF!</v>
      </c>
      <c r="AI24" s="941" t="e">
        <f>#REF!</f>
        <v>#REF!</v>
      </c>
      <c r="AJ24" s="942" t="str">
        <f>IFERROR(INDEX([1]Üldreiting!$M:$M,MATCH(AI24,[1]Üldreiting!$H:$H,0)),"")</f>
        <v/>
      </c>
    </row>
    <row r="25" spans="1:36" x14ac:dyDescent="0.2">
      <c r="A25" s="991">
        <v>2</v>
      </c>
      <c r="B25" s="1006" t="s">
        <v>12</v>
      </c>
      <c r="C25" s="993">
        <v>3</v>
      </c>
      <c r="D25" s="994">
        <v>0</v>
      </c>
      <c r="E25" s="998">
        <v>5</v>
      </c>
      <c r="F25" s="999">
        <v>3</v>
      </c>
      <c r="G25" s="1007">
        <v>5</v>
      </c>
      <c r="H25" s="995">
        <v>3</v>
      </c>
      <c r="I25" s="994">
        <v>1</v>
      </c>
      <c r="J25" s="1008">
        <v>0</v>
      </c>
      <c r="K25" s="993">
        <v>0</v>
      </c>
      <c r="L25" s="995">
        <v>0</v>
      </c>
      <c r="M25" s="1009">
        <v>0</v>
      </c>
      <c r="N25" s="1001">
        <v>0</v>
      </c>
      <c r="O25" s="993">
        <v>0</v>
      </c>
      <c r="P25" s="995">
        <v>0</v>
      </c>
      <c r="Q25" s="995">
        <v>3</v>
      </c>
      <c r="R25" s="1001">
        <v>3</v>
      </c>
      <c r="S25" s="1003">
        <v>0</v>
      </c>
      <c r="T25" s="995">
        <v>0</v>
      </c>
      <c r="U25" s="998">
        <v>0</v>
      </c>
      <c r="V25" s="999">
        <v>0</v>
      </c>
      <c r="W25" s="1004">
        <f t="shared" si="6"/>
        <v>26</v>
      </c>
      <c r="X25" s="938" t="str">
        <f>IF(RANK(Y25,$Y$24:$Y$56)&lt;3,"edasi "&amp;RANK(Y25,$Y$24:$Y$56)+2,RANK(Y25,$Y$24:$Y$56)+4)</f>
        <v>edasi 4</v>
      </c>
      <c r="Y25" s="1005">
        <f t="shared" si="7"/>
        <v>42.000500000000002</v>
      </c>
      <c r="AH25" s="940" t="e">
        <f>SUM(#REF!)</f>
        <v>#REF!</v>
      </c>
      <c r="AI25" s="941" t="e">
        <f>#REF!</f>
        <v>#REF!</v>
      </c>
      <c r="AJ25" s="942" t="str">
        <f>IFERROR(INDEX([1]Üldreiting!$M:$M,MATCH(AI25,[1]Üldreiting!$H:$H,0)),"")</f>
        <v/>
      </c>
    </row>
    <row r="26" spans="1:36" x14ac:dyDescent="0.2">
      <c r="A26" s="1010">
        <v>3</v>
      </c>
      <c r="B26" s="1011" t="s">
        <v>88</v>
      </c>
      <c r="C26" s="1012">
        <v>3</v>
      </c>
      <c r="D26" s="1013">
        <v>0</v>
      </c>
      <c r="E26" s="1013">
        <v>0</v>
      </c>
      <c r="F26" s="1014">
        <v>0</v>
      </c>
      <c r="G26" s="1015">
        <v>5</v>
      </c>
      <c r="H26" s="1013">
        <v>0</v>
      </c>
      <c r="I26" s="1016">
        <v>3</v>
      </c>
      <c r="J26" s="1017">
        <v>0</v>
      </c>
      <c r="K26" s="1018">
        <v>1</v>
      </c>
      <c r="L26" s="1013">
        <v>0</v>
      </c>
      <c r="M26" s="1013">
        <v>0</v>
      </c>
      <c r="N26" s="1017">
        <v>0</v>
      </c>
      <c r="O26" s="1018">
        <v>0</v>
      </c>
      <c r="P26" s="1013">
        <v>0</v>
      </c>
      <c r="Q26" s="1013">
        <v>3</v>
      </c>
      <c r="R26" s="1017">
        <v>3</v>
      </c>
      <c r="S26" s="1019">
        <v>0</v>
      </c>
      <c r="T26" s="1013">
        <v>0</v>
      </c>
      <c r="U26" s="1013">
        <v>0</v>
      </c>
      <c r="V26" s="1020">
        <v>0</v>
      </c>
      <c r="W26" s="1021">
        <f t="shared" si="6"/>
        <v>18</v>
      </c>
      <c r="X26" s="974">
        <f>IF(RANK(Y26,$Y$24:$Y$56)&lt;3,"edasi "&amp;RANK(Y26,$Y$24:$Y$56)+2,RANK(Y26,$Y$24:$Y$56)+2)</f>
        <v>5</v>
      </c>
      <c r="Y26" s="1022">
        <f t="shared" si="7"/>
        <v>37.000599999999999</v>
      </c>
      <c r="AH26" s="940" t="e">
        <f>SUM(#REF!)</f>
        <v>#REF!</v>
      </c>
      <c r="AI26" s="941" t="e">
        <f>#REF!</f>
        <v>#REF!</v>
      </c>
      <c r="AJ26" s="942" t="str">
        <f>IFERROR(INDEX([1]Üldreiting!$M:$M,MATCH(AI26,[1]Üldreiting!$H:$H,0)),"")</f>
        <v/>
      </c>
    </row>
    <row r="27" spans="1:36" x14ac:dyDescent="0.2">
      <c r="A27" s="1010">
        <v>4</v>
      </c>
      <c r="B27" s="1023" t="s">
        <v>119</v>
      </c>
      <c r="C27" s="1018">
        <v>0</v>
      </c>
      <c r="D27" s="1013">
        <v>3</v>
      </c>
      <c r="E27" s="1013">
        <v>0</v>
      </c>
      <c r="F27" s="1024">
        <v>0</v>
      </c>
      <c r="G27" s="1016">
        <v>3</v>
      </c>
      <c r="H27" s="1025">
        <v>3</v>
      </c>
      <c r="I27" s="1013">
        <v>1</v>
      </c>
      <c r="J27" s="1017">
        <v>0</v>
      </c>
      <c r="K27" s="1018">
        <v>0</v>
      </c>
      <c r="L27" s="1013">
        <v>0</v>
      </c>
      <c r="M27" s="1013">
        <v>3</v>
      </c>
      <c r="N27" s="1017">
        <v>0</v>
      </c>
      <c r="O27" s="1018">
        <v>0</v>
      </c>
      <c r="P27" s="1013">
        <v>3</v>
      </c>
      <c r="Q27" s="1013">
        <v>0</v>
      </c>
      <c r="R27" s="1017">
        <v>0</v>
      </c>
      <c r="S27" s="1019">
        <v>0</v>
      </c>
      <c r="T27" s="1013">
        <v>0</v>
      </c>
      <c r="U27" s="1013">
        <v>0</v>
      </c>
      <c r="V27" s="1015">
        <v>0</v>
      </c>
      <c r="W27" s="1021">
        <f t="shared" si="6"/>
        <v>16</v>
      </c>
      <c r="X27" s="974">
        <f>IF(RANK(Y27,$Y$24:$Y$56)&lt;3,"edasi "&amp;RANK(Y27,$Y$24:$Y$56)+2,RANK(Y27,$Y$24:$Y$56)+2)</f>
        <v>6</v>
      </c>
      <c r="Y27" s="1022">
        <f t="shared" si="7"/>
        <v>28.010199999999998</v>
      </c>
      <c r="AH27" s="1026"/>
      <c r="AI27" s="1026"/>
      <c r="AJ27" s="1026"/>
    </row>
    <row r="28" spans="1:36" x14ac:dyDescent="0.2">
      <c r="A28" s="1010">
        <v>5</v>
      </c>
      <c r="B28" s="1023" t="s">
        <v>116</v>
      </c>
      <c r="C28" s="1018">
        <v>0</v>
      </c>
      <c r="D28" s="1013">
        <v>3</v>
      </c>
      <c r="E28" s="1013">
        <v>0</v>
      </c>
      <c r="F28" s="1024">
        <v>0</v>
      </c>
      <c r="G28" s="1016">
        <v>0</v>
      </c>
      <c r="H28" s="1013">
        <v>0</v>
      </c>
      <c r="I28" s="1013">
        <v>0</v>
      </c>
      <c r="J28" s="1017">
        <v>0</v>
      </c>
      <c r="K28" s="1018">
        <v>1</v>
      </c>
      <c r="L28" s="1013">
        <v>0</v>
      </c>
      <c r="M28" s="1013">
        <v>3</v>
      </c>
      <c r="N28" s="1017">
        <v>0</v>
      </c>
      <c r="O28" s="1018">
        <v>1</v>
      </c>
      <c r="P28" s="1013">
        <v>0</v>
      </c>
      <c r="Q28" s="1013">
        <v>3</v>
      </c>
      <c r="R28" s="1017">
        <v>0</v>
      </c>
      <c r="S28" s="1018">
        <v>0</v>
      </c>
      <c r="T28" s="1025">
        <v>0</v>
      </c>
      <c r="U28" s="1025">
        <v>0</v>
      </c>
      <c r="V28" s="1017">
        <v>0</v>
      </c>
      <c r="W28" s="1021">
        <f t="shared" si="6"/>
        <v>11</v>
      </c>
      <c r="X28" s="974">
        <f>IF(RANK(Y28,$Y$24:$Y$56)&lt;3,"edasi "&amp;RANK(Y28,$Y$24:$Y$56)+2,RANK(Y28,$Y$24:$Y$56)+2)</f>
        <v>7</v>
      </c>
      <c r="Y28" s="1022">
        <f t="shared" si="7"/>
        <v>24.010199999999998</v>
      </c>
      <c r="AH28" s="940" t="e">
        <f>SUM(#REF!)</f>
        <v>#REF!</v>
      </c>
      <c r="AI28" s="941" t="e">
        <f>#REF!</f>
        <v>#REF!</v>
      </c>
      <c r="AJ28" s="942" t="str">
        <f>IFERROR(INDEX([1]Üldreiting!$M:$M,MATCH(AI28,[1]Üldreiting!$H:$H,0)),"")</f>
        <v/>
      </c>
    </row>
    <row r="29" spans="1:36" ht="13.5" thickBot="1" x14ac:dyDescent="0.25">
      <c r="A29" s="1010">
        <v>6</v>
      </c>
      <c r="B29" s="1027" t="s">
        <v>102</v>
      </c>
      <c r="C29" s="1018">
        <v>0</v>
      </c>
      <c r="D29" s="1013">
        <v>0</v>
      </c>
      <c r="E29" s="1013">
        <v>3</v>
      </c>
      <c r="F29" s="1024">
        <v>0</v>
      </c>
      <c r="G29" s="1016">
        <v>3</v>
      </c>
      <c r="H29" s="1013">
        <v>0</v>
      </c>
      <c r="I29" s="1013">
        <v>0</v>
      </c>
      <c r="J29" s="1017">
        <v>0</v>
      </c>
      <c r="K29" s="1018">
        <v>0</v>
      </c>
      <c r="L29" s="1028">
        <v>0</v>
      </c>
      <c r="M29" s="1028">
        <v>0</v>
      </c>
      <c r="N29" s="1029">
        <v>0</v>
      </c>
      <c r="O29" s="1018">
        <v>0</v>
      </c>
      <c r="P29" s="1028">
        <v>0</v>
      </c>
      <c r="Q29" s="1028">
        <v>0</v>
      </c>
      <c r="R29" s="1030">
        <v>0</v>
      </c>
      <c r="S29" s="1018">
        <v>0</v>
      </c>
      <c r="T29" s="1013">
        <v>0</v>
      </c>
      <c r="U29" s="1013">
        <v>0</v>
      </c>
      <c r="V29" s="1017">
        <v>0</v>
      </c>
      <c r="W29" s="1021">
        <f t="shared" si="6"/>
        <v>6</v>
      </c>
      <c r="X29" s="974">
        <f>IF(RANK(Y29,$Y$24:$Y$56)&lt;3,"edasi "&amp;RANK(Y29,$Y$24:$Y$56)+2,RANK(Y29,$Y$24:$Y$56)+2)</f>
        <v>8</v>
      </c>
      <c r="Y29" s="1022">
        <f t="shared" si="7"/>
        <v>22.020199999999999</v>
      </c>
      <c r="AH29" s="1031">
        <f>SUM(AJ314:AR314)</f>
        <v>0</v>
      </c>
      <c r="AI29" s="1032">
        <f>B314</f>
        <v>0</v>
      </c>
      <c r="AJ29" s="1033" t="str">
        <f>IFERROR(INDEX([1]Üldreiting!$M:$M,MATCH(AI29,[1]Üldreiting!$H:$H,0)),"")</f>
        <v/>
      </c>
    </row>
    <row r="30" spans="1:36" hidden="1" x14ac:dyDescent="0.2">
      <c r="A30" s="1010"/>
      <c r="B30" s="1027"/>
      <c r="C30" s="1018"/>
      <c r="D30" s="1013"/>
      <c r="E30" s="1013"/>
      <c r="F30" s="1024"/>
      <c r="G30" s="1016"/>
      <c r="H30" s="1013"/>
      <c r="I30" s="1013"/>
      <c r="J30" s="1017"/>
      <c r="K30" s="1018"/>
      <c r="L30" s="1028"/>
      <c r="M30" s="1028"/>
      <c r="N30" s="1029"/>
      <c r="O30" s="1018"/>
      <c r="P30" s="1028"/>
      <c r="Q30" s="1028"/>
      <c r="R30" s="1030"/>
      <c r="S30" s="1018"/>
      <c r="T30" s="1013"/>
      <c r="U30" s="1013"/>
      <c r="V30" s="1017"/>
      <c r="W30" s="974">
        <f t="shared" si="6"/>
        <v>0</v>
      </c>
      <c r="X30" s="974">
        <f>IF(RANK(Y30,$Y$24:$Y$56)&lt;5,"edasi "&amp;RANK(Y30,$Y$24:$Y$56)+4,RANK(Y30,$Y$24:$Y$56)+2)</f>
        <v>9</v>
      </c>
      <c r="Y30" s="1022">
        <f t="shared" si="7"/>
        <v>0</v>
      </c>
      <c r="AH30" s="939"/>
      <c r="AI30" s="939"/>
      <c r="AJ30" s="939"/>
    </row>
    <row r="31" spans="1:36" hidden="1" x14ac:dyDescent="0.2">
      <c r="A31" s="1034"/>
      <c r="B31" s="1035"/>
      <c r="C31" s="1036"/>
      <c r="D31" s="1037"/>
      <c r="E31" s="1037"/>
      <c r="F31" s="1038"/>
      <c r="G31" s="1039"/>
      <c r="H31" s="1037"/>
      <c r="I31" s="1037"/>
      <c r="J31" s="1040"/>
      <c r="K31" s="1036"/>
      <c r="L31" s="1037"/>
      <c r="M31" s="1037"/>
      <c r="N31" s="1040"/>
      <c r="O31" s="1036"/>
      <c r="P31" s="1037"/>
      <c r="Q31" s="1037"/>
      <c r="R31" s="1040"/>
      <c r="S31" s="1036"/>
      <c r="T31" s="1037"/>
      <c r="U31" s="1037"/>
      <c r="V31" s="1040"/>
      <c r="W31" s="1041">
        <f t="shared" si="6"/>
        <v>0</v>
      </c>
      <c r="X31" s="974">
        <f t="shared" ref="X31:X56" si="8">IF(RANK(Y31,$Y$24:$Y$56)&lt;5,"edasi "&amp;RANK(Y31,$Y$24:$Y$56)+4,RANK(Y31,$Y$24:$Y$56)+2)</f>
        <v>9</v>
      </c>
      <c r="Y31" s="1022">
        <f t="shared" si="7"/>
        <v>0</v>
      </c>
      <c r="AH31" s="939"/>
      <c r="AI31" s="939"/>
      <c r="AJ31" s="939"/>
    </row>
    <row r="32" spans="1:36" hidden="1" x14ac:dyDescent="0.2">
      <c r="A32" s="1010"/>
      <c r="B32" s="1042"/>
      <c r="C32" s="1018"/>
      <c r="D32" s="1013"/>
      <c r="E32" s="1013"/>
      <c r="F32" s="1017"/>
      <c r="G32" s="1018"/>
      <c r="H32" s="1013"/>
      <c r="I32" s="1013"/>
      <c r="J32" s="1017"/>
      <c r="K32" s="1018"/>
      <c r="L32" s="1013"/>
      <c r="M32" s="1013"/>
      <c r="N32" s="1017"/>
      <c r="O32" s="1018"/>
      <c r="P32" s="1013"/>
      <c r="Q32" s="1013"/>
      <c r="R32" s="1017"/>
      <c r="S32" s="1018"/>
      <c r="T32" s="1013"/>
      <c r="U32" s="1013"/>
      <c r="V32" s="1017"/>
      <c r="W32" s="974">
        <f t="shared" ref="W32:W56" si="9">SUM(C32:V32)</f>
        <v>0</v>
      </c>
      <c r="X32" s="974">
        <f t="shared" si="8"/>
        <v>9</v>
      </c>
      <c r="Y32" s="1022">
        <f t="shared" si="7"/>
        <v>0</v>
      </c>
    </row>
    <row r="33" spans="1:25" hidden="1" x14ac:dyDescent="0.2">
      <c r="A33" s="962"/>
      <c r="B33" s="1011"/>
      <c r="C33" s="964"/>
      <c r="D33" s="965"/>
      <c r="E33" s="965"/>
      <c r="F33" s="966"/>
      <c r="G33" s="964"/>
      <c r="H33" s="965"/>
      <c r="I33" s="965"/>
      <c r="J33" s="966"/>
      <c r="K33" s="964"/>
      <c r="L33" s="965"/>
      <c r="M33" s="965"/>
      <c r="N33" s="966"/>
      <c r="O33" s="964"/>
      <c r="P33" s="965"/>
      <c r="Q33" s="965"/>
      <c r="R33" s="966"/>
      <c r="S33" s="964"/>
      <c r="T33" s="965"/>
      <c r="U33" s="965"/>
      <c r="V33" s="966"/>
      <c r="W33" s="974">
        <f t="shared" si="9"/>
        <v>0</v>
      </c>
      <c r="X33" s="974">
        <f t="shared" si="8"/>
        <v>9</v>
      </c>
      <c r="Y33" s="1022">
        <f t="shared" si="7"/>
        <v>0</v>
      </c>
    </row>
    <row r="34" spans="1:25" hidden="1" x14ac:dyDescent="0.2">
      <c r="A34" s="962"/>
      <c r="B34" s="1011"/>
      <c r="C34" s="964"/>
      <c r="D34" s="965"/>
      <c r="E34" s="965"/>
      <c r="F34" s="966"/>
      <c r="G34" s="964"/>
      <c r="H34" s="965"/>
      <c r="I34" s="965"/>
      <c r="J34" s="966"/>
      <c r="K34" s="964"/>
      <c r="L34" s="965"/>
      <c r="M34" s="965"/>
      <c r="N34" s="966"/>
      <c r="O34" s="964"/>
      <c r="P34" s="965"/>
      <c r="Q34" s="965"/>
      <c r="R34" s="966"/>
      <c r="S34" s="964"/>
      <c r="T34" s="965"/>
      <c r="U34" s="965"/>
      <c r="V34" s="966"/>
      <c r="W34" s="974">
        <f t="shared" si="9"/>
        <v>0</v>
      </c>
      <c r="X34" s="974">
        <f t="shared" si="8"/>
        <v>9</v>
      </c>
      <c r="Y34" s="1022">
        <f t="shared" si="7"/>
        <v>0</v>
      </c>
    </row>
    <row r="35" spans="1:25" hidden="1" x14ac:dyDescent="0.2">
      <c r="A35" s="962"/>
      <c r="B35" s="1043"/>
      <c r="C35" s="964"/>
      <c r="D35" s="965"/>
      <c r="E35" s="965"/>
      <c r="F35" s="966"/>
      <c r="G35" s="964"/>
      <c r="H35" s="965"/>
      <c r="I35" s="965"/>
      <c r="J35" s="966"/>
      <c r="K35" s="964"/>
      <c r="L35" s="965"/>
      <c r="M35" s="965"/>
      <c r="N35" s="966"/>
      <c r="O35" s="964"/>
      <c r="P35" s="965"/>
      <c r="Q35" s="965"/>
      <c r="R35" s="966"/>
      <c r="S35" s="964"/>
      <c r="T35" s="965"/>
      <c r="U35" s="965"/>
      <c r="V35" s="966"/>
      <c r="W35" s="974">
        <f t="shared" si="9"/>
        <v>0</v>
      </c>
      <c r="X35" s="974">
        <f t="shared" si="8"/>
        <v>9</v>
      </c>
      <c r="Y35" s="1022">
        <f t="shared" si="7"/>
        <v>0</v>
      </c>
    </row>
    <row r="36" spans="1:25" hidden="1" x14ac:dyDescent="0.2">
      <c r="A36" s="962"/>
      <c r="B36" s="1011"/>
      <c r="C36" s="964"/>
      <c r="D36" s="965"/>
      <c r="E36" s="965"/>
      <c r="F36" s="966"/>
      <c r="G36" s="964"/>
      <c r="H36" s="965"/>
      <c r="I36" s="965"/>
      <c r="J36" s="966"/>
      <c r="K36" s="964"/>
      <c r="L36" s="965"/>
      <c r="M36" s="965"/>
      <c r="N36" s="966"/>
      <c r="O36" s="964"/>
      <c r="P36" s="965"/>
      <c r="Q36" s="965"/>
      <c r="R36" s="966"/>
      <c r="S36" s="964"/>
      <c r="T36" s="965"/>
      <c r="U36" s="965"/>
      <c r="V36" s="966"/>
      <c r="W36" s="974">
        <f t="shared" si="9"/>
        <v>0</v>
      </c>
      <c r="X36" s="974">
        <f t="shared" si="8"/>
        <v>9</v>
      </c>
      <c r="Y36" s="1022">
        <f t="shared" si="7"/>
        <v>0</v>
      </c>
    </row>
    <row r="37" spans="1:25" hidden="1" x14ac:dyDescent="0.2">
      <c r="A37" s="962"/>
      <c r="B37" s="1044"/>
      <c r="C37" s="964"/>
      <c r="D37" s="965"/>
      <c r="E37" s="965"/>
      <c r="F37" s="966"/>
      <c r="G37" s="964"/>
      <c r="H37" s="965"/>
      <c r="I37" s="965"/>
      <c r="J37" s="966"/>
      <c r="K37" s="964"/>
      <c r="L37" s="965"/>
      <c r="M37" s="965"/>
      <c r="N37" s="966"/>
      <c r="O37" s="964"/>
      <c r="P37" s="965"/>
      <c r="Q37" s="965"/>
      <c r="R37" s="966"/>
      <c r="S37" s="964"/>
      <c r="T37" s="965"/>
      <c r="U37" s="965"/>
      <c r="V37" s="966"/>
      <c r="W37" s="974">
        <f t="shared" si="9"/>
        <v>0</v>
      </c>
      <c r="X37" s="974">
        <f t="shared" si="8"/>
        <v>9</v>
      </c>
      <c r="Y37" s="1022">
        <f t="shared" si="7"/>
        <v>0</v>
      </c>
    </row>
    <row r="38" spans="1:25" hidden="1" x14ac:dyDescent="0.2">
      <c r="A38" s="962"/>
      <c r="B38" s="1045"/>
      <c r="C38" s="964"/>
      <c r="D38" s="965"/>
      <c r="E38" s="965"/>
      <c r="F38" s="966"/>
      <c r="G38" s="964"/>
      <c r="H38" s="965"/>
      <c r="I38" s="965"/>
      <c r="J38" s="966"/>
      <c r="K38" s="964"/>
      <c r="L38" s="965"/>
      <c r="M38" s="965"/>
      <c r="N38" s="966"/>
      <c r="O38" s="964"/>
      <c r="P38" s="965"/>
      <c r="Q38" s="965"/>
      <c r="R38" s="966"/>
      <c r="S38" s="964"/>
      <c r="T38" s="965"/>
      <c r="U38" s="965"/>
      <c r="V38" s="966"/>
      <c r="W38" s="974">
        <f t="shared" si="9"/>
        <v>0</v>
      </c>
      <c r="X38" s="974">
        <f t="shared" si="8"/>
        <v>9</v>
      </c>
      <c r="Y38" s="1022">
        <f t="shared" si="7"/>
        <v>0</v>
      </c>
    </row>
    <row r="39" spans="1:25" hidden="1" x14ac:dyDescent="0.2">
      <c r="A39" s="962"/>
      <c r="B39" s="1011"/>
      <c r="C39" s="964"/>
      <c r="D39" s="965"/>
      <c r="E39" s="965"/>
      <c r="F39" s="966"/>
      <c r="G39" s="964"/>
      <c r="H39" s="965"/>
      <c r="I39" s="965"/>
      <c r="J39" s="966"/>
      <c r="K39" s="964"/>
      <c r="L39" s="965"/>
      <c r="M39" s="965"/>
      <c r="N39" s="966"/>
      <c r="O39" s="964"/>
      <c r="P39" s="965"/>
      <c r="Q39" s="965"/>
      <c r="R39" s="966"/>
      <c r="S39" s="964"/>
      <c r="T39" s="965"/>
      <c r="U39" s="965"/>
      <c r="V39" s="966"/>
      <c r="W39" s="974">
        <f t="shared" si="9"/>
        <v>0</v>
      </c>
      <c r="X39" s="974">
        <f t="shared" si="8"/>
        <v>9</v>
      </c>
      <c r="Y39" s="1022">
        <f t="shared" si="7"/>
        <v>0</v>
      </c>
    </row>
    <row r="40" spans="1:25" hidden="1" x14ac:dyDescent="0.2">
      <c r="A40" s="962"/>
      <c r="B40" s="1011"/>
      <c r="C40" s="964"/>
      <c r="D40" s="965"/>
      <c r="E40" s="965"/>
      <c r="F40" s="966"/>
      <c r="G40" s="964"/>
      <c r="H40" s="965"/>
      <c r="I40" s="965"/>
      <c r="J40" s="966"/>
      <c r="K40" s="964"/>
      <c r="L40" s="965"/>
      <c r="M40" s="965"/>
      <c r="N40" s="966"/>
      <c r="O40" s="964"/>
      <c r="P40" s="965"/>
      <c r="Q40" s="965"/>
      <c r="R40" s="966"/>
      <c r="S40" s="964"/>
      <c r="T40" s="965"/>
      <c r="U40" s="965"/>
      <c r="V40" s="966"/>
      <c r="W40" s="974">
        <f t="shared" si="9"/>
        <v>0</v>
      </c>
      <c r="X40" s="974">
        <f t="shared" si="8"/>
        <v>9</v>
      </c>
      <c r="Y40" s="1022">
        <f t="shared" si="7"/>
        <v>0</v>
      </c>
    </row>
    <row r="41" spans="1:25" hidden="1" x14ac:dyDescent="0.2">
      <c r="A41" s="962"/>
      <c r="B41" s="1011"/>
      <c r="C41" s="964"/>
      <c r="D41" s="965"/>
      <c r="E41" s="965"/>
      <c r="F41" s="966"/>
      <c r="G41" s="964"/>
      <c r="H41" s="965"/>
      <c r="I41" s="965"/>
      <c r="J41" s="966"/>
      <c r="K41" s="964"/>
      <c r="L41" s="965"/>
      <c r="M41" s="965"/>
      <c r="N41" s="966"/>
      <c r="O41" s="964"/>
      <c r="P41" s="965"/>
      <c r="Q41" s="965"/>
      <c r="R41" s="966"/>
      <c r="S41" s="964"/>
      <c r="T41" s="965"/>
      <c r="U41" s="965"/>
      <c r="V41" s="966"/>
      <c r="W41" s="974">
        <f t="shared" si="9"/>
        <v>0</v>
      </c>
      <c r="X41" s="974">
        <f t="shared" si="8"/>
        <v>9</v>
      </c>
      <c r="Y41" s="1022">
        <f t="shared" si="7"/>
        <v>0</v>
      </c>
    </row>
    <row r="42" spans="1:25" hidden="1" x14ac:dyDescent="0.2">
      <c r="A42" s="962"/>
      <c r="B42" s="1011"/>
      <c r="C42" s="964"/>
      <c r="D42" s="965"/>
      <c r="E42" s="965"/>
      <c r="F42" s="966"/>
      <c r="G42" s="964"/>
      <c r="H42" s="965"/>
      <c r="I42" s="965"/>
      <c r="J42" s="966"/>
      <c r="K42" s="964"/>
      <c r="L42" s="965"/>
      <c r="M42" s="965"/>
      <c r="N42" s="966"/>
      <c r="O42" s="964"/>
      <c r="P42" s="965"/>
      <c r="Q42" s="965"/>
      <c r="R42" s="966"/>
      <c r="S42" s="964"/>
      <c r="T42" s="965"/>
      <c r="U42" s="965"/>
      <c r="V42" s="966"/>
      <c r="W42" s="974">
        <f t="shared" si="9"/>
        <v>0</v>
      </c>
      <c r="X42" s="974">
        <f t="shared" si="8"/>
        <v>9</v>
      </c>
      <c r="Y42" s="1022">
        <f t="shared" si="7"/>
        <v>0</v>
      </c>
    </row>
    <row r="43" spans="1:25" hidden="1" x14ac:dyDescent="0.2">
      <c r="A43" s="962"/>
      <c r="B43" s="1043"/>
      <c r="C43" s="964"/>
      <c r="D43" s="965"/>
      <c r="E43" s="965"/>
      <c r="F43" s="966"/>
      <c r="G43" s="964"/>
      <c r="H43" s="965"/>
      <c r="I43" s="965"/>
      <c r="J43" s="966"/>
      <c r="K43" s="964"/>
      <c r="L43" s="965"/>
      <c r="M43" s="965"/>
      <c r="N43" s="966"/>
      <c r="O43" s="964"/>
      <c r="P43" s="965"/>
      <c r="Q43" s="965"/>
      <c r="R43" s="966"/>
      <c r="S43" s="964"/>
      <c r="T43" s="965"/>
      <c r="U43" s="965"/>
      <c r="V43" s="966"/>
      <c r="W43" s="974">
        <f t="shared" si="9"/>
        <v>0</v>
      </c>
      <c r="X43" s="974">
        <f t="shared" si="8"/>
        <v>9</v>
      </c>
      <c r="Y43" s="1022">
        <f t="shared" si="7"/>
        <v>0</v>
      </c>
    </row>
    <row r="44" spans="1:25" hidden="1" x14ac:dyDescent="0.2">
      <c r="A44" s="962"/>
      <c r="B44" s="1011"/>
      <c r="C44" s="964"/>
      <c r="D44" s="965"/>
      <c r="E44" s="965"/>
      <c r="F44" s="966"/>
      <c r="G44" s="964"/>
      <c r="H44" s="965"/>
      <c r="I44" s="965"/>
      <c r="J44" s="966"/>
      <c r="K44" s="964"/>
      <c r="L44" s="965"/>
      <c r="M44" s="965"/>
      <c r="N44" s="966"/>
      <c r="O44" s="964"/>
      <c r="P44" s="965"/>
      <c r="Q44" s="965"/>
      <c r="R44" s="966"/>
      <c r="S44" s="964"/>
      <c r="T44" s="965"/>
      <c r="U44" s="965"/>
      <c r="V44" s="966"/>
      <c r="W44" s="974">
        <f t="shared" si="9"/>
        <v>0</v>
      </c>
      <c r="X44" s="974">
        <f t="shared" si="8"/>
        <v>9</v>
      </c>
      <c r="Y44" s="1022">
        <f t="shared" si="7"/>
        <v>0</v>
      </c>
    </row>
    <row r="45" spans="1:25" hidden="1" x14ac:dyDescent="0.2">
      <c r="A45" s="962"/>
      <c r="B45" s="1044"/>
      <c r="C45" s="964"/>
      <c r="D45" s="965"/>
      <c r="E45" s="965"/>
      <c r="F45" s="966"/>
      <c r="G45" s="964"/>
      <c r="H45" s="965"/>
      <c r="I45" s="965"/>
      <c r="J45" s="966"/>
      <c r="K45" s="964"/>
      <c r="L45" s="965"/>
      <c r="M45" s="965"/>
      <c r="N45" s="966"/>
      <c r="O45" s="964"/>
      <c r="P45" s="965"/>
      <c r="Q45" s="965"/>
      <c r="R45" s="966"/>
      <c r="S45" s="964"/>
      <c r="T45" s="965"/>
      <c r="U45" s="965"/>
      <c r="V45" s="966"/>
      <c r="W45" s="974">
        <f t="shared" si="9"/>
        <v>0</v>
      </c>
      <c r="X45" s="974">
        <f t="shared" si="8"/>
        <v>9</v>
      </c>
      <c r="Y45" s="1022">
        <f t="shared" si="7"/>
        <v>0</v>
      </c>
    </row>
    <row r="46" spans="1:25" hidden="1" x14ac:dyDescent="0.2">
      <c r="A46" s="962"/>
      <c r="B46" s="1045"/>
      <c r="C46" s="964"/>
      <c r="D46" s="965"/>
      <c r="E46" s="965"/>
      <c r="F46" s="966"/>
      <c r="G46" s="964"/>
      <c r="H46" s="965"/>
      <c r="I46" s="965"/>
      <c r="J46" s="966"/>
      <c r="K46" s="964"/>
      <c r="L46" s="965"/>
      <c r="M46" s="965"/>
      <c r="N46" s="966"/>
      <c r="O46" s="964"/>
      <c r="P46" s="965"/>
      <c r="Q46" s="965"/>
      <c r="R46" s="966"/>
      <c r="S46" s="964"/>
      <c r="T46" s="965"/>
      <c r="U46" s="965"/>
      <c r="V46" s="966"/>
      <c r="W46" s="974">
        <f t="shared" si="9"/>
        <v>0</v>
      </c>
      <c r="X46" s="974">
        <f t="shared" si="8"/>
        <v>9</v>
      </c>
      <c r="Y46" s="1022">
        <f t="shared" si="7"/>
        <v>0</v>
      </c>
    </row>
    <row r="47" spans="1:25" hidden="1" x14ac:dyDescent="0.2">
      <c r="A47" s="962"/>
      <c r="B47" s="1011"/>
      <c r="C47" s="964"/>
      <c r="D47" s="965"/>
      <c r="E47" s="965"/>
      <c r="F47" s="966"/>
      <c r="G47" s="964"/>
      <c r="H47" s="965"/>
      <c r="I47" s="965"/>
      <c r="J47" s="966"/>
      <c r="K47" s="964"/>
      <c r="L47" s="965"/>
      <c r="M47" s="965"/>
      <c r="N47" s="966"/>
      <c r="O47" s="964"/>
      <c r="P47" s="965"/>
      <c r="Q47" s="965"/>
      <c r="R47" s="966"/>
      <c r="S47" s="964"/>
      <c r="T47" s="965"/>
      <c r="U47" s="965"/>
      <c r="V47" s="966"/>
      <c r="W47" s="974">
        <f t="shared" si="9"/>
        <v>0</v>
      </c>
      <c r="X47" s="974">
        <f t="shared" si="8"/>
        <v>9</v>
      </c>
      <c r="Y47" s="1022">
        <f t="shared" si="7"/>
        <v>0</v>
      </c>
    </row>
    <row r="48" spans="1:25" hidden="1" x14ac:dyDescent="0.2">
      <c r="A48" s="962"/>
      <c r="B48" s="1011"/>
      <c r="C48" s="964"/>
      <c r="D48" s="965"/>
      <c r="E48" s="965"/>
      <c r="F48" s="966"/>
      <c r="G48" s="964"/>
      <c r="H48" s="965"/>
      <c r="I48" s="965"/>
      <c r="J48" s="966"/>
      <c r="K48" s="964"/>
      <c r="L48" s="965"/>
      <c r="M48" s="965"/>
      <c r="N48" s="966"/>
      <c r="O48" s="964"/>
      <c r="P48" s="965"/>
      <c r="Q48" s="965"/>
      <c r="R48" s="966"/>
      <c r="S48" s="964"/>
      <c r="T48" s="965"/>
      <c r="U48" s="965"/>
      <c r="V48" s="966"/>
      <c r="W48" s="974">
        <f t="shared" si="9"/>
        <v>0</v>
      </c>
      <c r="X48" s="974">
        <f t="shared" si="8"/>
        <v>9</v>
      </c>
      <c r="Y48" s="1022">
        <f t="shared" si="7"/>
        <v>0</v>
      </c>
    </row>
    <row r="49" spans="1:28" hidden="1" x14ac:dyDescent="0.2">
      <c r="A49" s="962"/>
      <c r="B49" s="1043"/>
      <c r="C49" s="964"/>
      <c r="D49" s="965"/>
      <c r="E49" s="965"/>
      <c r="F49" s="966"/>
      <c r="G49" s="964"/>
      <c r="H49" s="965"/>
      <c r="I49" s="965"/>
      <c r="J49" s="966"/>
      <c r="K49" s="964"/>
      <c r="L49" s="965"/>
      <c r="M49" s="965"/>
      <c r="N49" s="966"/>
      <c r="O49" s="964"/>
      <c r="P49" s="965"/>
      <c r="Q49" s="965"/>
      <c r="R49" s="966"/>
      <c r="S49" s="964"/>
      <c r="T49" s="965"/>
      <c r="U49" s="965"/>
      <c r="V49" s="966"/>
      <c r="W49" s="974">
        <f t="shared" si="9"/>
        <v>0</v>
      </c>
      <c r="X49" s="974">
        <f t="shared" si="8"/>
        <v>9</v>
      </c>
      <c r="Y49" s="1022">
        <f t="shared" si="7"/>
        <v>0</v>
      </c>
    </row>
    <row r="50" spans="1:28" hidden="1" x14ac:dyDescent="0.2">
      <c r="A50" s="962"/>
      <c r="B50" s="1043"/>
      <c r="C50" s="964"/>
      <c r="D50" s="965"/>
      <c r="E50" s="965"/>
      <c r="F50" s="966"/>
      <c r="G50" s="964"/>
      <c r="H50" s="965"/>
      <c r="I50" s="965"/>
      <c r="J50" s="966"/>
      <c r="K50" s="964"/>
      <c r="L50" s="965"/>
      <c r="M50" s="965"/>
      <c r="N50" s="966"/>
      <c r="O50" s="964"/>
      <c r="P50" s="965"/>
      <c r="Q50" s="965"/>
      <c r="R50" s="966"/>
      <c r="S50" s="964"/>
      <c r="T50" s="965"/>
      <c r="U50" s="965"/>
      <c r="V50" s="966"/>
      <c r="W50" s="974">
        <f t="shared" si="9"/>
        <v>0</v>
      </c>
      <c r="X50" s="974">
        <f t="shared" si="8"/>
        <v>9</v>
      </c>
      <c r="Y50" s="1022">
        <f t="shared" si="7"/>
        <v>0</v>
      </c>
    </row>
    <row r="51" spans="1:28" hidden="1" x14ac:dyDescent="0.2">
      <c r="A51" s="962"/>
      <c r="B51" s="1011"/>
      <c r="C51" s="964"/>
      <c r="D51" s="965"/>
      <c r="E51" s="965"/>
      <c r="F51" s="966"/>
      <c r="G51" s="964"/>
      <c r="H51" s="965"/>
      <c r="I51" s="965"/>
      <c r="J51" s="966"/>
      <c r="K51" s="964"/>
      <c r="L51" s="965"/>
      <c r="M51" s="965"/>
      <c r="N51" s="966"/>
      <c r="O51" s="964"/>
      <c r="P51" s="965"/>
      <c r="Q51" s="965"/>
      <c r="R51" s="966"/>
      <c r="S51" s="964"/>
      <c r="T51" s="965"/>
      <c r="U51" s="965"/>
      <c r="V51" s="966"/>
      <c r="W51" s="974">
        <f t="shared" si="9"/>
        <v>0</v>
      </c>
      <c r="X51" s="974">
        <f t="shared" si="8"/>
        <v>9</v>
      </c>
      <c r="Y51" s="1022">
        <f t="shared" si="7"/>
        <v>0</v>
      </c>
    </row>
    <row r="52" spans="1:28" hidden="1" x14ac:dyDescent="0.2">
      <c r="A52" s="962"/>
      <c r="B52" s="1010"/>
      <c r="C52" s="964"/>
      <c r="D52" s="965"/>
      <c r="E52" s="965"/>
      <c r="F52" s="966"/>
      <c r="G52" s="964"/>
      <c r="H52" s="965"/>
      <c r="I52" s="965"/>
      <c r="J52" s="966"/>
      <c r="K52" s="964"/>
      <c r="L52" s="965"/>
      <c r="M52" s="965"/>
      <c r="N52" s="966"/>
      <c r="O52" s="964"/>
      <c r="P52" s="965"/>
      <c r="Q52" s="965"/>
      <c r="R52" s="966"/>
      <c r="S52" s="964"/>
      <c r="T52" s="965"/>
      <c r="U52" s="965"/>
      <c r="V52" s="966"/>
      <c r="W52" s="974">
        <f t="shared" si="9"/>
        <v>0</v>
      </c>
      <c r="X52" s="974">
        <f t="shared" si="8"/>
        <v>9</v>
      </c>
      <c r="Y52" s="1022">
        <f t="shared" si="7"/>
        <v>0</v>
      </c>
    </row>
    <row r="53" spans="1:28" hidden="1" x14ac:dyDescent="0.2">
      <c r="A53" s="962"/>
      <c r="B53" s="1044"/>
      <c r="C53" s="964"/>
      <c r="D53" s="965"/>
      <c r="E53" s="965"/>
      <c r="F53" s="966"/>
      <c r="G53" s="964"/>
      <c r="H53" s="965"/>
      <c r="I53" s="965"/>
      <c r="J53" s="966"/>
      <c r="K53" s="964"/>
      <c r="L53" s="965"/>
      <c r="M53" s="965"/>
      <c r="N53" s="966"/>
      <c r="O53" s="964"/>
      <c r="P53" s="965"/>
      <c r="Q53" s="965"/>
      <c r="R53" s="966"/>
      <c r="S53" s="964"/>
      <c r="T53" s="965"/>
      <c r="U53" s="965"/>
      <c r="V53" s="966"/>
      <c r="W53" s="974">
        <f t="shared" si="9"/>
        <v>0</v>
      </c>
      <c r="X53" s="974">
        <f t="shared" si="8"/>
        <v>9</v>
      </c>
      <c r="Y53" s="1022">
        <f t="shared" si="7"/>
        <v>0</v>
      </c>
    </row>
    <row r="54" spans="1:28" hidden="1" x14ac:dyDescent="0.2">
      <c r="A54" s="962"/>
      <c r="B54" s="1045"/>
      <c r="C54" s="964"/>
      <c r="D54" s="965"/>
      <c r="E54" s="965"/>
      <c r="F54" s="966"/>
      <c r="G54" s="964"/>
      <c r="H54" s="965"/>
      <c r="I54" s="965"/>
      <c r="J54" s="966"/>
      <c r="K54" s="964"/>
      <c r="L54" s="965"/>
      <c r="M54" s="965"/>
      <c r="N54" s="966"/>
      <c r="O54" s="964"/>
      <c r="P54" s="965"/>
      <c r="Q54" s="965"/>
      <c r="R54" s="966"/>
      <c r="S54" s="964"/>
      <c r="T54" s="965"/>
      <c r="U54" s="965"/>
      <c r="V54" s="966"/>
      <c r="W54" s="974">
        <f t="shared" si="9"/>
        <v>0</v>
      </c>
      <c r="X54" s="974">
        <f t="shared" si="8"/>
        <v>9</v>
      </c>
      <c r="Y54" s="1022">
        <f t="shared" si="7"/>
        <v>0</v>
      </c>
    </row>
    <row r="55" spans="1:28" hidden="1" x14ac:dyDescent="0.2">
      <c r="A55" s="962"/>
      <c r="B55" s="1011"/>
      <c r="C55" s="964"/>
      <c r="D55" s="965"/>
      <c r="E55" s="965"/>
      <c r="F55" s="966"/>
      <c r="G55" s="964"/>
      <c r="H55" s="965"/>
      <c r="I55" s="965"/>
      <c r="J55" s="966"/>
      <c r="K55" s="964"/>
      <c r="L55" s="965"/>
      <c r="M55" s="965"/>
      <c r="N55" s="966"/>
      <c r="O55" s="964"/>
      <c r="P55" s="965"/>
      <c r="Q55" s="965"/>
      <c r="R55" s="966"/>
      <c r="S55" s="964"/>
      <c r="T55" s="965"/>
      <c r="U55" s="965"/>
      <c r="V55" s="966"/>
      <c r="W55" s="974">
        <f t="shared" si="9"/>
        <v>0</v>
      </c>
      <c r="X55" s="974">
        <f t="shared" si="8"/>
        <v>9</v>
      </c>
      <c r="Y55" s="1022">
        <f t="shared" si="7"/>
        <v>0</v>
      </c>
    </row>
    <row r="56" spans="1:28" ht="13.5" hidden="1" thickBot="1" x14ac:dyDescent="0.25">
      <c r="A56" s="1046"/>
      <c r="B56" s="1047"/>
      <c r="C56" s="976"/>
      <c r="D56" s="977"/>
      <c r="E56" s="977"/>
      <c r="F56" s="978"/>
      <c r="G56" s="976"/>
      <c r="H56" s="977"/>
      <c r="I56" s="977"/>
      <c r="J56" s="978"/>
      <c r="K56" s="976"/>
      <c r="L56" s="977"/>
      <c r="M56" s="977"/>
      <c r="N56" s="978"/>
      <c r="O56" s="976"/>
      <c r="P56" s="977"/>
      <c r="Q56" s="977"/>
      <c r="R56" s="978"/>
      <c r="S56" s="976"/>
      <c r="T56" s="977"/>
      <c r="U56" s="977"/>
      <c r="V56" s="978"/>
      <c r="W56" s="974">
        <f t="shared" si="9"/>
        <v>0</v>
      </c>
      <c r="X56" s="974">
        <f t="shared" si="8"/>
        <v>9</v>
      </c>
      <c r="Y56" s="1022">
        <f t="shared" si="7"/>
        <v>0</v>
      </c>
    </row>
    <row r="57" spans="1:28" ht="13.5" hidden="1" thickBot="1" x14ac:dyDescent="0.25">
      <c r="A57" s="1048"/>
      <c r="B57" s="1049"/>
      <c r="C57" s="920"/>
      <c r="D57" s="921"/>
      <c r="E57" s="921"/>
      <c r="F57" s="925"/>
      <c r="G57" s="920"/>
      <c r="H57" s="921"/>
      <c r="I57" s="921"/>
      <c r="J57" s="925"/>
      <c r="K57" s="920"/>
      <c r="L57" s="921"/>
      <c r="M57" s="921"/>
      <c r="N57" s="925"/>
      <c r="O57" s="920"/>
      <c r="P57" s="921"/>
      <c r="Q57" s="921"/>
      <c r="R57" s="922"/>
      <c r="S57" s="920"/>
      <c r="T57" s="921"/>
      <c r="U57" s="921"/>
      <c r="V57" s="925"/>
      <c r="W57" s="1050" t="str">
        <f t="shared" ref="W57:W68" si="10">IF(COUNTA(C57:V57)=0,"",SUM(C57:V57)+COUNTIF(C57:V57,5)/100+COUNTIF(C57:V57,3)/10000)</f>
        <v/>
      </c>
      <c r="X57" s="927"/>
      <c r="Y57" s="928"/>
      <c r="Z57" s="1051"/>
      <c r="AA57" s="1052" t="s">
        <v>311</v>
      </c>
      <c r="AB57" s="1052" t="s">
        <v>312</v>
      </c>
    </row>
    <row r="58" spans="1:28" ht="14.25" hidden="1" thickTop="1" thickBot="1" x14ac:dyDescent="0.25">
      <c r="A58" s="1053">
        <v>1</v>
      </c>
      <c r="B58" s="1054"/>
      <c r="C58" s="1055"/>
      <c r="D58" s="1056"/>
      <c r="E58" s="1056"/>
      <c r="F58" s="1057"/>
      <c r="G58" s="1055"/>
      <c r="H58" s="1056"/>
      <c r="I58" s="1056"/>
      <c r="J58" s="1057"/>
      <c r="K58" s="1055"/>
      <c r="L58" s="1056"/>
      <c r="M58" s="1056"/>
      <c r="N58" s="1057"/>
      <c r="O58" s="1055"/>
      <c r="P58" s="1056"/>
      <c r="Q58" s="1056"/>
      <c r="R58" s="1058"/>
      <c r="S58" s="1055"/>
      <c r="T58" s="1059"/>
      <c r="U58" s="1056"/>
      <c r="V58" s="1058"/>
      <c r="W58" s="1060" t="str">
        <f t="shared" si="10"/>
        <v/>
      </c>
      <c r="X58" s="1061" t="str">
        <f>IF(ISBLANK(C58),"",IF(W58=W59,"edasi "&amp;RANK(W58,$AB$58:$AB$65),(IF(RANK(Z58,$Z$58:$Z$59)&lt;2,"edasi "&amp;RANK(W58,$AB$58:$AB$65),RANK(W58,$AA$58:$AA$65)+4))))</f>
        <v/>
      </c>
      <c r="Z58" s="1062">
        <f>IF(COUNTA(C58:V58)=0,100,W58+IF(RANK(W58,$W$58:$W$59)=1,100,0))</f>
        <v>100</v>
      </c>
      <c r="AA58" s="1052">
        <f>MIN(W58:W59)</f>
        <v>0</v>
      </c>
      <c r="AB58" s="1052">
        <f>MAX(W58:W59)</f>
        <v>0</v>
      </c>
    </row>
    <row r="59" spans="1:28" ht="14.25" hidden="1" thickTop="1" thickBot="1" x14ac:dyDescent="0.25">
      <c r="A59" s="1053">
        <v>8</v>
      </c>
      <c r="B59" s="1054"/>
      <c r="C59" s="1055"/>
      <c r="D59" s="1056"/>
      <c r="E59" s="1056"/>
      <c r="F59" s="1057"/>
      <c r="G59" s="1055"/>
      <c r="H59" s="1056"/>
      <c r="I59" s="1056"/>
      <c r="J59" s="1057"/>
      <c r="K59" s="1055"/>
      <c r="L59" s="1056"/>
      <c r="M59" s="1056"/>
      <c r="N59" s="1057"/>
      <c r="O59" s="1055"/>
      <c r="P59" s="1056"/>
      <c r="Q59" s="1056"/>
      <c r="R59" s="1058"/>
      <c r="S59" s="1055"/>
      <c r="T59" s="1056"/>
      <c r="U59" s="1056"/>
      <c r="V59" s="1058"/>
      <c r="W59" s="1060" t="str">
        <f t="shared" si="10"/>
        <v/>
      </c>
      <c r="X59" s="1061" t="str">
        <f>IF(ISBLANK(C59),"",IF(RANK(Z59,$Z$58:$Z$59)&lt;2,"edasi "&amp;RANK(W59,$AB$58:$AB$65),RANK(W59,$AA$58:$AA$65)+4))</f>
        <v/>
      </c>
      <c r="Z59" s="1063">
        <f>IF(COUNTA(C59:V59)=0,0,W59+IF(RANK(W59,$W$58:$W$59)=1,100,0))</f>
        <v>0</v>
      </c>
      <c r="AA59" s="1052"/>
      <c r="AB59" s="1052"/>
    </row>
    <row r="60" spans="1:28" ht="14.25" hidden="1" thickTop="1" thickBot="1" x14ac:dyDescent="0.25">
      <c r="A60" s="1064">
        <v>4</v>
      </c>
      <c r="B60" s="1065"/>
      <c r="C60" s="1066"/>
      <c r="D60" s="1067"/>
      <c r="E60" s="1068"/>
      <c r="F60" s="1069"/>
      <c r="G60" s="1066"/>
      <c r="H60" s="1068"/>
      <c r="I60" s="1067"/>
      <c r="J60" s="1069"/>
      <c r="K60" s="1066"/>
      <c r="L60" s="1068"/>
      <c r="M60" s="1068"/>
      <c r="N60" s="1069"/>
      <c r="O60" s="1066"/>
      <c r="P60" s="1068"/>
      <c r="Q60" s="1068"/>
      <c r="R60" s="1069"/>
      <c r="S60" s="1066"/>
      <c r="T60" s="1068"/>
      <c r="U60" s="1068"/>
      <c r="V60" s="1070"/>
      <c r="W60" s="1060" t="str">
        <f t="shared" si="10"/>
        <v/>
      </c>
      <c r="X60" s="1071" t="str">
        <f>IF(ISBLANK(C60),"",IF(RANK(Z60,$Z$60:$Z$61)&lt;2,"edasi "&amp;RANK(W60,$AB$58:$AB$65),RANK(W60,$AA$58:$AA$65)+4))</f>
        <v/>
      </c>
      <c r="Z60" s="1062">
        <f>IF(COUNTA(C60:V60)=0,100,W60+IF(RANK(W60,$W$60:$W$61)=1,100,0))</f>
        <v>100</v>
      </c>
      <c r="AA60" s="1052">
        <f>MIN(W60:W61)</f>
        <v>0</v>
      </c>
      <c r="AB60" s="1052">
        <f>MAX(W60:W61)</f>
        <v>0</v>
      </c>
    </row>
    <row r="61" spans="1:28" ht="14.25" hidden="1" thickTop="1" thickBot="1" x14ac:dyDescent="0.25">
      <c r="A61" s="1064">
        <v>5</v>
      </c>
      <c r="B61" s="1065"/>
      <c r="C61" s="1066"/>
      <c r="D61" s="1068"/>
      <c r="E61" s="1068"/>
      <c r="F61" s="1069"/>
      <c r="G61" s="1066"/>
      <c r="H61" s="1068"/>
      <c r="I61" s="1068"/>
      <c r="J61" s="1069"/>
      <c r="K61" s="1066"/>
      <c r="L61" s="1068"/>
      <c r="M61" s="1068"/>
      <c r="N61" s="1069"/>
      <c r="O61" s="1066"/>
      <c r="P61" s="1068"/>
      <c r="Q61" s="1068"/>
      <c r="R61" s="1069"/>
      <c r="S61" s="1066"/>
      <c r="T61" s="1068"/>
      <c r="U61" s="1068"/>
      <c r="V61" s="1067"/>
      <c r="W61" s="1060" t="str">
        <f t="shared" si="10"/>
        <v/>
      </c>
      <c r="X61" s="1071" t="str">
        <f>IF(ISBLANK(C61),"",IF(RANK(Z61,$Z$60:$Z$61)&lt;2,"edasi "&amp;RANK(W61,$AB$58:$AB$65),RANK(W61,$AA$58:$AA$65)+4))</f>
        <v/>
      </c>
      <c r="Z61" s="1063">
        <f>IF(COUNTA(C61:V61)=0,0,W61+IF(RANK(W61,$W$60:$W$61)=1,100,0))</f>
        <v>0</v>
      </c>
      <c r="AA61" s="1052"/>
      <c r="AB61" s="1052"/>
    </row>
    <row r="62" spans="1:28" ht="14.25" hidden="1" thickTop="1" thickBot="1" x14ac:dyDescent="0.25">
      <c r="A62" s="1053">
        <v>2</v>
      </c>
      <c r="B62" s="1054"/>
      <c r="C62" s="1055"/>
      <c r="D62" s="1056"/>
      <c r="E62" s="1056"/>
      <c r="F62" s="1057"/>
      <c r="G62" s="1055"/>
      <c r="H62" s="1056"/>
      <c r="I62" s="1056"/>
      <c r="J62" s="1057"/>
      <c r="K62" s="1055"/>
      <c r="L62" s="1059"/>
      <c r="M62" s="1056"/>
      <c r="N62" s="1057"/>
      <c r="O62" s="1055"/>
      <c r="P62" s="1056"/>
      <c r="Q62" s="1056"/>
      <c r="R62" s="1057"/>
      <c r="S62" s="1059"/>
      <c r="T62" s="1056"/>
      <c r="U62" s="1056"/>
      <c r="V62" s="1058"/>
      <c r="W62" s="1060" t="str">
        <f t="shared" si="10"/>
        <v/>
      </c>
      <c r="X62" s="1061" t="str">
        <f>IF(ISBLANK(C62),"",IF(RANK(Z62,$Z$62:$Z$63)&lt;2,"edasi "&amp;RANK(W62,$AB$58:$AB$65),RANK(W62,$AA$58:$AA$65)+4))</f>
        <v/>
      </c>
      <c r="Z62" s="1062">
        <f>IF(COUNTA(C62:V62)=0,100,W62+IF(RANK(W62,$W$62:$W$63)=1,100,0))</f>
        <v>100</v>
      </c>
      <c r="AA62" s="1052">
        <f>MIN(W62:W63)</f>
        <v>0</v>
      </c>
      <c r="AB62" s="1052">
        <f>MAX(W62:W63)</f>
        <v>0</v>
      </c>
    </row>
    <row r="63" spans="1:28" ht="14.25" hidden="1" thickTop="1" thickBot="1" x14ac:dyDescent="0.25">
      <c r="A63" s="1053">
        <v>7</v>
      </c>
      <c r="B63" s="1054"/>
      <c r="C63" s="1055"/>
      <c r="D63" s="1056"/>
      <c r="E63" s="1056"/>
      <c r="F63" s="1057"/>
      <c r="G63" s="1055"/>
      <c r="H63" s="1056"/>
      <c r="I63" s="1056"/>
      <c r="J63" s="1057"/>
      <c r="K63" s="1055"/>
      <c r="L63" s="1056"/>
      <c r="M63" s="1056"/>
      <c r="N63" s="1057"/>
      <c r="O63" s="1059"/>
      <c r="P63" s="1056"/>
      <c r="Q63" s="1056"/>
      <c r="R63" s="1058"/>
      <c r="S63" s="1055"/>
      <c r="T63" s="1059"/>
      <c r="U63" s="1056"/>
      <c r="V63" s="1058"/>
      <c r="W63" s="1060" t="str">
        <f t="shared" si="10"/>
        <v/>
      </c>
      <c r="X63" s="1061" t="str">
        <f>IF(ISBLANK(C63),"",IF(RANK(Z63,$Z$62:$Z$63)&lt;2,"edasi "&amp;RANK(W63,$AB$58:$AB$65),RANK(W63,$AA$58:$AA$65)+4))</f>
        <v/>
      </c>
      <c r="Z63" s="1063">
        <f>IF(COUNTA(C63:V63)=0,0,W63+IF(RANK(W63,$W$62:$W$63)=1,100,0))</f>
        <v>0</v>
      </c>
      <c r="AA63" s="1052"/>
      <c r="AB63" s="1052"/>
    </row>
    <row r="64" spans="1:28" ht="14.25" hidden="1" thickTop="1" thickBot="1" x14ac:dyDescent="0.25">
      <c r="A64" s="1064">
        <v>3</v>
      </c>
      <c r="B64" s="1065"/>
      <c r="C64" s="1066"/>
      <c r="D64" s="1068"/>
      <c r="E64" s="1068"/>
      <c r="F64" s="1070"/>
      <c r="G64" s="1066"/>
      <c r="H64" s="1068"/>
      <c r="I64" s="1068"/>
      <c r="J64" s="1070"/>
      <c r="K64" s="1066"/>
      <c r="L64" s="1068"/>
      <c r="M64" s="1068"/>
      <c r="N64" s="1072"/>
      <c r="O64" s="1066"/>
      <c r="P64" s="1068"/>
      <c r="Q64" s="1068"/>
      <c r="R64" s="1070"/>
      <c r="S64" s="1066"/>
      <c r="T64" s="1067"/>
      <c r="U64" s="1068"/>
      <c r="V64" s="1070"/>
      <c r="W64" s="1060" t="str">
        <f t="shared" si="10"/>
        <v/>
      </c>
      <c r="X64" s="1071" t="str">
        <f>IF(ISBLANK(C64),"",IF(RANK(Z64,$Z$64:$Z$65)&lt;2,"edasi "&amp;RANK(W64,$AB$58:$AB$65),RANK(W64,$AA$58:$AA$65)+4))</f>
        <v/>
      </c>
      <c r="Z64" s="1062">
        <f>IF(COUNTA(C64:V64)=0,100,W64+IF(RANK(W64,$W$64:$W$65)=1,100,0))</f>
        <v>100</v>
      </c>
      <c r="AA64" s="1052">
        <f>MIN(W64:W65)</f>
        <v>0</v>
      </c>
      <c r="AB64" s="1052">
        <f>MAX(W64:W65)</f>
        <v>0</v>
      </c>
    </row>
    <row r="65" spans="1:28" ht="14.25" hidden="1" thickTop="1" thickBot="1" x14ac:dyDescent="0.25">
      <c r="A65" s="1073">
        <v>6</v>
      </c>
      <c r="B65" s="1065"/>
      <c r="C65" s="1074"/>
      <c r="D65" s="1075"/>
      <c r="E65" s="1075"/>
      <c r="F65" s="1076"/>
      <c r="G65" s="1074"/>
      <c r="H65" s="1075"/>
      <c r="I65" s="1075"/>
      <c r="J65" s="1076"/>
      <c r="K65" s="1074"/>
      <c r="L65" s="1075"/>
      <c r="M65" s="1077"/>
      <c r="N65" s="1076"/>
      <c r="O65" s="1074"/>
      <c r="P65" s="1075"/>
      <c r="Q65" s="1075"/>
      <c r="R65" s="1076"/>
      <c r="S65" s="1074"/>
      <c r="T65" s="1075"/>
      <c r="U65" s="1075"/>
      <c r="V65" s="1067"/>
      <c r="W65" s="1078" t="str">
        <f t="shared" si="10"/>
        <v/>
      </c>
      <c r="X65" s="1079" t="str">
        <f>IF(ISBLANK(C65),"",IF(RANK(Z65,$Z$64:$Z$65)&lt;2,"edasi "&amp;RANK(W65,$AB$58:$AB$65),RANK(W65,$AA$58:$AA$65)+4))</f>
        <v/>
      </c>
      <c r="Z65" s="1063">
        <f>IF(COUNTA(C65:V65)=0,0,W65+IF(RANK(W65,$W$64:$W$65)=1,100,0))</f>
        <v>0</v>
      </c>
      <c r="AA65" s="1052"/>
      <c r="AB65" s="1052"/>
    </row>
    <row r="66" spans="1:28" x14ac:dyDescent="0.2">
      <c r="A66" s="1048"/>
      <c r="B66" s="919" t="s">
        <v>578</v>
      </c>
      <c r="C66" s="920"/>
      <c r="D66" s="924"/>
      <c r="E66" s="921"/>
      <c r="F66" s="922"/>
      <c r="G66" s="920"/>
      <c r="H66" s="921"/>
      <c r="I66" s="921"/>
      <c r="J66" s="925"/>
      <c r="K66" s="920"/>
      <c r="L66" s="921"/>
      <c r="M66" s="921"/>
      <c r="N66" s="989"/>
      <c r="O66" s="920"/>
      <c r="P66" s="921"/>
      <c r="Q66" s="921"/>
      <c r="R66" s="925"/>
      <c r="S66" s="920"/>
      <c r="T66" s="924"/>
      <c r="U66" s="921"/>
      <c r="V66" s="922"/>
      <c r="W66" s="1050" t="str">
        <f t="shared" si="10"/>
        <v/>
      </c>
      <c r="X66" s="927"/>
    </row>
    <row r="67" spans="1:28" x14ac:dyDescent="0.2">
      <c r="A67" s="1080">
        <v>2</v>
      </c>
      <c r="B67" s="1081" t="s">
        <v>90</v>
      </c>
      <c r="C67" s="1082">
        <v>5</v>
      </c>
      <c r="D67" s="1083">
        <v>3</v>
      </c>
      <c r="E67" s="1084">
        <v>0</v>
      </c>
      <c r="F67" s="1085">
        <v>5</v>
      </c>
      <c r="G67" s="1086">
        <v>3</v>
      </c>
      <c r="H67" s="1087">
        <v>0</v>
      </c>
      <c r="I67" s="1087">
        <v>0</v>
      </c>
      <c r="J67" s="1088">
        <v>0</v>
      </c>
      <c r="K67" s="1086">
        <v>0</v>
      </c>
      <c r="L67" s="1087">
        <v>1</v>
      </c>
      <c r="M67" s="1087">
        <v>0</v>
      </c>
      <c r="N67" s="1088">
        <v>0</v>
      </c>
      <c r="O67" s="1086">
        <v>0</v>
      </c>
      <c r="P67" s="1087">
        <v>0</v>
      </c>
      <c r="Q67" s="1087">
        <v>0</v>
      </c>
      <c r="R67" s="1088">
        <v>0</v>
      </c>
      <c r="S67" s="1082">
        <v>0</v>
      </c>
      <c r="T67" s="1083">
        <v>0</v>
      </c>
      <c r="U67" s="1084">
        <v>0</v>
      </c>
      <c r="V67" s="1085">
        <v>0</v>
      </c>
      <c r="W67" s="1089">
        <f t="shared" si="10"/>
        <v>17.020199999999999</v>
      </c>
      <c r="X67" s="1090" t="str">
        <f>IF(COUNTA(C67:V67)=0,"",IF(W67=W68,"ümbervisk",IF(W67&gt;W68,"finaali "&amp;(IF(W67&lt;MAX(W69:W70),2,IF(W67=MAX(W69:W70),"",1))),"pronksi "&amp;(IF(W67&lt;MIN(W69:W70),2,IF(W67=MIN(W69:W70),"",1))))))</f>
        <v>ümbervisk</v>
      </c>
    </row>
    <row r="68" spans="1:28" x14ac:dyDescent="0.2">
      <c r="A68" s="1080">
        <v>3</v>
      </c>
      <c r="B68" s="1081" t="s">
        <v>104</v>
      </c>
      <c r="C68" s="1086">
        <v>0</v>
      </c>
      <c r="D68" s="1091">
        <v>0</v>
      </c>
      <c r="E68" s="1092">
        <v>5</v>
      </c>
      <c r="F68" s="1085">
        <v>3</v>
      </c>
      <c r="G68" s="1086">
        <v>0</v>
      </c>
      <c r="H68" s="1087">
        <v>0</v>
      </c>
      <c r="I68" s="1087">
        <v>0</v>
      </c>
      <c r="J68" s="1088">
        <v>0</v>
      </c>
      <c r="K68" s="1086">
        <v>0</v>
      </c>
      <c r="L68" s="1087">
        <v>1</v>
      </c>
      <c r="M68" s="1087">
        <v>3</v>
      </c>
      <c r="N68" s="1088">
        <v>0</v>
      </c>
      <c r="O68" s="1086">
        <v>0</v>
      </c>
      <c r="P68" s="1087">
        <v>0</v>
      </c>
      <c r="Q68" s="1087">
        <v>0</v>
      </c>
      <c r="R68" s="1088">
        <v>0</v>
      </c>
      <c r="S68" s="1086">
        <v>0</v>
      </c>
      <c r="T68" s="1093">
        <v>0</v>
      </c>
      <c r="U68" s="1087">
        <v>5</v>
      </c>
      <c r="V68" s="1085">
        <v>0</v>
      </c>
      <c r="W68" s="1089">
        <f t="shared" si="10"/>
        <v>17.020199999999999</v>
      </c>
      <c r="X68" s="1090" t="str">
        <f>IF(COUNTA(C68:V68)=0,"",IF(W67=W68,"ümbervisk",IF(W68&gt;W67,"finaali "&amp;(IF(W68&lt;MAX(W69:W70),2,IF(W68=MAX(W69:W70),"",1))),"pronksi "&amp;(IF(W68&lt;MIN(W69:W70),2,IF(W68=MIN(W69:W70),"",1))))))</f>
        <v>ümbervisk</v>
      </c>
    </row>
    <row r="69" spans="1:28" x14ac:dyDescent="0.2">
      <c r="A69" s="1064">
        <v>1</v>
      </c>
      <c r="B69" s="1065" t="s">
        <v>92</v>
      </c>
      <c r="C69" s="1094">
        <v>0</v>
      </c>
      <c r="D69" s="1068">
        <v>0</v>
      </c>
      <c r="E69" s="1068">
        <v>0</v>
      </c>
      <c r="F69" s="1095">
        <v>0</v>
      </c>
      <c r="G69" s="1066">
        <v>0</v>
      </c>
      <c r="H69" s="1068">
        <v>0</v>
      </c>
      <c r="I69" s="1068">
        <v>0</v>
      </c>
      <c r="J69" s="1070">
        <v>0</v>
      </c>
      <c r="K69" s="1066">
        <v>0</v>
      </c>
      <c r="L69" s="1068">
        <v>0</v>
      </c>
      <c r="M69" s="1068">
        <v>0</v>
      </c>
      <c r="N69" s="1070">
        <v>0</v>
      </c>
      <c r="O69" s="1066">
        <v>0</v>
      </c>
      <c r="P69" s="1068">
        <v>3</v>
      </c>
      <c r="Q69" s="1068">
        <v>0</v>
      </c>
      <c r="R69" s="1069">
        <v>0</v>
      </c>
      <c r="S69" s="1096">
        <v>0</v>
      </c>
      <c r="T69" s="1097">
        <v>0</v>
      </c>
      <c r="U69" s="1068">
        <v>5</v>
      </c>
      <c r="V69" s="1070">
        <v>0</v>
      </c>
      <c r="W69" s="1089">
        <f>IF(COUNTA(C69:V69)=0,"",SUM(C69:V69)+COUNTIF(C69:V69,5)/100+COUNTIF(C69:V69,3)/10000)</f>
        <v>8.0100999999999996</v>
      </c>
      <c r="X69" s="1071" t="str">
        <f>IF(COUNTA(C69:V69)=0,"",IF(W69=W70,"ümbervisk",IF(W69&gt;W70,"finaali "&amp;(IF(W69&lt;MAX(W67:W68),2,IF(W69=MAX(W67:W68),"",1))),"pronksi "&amp;(IF(W69&lt;MIN(W67:W68),2,IF(W69=MIN(W67:W68),"",1))))))</f>
        <v>ümbervisk</v>
      </c>
    </row>
    <row r="70" spans="1:28" ht="13.5" thickBot="1" x14ac:dyDescent="0.25">
      <c r="A70" s="1098">
        <v>4</v>
      </c>
      <c r="B70" s="1099" t="s">
        <v>12</v>
      </c>
      <c r="C70" s="1100">
        <v>3</v>
      </c>
      <c r="D70" s="1101">
        <v>0</v>
      </c>
      <c r="E70" s="1101">
        <v>0</v>
      </c>
      <c r="F70" s="1102">
        <v>0</v>
      </c>
      <c r="G70" s="1103">
        <v>0</v>
      </c>
      <c r="H70" s="1101">
        <v>5</v>
      </c>
      <c r="I70" s="1101">
        <v>0</v>
      </c>
      <c r="J70" s="1104">
        <v>0</v>
      </c>
      <c r="K70" s="1103">
        <v>0</v>
      </c>
      <c r="L70" s="1101">
        <v>0</v>
      </c>
      <c r="M70" s="1101">
        <v>0</v>
      </c>
      <c r="N70" s="1104">
        <v>0</v>
      </c>
      <c r="O70" s="1103">
        <v>0</v>
      </c>
      <c r="P70" s="1101">
        <v>0</v>
      </c>
      <c r="Q70" s="1101">
        <v>0</v>
      </c>
      <c r="R70" s="1105">
        <v>0</v>
      </c>
      <c r="S70" s="1100">
        <v>0</v>
      </c>
      <c r="T70" s="1101">
        <v>0</v>
      </c>
      <c r="U70" s="1106">
        <v>0</v>
      </c>
      <c r="V70" s="1104">
        <v>0</v>
      </c>
      <c r="W70" s="1107">
        <f>IF(COUNTA(C70:V70)=0,"",SUM(C70:V70)+COUNTIF(C70:V70,5)/100+COUNTIF(C70:V70,3)/10000)</f>
        <v>8.0100999999999996</v>
      </c>
      <c r="X70" s="1108" t="str">
        <f>IF(COUNTA(C70:V70)=0,"",IF(W69=W70,"ümbervisk",IF(W70&gt;W69,"finaali "&amp;(IF(W70&lt;MAX(W67:W68),2,IF(W70=MAX(W67:W68),"",1))),"pronksi "&amp;(IF(W70&lt;MIN(W67:W68),2,IF(W70=MIN(W67:W68),"",1))))))</f>
        <v>ümbervisk</v>
      </c>
    </row>
    <row r="71" spans="1:28" x14ac:dyDescent="0.2">
      <c r="A71" s="1109"/>
      <c r="B71" s="1110" t="s">
        <v>575</v>
      </c>
      <c r="C71" s="1111"/>
      <c r="D71" s="1112"/>
      <c r="E71" s="1112"/>
      <c r="F71" s="1113"/>
      <c r="G71" s="1114"/>
      <c r="H71" s="1112"/>
      <c r="I71" s="1112"/>
      <c r="J71" s="1115"/>
      <c r="K71" s="1111"/>
      <c r="L71" s="1112"/>
      <c r="M71" s="1112"/>
      <c r="N71" s="1115"/>
      <c r="O71" s="1111"/>
      <c r="P71" s="1112"/>
      <c r="Q71" s="1112"/>
      <c r="R71" s="1113"/>
      <c r="S71" s="1111"/>
      <c r="T71" s="1112"/>
      <c r="U71" s="1112"/>
      <c r="V71" s="1115"/>
      <c r="W71" s="1050"/>
      <c r="X71" s="1050"/>
    </row>
    <row r="72" spans="1:28" x14ac:dyDescent="0.2">
      <c r="A72" s="1116"/>
      <c r="B72" s="1117" t="s">
        <v>90</v>
      </c>
      <c r="C72" s="1118"/>
      <c r="D72" s="1119">
        <v>0</v>
      </c>
      <c r="E72" s="1119"/>
      <c r="F72" s="1120"/>
      <c r="G72" s="1121"/>
      <c r="H72" s="1119">
        <v>3</v>
      </c>
      <c r="I72" s="1119"/>
      <c r="J72" s="1122"/>
      <c r="K72" s="1118"/>
      <c r="L72" s="1119">
        <v>0</v>
      </c>
      <c r="M72" s="1119"/>
      <c r="N72" s="1122"/>
      <c r="O72" s="1118"/>
      <c r="P72" s="1119">
        <v>3</v>
      </c>
      <c r="Q72" s="1119"/>
      <c r="R72" s="1122"/>
      <c r="S72" s="1118"/>
      <c r="T72" s="1119">
        <v>5</v>
      </c>
      <c r="U72" s="1119"/>
      <c r="V72" s="1122"/>
      <c r="W72" s="1123">
        <f>SUM(C72:V72)</f>
        <v>11</v>
      </c>
      <c r="X72" s="1124" t="s">
        <v>581</v>
      </c>
    </row>
    <row r="73" spans="1:28" x14ac:dyDescent="0.2">
      <c r="A73" s="1080"/>
      <c r="B73" s="1117" t="s">
        <v>104</v>
      </c>
      <c r="C73" s="1086"/>
      <c r="D73" s="1125">
        <v>3</v>
      </c>
      <c r="E73" s="1125"/>
      <c r="F73" s="1126"/>
      <c r="G73" s="1086"/>
      <c r="H73" s="1125">
        <v>3</v>
      </c>
      <c r="I73" s="1125"/>
      <c r="J73" s="1126"/>
      <c r="K73" s="1086"/>
      <c r="L73" s="1125">
        <v>3</v>
      </c>
      <c r="M73" s="1125"/>
      <c r="N73" s="1126"/>
      <c r="O73" s="1086"/>
      <c r="P73" s="1125">
        <v>0</v>
      </c>
      <c r="Q73" s="1125"/>
      <c r="R73" s="1126"/>
      <c r="S73" s="1086"/>
      <c r="T73" s="1125">
        <v>5</v>
      </c>
      <c r="U73" s="1125"/>
      <c r="V73" s="1126"/>
      <c r="W73" s="1127">
        <f t="shared" ref="W73" si="11">SUM(C73:V73)</f>
        <v>14</v>
      </c>
      <c r="X73" s="1124" t="s">
        <v>579</v>
      </c>
    </row>
    <row r="74" spans="1:28" x14ac:dyDescent="0.2">
      <c r="A74" s="1128"/>
      <c r="B74" s="1129" t="s">
        <v>12</v>
      </c>
      <c r="C74" s="1130"/>
      <c r="D74" s="1131">
        <v>3</v>
      </c>
      <c r="E74" s="1131"/>
      <c r="F74" s="1132"/>
      <c r="G74" s="1133"/>
      <c r="H74" s="1131">
        <v>3</v>
      </c>
      <c r="I74" s="1131"/>
      <c r="J74" s="1134"/>
      <c r="K74" s="1130"/>
      <c r="L74" s="1131">
        <v>0</v>
      </c>
      <c r="M74" s="1131"/>
      <c r="N74" s="1134"/>
      <c r="O74" s="1130"/>
      <c r="P74" s="1131">
        <v>0</v>
      </c>
      <c r="Q74" s="1131"/>
      <c r="R74" s="1134"/>
      <c r="S74" s="1130"/>
      <c r="T74" s="1131">
        <v>0</v>
      </c>
      <c r="U74" s="1131"/>
      <c r="V74" s="1134"/>
      <c r="W74" s="1123">
        <f>SUM(C74:V74)</f>
        <v>6</v>
      </c>
      <c r="X74" s="1135" t="s">
        <v>580</v>
      </c>
    </row>
    <row r="75" spans="1:28" ht="13.5" thickBot="1" x14ac:dyDescent="0.25">
      <c r="A75" s="1136"/>
      <c r="B75" s="1137" t="s">
        <v>92</v>
      </c>
      <c r="C75" s="1138"/>
      <c r="D75" s="1139">
        <v>0</v>
      </c>
      <c r="E75" s="1139"/>
      <c r="F75" s="1140"/>
      <c r="G75" s="1138"/>
      <c r="H75" s="1139">
        <v>0</v>
      </c>
      <c r="I75" s="1139"/>
      <c r="J75" s="1140"/>
      <c r="K75" s="1138"/>
      <c r="L75" s="1139">
        <v>0</v>
      </c>
      <c r="M75" s="1139"/>
      <c r="N75" s="1140"/>
      <c r="O75" s="1138"/>
      <c r="P75" s="1139">
        <v>0</v>
      </c>
      <c r="Q75" s="1139"/>
      <c r="R75" s="1140"/>
      <c r="S75" s="1138"/>
      <c r="T75" s="1139">
        <v>0</v>
      </c>
      <c r="U75" s="1139"/>
      <c r="V75" s="1140"/>
      <c r="W75" s="1141">
        <f t="shared" ref="W75" si="12">SUM(C75:V75)</f>
        <v>0</v>
      </c>
      <c r="X75" s="1142" t="s">
        <v>582</v>
      </c>
    </row>
    <row r="76" spans="1:28" x14ac:dyDescent="0.2">
      <c r="A76" s="1143"/>
      <c r="B76" s="1144" t="s">
        <v>308</v>
      </c>
      <c r="C76" s="987"/>
      <c r="D76" s="988"/>
      <c r="E76" s="988"/>
      <c r="F76" s="989"/>
      <c r="G76" s="987"/>
      <c r="H76" s="988"/>
      <c r="I76" s="988"/>
      <c r="J76" s="989"/>
      <c r="K76" s="987"/>
      <c r="L76" s="988"/>
      <c r="M76" s="988"/>
      <c r="N76" s="989"/>
      <c r="O76" s="987"/>
      <c r="P76" s="988"/>
      <c r="Q76" s="988"/>
      <c r="R76" s="989"/>
      <c r="S76" s="987"/>
      <c r="T76" s="988"/>
      <c r="U76" s="988"/>
      <c r="V76" s="989"/>
      <c r="W76" s="1145" t="str">
        <f t="shared" ref="W76:W81" si="13">IF(COUNTA(C76:V76)=0,"",SUM(C76:V76)+COUNTIF(C76:V76,5)/100+COUNTIF(C76:V76,3)/10000)</f>
        <v/>
      </c>
      <c r="X76" s="1146"/>
    </row>
    <row r="77" spans="1:28" ht="13.5" customHeight="1" x14ac:dyDescent="0.2">
      <c r="A77" s="1064">
        <v>1</v>
      </c>
      <c r="B77" s="1065" t="str">
        <f>IFERROR(INDEX(B$67:B$73,MATCH("pronksi "&amp;A77,X$67:X$73,0)),"")</f>
        <v>Kenneth Muusikus</v>
      </c>
      <c r="C77" s="1066">
        <v>0</v>
      </c>
      <c r="D77" s="1068">
        <v>0</v>
      </c>
      <c r="E77" s="1068">
        <v>3</v>
      </c>
      <c r="F77" s="1070">
        <v>5</v>
      </c>
      <c r="G77" s="1066">
        <v>0</v>
      </c>
      <c r="H77" s="1068">
        <v>0</v>
      </c>
      <c r="I77" s="1097">
        <v>0</v>
      </c>
      <c r="J77" s="1070">
        <v>0</v>
      </c>
      <c r="K77" s="1066">
        <v>0</v>
      </c>
      <c r="L77" s="1068">
        <v>0</v>
      </c>
      <c r="M77" s="1068">
        <v>0</v>
      </c>
      <c r="N77" s="1070">
        <v>0</v>
      </c>
      <c r="O77" s="1066">
        <v>0</v>
      </c>
      <c r="P77" s="1068">
        <v>0</v>
      </c>
      <c r="Q77" s="1068">
        <v>0</v>
      </c>
      <c r="R77" s="1070">
        <v>0</v>
      </c>
      <c r="S77" s="1066">
        <v>0</v>
      </c>
      <c r="T77" s="1068">
        <v>5</v>
      </c>
      <c r="U77" s="1097">
        <v>0</v>
      </c>
      <c r="V77" s="1070">
        <v>0</v>
      </c>
      <c r="W77" s="1127">
        <f t="shared" si="13"/>
        <v>13.020099999999999</v>
      </c>
      <c r="X77" s="1147">
        <f ca="1">IF( INDIRECT("RC[-1]",0)=MAX(( INDIRECT("R[-1]C[-1]",0)):( INDIRECT("R[1]C[-1]",0))),3,4)</f>
        <v>3</v>
      </c>
    </row>
    <row r="78" spans="1:28" ht="13.5" thickBot="1" x14ac:dyDescent="0.25">
      <c r="A78" s="1073">
        <v>2</v>
      </c>
      <c r="B78" s="1065" t="s">
        <v>92</v>
      </c>
      <c r="C78" s="1074">
        <v>3</v>
      </c>
      <c r="D78" s="1075">
        <v>3</v>
      </c>
      <c r="E78" s="1075">
        <v>3</v>
      </c>
      <c r="F78" s="1076">
        <v>0</v>
      </c>
      <c r="G78" s="1074">
        <v>0</v>
      </c>
      <c r="H78" s="1077">
        <v>0</v>
      </c>
      <c r="I78" s="1075">
        <v>0</v>
      </c>
      <c r="J78" s="1148">
        <v>0</v>
      </c>
      <c r="K78" s="1074">
        <v>1</v>
      </c>
      <c r="L78" s="1075">
        <v>1</v>
      </c>
      <c r="M78" s="1075">
        <v>0</v>
      </c>
      <c r="N78" s="1076">
        <v>0</v>
      </c>
      <c r="O78" s="1074">
        <v>0</v>
      </c>
      <c r="P78" s="1075">
        <v>0</v>
      </c>
      <c r="Q78" s="1075">
        <v>0</v>
      </c>
      <c r="R78" s="1076">
        <v>0</v>
      </c>
      <c r="S78" s="1074">
        <v>0</v>
      </c>
      <c r="T78" s="1077">
        <v>0</v>
      </c>
      <c r="U78" s="1075">
        <v>0</v>
      </c>
      <c r="V78" s="1148">
        <v>0</v>
      </c>
      <c r="W78" s="1141">
        <f t="shared" si="13"/>
        <v>11.000299999999999</v>
      </c>
      <c r="X78" s="1149">
        <f ca="1">IF( INDIRECT("RC[-1]",0)=MAX(( INDIRECT("R[-1]C[-1]",0)):( INDIRECT("R[1]C[-1]",0))),3,4)</f>
        <v>4</v>
      </c>
    </row>
    <row r="79" spans="1:28" x14ac:dyDescent="0.2">
      <c r="A79" s="1048"/>
      <c r="B79" s="919" t="s">
        <v>309</v>
      </c>
      <c r="C79" s="1150"/>
      <c r="D79" s="924"/>
      <c r="E79" s="924"/>
      <c r="F79" s="1151"/>
      <c r="G79" s="920"/>
      <c r="H79" s="921"/>
      <c r="I79" s="988"/>
      <c r="J79" s="925"/>
      <c r="K79" s="920"/>
      <c r="L79" s="921"/>
      <c r="M79" s="921"/>
      <c r="N79" s="925"/>
      <c r="O79" s="920"/>
      <c r="P79" s="921"/>
      <c r="Q79" s="921"/>
      <c r="R79" s="925"/>
      <c r="S79" s="920"/>
      <c r="T79" s="921"/>
      <c r="U79" s="988"/>
      <c r="V79" s="922"/>
      <c r="W79" s="1050" t="str">
        <f t="shared" si="13"/>
        <v/>
      </c>
      <c r="X79" s="927"/>
    </row>
    <row r="80" spans="1:28" x14ac:dyDescent="0.2">
      <c r="A80" s="1064">
        <v>1</v>
      </c>
      <c r="B80" s="1065" t="str">
        <f>IFERROR(INDEX(B$67:B$73,MATCH("finaali "&amp;A80,X$67:X$73,0)),"")</f>
        <v>Henri Mitt</v>
      </c>
      <c r="C80" s="1096">
        <v>0</v>
      </c>
      <c r="D80" s="1152">
        <v>5</v>
      </c>
      <c r="E80" s="1152">
        <v>3</v>
      </c>
      <c r="F80" s="1153">
        <v>0</v>
      </c>
      <c r="G80" s="1096">
        <v>0</v>
      </c>
      <c r="H80" s="1152">
        <v>0</v>
      </c>
      <c r="I80" s="1152">
        <v>3</v>
      </c>
      <c r="J80" s="1153">
        <v>0</v>
      </c>
      <c r="K80" s="1096">
        <v>0</v>
      </c>
      <c r="L80" s="1152">
        <v>0</v>
      </c>
      <c r="M80" s="1152">
        <v>0</v>
      </c>
      <c r="N80" s="1153">
        <v>0</v>
      </c>
      <c r="O80" s="1096">
        <v>0</v>
      </c>
      <c r="P80" s="1152">
        <v>0</v>
      </c>
      <c r="Q80" s="1152">
        <v>0</v>
      </c>
      <c r="R80" s="1072">
        <v>0</v>
      </c>
      <c r="S80" s="1096">
        <v>0</v>
      </c>
      <c r="T80" s="1152"/>
      <c r="U80" s="1152"/>
      <c r="V80" s="1153"/>
      <c r="W80" s="1154">
        <f t="shared" si="13"/>
        <v>11.010199999999999</v>
      </c>
      <c r="X80" s="1147">
        <f ca="1">IF( INDIRECT("RC[-1]",0)=MAX(( INDIRECT("R[-1]C[-1]",0)):( INDIRECT("R[1]C[-1]",0))),1,2)</f>
        <v>2</v>
      </c>
    </row>
    <row r="81" spans="1:24" ht="13.5" thickBot="1" x14ac:dyDescent="0.25">
      <c r="A81" s="1073">
        <v>2</v>
      </c>
      <c r="B81" s="1155" t="s">
        <v>12</v>
      </c>
      <c r="C81" s="1074">
        <v>3</v>
      </c>
      <c r="D81" s="1156">
        <v>0</v>
      </c>
      <c r="E81" s="1075">
        <v>0</v>
      </c>
      <c r="F81" s="1076">
        <v>3</v>
      </c>
      <c r="G81" s="1074">
        <v>0</v>
      </c>
      <c r="H81" s="1075">
        <v>0</v>
      </c>
      <c r="I81" s="1075">
        <v>5</v>
      </c>
      <c r="J81" s="1076">
        <v>3</v>
      </c>
      <c r="K81" s="1074">
        <v>3</v>
      </c>
      <c r="L81" s="1075">
        <v>1</v>
      </c>
      <c r="M81" s="1075">
        <v>3</v>
      </c>
      <c r="N81" s="1076">
        <v>0</v>
      </c>
      <c r="O81" s="1074">
        <v>0</v>
      </c>
      <c r="P81" s="1075">
        <v>1</v>
      </c>
      <c r="Q81" s="1075">
        <v>0</v>
      </c>
      <c r="R81" s="1077">
        <v>0</v>
      </c>
      <c r="S81" s="1074">
        <v>5</v>
      </c>
      <c r="T81" s="1075">
        <v>5</v>
      </c>
      <c r="U81" s="1075">
        <v>5</v>
      </c>
      <c r="V81" s="1076">
        <v>0</v>
      </c>
      <c r="W81" s="1141">
        <f t="shared" si="13"/>
        <v>37.040500000000002</v>
      </c>
      <c r="X81" s="1149">
        <f ca="1">IF( INDIRECT("RC[-1]",0)=MAX(( INDIRECT("R[-1]C[-1]",0)):( INDIRECT("R[1]C[-1]",0))),1,2)</f>
        <v>1</v>
      </c>
    </row>
    <row r="83" spans="1:24" x14ac:dyDescent="0.2">
      <c r="B83" s="1157" t="s">
        <v>577</v>
      </c>
      <c r="C83" s="1066">
        <f t="shared" ref="C83:V83" si="14">SUM(C9:C81)</f>
        <v>52</v>
      </c>
      <c r="D83" s="1068">
        <f t="shared" si="14"/>
        <v>45</v>
      </c>
      <c r="E83" s="1068">
        <f t="shared" si="14"/>
        <v>37</v>
      </c>
      <c r="F83" s="1070">
        <f t="shared" si="14"/>
        <v>28</v>
      </c>
      <c r="G83" s="1158">
        <f t="shared" si="14"/>
        <v>30</v>
      </c>
      <c r="H83" s="1068">
        <f t="shared" si="14"/>
        <v>25</v>
      </c>
      <c r="I83" s="1068">
        <f t="shared" si="14"/>
        <v>16</v>
      </c>
      <c r="J83" s="1069">
        <f t="shared" si="14"/>
        <v>10</v>
      </c>
      <c r="K83" s="1066">
        <f t="shared" si="14"/>
        <v>15</v>
      </c>
      <c r="L83" s="1068">
        <f t="shared" si="14"/>
        <v>14</v>
      </c>
      <c r="M83" s="1068">
        <f t="shared" si="14"/>
        <v>17</v>
      </c>
      <c r="N83" s="1070">
        <f t="shared" si="14"/>
        <v>13</v>
      </c>
      <c r="O83" s="1158">
        <f t="shared" si="14"/>
        <v>8</v>
      </c>
      <c r="P83" s="1068">
        <f t="shared" si="14"/>
        <v>24</v>
      </c>
      <c r="Q83" s="1068">
        <f t="shared" si="14"/>
        <v>12</v>
      </c>
      <c r="R83" s="1069">
        <f t="shared" si="14"/>
        <v>9</v>
      </c>
      <c r="S83" s="1066">
        <f t="shared" si="14"/>
        <v>10</v>
      </c>
      <c r="T83" s="1068">
        <f t="shared" si="14"/>
        <v>33</v>
      </c>
      <c r="U83" s="1068">
        <f t="shared" si="14"/>
        <v>23</v>
      </c>
      <c r="V83" s="1070">
        <f t="shared" si="14"/>
        <v>15</v>
      </c>
    </row>
    <row r="84" spans="1:24" x14ac:dyDescent="0.2">
      <c r="C84" s="1066">
        <f t="shared" ref="C84:V84" si="15">SUM(C9:C81)</f>
        <v>52</v>
      </c>
      <c r="D84" s="1068">
        <f t="shared" si="15"/>
        <v>45</v>
      </c>
      <c r="E84" s="1068">
        <f t="shared" si="15"/>
        <v>37</v>
      </c>
      <c r="F84" s="1070">
        <f t="shared" si="15"/>
        <v>28</v>
      </c>
      <c r="G84" s="1158">
        <f t="shared" si="15"/>
        <v>30</v>
      </c>
      <c r="H84" s="1068">
        <f t="shared" si="15"/>
        <v>25</v>
      </c>
      <c r="I84" s="1068">
        <f t="shared" si="15"/>
        <v>16</v>
      </c>
      <c r="J84" s="1069">
        <f t="shared" si="15"/>
        <v>10</v>
      </c>
      <c r="K84" s="1066">
        <f t="shared" si="15"/>
        <v>15</v>
      </c>
      <c r="L84" s="1068">
        <f t="shared" si="15"/>
        <v>14</v>
      </c>
      <c r="M84" s="1068">
        <f t="shared" si="15"/>
        <v>17</v>
      </c>
      <c r="N84" s="1070">
        <f t="shared" si="15"/>
        <v>13</v>
      </c>
      <c r="O84" s="1158">
        <f t="shared" si="15"/>
        <v>8</v>
      </c>
      <c r="P84" s="1068">
        <f t="shared" si="15"/>
        <v>24</v>
      </c>
      <c r="Q84" s="1068">
        <f t="shared" si="15"/>
        <v>12</v>
      </c>
      <c r="R84" s="1069">
        <f t="shared" si="15"/>
        <v>9</v>
      </c>
      <c r="S84" s="1066">
        <f t="shared" si="15"/>
        <v>10</v>
      </c>
      <c r="T84" s="1068">
        <f t="shared" si="15"/>
        <v>33</v>
      </c>
      <c r="U84" s="1068">
        <f t="shared" si="15"/>
        <v>23</v>
      </c>
      <c r="V84" s="1070">
        <f t="shared" si="15"/>
        <v>15</v>
      </c>
    </row>
    <row r="85" spans="1:24" x14ac:dyDescent="0.2">
      <c r="B85" s="1159"/>
      <c r="C85" s="1440">
        <f>SUM(C9:F81)</f>
        <v>162</v>
      </c>
      <c r="D85" s="1441"/>
      <c r="E85" s="1441"/>
      <c r="F85" s="1442"/>
      <c r="G85" s="1443">
        <f>SUM(G9:J81)</f>
        <v>81</v>
      </c>
      <c r="H85" s="1444"/>
      <c r="I85" s="1444"/>
      <c r="J85" s="1445"/>
      <c r="K85" s="1443">
        <f>SUM(K9:N81)</f>
        <v>59</v>
      </c>
      <c r="L85" s="1444"/>
      <c r="M85" s="1444"/>
      <c r="N85" s="1445"/>
      <c r="O85" s="1443">
        <f>SUM(O9:R81)</f>
        <v>53</v>
      </c>
      <c r="P85" s="1444"/>
      <c r="Q85" s="1444"/>
      <c r="R85" s="1445"/>
      <c r="S85" s="1443">
        <f>SUM(S9:V81)</f>
        <v>81</v>
      </c>
      <c r="T85" s="1444"/>
      <c r="U85" s="1444"/>
      <c r="V85" s="1445"/>
    </row>
    <row r="86" spans="1:24" hidden="1" x14ac:dyDescent="0.2"/>
    <row r="87" spans="1:24" hidden="1" x14ac:dyDescent="0.2"/>
    <row r="88" spans="1:24" hidden="1" x14ac:dyDescent="0.2"/>
    <row r="89" spans="1:24" hidden="1" x14ac:dyDescent="0.2"/>
    <row r="90" spans="1:24" hidden="1" x14ac:dyDescent="0.2"/>
    <row r="91" spans="1:24" hidden="1" x14ac:dyDescent="0.2"/>
    <row r="92" spans="1:24" hidden="1" x14ac:dyDescent="0.2"/>
    <row r="93" spans="1:24" hidden="1" x14ac:dyDescent="0.2"/>
    <row r="94" spans="1:24" hidden="1" x14ac:dyDescent="0.2"/>
    <row r="95" spans="1:24" hidden="1" x14ac:dyDescent="0.2"/>
    <row r="96" spans="1:24"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spans="1:24" hidden="1" x14ac:dyDescent="0.2"/>
    <row r="114" spans="1:24" hidden="1" x14ac:dyDescent="0.2"/>
    <row r="115" spans="1:24" hidden="1" x14ac:dyDescent="0.2"/>
    <row r="116" spans="1:24" hidden="1" x14ac:dyDescent="0.2"/>
    <row r="117" spans="1:24" hidden="1" x14ac:dyDescent="0.2"/>
    <row r="118" spans="1:24" hidden="1" x14ac:dyDescent="0.2"/>
    <row r="119" spans="1:24" hidden="1" x14ac:dyDescent="0.2"/>
    <row r="120" spans="1:24" hidden="1" x14ac:dyDescent="0.2"/>
    <row r="121" spans="1:24" hidden="1" x14ac:dyDescent="0.2"/>
    <row r="122" spans="1:24" ht="14.25" hidden="1" customHeight="1" x14ac:dyDescent="0.2"/>
    <row r="123" spans="1:24" ht="14.25" hidden="1" customHeight="1" x14ac:dyDescent="0.2"/>
    <row r="124" spans="1:24" ht="14.25" hidden="1" customHeight="1" x14ac:dyDescent="0.2"/>
    <row r="125" spans="1:24" ht="14.25" hidden="1" customHeight="1" x14ac:dyDescent="0.2"/>
    <row r="126" spans="1:24" hidden="1" x14ac:dyDescent="0.2">
      <c r="A126" s="1160"/>
      <c r="B126" s="1159"/>
      <c r="C126" s="1161"/>
      <c r="D126" s="1161"/>
      <c r="E126" s="1161"/>
      <c r="F126" s="1161"/>
      <c r="G126" s="1161"/>
      <c r="H126" s="1161"/>
      <c r="I126" s="1161"/>
      <c r="J126" s="1161"/>
      <c r="K126" s="1161"/>
      <c r="L126" s="1161"/>
      <c r="M126" s="1161"/>
      <c r="N126" s="1161"/>
      <c r="O126" s="1161"/>
      <c r="P126" s="1161"/>
      <c r="Q126" s="1161"/>
      <c r="R126" s="1161"/>
      <c r="S126" s="1161"/>
      <c r="T126" s="1161"/>
      <c r="U126" s="1161"/>
      <c r="V126" s="1161"/>
      <c r="W126" s="1162"/>
      <c r="X126" s="1163"/>
    </row>
    <row r="127" spans="1:24" hidden="1" x14ac:dyDescent="0.2">
      <c r="A127" s="1164"/>
      <c r="B127" s="1164"/>
      <c r="C127" s="1164"/>
      <c r="D127" s="1164"/>
      <c r="E127" s="1164"/>
      <c r="F127" s="1164"/>
      <c r="G127" s="1164"/>
      <c r="H127" s="1164"/>
      <c r="I127" s="1164"/>
      <c r="J127" s="1164"/>
      <c r="K127" s="1164"/>
      <c r="L127" s="1164"/>
      <c r="M127" s="1164"/>
      <c r="N127" s="1164"/>
      <c r="O127" s="1165"/>
    </row>
    <row r="128" spans="1:24" hidden="1" x14ac:dyDescent="0.2">
      <c r="C128" s="1164"/>
      <c r="D128" s="1164"/>
    </row>
    <row r="129" spans="3:25" hidden="1" x14ac:dyDescent="0.2">
      <c r="C129" s="1164"/>
      <c r="D129" s="1164"/>
    </row>
    <row r="130" spans="3:25" hidden="1" x14ac:dyDescent="0.2">
      <c r="C130" s="1164"/>
      <c r="D130" s="1164"/>
    </row>
    <row r="131" spans="3:25" hidden="1" x14ac:dyDescent="0.2">
      <c r="C131" s="1164"/>
      <c r="D131" s="1164"/>
    </row>
    <row r="132" spans="3:25" hidden="1" x14ac:dyDescent="0.2">
      <c r="C132" s="1164"/>
      <c r="D132" s="1164"/>
    </row>
    <row r="133" spans="3:25" hidden="1" x14ac:dyDescent="0.2">
      <c r="C133" s="1164"/>
      <c r="D133" s="1164"/>
    </row>
    <row r="134" spans="3:25" hidden="1" x14ac:dyDescent="0.2">
      <c r="C134" s="1164"/>
      <c r="D134" s="1164"/>
    </row>
    <row r="135" spans="3:25" hidden="1" x14ac:dyDescent="0.2">
      <c r="C135" s="1164"/>
      <c r="D135" s="1164"/>
      <c r="P135" s="1164"/>
      <c r="Q135" s="1164"/>
      <c r="R135" s="1164"/>
      <c r="S135" s="1164"/>
      <c r="T135" s="1164"/>
      <c r="U135" s="1164"/>
      <c r="V135" s="1164"/>
      <c r="W135" s="1164"/>
      <c r="X135" s="1164"/>
    </row>
    <row r="136" spans="3:25" hidden="1" x14ac:dyDescent="0.2">
      <c r="C136" s="1164"/>
      <c r="D136" s="1164"/>
      <c r="P136" s="1164"/>
      <c r="Q136" s="1164"/>
      <c r="R136" s="1164"/>
      <c r="S136" s="1164"/>
      <c r="T136" s="1164"/>
      <c r="U136" s="1164"/>
      <c r="V136" s="1164"/>
      <c r="W136" s="1164"/>
      <c r="X136" s="1164"/>
    </row>
    <row r="137" spans="3:25" hidden="1" x14ac:dyDescent="0.2">
      <c r="C137" s="1164"/>
      <c r="D137" s="1164"/>
      <c r="P137" s="1164"/>
      <c r="Q137" s="1164"/>
      <c r="R137" s="1164"/>
      <c r="S137" s="1164"/>
      <c r="T137" s="1164"/>
      <c r="U137" s="1164"/>
      <c r="V137" s="1164"/>
      <c r="W137" s="1164"/>
    </row>
    <row r="138" spans="3:25" hidden="1" x14ac:dyDescent="0.2">
      <c r="C138" s="1166"/>
      <c r="D138" s="1166"/>
      <c r="E138" s="1166"/>
      <c r="F138" s="1166"/>
      <c r="G138" s="1166"/>
      <c r="H138" s="1166"/>
      <c r="I138" s="1166"/>
      <c r="J138" s="1166"/>
      <c r="K138" s="1166"/>
      <c r="L138" s="1166"/>
      <c r="M138" s="1166"/>
      <c r="N138" s="1166"/>
      <c r="O138" s="1166"/>
      <c r="P138" s="1166"/>
      <c r="Q138" s="1166"/>
      <c r="R138" s="1166"/>
      <c r="S138" s="1166"/>
      <c r="T138" s="1166"/>
      <c r="U138" s="1166"/>
      <c r="V138" s="1166"/>
      <c r="W138" s="1166"/>
      <c r="X138" s="1164"/>
    </row>
    <row r="139" spans="3:25" hidden="1" x14ac:dyDescent="0.2">
      <c r="C139" s="1164"/>
      <c r="D139" s="1164"/>
      <c r="E139" s="1164"/>
      <c r="F139" s="1164"/>
      <c r="G139" s="1164"/>
      <c r="H139" s="1164"/>
      <c r="I139" s="1164"/>
      <c r="J139" s="1164"/>
      <c r="K139" s="1164"/>
      <c r="L139" s="1164"/>
      <c r="M139" s="1164"/>
      <c r="N139" s="1164"/>
      <c r="O139" s="1164"/>
      <c r="P139" s="1164"/>
      <c r="Q139" s="1164"/>
      <c r="R139" s="1164"/>
      <c r="S139" s="1164"/>
      <c r="T139" s="1164"/>
      <c r="U139" s="1164"/>
      <c r="V139" s="1164"/>
      <c r="W139" s="1164"/>
      <c r="X139" s="1164"/>
    </row>
    <row r="140" spans="3:25" hidden="1" x14ac:dyDescent="0.2">
      <c r="C140" s="1164"/>
      <c r="D140" s="1164"/>
      <c r="E140" s="1164"/>
      <c r="F140" s="1164"/>
      <c r="G140" s="1164"/>
      <c r="H140" s="1164"/>
      <c r="I140" s="1164"/>
      <c r="J140" s="1164"/>
      <c r="K140" s="1164"/>
      <c r="L140" s="1164"/>
      <c r="M140" s="1164"/>
      <c r="N140" s="1164"/>
      <c r="O140" s="1164"/>
      <c r="P140" s="1164"/>
      <c r="Q140" s="1164"/>
      <c r="R140" s="1164"/>
      <c r="S140" s="1164"/>
      <c r="T140" s="1164"/>
      <c r="U140" s="1164"/>
      <c r="V140" s="1164"/>
      <c r="W140" s="1164"/>
      <c r="X140" s="1164"/>
    </row>
    <row r="141" spans="3:25" hidden="1" x14ac:dyDescent="0.2">
      <c r="C141" s="1164"/>
      <c r="D141" s="1164"/>
      <c r="E141" s="1164"/>
      <c r="F141" s="1164"/>
      <c r="G141" s="1164"/>
      <c r="H141" s="1164"/>
      <c r="I141" s="1164"/>
      <c r="J141" s="1164"/>
      <c r="K141" s="1164"/>
      <c r="L141" s="1164"/>
      <c r="M141" s="1164"/>
      <c r="N141" s="1164"/>
      <c r="O141" s="1164"/>
      <c r="P141" s="1164"/>
      <c r="Q141" s="1164"/>
      <c r="R141" s="1164"/>
      <c r="S141" s="1164"/>
      <c r="T141" s="1164"/>
      <c r="U141" s="1164"/>
      <c r="V141" s="1164"/>
      <c r="W141" s="1164"/>
      <c r="X141" s="1164"/>
    </row>
    <row r="142" spans="3:25" hidden="1" x14ac:dyDescent="0.2">
      <c r="C142" s="1164"/>
      <c r="D142" s="1164"/>
      <c r="E142" s="1164"/>
      <c r="F142" s="1164"/>
      <c r="G142" s="1164"/>
      <c r="H142" s="1164"/>
      <c r="I142" s="1164"/>
      <c r="J142" s="1164"/>
      <c r="K142" s="1164"/>
      <c r="L142" s="1164"/>
      <c r="M142" s="1164"/>
      <c r="N142" s="1164"/>
      <c r="O142" s="1164"/>
      <c r="P142" s="1164"/>
      <c r="Q142" s="1164"/>
      <c r="R142" s="1164"/>
      <c r="S142" s="1164"/>
      <c r="T142" s="1164"/>
      <c r="U142" s="1164"/>
      <c r="V142" s="1164"/>
      <c r="W142" s="1164"/>
      <c r="X142" s="1164"/>
    </row>
    <row r="143" spans="3:25" hidden="1" x14ac:dyDescent="0.2">
      <c r="C143" s="1164"/>
      <c r="D143" s="1164"/>
      <c r="E143" s="1164"/>
      <c r="F143" s="1164"/>
      <c r="G143" s="1164"/>
      <c r="H143" s="1164"/>
      <c r="I143" s="1164"/>
      <c r="J143" s="1164"/>
      <c r="K143" s="1164"/>
      <c r="L143" s="1164"/>
      <c r="M143" s="1164"/>
      <c r="N143" s="1164"/>
      <c r="O143" s="1164"/>
      <c r="P143" s="1164"/>
      <c r="Q143" s="1164"/>
      <c r="R143" s="1164"/>
      <c r="S143" s="1164"/>
      <c r="T143" s="1164"/>
      <c r="U143" s="1164"/>
      <c r="V143" s="1164"/>
      <c r="W143" s="1164"/>
      <c r="X143" s="1164"/>
    </row>
    <row r="144" spans="3:25" hidden="1" x14ac:dyDescent="0.2">
      <c r="C144" s="1164"/>
      <c r="D144" s="1164"/>
      <c r="E144" s="1164"/>
      <c r="F144" s="1164"/>
      <c r="G144" s="1164"/>
      <c r="H144" s="1164"/>
      <c r="I144" s="1164"/>
      <c r="J144" s="1164"/>
      <c r="K144" s="1164"/>
      <c r="L144" s="1164"/>
      <c r="M144" s="1164"/>
      <c r="N144" s="1164"/>
      <c r="O144" s="1164"/>
      <c r="P144" s="1164"/>
      <c r="Q144" s="1164"/>
      <c r="R144" s="1164"/>
      <c r="S144" s="1164"/>
      <c r="T144" s="1164"/>
      <c r="U144" s="1164"/>
      <c r="V144" s="1164"/>
      <c r="W144" s="1164"/>
      <c r="X144" s="1164"/>
      <c r="Y144" s="1164"/>
    </row>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6" hidden="1" x14ac:dyDescent="0.2"/>
    <row r="290" spans="1:36" hidden="1" x14ac:dyDescent="0.2"/>
    <row r="291" spans="1:36" hidden="1" x14ac:dyDescent="0.2"/>
    <row r="292" spans="1:36" hidden="1" x14ac:dyDescent="0.2"/>
    <row r="293" spans="1:36" hidden="1" x14ac:dyDescent="0.2"/>
    <row r="294" spans="1:36" hidden="1" x14ac:dyDescent="0.2"/>
    <row r="295" spans="1:36" hidden="1" x14ac:dyDescent="0.2"/>
    <row r="296" spans="1:36" hidden="1" x14ac:dyDescent="0.2">
      <c r="AH296" s="897" t="s">
        <v>273</v>
      </c>
      <c r="AI296" s="898"/>
      <c r="AJ296" s="898"/>
    </row>
    <row r="297" spans="1:36" hidden="1" x14ac:dyDescent="0.2">
      <c r="AH297" s="907" t="s">
        <v>11</v>
      </c>
      <c r="AI297" s="908"/>
      <c r="AJ297" s="908"/>
    </row>
    <row r="298" spans="1:36" x14ac:dyDescent="0.2">
      <c r="AH298" s="907" t="s">
        <v>275</v>
      </c>
      <c r="AI298" s="917" t="s">
        <v>276</v>
      </c>
      <c r="AJ298" s="917"/>
    </row>
    <row r="299" spans="1:36" x14ac:dyDescent="0.2">
      <c r="C299" s="1167"/>
      <c r="AH299" s="907" t="s">
        <v>287</v>
      </c>
      <c r="AI299" s="908"/>
      <c r="AJ299" s="908"/>
    </row>
    <row r="300" spans="1:36" x14ac:dyDescent="0.2">
      <c r="A300" s="627">
        <v>1</v>
      </c>
      <c r="B300" s="1168" t="str">
        <f t="shared" ref="B300:B308" ca="1" si="16">IF(IFERROR(INDEX($B$9:$B$81,MATCH($A300,$X$9:$X$81,0)),"")=0,"",IFERROR(INDEX($B$9:$B$81,MATCH($A300,$X$9:$X$81,0)),""))</f>
        <v>Ivar Viljaste</v>
      </c>
      <c r="C300" s="1169">
        <v>40</v>
      </c>
      <c r="AH300" s="940">
        <f ca="1">SUM(AJ300:AR300)</f>
        <v>695</v>
      </c>
      <c r="AI300" s="941" t="str">
        <f ca="1">B300</f>
        <v>Ivar Viljaste</v>
      </c>
      <c r="AJ300" s="942">
        <f ca="1">IFERROR(INDEX([1]Üldreiting!$M:$M,MATCH(AI300,[1]Üldreiting!$H:$H,0)),"")</f>
        <v>695</v>
      </c>
    </row>
    <row r="301" spans="1:36" x14ac:dyDescent="0.2">
      <c r="A301" s="627">
        <v>2</v>
      </c>
      <c r="B301" s="1170" t="str">
        <f t="shared" ca="1" si="16"/>
        <v>Henri Mitt</v>
      </c>
      <c r="C301" s="1169">
        <v>34</v>
      </c>
      <c r="AH301" s="940">
        <f t="shared" ref="AH301:AH313" ca="1" si="17">SUM(AJ301:AR301)</f>
        <v>227</v>
      </c>
      <c r="AI301" s="941" t="str">
        <f t="shared" ref="AI301:AI327" ca="1" si="18">B301</f>
        <v>Henri Mitt</v>
      </c>
      <c r="AJ301" s="942">
        <f ca="1">IFERROR(INDEX([1]Üldreiting!$M:$M,MATCH(AI301,[1]Üldreiting!$H:$H,0)),"")</f>
        <v>227</v>
      </c>
    </row>
    <row r="302" spans="1:36" x14ac:dyDescent="0.2">
      <c r="A302" s="627">
        <v>3</v>
      </c>
      <c r="B302" s="1171" t="str">
        <f t="shared" ca="1" si="16"/>
        <v>Kenneth Muusikus</v>
      </c>
      <c r="C302" s="1169">
        <v>30</v>
      </c>
      <c r="AH302" s="940">
        <f t="shared" ca="1" si="17"/>
        <v>555</v>
      </c>
      <c r="AI302" s="941" t="str">
        <f t="shared" ca="1" si="18"/>
        <v>Kenneth Muusikus</v>
      </c>
      <c r="AJ302" s="942">
        <f ca="1">IFERROR(INDEX([1]Üldreiting!$M:$M,MATCH(AI302,[1]Üldreiting!$H:$H,0)),"")</f>
        <v>555</v>
      </c>
    </row>
    <row r="303" spans="1:36" x14ac:dyDescent="0.2">
      <c r="A303" s="627">
        <v>4</v>
      </c>
      <c r="B303" s="1172" t="str">
        <f t="shared" ca="1" si="16"/>
        <v>Andres Veski</v>
      </c>
      <c r="C303" s="1169">
        <v>26</v>
      </c>
      <c r="AH303" s="940">
        <f t="shared" ca="1" si="17"/>
        <v>320.5</v>
      </c>
      <c r="AI303" s="941" t="str">
        <f t="shared" ca="1" si="18"/>
        <v>Andres Veski</v>
      </c>
      <c r="AJ303" s="942">
        <f ca="1">IFERROR(INDEX([1]Üldreiting!$M:$M,MATCH(AI303,[1]Üldreiting!$H:$H,0)),"")</f>
        <v>320.5</v>
      </c>
    </row>
    <row r="304" spans="1:36" x14ac:dyDescent="0.2">
      <c r="A304" s="627">
        <v>5</v>
      </c>
      <c r="B304" s="1172" t="str">
        <f t="shared" si="16"/>
        <v>Oleg Rõndenkov</v>
      </c>
      <c r="C304" s="1169">
        <v>24</v>
      </c>
      <c r="AH304" s="940">
        <f t="shared" si="17"/>
        <v>21</v>
      </c>
      <c r="AI304" s="941" t="str">
        <f t="shared" si="18"/>
        <v>Oleg Rõndenkov</v>
      </c>
      <c r="AJ304" s="942">
        <f>IFERROR(INDEX([1]Üldreiting!$M:$M,MATCH(AI304,[1]Üldreiting!$H:$H,0)),"")</f>
        <v>21</v>
      </c>
    </row>
    <row r="305" spans="1:36" x14ac:dyDescent="0.2">
      <c r="A305" s="627">
        <v>6</v>
      </c>
      <c r="B305" s="1172" t="str">
        <f t="shared" si="16"/>
        <v>Viktor Švarõgin</v>
      </c>
      <c r="C305" s="1169">
        <v>22</v>
      </c>
      <c r="AH305" s="940">
        <f t="shared" si="17"/>
        <v>90</v>
      </c>
      <c r="AI305" s="941" t="str">
        <f t="shared" si="18"/>
        <v>Viktor Švarõgin</v>
      </c>
      <c r="AJ305" s="942">
        <f>IFERROR(INDEX([1]Üldreiting!$M:$M,MATCH(AI305,[1]Üldreiting!$H:$H,0)),"")</f>
        <v>90</v>
      </c>
    </row>
    <row r="306" spans="1:36" x14ac:dyDescent="0.2">
      <c r="A306" s="627">
        <v>7</v>
      </c>
      <c r="B306" s="1172" t="str">
        <f t="shared" si="16"/>
        <v>Kaspar Mänd</v>
      </c>
      <c r="C306" s="1169">
        <v>20</v>
      </c>
      <c r="AH306" s="940">
        <f t="shared" si="17"/>
        <v>0</v>
      </c>
      <c r="AI306" s="941" t="str">
        <f t="shared" si="18"/>
        <v>Kaspar Mänd</v>
      </c>
      <c r="AJ306" s="942" t="str">
        <f>IFERROR(INDEX([1]Üldreiting!$M:$M,MATCH(AI306,[1]Üldreiting!$H:$H,0)),"")</f>
        <v/>
      </c>
    </row>
    <row r="307" spans="1:36" x14ac:dyDescent="0.2">
      <c r="A307" s="627">
        <v>8</v>
      </c>
      <c r="B307" s="1172" t="str">
        <f t="shared" si="16"/>
        <v>Vladimir Ogneštšikov</v>
      </c>
      <c r="C307" s="1169">
        <v>18</v>
      </c>
      <c r="AH307" s="940">
        <f t="shared" si="17"/>
        <v>50</v>
      </c>
      <c r="AI307" s="941" t="str">
        <f t="shared" si="18"/>
        <v>Vladimir Ogneštšikov</v>
      </c>
      <c r="AJ307" s="942">
        <f>IFERROR(INDEX([1]Üldreiting!$M:$M,MATCH(AI307,[1]Üldreiting!$H:$H,0)),"")</f>
        <v>50</v>
      </c>
    </row>
    <row r="308" spans="1:36" x14ac:dyDescent="0.2">
      <c r="A308" s="627">
        <v>9</v>
      </c>
      <c r="B308" s="1172" t="str">
        <f t="shared" si="16"/>
        <v>Vadim Tihhonjuk</v>
      </c>
      <c r="C308" s="1169">
        <v>15</v>
      </c>
      <c r="AH308" s="940">
        <f t="shared" si="17"/>
        <v>0</v>
      </c>
      <c r="AI308" s="941" t="str">
        <f t="shared" si="18"/>
        <v>Vadim Tihhonjuk</v>
      </c>
      <c r="AJ308" s="942" t="str">
        <f>IFERROR(INDEX([1]Üldreiting!$M:$M,MATCH(AI308,[1]Üldreiting!$H:$H,0)),"")</f>
        <v/>
      </c>
    </row>
    <row r="309" spans="1:36" x14ac:dyDescent="0.2">
      <c r="A309" s="627">
        <v>9</v>
      </c>
      <c r="B309" s="1173" t="s">
        <v>94</v>
      </c>
      <c r="C309" s="1169">
        <v>15</v>
      </c>
      <c r="AH309" s="940">
        <f t="shared" si="17"/>
        <v>181</v>
      </c>
      <c r="AI309" s="941" t="str">
        <f t="shared" si="18"/>
        <v>Janek Tarto</v>
      </c>
      <c r="AJ309" s="942">
        <f>IFERROR(INDEX([1]Üldreiting!$M:$M,MATCH(AI309,[1]Üldreiting!$H:$H,0)),"")</f>
        <v>181</v>
      </c>
    </row>
    <row r="310" spans="1:36" x14ac:dyDescent="0.2">
      <c r="A310" s="627">
        <v>11</v>
      </c>
      <c r="B310" s="1174" t="str">
        <f>IF(IFERROR(INDEX($B$9:$B$81,MATCH($A310,$X$9:$X$81,0)),"")=0,"",IFERROR(INDEX($B$9:$B$81,MATCH($A310,$X$9:$X$81,0)),""))</f>
        <v>Kalle Orro</v>
      </c>
      <c r="C310" s="1169">
        <v>12</v>
      </c>
      <c r="AH310" s="940">
        <f t="shared" si="17"/>
        <v>918.5</v>
      </c>
      <c r="AI310" s="941" t="str">
        <f t="shared" si="18"/>
        <v>Kalle Orro</v>
      </c>
      <c r="AJ310" s="942">
        <f>IFERROR(INDEX([1]Üldreiting!$M:$M,MATCH(AI310,[1]Üldreiting!$H:$H,0)),"")</f>
        <v>918.5</v>
      </c>
    </row>
    <row r="311" spans="1:36" x14ac:dyDescent="0.2">
      <c r="A311" s="627">
        <v>12</v>
      </c>
      <c r="B311" s="1174" t="str">
        <f>IF(IFERROR(INDEX($B$9:$B$81,MATCH($A311,$X$9:$X$81,0)),"")=0,"",IFERROR(INDEX($B$9:$B$81,MATCH($A311,$X$9:$X$81,0)),""))</f>
        <v>Urmas Jõeäär</v>
      </c>
      <c r="C311" s="1169">
        <v>10</v>
      </c>
      <c r="AH311" s="940">
        <f t="shared" si="17"/>
        <v>0</v>
      </c>
      <c r="AI311" s="941" t="str">
        <f t="shared" si="18"/>
        <v>Urmas Jõeäär</v>
      </c>
      <c r="AJ311" s="942" t="str">
        <f>IFERROR(INDEX([1]Üldreiting!$M:$M,MATCH(AI311,[1]Üldreiting!$H:$H,0)),"")</f>
        <v/>
      </c>
    </row>
    <row r="312" spans="1:36" x14ac:dyDescent="0.2">
      <c r="A312" s="627">
        <v>13</v>
      </c>
      <c r="B312" s="1174" t="str">
        <f>IF(IFERROR(INDEX($B$9:$B$81,MATCH($A312,$X$9:$X$81,0)),"")=0,"",IFERROR(INDEX($B$9:$B$81,MATCH($A312,$X$9:$X$81,0)),""))</f>
        <v>Andrei Grintšak</v>
      </c>
      <c r="C312" s="1169">
        <v>8</v>
      </c>
      <c r="AH312" s="940">
        <f t="shared" si="17"/>
        <v>0</v>
      </c>
      <c r="AI312" s="941" t="str">
        <f t="shared" si="18"/>
        <v>Andrei Grintšak</v>
      </c>
      <c r="AJ312" s="942" t="str">
        <f>IFERROR(INDEX([1]Üldreiting!$M:$M,MATCH(AI312,[1]Üldreiting!$H:$H,0)),"")</f>
        <v/>
      </c>
    </row>
    <row r="313" spans="1:36" x14ac:dyDescent="0.2">
      <c r="A313" s="627">
        <v>14</v>
      </c>
      <c r="B313" s="1174" t="str">
        <f>IF(IFERROR(INDEX($B$9:$B$81,MATCH($A313,$X$9:$X$81,0)),"")=0,"",IFERROR(INDEX($B$9:$B$81,MATCH($A313,$X$9:$X$81,0)),""))</f>
        <v>Svetlana Veski</v>
      </c>
      <c r="C313" s="1169">
        <v>6</v>
      </c>
      <c r="AH313" s="940">
        <f t="shared" si="17"/>
        <v>401.5</v>
      </c>
      <c r="AI313" s="941" t="str">
        <f t="shared" si="18"/>
        <v>Svetlana Veski</v>
      </c>
      <c r="AJ313" s="942">
        <f>IFERROR(INDEX([1]Üldreiting!$M:$M,MATCH(AI313,[1]Üldreiting!$H:$H,0)),"")</f>
        <v>401.5</v>
      </c>
    </row>
    <row r="314" spans="1:36" hidden="1" x14ac:dyDescent="0.2">
      <c r="C314" s="581"/>
      <c r="AH314" s="940">
        <f t="shared" ref="AH314:AH327" si="19">SUM(AJ314:AR314)</f>
        <v>0</v>
      </c>
      <c r="AI314" s="941">
        <f t="shared" si="18"/>
        <v>0</v>
      </c>
      <c r="AJ314" s="942" t="str">
        <f>IFERROR(INDEX([1]Üldreiting!$M:$M,MATCH(AI314,[1]Üldreiting!$H:$H,0)),"")</f>
        <v/>
      </c>
    </row>
    <row r="315" spans="1:36" hidden="1" x14ac:dyDescent="0.2">
      <c r="C315" s="1175">
        <v>33</v>
      </c>
      <c r="AH315" s="940">
        <f t="shared" si="19"/>
        <v>0</v>
      </c>
      <c r="AI315" s="941">
        <f t="shared" si="18"/>
        <v>0</v>
      </c>
      <c r="AJ315" s="942" t="str">
        <f>IFERROR(INDEX([1]Üldreiting!$M:$M,MATCH(AI315,[1]Üldreiting!$H:$H,0)),"")</f>
        <v/>
      </c>
    </row>
    <row r="316" spans="1:36" hidden="1" x14ac:dyDescent="0.2">
      <c r="C316" s="1175">
        <v>29</v>
      </c>
      <c r="AH316" s="940">
        <f t="shared" si="19"/>
        <v>0</v>
      </c>
      <c r="AI316" s="941">
        <f t="shared" si="18"/>
        <v>0</v>
      </c>
      <c r="AJ316" s="942" t="str">
        <f>IFERROR(INDEX([1]Üldreiting!$M:$M,MATCH(AI316,[1]Üldreiting!$H:$H,0)),"")</f>
        <v/>
      </c>
    </row>
    <row r="317" spans="1:36" hidden="1" x14ac:dyDescent="0.2">
      <c r="C317" s="1175">
        <v>24</v>
      </c>
      <c r="AH317" s="940">
        <f t="shared" si="19"/>
        <v>0</v>
      </c>
      <c r="AI317" s="941">
        <f t="shared" si="18"/>
        <v>0</v>
      </c>
      <c r="AJ317" s="942" t="str">
        <f>IFERROR(INDEX([1]Üldreiting!$M:$M,MATCH(AI317,[1]Üldreiting!$H:$H,0)),"")</f>
        <v/>
      </c>
    </row>
    <row r="318" spans="1:36" hidden="1" x14ac:dyDescent="0.2">
      <c r="C318" s="1175">
        <v>21</v>
      </c>
      <c r="AH318" s="940">
        <f t="shared" si="19"/>
        <v>0</v>
      </c>
      <c r="AI318" s="941">
        <f t="shared" si="18"/>
        <v>0</v>
      </c>
      <c r="AJ318" s="942" t="str">
        <f>IFERROR(INDEX([1]Üldreiting!$M:$M,MATCH(AI318,[1]Üldreiting!$H:$H,0)),"")</f>
        <v/>
      </c>
    </row>
    <row r="319" spans="1:36" hidden="1" x14ac:dyDescent="0.2">
      <c r="C319" s="1175">
        <v>18</v>
      </c>
      <c r="AH319" s="940">
        <f t="shared" si="19"/>
        <v>0</v>
      </c>
      <c r="AI319" s="941">
        <f t="shared" si="18"/>
        <v>0</v>
      </c>
      <c r="AJ319" s="942" t="str">
        <f>IFERROR(INDEX([1]Üldreiting!$M:$M,MATCH(AI319,[1]Üldreiting!$H:$H,0)),"")</f>
        <v/>
      </c>
    </row>
    <row r="320" spans="1:36" hidden="1" x14ac:dyDescent="0.2">
      <c r="C320" s="1175">
        <v>16</v>
      </c>
      <c r="AH320" s="940">
        <f t="shared" si="19"/>
        <v>0</v>
      </c>
      <c r="AI320" s="941">
        <f t="shared" si="18"/>
        <v>0</v>
      </c>
      <c r="AJ320" s="942" t="str">
        <f>IFERROR(INDEX([1]Üldreiting!$M:$M,MATCH(AI320,[1]Üldreiting!$H:$H,0)),"")</f>
        <v/>
      </c>
    </row>
    <row r="321" spans="3:36" hidden="1" x14ac:dyDescent="0.2">
      <c r="C321" s="1175">
        <v>14</v>
      </c>
      <c r="AH321" s="940">
        <f t="shared" si="19"/>
        <v>0</v>
      </c>
      <c r="AI321" s="941">
        <f t="shared" si="18"/>
        <v>0</v>
      </c>
      <c r="AJ321" s="942" t="str">
        <f>IFERROR(INDEX([1]Üldreiting!$M:$M,MATCH(AI321,[1]Üldreiting!$H:$H,0)),"")</f>
        <v/>
      </c>
    </row>
    <row r="322" spans="3:36" hidden="1" x14ac:dyDescent="0.2">
      <c r="C322" s="1175">
        <v>12</v>
      </c>
      <c r="AH322" s="940">
        <f t="shared" si="19"/>
        <v>0</v>
      </c>
      <c r="AI322" s="941">
        <f t="shared" si="18"/>
        <v>0</v>
      </c>
      <c r="AJ322" s="942" t="str">
        <f>IFERROR(INDEX([1]Üldreiting!$M:$M,MATCH(AI322,[1]Üldreiting!$H:$H,0)),"")</f>
        <v/>
      </c>
    </row>
    <row r="323" spans="3:36" hidden="1" x14ac:dyDescent="0.2">
      <c r="C323" s="1175">
        <v>10</v>
      </c>
      <c r="AH323" s="940">
        <f t="shared" si="19"/>
        <v>0</v>
      </c>
      <c r="AI323" s="941">
        <f t="shared" si="18"/>
        <v>0</v>
      </c>
      <c r="AJ323" s="942" t="str">
        <f>IFERROR(INDEX([1]Üldreiting!$M:$M,MATCH(AI323,[1]Üldreiting!$H:$H,0)),"")</f>
        <v/>
      </c>
    </row>
    <row r="324" spans="3:36" hidden="1" x14ac:dyDescent="0.2">
      <c r="C324" s="1175">
        <v>8</v>
      </c>
      <c r="AH324" s="940">
        <f t="shared" si="19"/>
        <v>0</v>
      </c>
      <c r="AI324" s="941">
        <f t="shared" si="18"/>
        <v>0</v>
      </c>
      <c r="AJ324" s="942" t="str">
        <f>IFERROR(INDEX([1]Üldreiting!$M:$M,MATCH(AI324,[1]Üldreiting!$H:$H,0)),"")</f>
        <v/>
      </c>
    </row>
    <row r="325" spans="3:36" hidden="1" x14ac:dyDescent="0.2">
      <c r="C325" s="1175">
        <v>6</v>
      </c>
      <c r="AH325" s="940">
        <f t="shared" si="19"/>
        <v>0</v>
      </c>
      <c r="AI325" s="941">
        <f t="shared" si="18"/>
        <v>0</v>
      </c>
      <c r="AJ325" s="942" t="str">
        <f>IFERROR(INDEX([1]Üldreiting!$M:$M,MATCH(AI325,[1]Üldreiting!$H:$H,0)),"")</f>
        <v/>
      </c>
    </row>
    <row r="326" spans="3:36" hidden="1" x14ac:dyDescent="0.2">
      <c r="C326" s="1175">
        <v>3</v>
      </c>
      <c r="AH326" s="940">
        <f t="shared" si="19"/>
        <v>0</v>
      </c>
      <c r="AI326" s="941">
        <f t="shared" si="18"/>
        <v>0</v>
      </c>
      <c r="AJ326" s="942" t="str">
        <f>IFERROR(INDEX([1]Üldreiting!$M:$M,MATCH(AI326,[1]Üldreiting!$H:$H,0)),"")</f>
        <v/>
      </c>
    </row>
    <row r="327" spans="3:36" hidden="1" x14ac:dyDescent="0.2">
      <c r="C327" s="1175">
        <v>0</v>
      </c>
      <c r="AH327" s="940">
        <f t="shared" si="19"/>
        <v>0</v>
      </c>
      <c r="AI327" s="941">
        <f t="shared" si="18"/>
        <v>0</v>
      </c>
      <c r="AJ327" s="942" t="str">
        <f>IFERROR(INDEX([1]Üldreiting!$M:$M,MATCH(AI327,[1]Üldreiting!$H:$H,0)),"")</f>
        <v/>
      </c>
    </row>
    <row r="328" spans="3:36" x14ac:dyDescent="0.2">
      <c r="C328" s="898"/>
    </row>
  </sheetData>
  <sortState ref="A24:WUU31">
    <sortCondition descending="1" ref="Y24:Y31"/>
  </sortState>
  <mergeCells count="5">
    <mergeCell ref="C85:F85"/>
    <mergeCell ref="G85:J85"/>
    <mergeCell ref="K85:N85"/>
    <mergeCell ref="O85:R85"/>
    <mergeCell ref="S85:V85"/>
  </mergeCells>
  <conditionalFormatting sqref="B11">
    <cfRule type="duplicateValues" dxfId="1073" priority="55" stopIfTrue="1"/>
  </conditionalFormatting>
  <conditionalFormatting sqref="B33:B38">
    <cfRule type="duplicateValues" dxfId="1072" priority="46" stopIfTrue="1"/>
  </conditionalFormatting>
  <conditionalFormatting sqref="B39:B40 B49:B52">
    <cfRule type="duplicateValues" dxfId="1071" priority="47" stopIfTrue="1"/>
  </conditionalFormatting>
  <conditionalFormatting sqref="B41:B46">
    <cfRule type="duplicateValues" dxfId="1070" priority="44" stopIfTrue="1"/>
  </conditionalFormatting>
  <conditionalFormatting sqref="B47:B48">
    <cfRule type="duplicateValues" dxfId="1069" priority="45" stopIfTrue="1"/>
  </conditionalFormatting>
  <conditionalFormatting sqref="B53:B54">
    <cfRule type="duplicateValues" dxfId="1068" priority="42" stopIfTrue="1"/>
  </conditionalFormatting>
  <conditionalFormatting sqref="B55:B56">
    <cfRule type="duplicateValues" dxfId="1067" priority="43" stopIfTrue="1"/>
  </conditionalFormatting>
  <conditionalFormatting sqref="X58:X65">
    <cfRule type="duplicateValues" dxfId="1066" priority="66"/>
    <cfRule type="top10" dxfId="1065" priority="67" stopIfTrue="1" rank="4"/>
  </conditionalFormatting>
  <conditionalFormatting sqref="C84:V84">
    <cfRule type="dataBar" priority="25">
      <dataBar>
        <cfvo type="min"/>
        <cfvo type="max"/>
        <color rgb="FF008AEF"/>
      </dataBar>
      <extLst>
        <ext xmlns:x14="http://schemas.microsoft.com/office/spreadsheetml/2009/9/main" uri="{B025F937-C7B1-47D3-B67F-A62EFF666E3E}">
          <x14:id>{75F47ABE-B8CB-4470-97E7-EC59C4C40211}</x14:id>
        </ext>
      </extLst>
    </cfRule>
  </conditionalFormatting>
  <conditionalFormatting sqref="C83:V83">
    <cfRule type="top10" dxfId="1064" priority="23" rank="1"/>
    <cfRule type="colorScale" priority="24">
      <colorScale>
        <cfvo type="min"/>
        <cfvo type="percentile" val="50"/>
        <cfvo type="max"/>
        <color rgb="FFF8696B"/>
        <color rgb="FFFFEB84"/>
        <color rgb="FF63BE7B"/>
      </colorScale>
    </cfRule>
  </conditionalFormatting>
  <conditionalFormatting sqref="C85:V85">
    <cfRule type="top10" dxfId="1063" priority="22" rank="1"/>
  </conditionalFormatting>
  <conditionalFormatting sqref="X9 X11 X15:X16">
    <cfRule type="duplicateValues" dxfId="1062" priority="73"/>
    <cfRule type="top10" dxfId="1061" priority="74" rank="100"/>
  </conditionalFormatting>
  <conditionalFormatting sqref="X24:X56">
    <cfRule type="duplicateValues" dxfId="1060" priority="75"/>
    <cfRule type="top10" dxfId="1059" priority="76" rank="100"/>
  </conditionalFormatting>
  <conditionalFormatting sqref="Y24:Y56">
    <cfRule type="duplicateValues" dxfId="1058" priority="77"/>
  </conditionalFormatting>
  <conditionalFormatting sqref="AI300:AI327">
    <cfRule type="expression" dxfId="1057" priority="21">
      <formula>AND(AJ300="",COUNTIF(AI300,"*,*")=0)</formula>
    </cfRule>
  </conditionalFormatting>
  <conditionalFormatting sqref="AI9:AI28">
    <cfRule type="expression" dxfId="1056" priority="20">
      <formula>AND(AJ9="",COUNTIF(AI9,"*,*")=0)</formula>
    </cfRule>
  </conditionalFormatting>
  <conditionalFormatting sqref="C85:V85 C126:V126">
    <cfRule type="colorScale" priority="2358">
      <colorScale>
        <cfvo type="min"/>
        <cfvo type="percentile" val="50"/>
        <cfvo type="max"/>
        <color rgb="FFF8696B"/>
        <color rgb="FFFFEB84"/>
        <color rgb="FF63BE7B"/>
      </colorScale>
    </cfRule>
  </conditionalFormatting>
  <conditionalFormatting sqref="B10">
    <cfRule type="duplicateValues" dxfId="1055" priority="16" stopIfTrue="1"/>
  </conditionalFormatting>
  <conditionalFormatting sqref="X10">
    <cfRule type="duplicateValues" dxfId="1054" priority="18"/>
    <cfRule type="top10" dxfId="1053" priority="19" rank="100"/>
  </conditionalFormatting>
  <conditionalFormatting sqref="X17:X22">
    <cfRule type="duplicateValues" dxfId="1052" priority="14"/>
    <cfRule type="top10" dxfId="1051" priority="15" rank="100"/>
  </conditionalFormatting>
  <conditionalFormatting sqref="W9:W76">
    <cfRule type="top10" dxfId="1050" priority="2360" rank="1"/>
  </conditionalFormatting>
  <conditionalFormatting sqref="X71:X73">
    <cfRule type="duplicateValues" dxfId="1049" priority="7"/>
    <cfRule type="top10" dxfId="1048" priority="8" rank="100"/>
  </conditionalFormatting>
  <conditionalFormatting sqref="X74:X75">
    <cfRule type="duplicateValues" dxfId="1047" priority="3"/>
    <cfRule type="top10" dxfId="1046" priority="4" rank="100"/>
  </conditionalFormatting>
  <conditionalFormatting sqref="A300:A313">
    <cfRule type="duplicateValues" dxfId="1045" priority="2"/>
  </conditionalFormatting>
  <conditionalFormatting sqref="AF8:AF22">
    <cfRule type="expression" dxfId="1044" priority="1">
      <formula>AND(AG8="",COUNTIF(AF8,"*,*")=0)</formula>
    </cfRule>
  </conditionalFormatting>
  <pageMargins left="0.59055118110236227" right="0.27559055118110237" top="0.39370078740157483" bottom="0.27559055118110237" header="0.39370078740157483" footer="0"/>
  <pageSetup paperSize="9" fitToHeight="0" orientation="portrait" r:id="rId1"/>
  <headerFooter alignWithMargins="0">
    <oddHeader>&amp;R&amp;"Arial,Regular"&amp;9Page &amp;P of &amp;N</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75F47ABE-B8CB-4470-97E7-EC59C4C40211}">
            <x14:dataBar minLength="0" maxLength="100" gradient="0">
              <x14:cfvo type="autoMin"/>
              <x14:cfvo type="autoMax"/>
              <x14:negativeFillColor rgb="FFFF0000"/>
              <x14:axisColor rgb="FF000000"/>
            </x14:dataBar>
          </x14:cfRule>
          <xm:sqref>C84:V84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366"/>
  <sheetViews>
    <sheetView showGridLines="0" showRowColHeaders="0" workbookViewId="0">
      <pane ySplit="2" topLeftCell="A3" activePane="bottomLeft" state="frozen"/>
      <selection activeCell="I1" sqref="I1"/>
      <selection pane="bottomLeft" activeCell="I1" sqref="I1"/>
    </sheetView>
  </sheetViews>
  <sheetFormatPr defaultRowHeight="12.75" x14ac:dyDescent="0.2"/>
  <cols>
    <col min="1" max="1" width="4.28515625" style="810" customWidth="1"/>
    <col min="2" max="2" width="20.42578125" style="810" customWidth="1"/>
    <col min="3" max="3" width="8.28515625" style="810" customWidth="1"/>
    <col min="4" max="4" width="4.28515625" style="810" customWidth="1"/>
    <col min="5" max="12" width="8.28515625" style="810" customWidth="1"/>
    <col min="13" max="13" width="4.28515625" style="810" customWidth="1"/>
    <col min="14" max="14" width="8.28515625" style="810" customWidth="1"/>
    <col min="15" max="15" width="3.7109375" style="810" customWidth="1"/>
    <col min="16" max="16" width="20.42578125" style="810" customWidth="1"/>
    <col min="17" max="16384" width="9.140625" style="810"/>
  </cols>
  <sheetData>
    <row r="1" spans="1:15" x14ac:dyDescent="0.2">
      <c r="A1" s="807" t="str">
        <f>UPPER((Kalend!E24)&amp;" - "&amp;(Kalend!C24)&amp;" - "&amp;(Kalend!D24))</f>
        <v>MU - TOILA VALLA MV (21. MURUTURNIIR) - ÜKSIK</v>
      </c>
      <c r="B1" s="808"/>
      <c r="C1" s="808"/>
      <c r="D1" s="808"/>
      <c r="E1" s="808"/>
      <c r="F1" s="808"/>
      <c r="G1" s="809"/>
      <c r="H1" s="809"/>
      <c r="I1" s="809"/>
      <c r="J1" s="809"/>
      <c r="K1" s="809"/>
      <c r="L1" s="808"/>
      <c r="M1" s="808"/>
      <c r="N1" s="808"/>
      <c r="O1" s="808"/>
    </row>
    <row r="2" spans="1:15" x14ac:dyDescent="0.2">
      <c r="A2" s="811" t="str">
        <f>"Toimumisaeg: "&amp;(Kalend!A24)&amp;" kell "&amp;(Kalend!B24)</f>
        <v>Toimumisaeg: P, 24.07.2022 kell 11:00</v>
      </c>
      <c r="N2" s="808"/>
      <c r="O2" s="808"/>
    </row>
    <row r="3" spans="1:15" x14ac:dyDescent="0.2">
      <c r="A3" s="811" t="str">
        <f>"Toimumiskoht: "&amp;(Kalend!F24)</f>
        <v>Toimumiskoht: Voka staadion</v>
      </c>
      <c r="B3" s="808"/>
      <c r="C3" s="808"/>
      <c r="D3" s="808"/>
      <c r="E3" s="808"/>
      <c r="F3" s="808"/>
      <c r="G3" s="808"/>
      <c r="H3" s="808"/>
      <c r="I3" s="808"/>
      <c r="J3" s="808"/>
      <c r="K3" s="808"/>
      <c r="L3" s="808"/>
      <c r="M3" s="808"/>
      <c r="N3" s="808"/>
      <c r="O3" s="808"/>
    </row>
    <row r="4" spans="1:15" x14ac:dyDescent="0.2">
      <c r="A4" s="811" t="str">
        <f>"Korraldaja: "&amp;(Kalend!G24)</f>
        <v>Korraldaja: Johannes Neiland</v>
      </c>
      <c r="B4" s="808"/>
      <c r="C4" s="808"/>
      <c r="D4" s="808"/>
      <c r="E4" s="808"/>
      <c r="F4" s="808"/>
      <c r="G4" s="808"/>
      <c r="H4" s="808"/>
      <c r="I4" s="808"/>
      <c r="J4" s="808"/>
      <c r="K4" s="808"/>
      <c r="L4" s="808"/>
      <c r="M4" s="808"/>
      <c r="N4" s="808"/>
      <c r="O4" s="808"/>
    </row>
    <row r="5" spans="1:15" x14ac:dyDescent="0.2">
      <c r="A5" s="808"/>
      <c r="N5" s="808"/>
      <c r="O5" s="808"/>
    </row>
    <row r="6" spans="1:15" hidden="1" x14ac:dyDescent="0.2">
      <c r="A6" s="812" t="s">
        <v>583</v>
      </c>
      <c r="N6" s="808"/>
      <c r="O6" s="808"/>
    </row>
    <row r="7" spans="1:15" hidden="1" x14ac:dyDescent="0.2">
      <c r="A7" s="808"/>
      <c r="B7" s="808"/>
      <c r="C7" s="808"/>
      <c r="E7" s="808"/>
      <c r="G7" s="808"/>
      <c r="H7" s="808"/>
      <c r="I7" s="808"/>
      <c r="J7" s="808"/>
      <c r="K7" s="808"/>
      <c r="L7" s="808"/>
      <c r="M7" s="808"/>
      <c r="N7" s="808"/>
      <c r="O7" s="808"/>
    </row>
    <row r="8" spans="1:15" hidden="1" x14ac:dyDescent="0.2">
      <c r="A8" s="813">
        <v>1</v>
      </c>
      <c r="B8" s="808"/>
      <c r="C8" s="814" t="str">
        <f>IF(B8="-",0,IF(B10="-",13,""))</f>
        <v/>
      </c>
      <c r="E8" s="815"/>
      <c r="F8" s="808"/>
      <c r="G8" s="816"/>
      <c r="H8" s="808"/>
      <c r="I8" s="808"/>
      <c r="J8" s="808"/>
      <c r="K8" s="808"/>
      <c r="L8" s="808"/>
      <c r="M8" s="808"/>
      <c r="N8" s="808"/>
      <c r="O8" s="808"/>
    </row>
    <row r="9" spans="1:15" hidden="1" x14ac:dyDescent="0.2">
      <c r="A9" s="817"/>
      <c r="B9" s="818" t="s">
        <v>336</v>
      </c>
      <c r="C9" s="819" t="str">
        <f>IF(COUNT(C8,C10)=2,IF(C8&gt;C10,B8,B10),"")</f>
        <v/>
      </c>
      <c r="D9" s="820"/>
      <c r="E9" s="814" t="str">
        <f>IF(C9="-",0,IF(C13="-",13,""))</f>
        <v/>
      </c>
      <c r="G9" s="816"/>
      <c r="H9" s="808"/>
      <c r="I9" s="808"/>
      <c r="J9" s="808"/>
      <c r="K9" s="808"/>
      <c r="L9" s="808"/>
      <c r="M9" s="808"/>
      <c r="N9" s="808"/>
      <c r="O9" s="808"/>
    </row>
    <row r="10" spans="1:15" hidden="1" x14ac:dyDescent="0.2">
      <c r="A10" s="817">
        <v>32</v>
      </c>
      <c r="B10" s="821"/>
      <c r="C10" s="822" t="str">
        <f>IF(B10="-",0,IF(B8="-",13,""))</f>
        <v/>
      </c>
      <c r="D10" s="823"/>
      <c r="E10" s="816"/>
      <c r="F10" s="824"/>
      <c r="G10" s="816"/>
      <c r="H10" s="808"/>
      <c r="I10" s="808"/>
      <c r="J10" s="808"/>
      <c r="K10" s="808"/>
      <c r="L10" s="808"/>
      <c r="M10" s="808"/>
      <c r="N10" s="808"/>
      <c r="O10" s="808"/>
    </row>
    <row r="11" spans="1:15" hidden="1" x14ac:dyDescent="0.2">
      <c r="A11" s="817"/>
      <c r="B11" s="808"/>
      <c r="C11" s="820"/>
      <c r="D11" s="825" t="s">
        <v>338</v>
      </c>
      <c r="E11" s="826" t="str">
        <f>IF(COUNT(E9,E13)=2,IF(E9&gt;E13,C9,C13),"")</f>
        <v/>
      </c>
      <c r="G11" s="827" t="str">
        <f>IF(E11="-",0,IF(E19="-",13,""))</f>
        <v/>
      </c>
      <c r="I11" s="808"/>
      <c r="J11" s="808"/>
      <c r="K11" s="808"/>
      <c r="L11" s="808"/>
      <c r="M11" s="808"/>
      <c r="N11" s="808"/>
      <c r="O11" s="808"/>
    </row>
    <row r="12" spans="1:15" hidden="1" x14ac:dyDescent="0.2">
      <c r="A12" s="817">
        <v>17</v>
      </c>
      <c r="B12" s="808"/>
      <c r="C12" s="814" t="str">
        <f>IF(B12="-",0,IF(B14="-",13,""))</f>
        <v/>
      </c>
      <c r="D12" s="828"/>
      <c r="E12" s="829"/>
      <c r="F12" s="830"/>
      <c r="G12" s="816"/>
      <c r="H12" s="808"/>
      <c r="I12" s="808"/>
      <c r="J12" s="808"/>
      <c r="K12" s="808"/>
      <c r="L12" s="808"/>
      <c r="M12" s="808"/>
      <c r="N12" s="808"/>
      <c r="O12" s="808"/>
    </row>
    <row r="13" spans="1:15" hidden="1" x14ac:dyDescent="0.2">
      <c r="A13" s="817"/>
      <c r="B13" s="818" t="s">
        <v>339</v>
      </c>
      <c r="C13" s="831" t="str">
        <f>IF(COUNT(C12,C14)=2,IF(C12&gt;C14,B12,B14),"")</f>
        <v/>
      </c>
      <c r="D13" s="832"/>
      <c r="E13" s="814" t="str">
        <f>IF(C13="-",0,IF(C9="-",13,""))</f>
        <v/>
      </c>
      <c r="F13" s="833"/>
      <c r="G13" s="816"/>
      <c r="H13" s="808"/>
      <c r="I13" s="808"/>
      <c r="J13" s="808"/>
      <c r="K13" s="808"/>
      <c r="L13" s="808"/>
      <c r="M13" s="808"/>
      <c r="N13" s="808"/>
      <c r="O13" s="808"/>
    </row>
    <row r="14" spans="1:15" hidden="1" x14ac:dyDescent="0.2">
      <c r="A14" s="817">
        <v>16</v>
      </c>
      <c r="B14" s="821"/>
      <c r="C14" s="834" t="str">
        <f>IF(B14="-",0,IF(B12="-",13,""))</f>
        <v/>
      </c>
      <c r="D14" s="835"/>
      <c r="E14" s="816"/>
      <c r="F14" s="836"/>
      <c r="G14" s="816"/>
      <c r="H14" s="808"/>
      <c r="I14" s="808"/>
      <c r="J14" s="808"/>
      <c r="K14" s="808"/>
      <c r="L14" s="808"/>
      <c r="M14" s="808"/>
      <c r="N14" s="808"/>
      <c r="O14" s="808"/>
    </row>
    <row r="15" spans="1:15" hidden="1" x14ac:dyDescent="0.2">
      <c r="A15" s="837"/>
      <c r="B15" s="808"/>
      <c r="C15" s="820"/>
      <c r="D15" s="808"/>
      <c r="E15" s="816"/>
      <c r="F15" s="825" t="s">
        <v>348</v>
      </c>
      <c r="G15" s="838" t="str">
        <f>IF(COUNT(G11,G19)=2,IF(G11&gt;G19,E11,E19),"")</f>
        <v/>
      </c>
      <c r="I15" s="827" t="str">
        <f>IF(G15="-",0,IF(G31="-",13,""))</f>
        <v/>
      </c>
      <c r="J15" s="808"/>
      <c r="K15" s="808"/>
      <c r="L15" s="808"/>
      <c r="M15" s="808"/>
      <c r="N15" s="808"/>
      <c r="O15" s="808"/>
    </row>
    <row r="16" spans="1:15" hidden="1" x14ac:dyDescent="0.2">
      <c r="A16" s="813">
        <v>9</v>
      </c>
      <c r="B16" s="808"/>
      <c r="C16" s="814" t="str">
        <f>IF(B16="-",0,IF(B18="-",13,""))</f>
        <v/>
      </c>
      <c r="D16" s="815"/>
      <c r="E16" s="816"/>
      <c r="F16" s="836"/>
      <c r="G16" s="829"/>
      <c r="H16" s="839"/>
      <c r="I16" s="808"/>
      <c r="J16" s="808"/>
      <c r="K16" s="808"/>
      <c r="L16" s="808"/>
      <c r="M16" s="808"/>
      <c r="N16" s="808"/>
      <c r="O16" s="808"/>
    </row>
    <row r="17" spans="1:15" hidden="1" x14ac:dyDescent="0.2">
      <c r="A17" s="817"/>
      <c r="B17" s="818" t="s">
        <v>340</v>
      </c>
      <c r="C17" s="819" t="str">
        <f>IF(COUNT(C16,C18)=2,IF(C16&gt;C18,B16,B18),"")</f>
        <v/>
      </c>
      <c r="D17" s="820"/>
      <c r="E17" s="816"/>
      <c r="F17" s="833"/>
      <c r="G17" s="816"/>
      <c r="H17" s="836"/>
      <c r="I17" s="808"/>
      <c r="J17" s="808"/>
      <c r="K17" s="808"/>
      <c r="L17" s="808"/>
      <c r="M17" s="808"/>
      <c r="N17" s="808"/>
      <c r="O17" s="808"/>
    </row>
    <row r="18" spans="1:15" hidden="1" x14ac:dyDescent="0.2">
      <c r="A18" s="817">
        <v>24</v>
      </c>
      <c r="B18" s="821"/>
      <c r="C18" s="822" t="str">
        <f>IF(B18="-",0,IF(B16="-",13,""))</f>
        <v/>
      </c>
      <c r="D18" s="823"/>
      <c r="E18" s="814" t="str">
        <f>IF(C17="-",0,IF(C21="-",13,""))</f>
        <v/>
      </c>
      <c r="F18" s="840"/>
      <c r="G18" s="816"/>
      <c r="H18" s="836"/>
      <c r="I18" s="808"/>
      <c r="J18" s="808"/>
      <c r="K18" s="808"/>
      <c r="L18" s="808"/>
      <c r="M18" s="808"/>
      <c r="N18" s="808"/>
      <c r="O18" s="808"/>
    </row>
    <row r="19" spans="1:15" hidden="1" x14ac:dyDescent="0.2">
      <c r="A19" s="817"/>
      <c r="B19" s="808"/>
      <c r="C19" s="820"/>
      <c r="D19" s="825" t="s">
        <v>337</v>
      </c>
      <c r="E19" s="826" t="str">
        <f>IF(COUNT(E18,E21)=2,IF(E18&gt;E21,C17,C21),"")</f>
        <v/>
      </c>
      <c r="F19" s="841"/>
      <c r="G19" s="814" t="str">
        <f>IF(E19="-",0,IF(E11="-",13,""))</f>
        <v/>
      </c>
      <c r="H19" s="833"/>
      <c r="I19" s="808"/>
      <c r="J19" s="808"/>
      <c r="K19" s="808"/>
      <c r="L19" s="808"/>
      <c r="M19" s="808"/>
      <c r="N19" s="808"/>
      <c r="O19" s="808"/>
    </row>
    <row r="20" spans="1:15" hidden="1" x14ac:dyDescent="0.2">
      <c r="A20" s="817">
        <v>25</v>
      </c>
      <c r="B20" s="808"/>
      <c r="C20" s="814" t="str">
        <f>IF(B20="-",0,IF(B22="-",13,""))</f>
        <v/>
      </c>
      <c r="D20" s="828"/>
      <c r="E20" s="816"/>
      <c r="F20" s="842"/>
      <c r="G20" s="816"/>
      <c r="H20" s="836"/>
      <c r="I20" s="808"/>
      <c r="J20" s="808"/>
      <c r="K20" s="808"/>
      <c r="L20" s="808"/>
      <c r="M20" s="808"/>
      <c r="N20" s="808"/>
      <c r="O20" s="808"/>
    </row>
    <row r="21" spans="1:15" hidden="1" x14ac:dyDescent="0.2">
      <c r="A21" s="817"/>
      <c r="B21" s="818" t="s">
        <v>343</v>
      </c>
      <c r="C21" s="831" t="str">
        <f>IF(COUNT(C20,C22)=2,IF(C20&gt;C22,B20,B22),"")</f>
        <v/>
      </c>
      <c r="D21" s="832"/>
      <c r="E21" s="814" t="str">
        <f>IF(C21="-",0,IF(C17="-",13,""))</f>
        <v/>
      </c>
      <c r="G21" s="816"/>
      <c r="H21" s="836"/>
      <c r="I21" s="820"/>
      <c r="J21" s="808"/>
      <c r="K21" s="808"/>
      <c r="L21" s="808"/>
      <c r="M21" s="808"/>
      <c r="N21" s="808"/>
      <c r="O21" s="808"/>
    </row>
    <row r="22" spans="1:15" hidden="1" x14ac:dyDescent="0.2">
      <c r="A22" s="817">
        <v>8</v>
      </c>
      <c r="B22" s="821"/>
      <c r="C22" s="834" t="str">
        <f>IF(B22="-",0,IF(B20="-",13,""))</f>
        <v/>
      </c>
      <c r="D22" s="835"/>
      <c r="E22" s="816"/>
      <c r="F22" s="820"/>
      <c r="G22" s="816"/>
      <c r="H22" s="836"/>
      <c r="I22" s="820"/>
      <c r="J22" s="808"/>
      <c r="K22" s="808"/>
      <c r="L22" s="808"/>
      <c r="M22" s="808"/>
      <c r="N22" s="808"/>
      <c r="O22" s="808"/>
    </row>
    <row r="23" spans="1:15" hidden="1" x14ac:dyDescent="0.2">
      <c r="A23" s="808"/>
      <c r="B23" s="808"/>
      <c r="C23" s="820"/>
      <c r="D23" s="808"/>
      <c r="E23" s="816"/>
      <c r="F23" s="808"/>
      <c r="G23" s="816"/>
      <c r="H23" s="825" t="s">
        <v>346</v>
      </c>
      <c r="I23" s="838" t="str">
        <f>IF(COUNT(I15,I31)=2,IF(I15&gt;I31,G15,G31),"")</f>
        <v/>
      </c>
      <c r="K23" s="827" t="str">
        <f>IF(I23="-",0,IF(I56="-",13,""))</f>
        <v/>
      </c>
      <c r="L23" s="808"/>
      <c r="M23" s="808"/>
      <c r="N23" s="808"/>
      <c r="O23" s="808"/>
    </row>
    <row r="24" spans="1:15" hidden="1" x14ac:dyDescent="0.2">
      <c r="A24" s="813">
        <v>5</v>
      </c>
      <c r="B24" s="808"/>
      <c r="C24" s="814" t="str">
        <f>IF(B24="-",0,IF(B26="-",13,""))</f>
        <v/>
      </c>
      <c r="D24" s="815"/>
      <c r="E24" s="816"/>
      <c r="F24" s="808"/>
      <c r="G24" s="816"/>
      <c r="H24" s="836"/>
      <c r="I24" s="829"/>
      <c r="J24" s="839"/>
      <c r="K24" s="808"/>
      <c r="L24" s="808"/>
      <c r="M24" s="808"/>
      <c r="N24" s="808"/>
      <c r="O24" s="808"/>
    </row>
    <row r="25" spans="1:15" hidden="1" x14ac:dyDescent="0.2">
      <c r="A25" s="817"/>
      <c r="B25" s="818" t="s">
        <v>360</v>
      </c>
      <c r="C25" s="819" t="str">
        <f>IF(COUNT(C24,C26)=2,IF(C24&gt;C26,B24,B26),"")</f>
        <v/>
      </c>
      <c r="D25" s="820"/>
      <c r="E25" s="814" t="str">
        <f>IF(C25="-",0,IF(C29="-",13,""))</f>
        <v/>
      </c>
      <c r="G25" s="816"/>
      <c r="H25" s="836"/>
      <c r="I25" s="816"/>
      <c r="J25" s="836"/>
      <c r="K25" s="808"/>
      <c r="L25" s="808"/>
      <c r="M25" s="808"/>
      <c r="N25" s="808"/>
      <c r="O25" s="808"/>
    </row>
    <row r="26" spans="1:15" hidden="1" x14ac:dyDescent="0.2">
      <c r="A26" s="817">
        <v>28</v>
      </c>
      <c r="B26" s="821"/>
      <c r="C26" s="822" t="str">
        <f>IF(B26="-",0,IF(B24="-",13,""))</f>
        <v/>
      </c>
      <c r="D26" s="823"/>
      <c r="E26" s="816"/>
      <c r="F26" s="824"/>
      <c r="G26" s="816"/>
      <c r="H26" s="836"/>
      <c r="I26" s="816"/>
      <c r="J26" s="836"/>
      <c r="K26" s="808"/>
      <c r="L26" s="808"/>
      <c r="M26" s="808"/>
      <c r="N26" s="808"/>
      <c r="O26" s="808"/>
    </row>
    <row r="27" spans="1:15" hidden="1" x14ac:dyDescent="0.2">
      <c r="A27" s="817"/>
      <c r="B27" s="808"/>
      <c r="C27" s="820"/>
      <c r="D27" s="825" t="s">
        <v>342</v>
      </c>
      <c r="E27" s="826" t="str">
        <f>IF(COUNT(E25,E29)=2,IF(E25&gt;E29,C25,C29),"")</f>
        <v/>
      </c>
      <c r="G27" s="814" t="str">
        <f>IF(E27="-",0,IF(E35="-",13,""))</f>
        <v/>
      </c>
      <c r="H27" s="833"/>
      <c r="I27" s="816"/>
      <c r="J27" s="836"/>
      <c r="K27" s="808"/>
      <c r="L27" s="808"/>
      <c r="M27" s="808"/>
      <c r="N27" s="808"/>
      <c r="O27" s="808"/>
    </row>
    <row r="28" spans="1:15" hidden="1" x14ac:dyDescent="0.2">
      <c r="A28" s="817">
        <v>21</v>
      </c>
      <c r="B28" s="808"/>
      <c r="C28" s="814" t="str">
        <f>IF(B28="-",0,IF(B30="-",13,""))</f>
        <v/>
      </c>
      <c r="D28" s="828"/>
      <c r="E28" s="829"/>
      <c r="F28" s="830"/>
      <c r="G28" s="816"/>
      <c r="H28" s="836"/>
      <c r="I28" s="816"/>
      <c r="J28" s="836"/>
      <c r="K28" s="808"/>
      <c r="L28" s="808"/>
      <c r="M28" s="808"/>
      <c r="N28" s="808"/>
      <c r="O28" s="808"/>
    </row>
    <row r="29" spans="1:15" hidden="1" x14ac:dyDescent="0.2">
      <c r="A29" s="817"/>
      <c r="B29" s="818" t="s">
        <v>584</v>
      </c>
      <c r="C29" s="831" t="str">
        <f>IF(COUNT(C28,C30)=2,IF(C28&gt;C30,B28,B30),"")</f>
        <v/>
      </c>
      <c r="D29" s="832"/>
      <c r="E29" s="814" t="str">
        <f>IF(C29="-",0,IF(C25="-",13,""))</f>
        <v/>
      </c>
      <c r="F29" s="833"/>
      <c r="G29" s="816"/>
      <c r="H29" s="836"/>
      <c r="I29" s="816"/>
      <c r="J29" s="836"/>
      <c r="K29" s="808"/>
      <c r="L29" s="808"/>
      <c r="M29" s="808"/>
      <c r="N29" s="808"/>
      <c r="O29" s="808"/>
    </row>
    <row r="30" spans="1:15" hidden="1" x14ac:dyDescent="0.2">
      <c r="A30" s="817">
        <v>12</v>
      </c>
      <c r="B30" s="821"/>
      <c r="C30" s="834" t="str">
        <f>IF(B30="-",0,IF(B28="-",13,""))</f>
        <v/>
      </c>
      <c r="D30" s="835"/>
      <c r="E30" s="816"/>
      <c r="F30" s="836"/>
      <c r="G30" s="816"/>
      <c r="H30" s="836"/>
      <c r="I30" s="816"/>
      <c r="J30" s="836"/>
      <c r="K30" s="808"/>
      <c r="L30" s="808"/>
      <c r="M30" s="808"/>
      <c r="N30" s="808"/>
      <c r="O30" s="808"/>
    </row>
    <row r="31" spans="1:15" hidden="1" x14ac:dyDescent="0.2">
      <c r="A31" s="808"/>
      <c r="B31" s="808"/>
      <c r="C31" s="820"/>
      <c r="D31" s="808"/>
      <c r="E31" s="816"/>
      <c r="F31" s="825" t="s">
        <v>347</v>
      </c>
      <c r="G31" s="826" t="str">
        <f>IF(COUNT(G27,G35)=2,IF(G27&gt;G35,E27,E35),"")</f>
        <v/>
      </c>
      <c r="H31" s="841"/>
      <c r="I31" s="814" t="str">
        <f>IF(G31="-",0,IF(G15="-",13,""))</f>
        <v/>
      </c>
      <c r="J31" s="833"/>
      <c r="K31" s="808"/>
      <c r="L31" s="808"/>
      <c r="M31" s="808"/>
      <c r="N31" s="808"/>
      <c r="O31" s="808"/>
    </row>
    <row r="32" spans="1:15" hidden="1" x14ac:dyDescent="0.2">
      <c r="A32" s="813">
        <v>13</v>
      </c>
      <c r="B32" s="808"/>
      <c r="C32" s="814" t="str">
        <f>IF(B32="-",0,IF(B34="-",13,""))</f>
        <v/>
      </c>
      <c r="D32" s="815"/>
      <c r="E32" s="816"/>
      <c r="F32" s="836"/>
      <c r="G32" s="816"/>
      <c r="H32" s="820"/>
      <c r="I32" s="816"/>
      <c r="J32" s="836"/>
      <c r="K32" s="808"/>
      <c r="L32" s="808"/>
      <c r="M32" s="808"/>
      <c r="N32" s="808"/>
      <c r="O32" s="808"/>
    </row>
    <row r="33" spans="1:16" hidden="1" x14ac:dyDescent="0.2">
      <c r="A33" s="817"/>
      <c r="B33" s="818" t="s">
        <v>585</v>
      </c>
      <c r="C33" s="819" t="str">
        <f>IF(COUNT(C32,C34)=2,IF(C32&gt;C34,B32,B34),"")</f>
        <v/>
      </c>
      <c r="D33" s="820"/>
      <c r="E33" s="814" t="str">
        <f>IF(C33="-",0,IF(C37="-",13,""))</f>
        <v/>
      </c>
      <c r="F33" s="833"/>
      <c r="G33" s="816"/>
      <c r="H33" s="820"/>
      <c r="I33" s="816"/>
      <c r="J33" s="836"/>
      <c r="K33" s="808"/>
      <c r="L33" s="808"/>
      <c r="M33" s="808"/>
      <c r="N33" s="808"/>
      <c r="O33" s="808"/>
    </row>
    <row r="34" spans="1:16" hidden="1" x14ac:dyDescent="0.2">
      <c r="A34" s="817">
        <v>20</v>
      </c>
      <c r="B34" s="821"/>
      <c r="C34" s="822" t="str">
        <f>IF(B34="-",0,IF(B32="-",13,""))</f>
        <v/>
      </c>
      <c r="D34" s="823"/>
      <c r="E34" s="816"/>
      <c r="F34" s="840"/>
      <c r="G34" s="816"/>
      <c r="H34" s="820"/>
      <c r="I34" s="816"/>
      <c r="J34" s="836"/>
      <c r="K34" s="808"/>
      <c r="L34" s="808"/>
      <c r="M34" s="808"/>
      <c r="N34" s="808"/>
      <c r="O34" s="808"/>
    </row>
    <row r="35" spans="1:16" hidden="1" x14ac:dyDescent="0.2">
      <c r="A35" s="817"/>
      <c r="B35" s="808"/>
      <c r="C35" s="820"/>
      <c r="D35" s="825" t="s">
        <v>341</v>
      </c>
      <c r="E35" s="826" t="str">
        <f>IF(COUNT(E33,E37)=2,IF(E33&gt;E37,C33,C37),"")</f>
        <v/>
      </c>
      <c r="F35" s="841"/>
      <c r="G35" s="814" t="str">
        <f>IF(E35="-",0,IF(E27="-",13,""))</f>
        <v/>
      </c>
      <c r="I35" s="816"/>
      <c r="J35" s="836"/>
      <c r="K35" s="808"/>
      <c r="L35" s="808"/>
      <c r="M35" s="808"/>
      <c r="N35" s="808"/>
      <c r="O35" s="808"/>
    </row>
    <row r="36" spans="1:16" hidden="1" x14ac:dyDescent="0.2">
      <c r="A36" s="817">
        <v>29</v>
      </c>
      <c r="B36" s="808"/>
      <c r="C36" s="814" t="str">
        <f>IF(B36="-",0,IF(B38="-",13,""))</f>
        <v/>
      </c>
      <c r="D36" s="828"/>
      <c r="E36" s="816"/>
      <c r="F36" s="842"/>
      <c r="G36" s="816"/>
      <c r="H36" s="808"/>
      <c r="I36" s="816"/>
      <c r="J36" s="836"/>
      <c r="K36" s="808"/>
      <c r="L36" s="808"/>
      <c r="M36" s="808"/>
      <c r="N36" s="808"/>
      <c r="O36" s="808"/>
    </row>
    <row r="37" spans="1:16" hidden="1" x14ac:dyDescent="0.2">
      <c r="A37" s="817"/>
      <c r="B37" s="818" t="s">
        <v>586</v>
      </c>
      <c r="C37" s="831" t="str">
        <f>IF(COUNT(C36,C38)=2,IF(C36&gt;C38,B36,B38),"")</f>
        <v/>
      </c>
      <c r="D37" s="832"/>
      <c r="E37" s="814" t="str">
        <f>IF(C37="-",0,IF(C33="-",13,""))</f>
        <v/>
      </c>
      <c r="G37" s="816"/>
      <c r="H37" s="820"/>
      <c r="I37" s="816"/>
      <c r="J37" s="836"/>
      <c r="K37" s="808"/>
      <c r="L37" s="808"/>
      <c r="M37" s="808"/>
      <c r="N37" s="808"/>
    </row>
    <row r="38" spans="1:16" hidden="1" x14ac:dyDescent="0.2">
      <c r="A38" s="817">
        <v>4</v>
      </c>
      <c r="B38" s="821"/>
      <c r="C38" s="834" t="str">
        <f>IF(B38="-",0,IF(B36="-",13,""))</f>
        <v/>
      </c>
      <c r="D38" s="835"/>
      <c r="E38" s="816"/>
      <c r="F38" s="820"/>
      <c r="G38" s="816"/>
      <c r="H38" s="820"/>
      <c r="I38" s="816"/>
      <c r="J38" s="836"/>
      <c r="K38" s="808"/>
      <c r="L38" s="808"/>
      <c r="M38" s="808"/>
      <c r="N38" s="808"/>
    </row>
    <row r="39" spans="1:16" hidden="1" x14ac:dyDescent="0.2">
      <c r="A39" s="817"/>
      <c r="B39" s="820"/>
      <c r="C39" s="814"/>
      <c r="D39" s="835"/>
      <c r="E39" s="816"/>
      <c r="F39" s="820"/>
      <c r="G39" s="816"/>
      <c r="H39" s="820"/>
      <c r="I39" s="816"/>
      <c r="J39" s="836"/>
      <c r="K39" s="808"/>
      <c r="L39" s="808"/>
      <c r="M39" s="808"/>
      <c r="N39" s="808"/>
      <c r="O39" s="808"/>
      <c r="P39" s="808"/>
    </row>
    <row r="40" spans="1:16" hidden="1" x14ac:dyDescent="0.2">
      <c r="A40" s="808"/>
      <c r="B40" s="817"/>
      <c r="C40" s="817"/>
      <c r="D40" s="820"/>
      <c r="E40" s="816"/>
      <c r="F40" s="835"/>
      <c r="G40" s="816"/>
      <c r="H40" s="820"/>
      <c r="I40" s="816"/>
      <c r="J40" s="825" t="s">
        <v>549</v>
      </c>
      <c r="K40" s="831" t="str">
        <f>IF(COUNT(K23,K56)=2,IF(K23&gt;K56,I23,I56),"")</f>
        <v/>
      </c>
      <c r="L40" s="808"/>
      <c r="M40" s="827" t="str">
        <f>IF(K40="-",0,IF(L80="-",13,""))</f>
        <v/>
      </c>
      <c r="N40" s="808"/>
      <c r="O40" s="808"/>
      <c r="P40" s="808"/>
    </row>
    <row r="41" spans="1:16" hidden="1" x14ac:dyDescent="0.2">
      <c r="A41" s="837">
        <v>3</v>
      </c>
      <c r="B41" s="808"/>
      <c r="C41" s="814" t="str">
        <f>IF(B41="-",0,IF(B43="-",13,""))</f>
        <v/>
      </c>
      <c r="D41" s="815"/>
      <c r="E41" s="816"/>
      <c r="F41" s="808"/>
      <c r="G41" s="816"/>
      <c r="H41" s="808"/>
      <c r="I41" s="816"/>
      <c r="J41" s="836"/>
      <c r="K41" s="843"/>
      <c r="L41" s="839"/>
      <c r="M41" s="808"/>
      <c r="N41" s="808"/>
      <c r="O41" s="808"/>
      <c r="P41" s="808"/>
    </row>
    <row r="42" spans="1:16" hidden="1" x14ac:dyDescent="0.2">
      <c r="A42" s="817"/>
      <c r="B42" s="818" t="s">
        <v>587</v>
      </c>
      <c r="C42" s="819" t="str">
        <f>IF(COUNT(C41,C43)=2,IF(C41&gt;C43,B41,B43),"")</f>
        <v/>
      </c>
      <c r="D42" s="820"/>
      <c r="E42" s="814" t="str">
        <f>IF(C42="-",0,IF(C46="-",13,""))</f>
        <v/>
      </c>
      <c r="G42" s="816"/>
      <c r="H42" s="808"/>
      <c r="I42" s="816"/>
      <c r="J42" s="844"/>
      <c r="K42" s="845"/>
      <c r="L42" s="836"/>
      <c r="M42" s="808"/>
      <c r="N42" s="808"/>
      <c r="O42" s="808"/>
      <c r="P42" s="808"/>
    </row>
    <row r="43" spans="1:16" hidden="1" x14ac:dyDescent="0.2">
      <c r="A43" s="817">
        <v>30</v>
      </c>
      <c r="B43" s="821"/>
      <c r="C43" s="822" t="str">
        <f>IF(B43="-",0,IF(B41="-",13,""))</f>
        <v/>
      </c>
      <c r="D43" s="823"/>
      <c r="E43" s="816"/>
      <c r="F43" s="824"/>
      <c r="G43" s="816"/>
      <c r="H43" s="808"/>
      <c r="I43" s="816"/>
      <c r="J43" s="836"/>
      <c r="K43" s="845"/>
      <c r="L43" s="836"/>
      <c r="M43" s="808"/>
      <c r="N43" s="808"/>
      <c r="O43" s="808"/>
      <c r="P43" s="808"/>
    </row>
    <row r="44" spans="1:16" hidden="1" x14ac:dyDescent="0.2">
      <c r="A44" s="817"/>
      <c r="B44" s="808"/>
      <c r="C44" s="820"/>
      <c r="D44" s="825" t="s">
        <v>362</v>
      </c>
      <c r="E44" s="826" t="str">
        <f>IF(COUNT(E42,E47)=2,IF(E42&gt;E47,C42,C46),"")</f>
        <v/>
      </c>
      <c r="G44" s="827" t="str">
        <f>IF(E44="-",0,IF(E52="-",13,""))</f>
        <v/>
      </c>
      <c r="I44" s="816"/>
      <c r="J44" s="836"/>
      <c r="K44" s="808"/>
      <c r="L44" s="836"/>
      <c r="M44" s="808"/>
      <c r="N44" s="808"/>
      <c r="O44" s="808"/>
      <c r="P44" s="808"/>
    </row>
    <row r="45" spans="1:16" hidden="1" x14ac:dyDescent="0.2">
      <c r="A45" s="817">
        <v>19</v>
      </c>
      <c r="B45" s="808"/>
      <c r="C45" s="814" t="str">
        <f>IF(B45="-",0,IF(B47="-",13,""))</f>
        <v/>
      </c>
      <c r="D45" s="828"/>
      <c r="E45" s="829"/>
      <c r="F45" s="830"/>
      <c r="G45" s="816"/>
      <c r="H45" s="808"/>
      <c r="I45" s="816"/>
      <c r="J45" s="836"/>
      <c r="K45" s="808"/>
      <c r="L45" s="836"/>
      <c r="M45" s="808"/>
      <c r="N45" s="808"/>
      <c r="O45" s="808"/>
      <c r="P45" s="808"/>
    </row>
    <row r="46" spans="1:16" hidden="1" x14ac:dyDescent="0.2">
      <c r="A46" s="817"/>
      <c r="B46" s="818" t="s">
        <v>588</v>
      </c>
      <c r="C46" s="831" t="str">
        <f>IF(COUNT(C45,C47)=2,IF(C45&gt;C47,B45,B47),"")</f>
        <v/>
      </c>
      <c r="D46" s="832"/>
      <c r="E46" s="816"/>
      <c r="F46" s="833"/>
      <c r="G46" s="816"/>
      <c r="H46" s="808"/>
      <c r="I46" s="816"/>
      <c r="J46" s="836"/>
      <c r="K46" s="808"/>
      <c r="L46" s="836"/>
      <c r="M46" s="808"/>
      <c r="N46" s="808"/>
      <c r="O46" s="808"/>
      <c r="P46" s="808"/>
    </row>
    <row r="47" spans="1:16" hidden="1" x14ac:dyDescent="0.2">
      <c r="A47" s="817">
        <v>14</v>
      </c>
      <c r="B47" s="821"/>
      <c r="C47" s="834" t="str">
        <f>IF(B47="-",0,IF(B45="-",13,""))</f>
        <v/>
      </c>
      <c r="D47" s="835"/>
      <c r="E47" s="814" t="str">
        <f>IF(C46="-",0,IF(C42="-",13,""))</f>
        <v/>
      </c>
      <c r="F47" s="836"/>
      <c r="G47" s="816"/>
      <c r="H47" s="808"/>
      <c r="I47" s="816"/>
      <c r="J47" s="836"/>
      <c r="K47" s="808"/>
      <c r="L47" s="836"/>
      <c r="M47" s="808"/>
      <c r="N47" s="808"/>
      <c r="O47" s="808"/>
      <c r="P47" s="808"/>
    </row>
    <row r="48" spans="1:16" hidden="1" x14ac:dyDescent="0.2">
      <c r="A48" s="837"/>
      <c r="B48" s="808"/>
      <c r="C48" s="820"/>
      <c r="D48" s="808"/>
      <c r="E48" s="816"/>
      <c r="F48" s="825" t="s">
        <v>353</v>
      </c>
      <c r="G48" s="838" t="str">
        <f>IF(COUNT(G44,G52)=2,IF(G44&gt;G52,E44,E52),"")</f>
        <v/>
      </c>
      <c r="I48" s="814" t="str">
        <f>IF(G48="-",0,IF(G64="-",13,""))</f>
        <v/>
      </c>
      <c r="J48" s="833"/>
      <c r="K48" s="808"/>
      <c r="L48" s="836"/>
      <c r="M48" s="808"/>
      <c r="N48" s="808"/>
      <c r="O48" s="808"/>
      <c r="P48" s="808"/>
    </row>
    <row r="49" spans="1:16" hidden="1" x14ac:dyDescent="0.2">
      <c r="A49" s="813">
        <v>11</v>
      </c>
      <c r="B49" s="808"/>
      <c r="C49" s="814" t="str">
        <f>IF(B49="-",0,IF(B51="-",13,""))</f>
        <v/>
      </c>
      <c r="D49" s="815"/>
      <c r="E49" s="816"/>
      <c r="F49" s="836"/>
      <c r="G49" s="829"/>
      <c r="H49" s="839"/>
      <c r="I49" s="816"/>
      <c r="J49" s="836"/>
      <c r="K49" s="808"/>
      <c r="L49" s="836"/>
      <c r="M49" s="808"/>
      <c r="N49" s="808"/>
      <c r="O49" s="808"/>
      <c r="P49" s="808"/>
    </row>
    <row r="50" spans="1:16" hidden="1" x14ac:dyDescent="0.2">
      <c r="A50" s="817"/>
      <c r="B50" s="818" t="s">
        <v>589</v>
      </c>
      <c r="C50" s="819" t="str">
        <f>IF(COUNT(C49,C51)=2,IF(C49&gt;C51,B49,B51),"")</f>
        <v/>
      </c>
      <c r="D50" s="820"/>
      <c r="E50" s="814" t="str">
        <f>IF(C50="-",0,IF(C54="-",13,""))</f>
        <v/>
      </c>
      <c r="F50" s="833"/>
      <c r="G50" s="816"/>
      <c r="H50" s="836"/>
      <c r="I50" s="816"/>
      <c r="J50" s="836"/>
      <c r="K50" s="808"/>
      <c r="L50" s="836"/>
      <c r="M50" s="808"/>
      <c r="N50" s="808"/>
      <c r="O50" s="808"/>
      <c r="P50" s="808"/>
    </row>
    <row r="51" spans="1:16" hidden="1" x14ac:dyDescent="0.2">
      <c r="A51" s="817">
        <v>22</v>
      </c>
      <c r="B51" s="846"/>
      <c r="C51" s="822" t="str">
        <f>IF(B51="-",0,IF(B49="-",13,""))</f>
        <v/>
      </c>
      <c r="D51" s="823"/>
      <c r="E51" s="816"/>
      <c r="F51" s="840"/>
      <c r="G51" s="816"/>
      <c r="H51" s="836"/>
      <c r="I51" s="816"/>
      <c r="J51" s="836"/>
      <c r="K51" s="808"/>
      <c r="L51" s="836"/>
      <c r="M51" s="808"/>
      <c r="N51" s="808"/>
      <c r="O51" s="808"/>
      <c r="P51" s="808"/>
    </row>
    <row r="52" spans="1:16" hidden="1" x14ac:dyDescent="0.2">
      <c r="A52" s="817"/>
      <c r="B52" s="808"/>
      <c r="C52" s="820"/>
      <c r="D52" s="825" t="s">
        <v>590</v>
      </c>
      <c r="E52" s="826" t="str">
        <f>IF(COUNT(E50,E54)=2,IF(E50&gt;E54,C50,C54),"")</f>
        <v/>
      </c>
      <c r="F52" s="841"/>
      <c r="G52" s="814" t="str">
        <f>IF(E52="-",0,IF(E44="-",13,""))</f>
        <v/>
      </c>
      <c r="H52" s="833"/>
      <c r="I52" s="816"/>
      <c r="J52" s="836"/>
      <c r="K52" s="808"/>
      <c r="L52" s="836"/>
      <c r="M52" s="808"/>
      <c r="N52" s="808"/>
      <c r="O52" s="808"/>
      <c r="P52" s="808"/>
    </row>
    <row r="53" spans="1:16" hidden="1" x14ac:dyDescent="0.2">
      <c r="A53" s="817">
        <v>27</v>
      </c>
      <c r="B53" s="808"/>
      <c r="C53" s="814" t="str">
        <f>IF(B53="-",0,IF(B55="-",13,""))</f>
        <v/>
      </c>
      <c r="D53" s="828"/>
      <c r="E53" s="816"/>
      <c r="F53" s="842"/>
      <c r="G53" s="816"/>
      <c r="H53" s="836"/>
      <c r="I53" s="816"/>
      <c r="J53" s="836"/>
      <c r="K53" s="808"/>
      <c r="L53" s="836"/>
      <c r="M53" s="808"/>
      <c r="N53" s="808"/>
      <c r="O53" s="808"/>
      <c r="P53" s="808"/>
    </row>
    <row r="54" spans="1:16" hidden="1" x14ac:dyDescent="0.2">
      <c r="A54" s="817"/>
      <c r="B54" s="818" t="s">
        <v>591</v>
      </c>
      <c r="C54" s="831" t="str">
        <f>IF(COUNT(C53,C55)=2,IF(C53&gt;C55,B53,B55),"")</f>
        <v/>
      </c>
      <c r="D54" s="832"/>
      <c r="E54" s="814" t="str">
        <f>IF(C54="-",0,IF(C50="-",13,""))</f>
        <v/>
      </c>
      <c r="G54" s="816"/>
      <c r="H54" s="836"/>
      <c r="I54" s="816"/>
      <c r="J54" s="836"/>
      <c r="K54" s="808"/>
      <c r="L54" s="836"/>
      <c r="M54" s="808"/>
      <c r="N54" s="808"/>
      <c r="O54" s="808"/>
      <c r="P54" s="808"/>
    </row>
    <row r="55" spans="1:16" hidden="1" x14ac:dyDescent="0.2">
      <c r="A55" s="817">
        <v>6</v>
      </c>
      <c r="B55" s="821"/>
      <c r="C55" s="834" t="str">
        <f>IF(B55="-",0,IF(B53="-",13,""))</f>
        <v/>
      </c>
      <c r="D55" s="835"/>
      <c r="E55" s="816"/>
      <c r="F55" s="820"/>
      <c r="G55" s="816"/>
      <c r="H55" s="836"/>
      <c r="I55" s="816"/>
      <c r="J55" s="836"/>
      <c r="K55" s="808"/>
      <c r="L55" s="836"/>
      <c r="M55" s="808"/>
      <c r="N55" s="808"/>
      <c r="O55" s="808"/>
      <c r="P55" s="808"/>
    </row>
    <row r="56" spans="1:16" hidden="1" x14ac:dyDescent="0.2">
      <c r="A56" s="808"/>
      <c r="B56" s="808"/>
      <c r="C56" s="820"/>
      <c r="D56" s="808"/>
      <c r="E56" s="816"/>
      <c r="F56" s="808"/>
      <c r="G56" s="816"/>
      <c r="H56" s="825" t="s">
        <v>349</v>
      </c>
      <c r="I56" s="826" t="str">
        <f>IF(COUNT(I48,I64)=2,IF(I48&gt;I64,G48,G64),"")</f>
        <v/>
      </c>
      <c r="J56" s="841"/>
      <c r="K56" s="827" t="str">
        <f>IF(I56="-",0,IF(I23="-",13,""))</f>
        <v/>
      </c>
      <c r="L56" s="836"/>
      <c r="M56" s="808"/>
      <c r="N56" s="808"/>
      <c r="O56" s="808"/>
      <c r="P56" s="808"/>
    </row>
    <row r="57" spans="1:16" hidden="1" x14ac:dyDescent="0.2">
      <c r="A57" s="813">
        <v>7</v>
      </c>
      <c r="B57" s="808"/>
      <c r="C57" s="814" t="str">
        <f>IF(B57="-",0,IF(B59="-",13,""))</f>
        <v/>
      </c>
      <c r="D57" s="815"/>
      <c r="E57" s="816"/>
      <c r="F57" s="808"/>
      <c r="G57" s="816"/>
      <c r="H57" s="836"/>
      <c r="I57" s="816"/>
      <c r="J57" s="820"/>
      <c r="K57" s="808"/>
      <c r="L57" s="828"/>
      <c r="M57" s="808"/>
      <c r="N57" s="808"/>
      <c r="O57" s="808"/>
      <c r="P57" s="808"/>
    </row>
    <row r="58" spans="1:16" hidden="1" x14ac:dyDescent="0.2">
      <c r="A58" s="817"/>
      <c r="B58" s="818" t="s">
        <v>592</v>
      </c>
      <c r="C58" s="819" t="str">
        <f>IF(COUNT(C57,C59)=2,IF(C57&gt;C59,B57,B59),"")</f>
        <v/>
      </c>
      <c r="D58" s="820"/>
      <c r="E58" s="814" t="str">
        <f>IF(C58="-",0,IF(C62="-",13,""))</f>
        <v/>
      </c>
      <c r="G58" s="816"/>
      <c r="H58" s="836"/>
      <c r="I58" s="816"/>
      <c r="J58" s="820"/>
      <c r="K58" s="808"/>
      <c r="L58" s="836"/>
      <c r="M58" s="808"/>
      <c r="N58" s="808"/>
      <c r="O58" s="808"/>
      <c r="P58" s="808"/>
    </row>
    <row r="59" spans="1:16" hidden="1" x14ac:dyDescent="0.2">
      <c r="A59" s="817">
        <v>26</v>
      </c>
      <c r="B59" s="821"/>
      <c r="C59" s="822" t="str">
        <f>IF(B59="-",0,IF(B57="-",13,""))</f>
        <v/>
      </c>
      <c r="D59" s="823"/>
      <c r="E59" s="816"/>
      <c r="F59" s="824"/>
      <c r="G59" s="816"/>
      <c r="H59" s="836"/>
      <c r="I59" s="816"/>
      <c r="J59" s="820"/>
      <c r="K59" s="808"/>
      <c r="L59" s="836"/>
      <c r="M59" s="808"/>
      <c r="N59" s="808"/>
      <c r="O59" s="808"/>
      <c r="P59" s="808"/>
    </row>
    <row r="60" spans="1:16" hidden="1" x14ac:dyDescent="0.2">
      <c r="A60" s="817"/>
      <c r="B60" s="808"/>
      <c r="C60" s="820"/>
      <c r="D60" s="825" t="s">
        <v>593</v>
      </c>
      <c r="E60" s="826" t="str">
        <f>IF(COUNT(E58,E62)=2,IF(E58&gt;E62,C58,C62),"")</f>
        <v/>
      </c>
      <c r="G60" s="814" t="str">
        <f>IF(E60="-",0,IF(E68="-",13,""))</f>
        <v/>
      </c>
      <c r="H60" s="833"/>
      <c r="I60" s="820"/>
      <c r="J60" s="808"/>
      <c r="L60" s="836"/>
      <c r="M60" s="808"/>
      <c r="N60" s="808"/>
      <c r="O60" s="808"/>
      <c r="P60" s="808"/>
    </row>
    <row r="61" spans="1:16" hidden="1" x14ac:dyDescent="0.2">
      <c r="A61" s="817">
        <v>23</v>
      </c>
      <c r="B61" s="808"/>
      <c r="C61" s="814" t="str">
        <f>IF(B61="-",0,IF(B63="-",13,""))</f>
        <v/>
      </c>
      <c r="D61" s="828"/>
      <c r="E61" s="829"/>
      <c r="F61" s="830"/>
      <c r="G61" s="816"/>
      <c r="H61" s="836"/>
      <c r="I61" s="845"/>
      <c r="J61" s="808"/>
      <c r="L61" s="836"/>
      <c r="M61" s="808"/>
      <c r="N61" s="808"/>
      <c r="O61" s="808"/>
      <c r="P61" s="808"/>
    </row>
    <row r="62" spans="1:16" hidden="1" x14ac:dyDescent="0.2">
      <c r="A62" s="817"/>
      <c r="B62" s="818" t="s">
        <v>594</v>
      </c>
      <c r="C62" s="831" t="str">
        <f>IF(COUNT(C61,C63)=2,IF(C61&gt;C63,B61,B63),"")</f>
        <v/>
      </c>
      <c r="D62" s="832"/>
      <c r="E62" s="814" t="str">
        <f>IF(C62="-",0,IF(C58="-",13,""))</f>
        <v/>
      </c>
      <c r="F62" s="833"/>
      <c r="G62" s="816"/>
      <c r="H62" s="836"/>
      <c r="I62" s="845"/>
      <c r="J62" s="808"/>
      <c r="L62" s="847" t="s">
        <v>595</v>
      </c>
      <c r="M62" s="808"/>
      <c r="N62" s="808"/>
      <c r="O62" s="815"/>
      <c r="P62" s="808"/>
    </row>
    <row r="63" spans="1:16" hidden="1" x14ac:dyDescent="0.2">
      <c r="A63" s="817">
        <v>10</v>
      </c>
      <c r="B63" s="821"/>
      <c r="C63" s="834" t="str">
        <f>IF(B63="-",0,IF(B61="-",13,""))</f>
        <v/>
      </c>
      <c r="D63" s="835"/>
      <c r="E63" s="816"/>
      <c r="F63" s="836"/>
      <c r="G63" s="816"/>
      <c r="H63" s="836"/>
      <c r="I63" s="845"/>
      <c r="J63" s="808"/>
      <c r="L63" s="836"/>
      <c r="M63" s="808"/>
      <c r="N63" s="808"/>
      <c r="O63" s="808"/>
      <c r="P63" s="808"/>
    </row>
    <row r="64" spans="1:16" hidden="1" x14ac:dyDescent="0.2">
      <c r="A64" s="808"/>
      <c r="B64" s="808"/>
      <c r="C64" s="820"/>
      <c r="D64" s="808"/>
      <c r="E64" s="816"/>
      <c r="F64" s="825" t="s">
        <v>352</v>
      </c>
      <c r="G64" s="826" t="str">
        <f>IF(COUNT(G60,G68)=2,IF(G60&gt;G68,E60,E68),"")</f>
        <v/>
      </c>
      <c r="H64" s="841"/>
      <c r="I64" s="834" t="str">
        <f>IF(G64="-",0,IF(G48="-",13,""))</f>
        <v/>
      </c>
      <c r="J64" s="808"/>
      <c r="L64" s="836"/>
      <c r="M64" s="808"/>
      <c r="N64" s="808"/>
      <c r="O64" s="808"/>
      <c r="P64" s="808"/>
    </row>
    <row r="65" spans="1:16" hidden="1" x14ac:dyDescent="0.2">
      <c r="A65" s="813">
        <v>15</v>
      </c>
      <c r="B65" s="808"/>
      <c r="C65" s="814" t="str">
        <f>IF(B65="-",0,IF(B67="-",13,""))</f>
        <v/>
      </c>
      <c r="D65" s="815"/>
      <c r="E65" s="816"/>
      <c r="F65" s="836"/>
      <c r="G65" s="816"/>
      <c r="H65" s="820"/>
      <c r="I65" s="808"/>
      <c r="J65" s="808"/>
      <c r="L65" s="848" t="s">
        <v>596</v>
      </c>
      <c r="M65" s="849"/>
      <c r="N65" s="826" t="str">
        <f>IF(COUNT(M40,M80)=2,IF(M40&gt;M80,K40,L80),"")</f>
        <v/>
      </c>
      <c r="O65" s="827" t="str">
        <f>IF(N65="-",0,IF(N69="-",13,""))</f>
        <v/>
      </c>
      <c r="P65" s="808"/>
    </row>
    <row r="66" spans="1:16" hidden="1" x14ac:dyDescent="0.2">
      <c r="A66" s="817"/>
      <c r="B66" s="818" t="s">
        <v>597</v>
      </c>
      <c r="C66" s="819" t="str">
        <f>IF(COUNT(C65,C67)=2,IF(C65&gt;C67,B65,B67),"")</f>
        <v/>
      </c>
      <c r="D66" s="820"/>
      <c r="E66" s="814" t="str">
        <f>IF(C66="-",0,IF(C70="-",13,""))</f>
        <v/>
      </c>
      <c r="F66" s="833"/>
      <c r="G66" s="816"/>
      <c r="H66" s="820"/>
      <c r="I66" s="808"/>
      <c r="J66" s="808"/>
      <c r="L66" s="833"/>
      <c r="M66" s="850"/>
      <c r="N66" s="839"/>
      <c r="O66" s="824"/>
      <c r="P66" s="808"/>
    </row>
    <row r="67" spans="1:16" ht="13.5" hidden="1" thickBot="1" x14ac:dyDescent="0.25">
      <c r="A67" s="817">
        <v>18</v>
      </c>
      <c r="B67" s="821"/>
      <c r="C67" s="822" t="str">
        <f>IF(B67="-",0,IF(B65="-",13,""))</f>
        <v/>
      </c>
      <c r="D67" s="823"/>
      <c r="E67" s="816"/>
      <c r="F67" s="840"/>
      <c r="G67" s="816"/>
      <c r="H67" s="820"/>
      <c r="I67" s="808"/>
      <c r="J67" s="808"/>
      <c r="L67" s="851" t="s">
        <v>598</v>
      </c>
      <c r="M67" s="808"/>
      <c r="N67" s="848" t="s">
        <v>599</v>
      </c>
      <c r="O67" s="819"/>
      <c r="P67" s="852" t="str">
        <f>IF(O65="",N65,IF(COUNT(O65,O69)=2,IF(O65&gt;O69,N65,N69),""))</f>
        <v/>
      </c>
    </row>
    <row r="68" spans="1:16" hidden="1" x14ac:dyDescent="0.2">
      <c r="A68" s="817"/>
      <c r="B68" s="808"/>
      <c r="C68" s="820"/>
      <c r="D68" s="825" t="s">
        <v>600</v>
      </c>
      <c r="E68" s="826" t="str">
        <f>IF(COUNT(E66,E70)=2,IF(E66&gt;E70,C66,C70),"")</f>
        <v/>
      </c>
      <c r="F68" s="841"/>
      <c r="G68" s="814" t="str">
        <f>IF(E68="-",0,IF(E60="-",13,""))</f>
        <v/>
      </c>
      <c r="I68" s="808"/>
      <c r="J68" s="808"/>
      <c r="L68" s="851" t="s">
        <v>601</v>
      </c>
      <c r="M68" s="808"/>
      <c r="N68" s="853"/>
      <c r="O68" s="854"/>
      <c r="P68" s="855" t="s">
        <v>331</v>
      </c>
    </row>
    <row r="69" spans="1:16" hidden="1" x14ac:dyDescent="0.2">
      <c r="A69" s="817">
        <v>31</v>
      </c>
      <c r="B69" s="808"/>
      <c r="C69" s="814" t="str">
        <f>IF(B69="-",0,IF(B71="-",13,""))</f>
        <v/>
      </c>
      <c r="D69" s="828"/>
      <c r="E69" s="816"/>
      <c r="F69" s="842"/>
      <c r="H69" s="808"/>
      <c r="I69" s="808"/>
      <c r="J69" s="808"/>
      <c r="L69" s="851" t="s">
        <v>602</v>
      </c>
      <c r="M69" s="856" t="s">
        <v>553</v>
      </c>
      <c r="N69" s="857" t="str">
        <f>IF(COUNT(M40,M80)=2,IF(M40&lt;M80,K40,L80),"")</f>
        <v/>
      </c>
      <c r="O69" s="834" t="str">
        <f>IF(N69="-",0,IF(N65="-",13,""))</f>
        <v/>
      </c>
      <c r="P69" s="820"/>
    </row>
    <row r="70" spans="1:16" ht="13.5" hidden="1" thickBot="1" x14ac:dyDescent="0.25">
      <c r="A70" s="817"/>
      <c r="B70" s="818" t="s">
        <v>603</v>
      </c>
      <c r="C70" s="831" t="str">
        <f>IF(COUNT(C69,C71)=2,IF(C69&gt;C71,B69,B71),"")</f>
        <v/>
      </c>
      <c r="D70" s="832"/>
      <c r="E70" s="814" t="str">
        <f>IF(C70="-",0,IF(C66="-",13,""))</f>
        <v/>
      </c>
      <c r="H70" s="808"/>
      <c r="I70" s="808"/>
      <c r="J70" s="808"/>
      <c r="L70" s="836"/>
      <c r="M70" s="808"/>
      <c r="N70" s="858"/>
      <c r="O70" s="817" t="s">
        <v>599</v>
      </c>
      <c r="P70" s="859" t="str">
        <f>IF(O69="",N69,IF(COUNT(O65,O69)=2,IF(O65&lt;O69,N65,N69),""))</f>
        <v/>
      </c>
    </row>
    <row r="71" spans="1:16" hidden="1" x14ac:dyDescent="0.2">
      <c r="A71" s="817">
        <v>2</v>
      </c>
      <c r="B71" s="821"/>
      <c r="C71" s="834" t="str">
        <f>IF(B71="-",0,IF(B69="-",13,""))</f>
        <v/>
      </c>
      <c r="D71" s="835"/>
      <c r="F71" s="820"/>
      <c r="H71" s="808"/>
      <c r="I71" s="808"/>
      <c r="J71" s="808"/>
      <c r="L71" s="836"/>
      <c r="M71" s="808"/>
      <c r="N71" s="808"/>
      <c r="O71" s="815"/>
      <c r="P71" s="837" t="s">
        <v>332</v>
      </c>
    </row>
    <row r="72" spans="1:16" hidden="1" x14ac:dyDescent="0.2">
      <c r="A72" s="817"/>
      <c r="B72" s="820"/>
      <c r="C72" s="835"/>
      <c r="D72" s="820"/>
      <c r="E72" s="808"/>
      <c r="F72" s="808"/>
      <c r="G72" s="808"/>
      <c r="H72" s="808"/>
      <c r="I72" s="808"/>
      <c r="L72" s="847" t="s">
        <v>595</v>
      </c>
      <c r="M72" s="808"/>
      <c r="N72" s="808"/>
      <c r="O72" s="815"/>
      <c r="P72" s="837"/>
    </row>
    <row r="73" spans="1:16" hidden="1" x14ac:dyDescent="0.2">
      <c r="A73" s="860" t="s">
        <v>604</v>
      </c>
      <c r="C73" s="820"/>
      <c r="D73" s="820"/>
      <c r="E73" s="835"/>
      <c r="F73" s="820"/>
      <c r="G73" s="820"/>
      <c r="H73" s="808"/>
      <c r="I73" s="820"/>
      <c r="J73" s="861" t="s">
        <v>549</v>
      </c>
      <c r="K73" s="808" t="str">
        <f>IF(COUNT(K23,K56)=2,IF(K23&lt;K56,I23,I56),"")</f>
        <v/>
      </c>
      <c r="L73" s="862" t="str">
        <f>IF(K73="-",0,IF(K87="-",13,""))</f>
        <v/>
      </c>
      <c r="M73" s="808"/>
    </row>
    <row r="74" spans="1:16" ht="13.5" hidden="1" thickBot="1" x14ac:dyDescent="0.25">
      <c r="B74" s="808"/>
      <c r="C74" s="863"/>
      <c r="D74" s="863"/>
      <c r="E74" s="820"/>
      <c r="F74" s="808"/>
      <c r="G74" s="808"/>
      <c r="H74" s="808"/>
      <c r="I74" s="808"/>
      <c r="J74" s="808"/>
      <c r="K74" s="839"/>
      <c r="L74" s="836"/>
      <c r="M74" s="808"/>
      <c r="O74" s="817" t="s">
        <v>605</v>
      </c>
      <c r="P74" s="852" t="str">
        <f>IF(COUNT(L73,L87)=2,IF(L73&lt;L87,K73,K87),"")</f>
        <v/>
      </c>
    </row>
    <row r="75" spans="1:16" hidden="1" x14ac:dyDescent="0.2">
      <c r="B75" s="817"/>
      <c r="C75" s="837"/>
      <c r="D75" s="808"/>
      <c r="E75" s="808"/>
      <c r="F75" s="808"/>
      <c r="G75" s="820"/>
      <c r="H75" s="864" t="s">
        <v>346</v>
      </c>
      <c r="I75" s="820" t="str">
        <f>IF(COUNT(I15,I31)=2,IF(I15&lt;I31,G15,G31),"")</f>
        <v/>
      </c>
      <c r="J75" s="814" t="str">
        <f>IF(I75="-",0,IF(I82="-",13,""))</f>
        <v/>
      </c>
      <c r="K75" s="836"/>
      <c r="L75" s="836"/>
      <c r="M75" s="808"/>
      <c r="O75" s="808"/>
      <c r="P75" s="855" t="s">
        <v>300</v>
      </c>
    </row>
    <row r="76" spans="1:16" hidden="1" x14ac:dyDescent="0.2">
      <c r="B76" s="808"/>
      <c r="C76" s="808"/>
      <c r="D76" s="808"/>
      <c r="E76" s="808"/>
      <c r="F76" s="861" t="s">
        <v>352</v>
      </c>
      <c r="G76" s="821" t="str">
        <f>IF(COUNT(G60,G68)=2,IF(G60&lt;G68,E60,E68),"")</f>
        <v/>
      </c>
      <c r="H76" s="827" t="str">
        <f>IF(G76="-",0,IF(G80="-",13,""))</f>
        <v/>
      </c>
      <c r="I76" s="823"/>
      <c r="J76" s="820"/>
      <c r="K76" s="836"/>
      <c r="L76" s="836"/>
      <c r="M76" s="808"/>
      <c r="O76" s="808"/>
      <c r="P76" s="808"/>
    </row>
    <row r="77" spans="1:16" ht="13.5" hidden="1" thickBot="1" x14ac:dyDescent="0.25">
      <c r="B77" s="817"/>
      <c r="C77" s="837"/>
      <c r="D77" s="861" t="s">
        <v>341</v>
      </c>
      <c r="E77" s="821" t="str">
        <f>IF(COUNT(E33,E37)=2,IF(E33&lt;E37,C33,C37),"")</f>
        <v/>
      </c>
      <c r="F77" s="827" t="str">
        <f>IF(E77="-",0,IF(D79="-",13,""))</f>
        <v/>
      </c>
      <c r="G77" s="839"/>
      <c r="H77" s="824"/>
      <c r="I77" s="836"/>
      <c r="J77" s="820"/>
      <c r="K77" s="836"/>
      <c r="L77" s="836"/>
      <c r="M77" s="808"/>
      <c r="O77" s="817" t="s">
        <v>606</v>
      </c>
      <c r="P77" s="852" t="str">
        <f>IF(COUNT(K79,K95)=2,IF(K79&lt;K95,J79,J95),"")</f>
        <v/>
      </c>
    </row>
    <row r="78" spans="1:16" hidden="1" x14ac:dyDescent="0.2">
      <c r="B78" s="861" t="s">
        <v>587</v>
      </c>
      <c r="C78" s="808" t="str">
        <f>IF(COUNT(C41,C43)=2,IF(C41&lt;C43,B41,B43),"")</f>
        <v/>
      </c>
      <c r="D78" s="814" t="str">
        <f>IF(C78="-",0,IF(C80="-",13,""))</f>
        <v/>
      </c>
      <c r="E78" s="865">
        <v>201</v>
      </c>
      <c r="F78" s="831" t="str">
        <f>IF(COUNT(F77,F79)=2,IF(F77&gt;F79,E77,D79),"")</f>
        <v/>
      </c>
      <c r="G78" s="814" t="str">
        <f>IF(F78="-",0,IF(F82="-",13,""))</f>
        <v/>
      </c>
      <c r="H78" s="831" t="str">
        <f>IF(COUNT(H76,H80)=2,IF(H76&gt;H80,G76,G80),"")</f>
        <v/>
      </c>
      <c r="I78" s="862" t="str">
        <f>IF(H78="-",0,IF(H86="-",13,""))</f>
        <v/>
      </c>
      <c r="J78" s="820"/>
      <c r="K78" s="836"/>
      <c r="L78" s="836"/>
      <c r="M78" s="808"/>
      <c r="N78" s="808"/>
      <c r="O78" s="808"/>
      <c r="P78" s="855" t="s">
        <v>298</v>
      </c>
    </row>
    <row r="79" spans="1:16" hidden="1" x14ac:dyDescent="0.2">
      <c r="B79" s="817"/>
      <c r="C79" s="866">
        <v>101</v>
      </c>
      <c r="D79" s="831" t="str">
        <f>IF(COUNT(D78,D80)=2,IF(D78&gt;D80,C78,C80),"")</f>
        <v/>
      </c>
      <c r="E79" s="832"/>
      <c r="F79" s="867" t="str">
        <f>IF(D79="-",0,IF(E77="-",13,""))</f>
        <v/>
      </c>
      <c r="G79" s="844">
        <v>401</v>
      </c>
      <c r="H79" s="868"/>
      <c r="I79" s="848">
        <v>601</v>
      </c>
      <c r="J79" s="831" t="str">
        <f>IF(COUNT(J75,J82)=2,IF(J75&gt;J82,I75,I82),"")</f>
        <v/>
      </c>
      <c r="K79" s="862" t="str">
        <f>IF(J79="-",0,IF(J95="-",13,""))</f>
        <v/>
      </c>
      <c r="L79" s="836"/>
      <c r="M79" s="808"/>
      <c r="N79" s="808"/>
      <c r="O79" s="808"/>
      <c r="P79" s="808"/>
    </row>
    <row r="80" spans="1:16" hidden="1" x14ac:dyDescent="0.2">
      <c r="B80" s="861" t="s">
        <v>588</v>
      </c>
      <c r="C80" s="821" t="str">
        <f>IF(COUNT(C45,C47)=2,IF(C45&lt;C47,B45,B47),"")</f>
        <v/>
      </c>
      <c r="D80" s="822" t="str">
        <f>IF(C80="-",0,IF(C78="-",13,""))</f>
        <v/>
      </c>
      <c r="E80" s="869"/>
      <c r="F80" s="870">
        <v>301</v>
      </c>
      <c r="G80" s="871" t="str">
        <f>IF(COUNT(G78,G82)=2,IF(G78&gt;G82,F78,F82),"")</f>
        <v/>
      </c>
      <c r="H80" s="862" t="str">
        <f>IF(G80="-",0,IF(G76="-",13,""))</f>
        <v/>
      </c>
      <c r="I80" s="836"/>
      <c r="J80" s="843"/>
      <c r="K80" s="872" t="s">
        <v>607</v>
      </c>
      <c r="L80" s="871" t="str">
        <f>IF(COUNT(L73,L87)=2,IF(L73&gt;L87,K73,K87),"")</f>
        <v/>
      </c>
      <c r="M80" s="827" t="str">
        <f>IF(L80="-",0,IF(K40="-",13,""))</f>
        <v/>
      </c>
      <c r="N80" s="808"/>
      <c r="O80" s="808"/>
      <c r="P80" s="808"/>
    </row>
    <row r="81" spans="2:16" hidden="1" x14ac:dyDescent="0.2">
      <c r="B81" s="808"/>
      <c r="C81" s="808"/>
      <c r="D81" s="861" t="s">
        <v>342</v>
      </c>
      <c r="E81" s="808" t="str">
        <f>IF(COUNT(E25,E29)=2,IF(E25&lt;E29,C25,C29),"")</f>
        <v/>
      </c>
      <c r="F81" s="862" t="str">
        <f>IF(E81="-",0,IF(D83="-",13,""))</f>
        <v/>
      </c>
      <c r="G81" s="815"/>
      <c r="H81" s="836"/>
      <c r="I81" s="836"/>
      <c r="J81" s="845"/>
      <c r="K81" s="873"/>
      <c r="L81" s="820"/>
      <c r="M81" s="808"/>
      <c r="N81" s="808"/>
      <c r="O81" s="808"/>
      <c r="P81" s="808"/>
    </row>
    <row r="82" spans="2:16" hidden="1" x14ac:dyDescent="0.2">
      <c r="B82" s="861" t="s">
        <v>589</v>
      </c>
      <c r="C82" s="820" t="str">
        <f>IF(COUNT(C49,C51)=2,IF(C49&lt;C51,B49,B51),"")</f>
        <v/>
      </c>
      <c r="D82" s="814" t="str">
        <f>IF(C82="-",0,IF(C84="-",13,""))</f>
        <v/>
      </c>
      <c r="E82" s="874">
        <v>202</v>
      </c>
      <c r="F82" s="871" t="str">
        <f>IF(COUNT(F81,F83)=2,IF(F81&gt;F83,E81,D83),"")</f>
        <v/>
      </c>
      <c r="G82" s="814" t="str">
        <f>IF(F82="-",0,IF(F78="-",13,""))</f>
        <v/>
      </c>
      <c r="H82" s="844">
        <v>501</v>
      </c>
      <c r="I82" s="871" t="str">
        <f>IF(COUNT(I78,I86)=2,IF(I78&gt;I86,H78,H86),"")</f>
        <v/>
      </c>
      <c r="J82" s="862" t="str">
        <f>IF(I82="-",0,IF(I75="-",13,""))</f>
        <v/>
      </c>
      <c r="K82" s="873"/>
      <c r="L82" s="820"/>
      <c r="M82" s="817">
        <v>601</v>
      </c>
      <c r="N82" s="808" t="str">
        <f>IF(COUNT(J75,J82)=2,IF(J75&lt;J82,I75,I82),"")</f>
        <v/>
      </c>
      <c r="O82" s="827" t="str">
        <f>IF(N82="-",0,IF(N84="-",13,""))</f>
        <v/>
      </c>
      <c r="P82" s="820"/>
    </row>
    <row r="83" spans="2:16" ht="13.5" hidden="1" thickBot="1" x14ac:dyDescent="0.25">
      <c r="B83" s="817"/>
      <c r="C83" s="866">
        <v>102</v>
      </c>
      <c r="D83" s="831" t="str">
        <f>IF(COUNT(D82,D84)=2,IF(D82&gt;D84,C82,C84),"")</f>
        <v/>
      </c>
      <c r="E83" s="832"/>
      <c r="F83" s="834" t="str">
        <f>IF(D83="-",0,IF(E81="-",13,""))</f>
        <v/>
      </c>
      <c r="G83" s="808"/>
      <c r="H83" s="808"/>
      <c r="I83" s="843"/>
      <c r="J83" s="808"/>
      <c r="K83" s="873"/>
      <c r="L83" s="820"/>
      <c r="M83" s="808"/>
      <c r="N83" s="839"/>
      <c r="O83" s="819"/>
      <c r="P83" s="852" t="str">
        <f>IF(COUNT(O82,O84)=2,IF(O82&gt;O84,N82,N84),"")</f>
        <v/>
      </c>
    </row>
    <row r="84" spans="2:16" hidden="1" x14ac:dyDescent="0.2">
      <c r="B84" s="861" t="s">
        <v>591</v>
      </c>
      <c r="C84" s="821" t="str">
        <f>IF(COUNT(C53,C55)=2,IF(C53&lt;C55,B53,B55),"")</f>
        <v/>
      </c>
      <c r="D84" s="822" t="str">
        <f>IF(C84="-",0,IF(C82="-",13,""))</f>
        <v/>
      </c>
      <c r="E84" s="869"/>
      <c r="F84" s="864" t="s">
        <v>353</v>
      </c>
      <c r="G84" s="815" t="str">
        <f>IF(COUNT(G44,G52)=2,IF(G44&lt;G52,E44,E52),"")</f>
        <v/>
      </c>
      <c r="H84" s="862" t="str">
        <f>IF(G84="-",0,IF(G88="-",13,""))</f>
        <v/>
      </c>
      <c r="I84" s="845"/>
      <c r="J84" s="836"/>
      <c r="K84" s="873"/>
      <c r="L84" s="820"/>
      <c r="M84" s="817">
        <v>602</v>
      </c>
      <c r="N84" s="832" t="str">
        <f>IF(COUNT(J91,J98)=2,IF(J91&lt;J98,I91,I98),"")</f>
        <v/>
      </c>
      <c r="O84" s="875" t="str">
        <f>IF(N84="-",0,IF(N82="-",13,""))</f>
        <v/>
      </c>
      <c r="P84" s="876" t="s">
        <v>299</v>
      </c>
    </row>
    <row r="85" spans="2:16" hidden="1" x14ac:dyDescent="0.2">
      <c r="B85" s="817"/>
      <c r="C85" s="820"/>
      <c r="D85" s="861" t="s">
        <v>337</v>
      </c>
      <c r="E85" s="808" t="str">
        <f>IF(COUNT(E18,E21)=2,IF(E18&lt;E21,C17,C21),"")</f>
        <v/>
      </c>
      <c r="F85" s="827" t="str">
        <f>IF(E85="-",0,IF(D87="-",13,""))</f>
        <v/>
      </c>
      <c r="G85" s="839"/>
      <c r="H85" s="840"/>
      <c r="I85" s="845"/>
      <c r="J85" s="836"/>
      <c r="K85" s="873"/>
      <c r="L85" s="820"/>
      <c r="M85" s="808"/>
      <c r="N85" s="808"/>
      <c r="O85" s="808"/>
      <c r="P85" s="820"/>
    </row>
    <row r="86" spans="2:16" ht="13.5" hidden="1" thickBot="1" x14ac:dyDescent="0.25">
      <c r="B86" s="861" t="s">
        <v>592</v>
      </c>
      <c r="C86" s="808" t="str">
        <f>IF(COUNT(C57,C59)=2,IF(C57&lt;C59,B57,B59),"")</f>
        <v/>
      </c>
      <c r="D86" s="814" t="str">
        <f>IF(C86="-",0,IF(C88="-",13,""))</f>
        <v/>
      </c>
      <c r="E86" s="865">
        <v>203</v>
      </c>
      <c r="F86" s="831" t="str">
        <f>IF(COUNT(F85,F87)=2,IF(F85&gt;F87,E85,D87),"")</f>
        <v/>
      </c>
      <c r="G86" s="814" t="str">
        <f>IF(F86="-",0,IF(F90="-",13,""))</f>
        <v/>
      </c>
      <c r="H86" s="871" t="str">
        <f>IF(COUNT(H84,H88)=2,IF(H84&gt;H88,G84,G88),"")</f>
        <v/>
      </c>
      <c r="I86" s="834" t="str">
        <f>IF(H86="-",0,IF(H78="-",13,""))</f>
        <v/>
      </c>
      <c r="J86" s="836"/>
      <c r="K86" s="877"/>
      <c r="L86" s="820"/>
      <c r="M86" s="808"/>
      <c r="N86" s="820"/>
      <c r="O86" s="808"/>
      <c r="P86" s="878" t="str">
        <f>IF(COUNT(O82,O84)=2,IF(O82&lt;O84,N82,N84),"")</f>
        <v/>
      </c>
    </row>
    <row r="87" spans="2:16" hidden="1" x14ac:dyDescent="0.2">
      <c r="B87" s="817"/>
      <c r="C87" s="866">
        <v>103</v>
      </c>
      <c r="D87" s="831" t="str">
        <f>IF(COUNT(D86,D88)=2,IF(D86&gt;D88,C86,C88),"")</f>
        <v/>
      </c>
      <c r="E87" s="832"/>
      <c r="F87" s="867" t="str">
        <f>IF(D87="-",0,IF(E85="-",13,""))</f>
        <v/>
      </c>
      <c r="G87" s="844">
        <v>402</v>
      </c>
      <c r="H87" s="854"/>
      <c r="I87" s="820"/>
      <c r="J87" s="848" t="s">
        <v>606</v>
      </c>
      <c r="K87" s="871" t="str">
        <f>IF(COUNT(K79,K95)=2,IF(K79&gt;K95,J79,J95),"")</f>
        <v/>
      </c>
      <c r="L87" s="834" t="str">
        <f>IF(K87="-",0,IF(K73="-",13,""))</f>
        <v/>
      </c>
      <c r="M87" s="808"/>
      <c r="N87" s="808"/>
      <c r="O87" s="820"/>
      <c r="P87" s="876" t="s">
        <v>297</v>
      </c>
    </row>
    <row r="88" spans="2:16" hidden="1" x14ac:dyDescent="0.2">
      <c r="B88" s="861" t="s">
        <v>594</v>
      </c>
      <c r="C88" s="821" t="str">
        <f>IF(COUNT(C61,C63)=2,IF(C61&lt;C63,B61,B63),"")</f>
        <v/>
      </c>
      <c r="D88" s="822" t="str">
        <f>IF(C88="-",0,IF(C86="-",13,""))</f>
        <v/>
      </c>
      <c r="E88" s="869"/>
      <c r="F88" s="870">
        <v>302</v>
      </c>
      <c r="G88" s="871" t="str">
        <f>IF(COUNT(G86,G90)=2,IF(G86&gt;G90,F86,F90),"")</f>
        <v/>
      </c>
      <c r="H88" s="827" t="str">
        <f>IF(G88="-",0,IF(G84="-",13,""))</f>
        <v/>
      </c>
      <c r="I88" s="820"/>
      <c r="J88" s="836"/>
      <c r="K88" s="845"/>
      <c r="L88" s="820"/>
      <c r="M88" s="808"/>
      <c r="N88" s="808"/>
      <c r="O88" s="820"/>
      <c r="P88" s="876"/>
    </row>
    <row r="89" spans="2:16" hidden="1" x14ac:dyDescent="0.2">
      <c r="B89" s="817"/>
      <c r="C89" s="837"/>
      <c r="D89" s="861" t="s">
        <v>338</v>
      </c>
      <c r="E89" s="820" t="str">
        <f>IF(COUNT(E9,E13)=2,IF(E9&lt;E13,C9,C13),"")</f>
        <v/>
      </c>
      <c r="F89" s="862" t="str">
        <f>IF(E89="-",0,IF(D91="-",13,""))</f>
        <v/>
      </c>
      <c r="G89" s="815"/>
      <c r="H89" s="820"/>
      <c r="I89" s="820"/>
      <c r="J89" s="828"/>
      <c r="K89" s="845"/>
      <c r="L89" s="820"/>
      <c r="M89" s="837">
        <v>501</v>
      </c>
      <c r="N89" s="808" t="str">
        <f>IF(COUNT(I78,I86)=2,IF(I78&lt;I86,H78,H86),"")</f>
        <v/>
      </c>
      <c r="O89" s="827" t="str">
        <f>IF(N89="-",0,IF(N91="-",13,""))</f>
        <v/>
      </c>
      <c r="P89" s="820"/>
    </row>
    <row r="90" spans="2:16" ht="13.5" hidden="1" thickBot="1" x14ac:dyDescent="0.25">
      <c r="B90" s="861" t="s">
        <v>597</v>
      </c>
      <c r="C90" s="820" t="str">
        <f>IF(COUNT(C65,C67)=2,IF(C65&lt;C67,B65,B67),"")</f>
        <v/>
      </c>
      <c r="D90" s="814" t="str">
        <f>IF(C90="-",0,IF(C92="-",13,""))</f>
        <v/>
      </c>
      <c r="E90" s="865">
        <v>204</v>
      </c>
      <c r="F90" s="871" t="str">
        <f>IF(COUNT(F89,F91)=2,IF(F89&gt;F91,E89,D91),"")</f>
        <v/>
      </c>
      <c r="G90" s="814" t="str">
        <f>IF(F90="-",0,IF(F86="-",13,""))</f>
        <v/>
      </c>
      <c r="H90" s="808"/>
      <c r="I90" s="808"/>
      <c r="J90" s="836"/>
      <c r="K90" s="845"/>
      <c r="L90" s="820"/>
      <c r="M90" s="808"/>
      <c r="N90" s="839"/>
      <c r="O90" s="819"/>
      <c r="P90" s="852" t="str">
        <f>IF(COUNT(O89,O91)=2,IF(O89&gt;O91,N89,N91),"")</f>
        <v/>
      </c>
    </row>
    <row r="91" spans="2:16" hidden="1" x14ac:dyDescent="0.2">
      <c r="B91" s="817"/>
      <c r="C91" s="866">
        <v>104</v>
      </c>
      <c r="D91" s="831" t="str">
        <f>IF(COUNT(D90,D92)=2,IF(D90&gt;D92,C90,C92),"")</f>
        <v/>
      </c>
      <c r="E91" s="832"/>
      <c r="F91" s="834" t="str">
        <f>IF(D91="-",0,IF(E89="-",13,""))</f>
        <v/>
      </c>
      <c r="G91" s="808"/>
      <c r="H91" s="864" t="s">
        <v>349</v>
      </c>
      <c r="I91" s="821" t="str">
        <f>IF(COUNT(I48,I64)=2,IF(I48&lt;I64,G48,G64),"")</f>
        <v/>
      </c>
      <c r="J91" s="814" t="str">
        <f>IF(I91="-",0,IF(I98="-",13,""))</f>
        <v/>
      </c>
      <c r="K91" s="845"/>
      <c r="L91" s="820"/>
      <c r="M91" s="837">
        <v>502</v>
      </c>
      <c r="N91" s="832" t="str">
        <f>IF(COUNT(I94,I102)=2,IF(I94&lt;I102,H94,H102),"")</f>
        <v/>
      </c>
      <c r="O91" s="875" t="str">
        <f>IF(N91="-",0,IF(N89="-",13,""))</f>
        <v/>
      </c>
      <c r="P91" s="876" t="s">
        <v>305</v>
      </c>
    </row>
    <row r="92" spans="2:16" hidden="1" x14ac:dyDescent="0.2">
      <c r="B92" s="861" t="s">
        <v>603</v>
      </c>
      <c r="C92" s="821" t="str">
        <f>IF(COUNT(C69,C71)=2,IF(C69&lt;C71,B69,B71),"")</f>
        <v/>
      </c>
      <c r="D92" s="822" t="str">
        <f>IF(C92="-",0,IF(C90="-",13,""))</f>
        <v/>
      </c>
      <c r="E92" s="869"/>
      <c r="F92" s="864" t="s">
        <v>347</v>
      </c>
      <c r="G92" s="815" t="str">
        <f>IF(COUNT(G27,G35)=2,IF(G27&lt;G35,E27,E35),"")</f>
        <v/>
      </c>
      <c r="H92" s="827" t="str">
        <f>IF(G92="-",0,IF(G96="-",13,""))</f>
        <v/>
      </c>
      <c r="I92" s="839"/>
      <c r="J92" s="820"/>
      <c r="K92" s="845"/>
      <c r="L92" s="820"/>
      <c r="M92" s="808"/>
      <c r="N92" s="808"/>
      <c r="O92" s="808"/>
      <c r="P92" s="820"/>
    </row>
    <row r="93" spans="2:16" ht="13.5" hidden="1" thickBot="1" x14ac:dyDescent="0.25">
      <c r="B93" s="817"/>
      <c r="C93" s="808"/>
      <c r="D93" s="861" t="s">
        <v>608</v>
      </c>
      <c r="E93" s="808" t="str">
        <f>IF(COUNT(E66,E70)=2,IF(E66&lt;E70,C66,C70),"")</f>
        <v/>
      </c>
      <c r="F93" s="827" t="str">
        <f>IF(E93="-",0,IF(D95="-",13,""))</f>
        <v/>
      </c>
      <c r="G93" s="839"/>
      <c r="H93" s="824"/>
      <c r="I93" s="828"/>
      <c r="J93" s="820"/>
      <c r="K93" s="845"/>
      <c r="L93" s="820"/>
      <c r="M93" s="808"/>
      <c r="N93" s="808"/>
      <c r="O93" s="808"/>
      <c r="P93" s="878" t="str">
        <f>IF(COUNT(O89,O91)=2,IF(O89&lt;O91,N89,N91),"")</f>
        <v/>
      </c>
    </row>
    <row r="94" spans="2:16" hidden="1" x14ac:dyDescent="0.2">
      <c r="B94" s="861" t="s">
        <v>336</v>
      </c>
      <c r="C94" s="808" t="str">
        <f>IF(COUNT(C8,C10)=2,IF(C8&lt;C10,B8,B10),"")</f>
        <v/>
      </c>
      <c r="D94" s="814" t="str">
        <f>IF(C94="-",0,IF(C96="-",13,""))</f>
        <v/>
      </c>
      <c r="E94" s="865">
        <v>205</v>
      </c>
      <c r="F94" s="831" t="str">
        <f>IF(COUNT(F93,F95)=2,IF(F93&gt;F95,E93,D95),"")</f>
        <v/>
      </c>
      <c r="G94" s="814" t="str">
        <f>IF(F94="-",0,IF(F98="-",13,""))</f>
        <v/>
      </c>
      <c r="H94" s="831" t="str">
        <f>IF(COUNT(H92,H96)=2,IF(H92&gt;H96,G92,G96),"")</f>
        <v/>
      </c>
      <c r="I94" s="862" t="str">
        <f>IF(H94="-",0,IF(H102="-",13,""))</f>
        <v/>
      </c>
      <c r="J94" s="820"/>
      <c r="K94" s="845"/>
      <c r="L94" s="835"/>
      <c r="M94" s="808"/>
      <c r="N94" s="808"/>
      <c r="O94" s="820"/>
      <c r="P94" s="876" t="s">
        <v>301</v>
      </c>
    </row>
    <row r="95" spans="2:16" hidden="1" x14ac:dyDescent="0.2">
      <c r="B95" s="817"/>
      <c r="C95" s="866">
        <v>105</v>
      </c>
      <c r="D95" s="831" t="str">
        <f>IF(COUNT(D94,D96)=2,IF(D94&gt;D96,C94,C96),"")</f>
        <v/>
      </c>
      <c r="E95" s="832"/>
      <c r="F95" s="867" t="str">
        <f>IF(D95="-",0,IF(E93="-",13,""))</f>
        <v/>
      </c>
      <c r="G95" s="844">
        <v>403</v>
      </c>
      <c r="H95" s="868"/>
      <c r="I95" s="848">
        <v>602</v>
      </c>
      <c r="J95" s="831" t="str">
        <f>IF(COUNT(J91,J98)=2,IF(J91&gt;J98,I91,I98),"")</f>
        <v/>
      </c>
      <c r="K95" s="834" t="str">
        <f>IF(J95="-",0,IF(J79="-",13,""))</f>
        <v/>
      </c>
      <c r="L95" s="808"/>
      <c r="M95" s="808"/>
      <c r="N95" s="808"/>
      <c r="O95" s="808"/>
      <c r="P95" s="808"/>
    </row>
    <row r="96" spans="2:16" hidden="1" x14ac:dyDescent="0.2">
      <c r="B96" s="861" t="s">
        <v>339</v>
      </c>
      <c r="C96" s="821" t="str">
        <f>IF(COUNT(C12,C14)=2,IF(C12&lt;C14,B12,B14),"")</f>
        <v/>
      </c>
      <c r="D96" s="822" t="str">
        <f>IF(C96="-",0,IF(C94="-",13,""))</f>
        <v/>
      </c>
      <c r="E96" s="879"/>
      <c r="F96" s="870">
        <v>303</v>
      </c>
      <c r="G96" s="871" t="str">
        <f>IF(COUNT(G94,G98)=2,IF(G94&gt;G98,F94,F98),"")</f>
        <v/>
      </c>
      <c r="H96" s="862" t="str">
        <f>IF(G96="-",0,IF(G92="-",13,""))</f>
        <v/>
      </c>
      <c r="I96" s="836"/>
      <c r="J96" s="843"/>
      <c r="K96" s="808"/>
      <c r="L96" s="808"/>
      <c r="M96" s="808"/>
      <c r="N96" s="808"/>
      <c r="O96" s="808"/>
      <c r="P96" s="808"/>
    </row>
    <row r="97" spans="1:16" hidden="1" x14ac:dyDescent="0.2">
      <c r="B97" s="808"/>
      <c r="C97" s="808"/>
      <c r="D97" s="861" t="s">
        <v>609</v>
      </c>
      <c r="E97" s="821" t="str">
        <f>IF(COUNT(E58,E62)=2,IF(E58&lt;E62,C58,C62),"")</f>
        <v/>
      </c>
      <c r="F97" s="862" t="str">
        <f>IF(E97="-",0,IF(D99="-",13,""))</f>
        <v/>
      </c>
      <c r="G97" s="815"/>
      <c r="H97" s="836"/>
      <c r="I97" s="836"/>
      <c r="J97" s="845"/>
    </row>
    <row r="98" spans="1:16" hidden="1" x14ac:dyDescent="0.2">
      <c r="B98" s="861" t="s">
        <v>340</v>
      </c>
      <c r="C98" s="820" t="str">
        <f>IF(COUNT(C16,C18)=2,IF(C16&lt;C18,B16,B18),"")</f>
        <v/>
      </c>
      <c r="D98" s="814" t="str">
        <f>IF(C98="-",0,IF(C100="-",13,""))</f>
        <v/>
      </c>
      <c r="E98" s="844">
        <v>206</v>
      </c>
      <c r="F98" s="871" t="str">
        <f>IF(COUNT(F97,F99)=2,IF(F97&gt;F99,E97,D99),"")</f>
        <v/>
      </c>
      <c r="G98" s="814" t="str">
        <f>IF(F98="-",0,IF(F94="-",13,""))</f>
        <v/>
      </c>
      <c r="H98" s="844">
        <v>502</v>
      </c>
      <c r="I98" s="871" t="str">
        <f>IF(COUNT(I94,I102)=2,IF(I94&gt;I102,H94,H102),"")</f>
        <v/>
      </c>
      <c r="J98" s="834" t="str">
        <f>IF(I98="-",0,IF(I91="-",13,""))</f>
        <v/>
      </c>
    </row>
    <row r="99" spans="1:16" hidden="1" x14ac:dyDescent="0.2">
      <c r="B99" s="817"/>
      <c r="C99" s="866">
        <v>106</v>
      </c>
      <c r="D99" s="831" t="str">
        <f>IF(COUNT(D98,D100)=2,IF(D98&gt;D100,C98,C100),"")</f>
        <v/>
      </c>
      <c r="E99" s="832"/>
      <c r="F99" s="834" t="str">
        <f>IF(D99="-",0,IF(E97="-",13,""))</f>
        <v/>
      </c>
      <c r="G99" s="808"/>
      <c r="H99" s="808"/>
      <c r="I99" s="843"/>
      <c r="J99" s="820"/>
    </row>
    <row r="100" spans="1:16" hidden="1" x14ac:dyDescent="0.2">
      <c r="B100" s="861" t="s">
        <v>343</v>
      </c>
      <c r="C100" s="821" t="str">
        <f>IF(COUNT(C20,C22)=2,IF(C20&lt;C22,B20,B22),"")</f>
        <v/>
      </c>
      <c r="D100" s="822" t="str">
        <f>IF(C100="-",0,IF(C98="-",13,""))</f>
        <v/>
      </c>
      <c r="E100" s="869"/>
      <c r="F100" s="864" t="s">
        <v>348</v>
      </c>
      <c r="G100" s="815" t="str">
        <f>IF(COUNT(G11,G19)=2,IF(G11&lt;G19,E11,E19),"")</f>
        <v/>
      </c>
      <c r="H100" s="862" t="str">
        <f>IF(G100="-",0,IF(G104="-",13,""))</f>
        <v/>
      </c>
      <c r="I100" s="845"/>
      <c r="J100" s="820"/>
    </row>
    <row r="101" spans="1:16" hidden="1" x14ac:dyDescent="0.2">
      <c r="B101" s="817"/>
      <c r="C101" s="820"/>
      <c r="D101" s="861" t="s">
        <v>590</v>
      </c>
      <c r="E101" s="808" t="str">
        <f>IF(COUNT(E50,E54)=2,IF(E50&lt;E54,C50,C54),"")</f>
        <v/>
      </c>
      <c r="F101" s="827" t="str">
        <f>IF(E101="-",0,IF(D103="-",13,""))</f>
        <v/>
      </c>
      <c r="G101" s="823"/>
      <c r="H101" s="840"/>
      <c r="I101" s="845"/>
      <c r="J101" s="820"/>
    </row>
    <row r="102" spans="1:16" hidden="1" x14ac:dyDescent="0.2">
      <c r="B102" s="861" t="s">
        <v>360</v>
      </c>
      <c r="C102" s="808" t="str">
        <f>IF(COUNT(C24,C26)=2,IF(C24&lt;C26,B24,B26),"")</f>
        <v/>
      </c>
      <c r="D102" s="814" t="str">
        <f>IF(C102="-",0,IF(C104="-",13,""))</f>
        <v/>
      </c>
      <c r="E102" s="865">
        <v>207</v>
      </c>
      <c r="F102" s="831" t="str">
        <f>IF(COUNT(F101,F103)=2,IF(F101&gt;F103,E101,D103),"")</f>
        <v/>
      </c>
      <c r="G102" s="814" t="str">
        <f>IF(F102="-",0,IF(F106="-",13,""))</f>
        <v/>
      </c>
      <c r="H102" s="871" t="str">
        <f>IF(COUNT(H100,H104)=2,IF(H100&gt;H104,G100,G104),"")</f>
        <v/>
      </c>
      <c r="I102" s="834" t="str">
        <f>IF(H102="-",0,IF(H94="-",13,""))</f>
        <v/>
      </c>
      <c r="J102" s="820"/>
    </row>
    <row r="103" spans="1:16" hidden="1" x14ac:dyDescent="0.2">
      <c r="B103" s="817"/>
      <c r="C103" s="866">
        <v>107</v>
      </c>
      <c r="D103" s="831" t="str">
        <f>IF(COUNT(D102,D104)=2,IF(D102&gt;D104,C102,C104),"")</f>
        <v/>
      </c>
      <c r="E103" s="832"/>
      <c r="F103" s="867" t="str">
        <f>IF(D103="-",0,IF(E101="-",13,""))</f>
        <v/>
      </c>
      <c r="G103" s="844">
        <v>404</v>
      </c>
      <c r="H103" s="854"/>
      <c r="I103" s="820"/>
      <c r="J103" s="820"/>
    </row>
    <row r="104" spans="1:16" hidden="1" x14ac:dyDescent="0.2">
      <c r="B104" s="861" t="s">
        <v>584</v>
      </c>
      <c r="C104" s="821" t="str">
        <f>IF(COUNT(C28,C30)=2,IF(C28&lt;C30,B28,B30),"")</f>
        <v/>
      </c>
      <c r="D104" s="822" t="str">
        <f>IF(C104="-",0,IF(C102="-",13,""))</f>
        <v/>
      </c>
      <c r="E104" s="869"/>
      <c r="F104" s="870">
        <v>304</v>
      </c>
      <c r="G104" s="871" t="str">
        <f>IF(COUNT(G102,G106)=2,IF(G102&gt;G106,F102,F106),"")</f>
        <v/>
      </c>
      <c r="H104" s="827" t="str">
        <f>IF(G104="-",0,IF(G100="-",13,""))</f>
        <v/>
      </c>
      <c r="I104" s="820"/>
      <c r="J104" s="808"/>
    </row>
    <row r="105" spans="1:16" hidden="1" x14ac:dyDescent="0.2">
      <c r="B105" s="817"/>
      <c r="C105" s="820"/>
      <c r="D105" s="861" t="s">
        <v>362</v>
      </c>
      <c r="E105" s="821" t="str">
        <f>IF(COUNT(E42,E47)=2,IF(E42&lt;E47,C42,C46),"")</f>
        <v/>
      </c>
      <c r="F105" s="862" t="str">
        <f>IF(E105="-",0,IF(D107="-",13,""))</f>
        <v/>
      </c>
      <c r="G105" s="815"/>
      <c r="H105" s="835"/>
      <c r="I105" s="820"/>
      <c r="J105" s="808"/>
    </row>
    <row r="106" spans="1:16" hidden="1" x14ac:dyDescent="0.2">
      <c r="B106" s="861" t="s">
        <v>585</v>
      </c>
      <c r="C106" s="820" t="str">
        <f>IF(COUNT(C32,C34)=2,IF(C32&lt;C34,B32,B34),"")</f>
        <v/>
      </c>
      <c r="D106" s="814" t="str">
        <f>IF(C106="-",0,IF(C108="-",13,""))</f>
        <v/>
      </c>
      <c r="E106" s="844">
        <v>208</v>
      </c>
      <c r="F106" s="871" t="str">
        <f>IF(COUNT(F105,F107)=2,IF(F105&gt;F107,E105,D107),"")</f>
        <v/>
      </c>
      <c r="G106" s="814" t="str">
        <f>IF(F106="-",0,IF(F102="-",13,""))</f>
        <v/>
      </c>
      <c r="H106" s="876"/>
      <c r="I106" s="820"/>
      <c r="J106" s="815"/>
    </row>
    <row r="107" spans="1:16" hidden="1" x14ac:dyDescent="0.2">
      <c r="B107" s="817"/>
      <c r="C107" s="866">
        <v>108</v>
      </c>
      <c r="D107" s="831" t="str">
        <f>IF(COUNT(D106,D108)=2,IF(D106&gt;D108,C106,C108),"")</f>
        <v/>
      </c>
      <c r="E107" s="832"/>
      <c r="F107" s="834" t="str">
        <f>IF(D107="-",0,IF(E105="-",13,""))</f>
        <v/>
      </c>
      <c r="G107" s="808"/>
      <c r="H107" s="820"/>
      <c r="I107" s="820"/>
      <c r="J107" s="808"/>
    </row>
    <row r="108" spans="1:16" hidden="1" x14ac:dyDescent="0.2">
      <c r="B108" s="861" t="s">
        <v>586</v>
      </c>
      <c r="C108" s="821" t="str">
        <f>IF(COUNT(C36,C38)=2,IF(C36&lt;C38,B36,B38),"")</f>
        <v/>
      </c>
      <c r="D108" s="822" t="str">
        <f>IF(C108="-",0,IF(C106="-",13,""))</f>
        <v/>
      </c>
      <c r="E108" s="869"/>
      <c r="F108" s="835"/>
      <c r="G108" s="815"/>
      <c r="H108" s="808"/>
      <c r="I108" s="808"/>
      <c r="J108" s="808"/>
    </row>
    <row r="109" spans="1:16" hidden="1" x14ac:dyDescent="0.2"/>
    <row r="110" spans="1:16" hidden="1" x14ac:dyDescent="0.2">
      <c r="A110" s="860" t="s">
        <v>610</v>
      </c>
      <c r="B110" s="808"/>
      <c r="C110" s="820"/>
      <c r="D110" s="820"/>
      <c r="E110" s="835"/>
      <c r="F110" s="835"/>
      <c r="J110" s="813">
        <v>401</v>
      </c>
      <c r="K110" s="808" t="str">
        <f>IF(COUNT(H76,H80)=2,IF(H76&lt;H80,G76,G80),"")</f>
        <v/>
      </c>
      <c r="L110" s="814" t="str">
        <f>IF(K110="-",0,IF(K112="-",13,""))</f>
        <v/>
      </c>
      <c r="N110" s="815"/>
    </row>
    <row r="111" spans="1:16" hidden="1" x14ac:dyDescent="0.2">
      <c r="B111" s="808"/>
      <c r="C111" s="808"/>
      <c r="D111" s="808"/>
      <c r="E111" s="808"/>
      <c r="F111" s="808"/>
      <c r="J111" s="817"/>
      <c r="K111" s="880">
        <v>411</v>
      </c>
      <c r="L111" s="831" t="str">
        <f>IF(COUNT(L110,L112)=2,IF(L110&gt;L112,K110,K112),"")</f>
        <v/>
      </c>
      <c r="N111" s="827" t="str">
        <f>IF(L111="-",0,IF(L115="-",13,""))</f>
        <v/>
      </c>
      <c r="O111" s="808"/>
      <c r="P111" s="808"/>
    </row>
    <row r="112" spans="1:16" hidden="1" x14ac:dyDescent="0.2">
      <c r="B112" s="808"/>
      <c r="C112" s="808"/>
      <c r="D112" s="808"/>
      <c r="E112" s="808"/>
      <c r="F112" s="808"/>
      <c r="J112" s="817">
        <v>402</v>
      </c>
      <c r="K112" s="832" t="str">
        <f>IF(COUNT(H84,H88)=2,IF(H84&lt;H88,G84,G88),"")</f>
        <v/>
      </c>
      <c r="L112" s="822" t="str">
        <f>IF(K112="-",0,IF(K110="-",13,""))</f>
        <v/>
      </c>
      <c r="M112" s="881"/>
      <c r="N112" s="824"/>
    </row>
    <row r="113" spans="1:16" ht="13.5" hidden="1" thickBot="1" x14ac:dyDescent="0.25">
      <c r="J113" s="817"/>
      <c r="K113" s="808"/>
      <c r="L113" s="820"/>
      <c r="M113" s="833"/>
      <c r="N113" s="838"/>
      <c r="P113" s="852" t="str">
        <f>IF(COUNT(N111,N115)=2,IF(N111&gt;N115,L111,L115),"")</f>
        <v/>
      </c>
    </row>
    <row r="114" spans="1:16" hidden="1" x14ac:dyDescent="0.2">
      <c r="J114" s="817">
        <v>403</v>
      </c>
      <c r="K114" s="808" t="str">
        <f>IF(COUNT(H92,H96)=2,IF(H92&lt;H96,G92,G96),"")</f>
        <v/>
      </c>
      <c r="L114" s="814" t="str">
        <f>IF(K114="-",0,IF(K116="-",13,""))</f>
        <v/>
      </c>
      <c r="M114" s="833"/>
      <c r="N114" s="842"/>
      <c r="O114" s="829"/>
      <c r="P114" s="855" t="s">
        <v>304</v>
      </c>
    </row>
    <row r="115" spans="1:16" hidden="1" x14ac:dyDescent="0.2">
      <c r="J115" s="817"/>
      <c r="K115" s="880">
        <v>412</v>
      </c>
      <c r="L115" s="831" t="str">
        <f>IF(COUNT(L114,L116)=2,IF(L114&gt;L116,K114,K116),"")</f>
        <v/>
      </c>
      <c r="M115" s="841"/>
      <c r="N115" s="814" t="str">
        <f>IF(L115="-",0,IF(L111="-",13,""))</f>
        <v/>
      </c>
      <c r="O115" s="816"/>
      <c r="P115" s="808"/>
    </row>
    <row r="116" spans="1:16" ht="13.5" hidden="1" thickBot="1" x14ac:dyDescent="0.25">
      <c r="J116" s="817">
        <v>404</v>
      </c>
      <c r="K116" s="832" t="str">
        <f>IF(COUNT(H100,H104)=2,IF(H100&lt;H104,G100,G104),"")</f>
        <v/>
      </c>
      <c r="L116" s="822" t="str">
        <f>IF(K116="-",0,IF(K114="-",13,""))</f>
        <v/>
      </c>
      <c r="N116" s="835"/>
      <c r="O116" s="816"/>
      <c r="P116" s="878" t="str">
        <f>IF(COUNT(N111,N115)=2,IF(N111&lt;N115,L111,L115),"")</f>
        <v/>
      </c>
    </row>
    <row r="117" spans="1:16" hidden="1" x14ac:dyDescent="0.2">
      <c r="J117" s="820"/>
      <c r="K117" s="808"/>
      <c r="L117" s="808"/>
      <c r="N117" s="820"/>
      <c r="O117" s="816"/>
      <c r="P117" s="855" t="s">
        <v>302</v>
      </c>
    </row>
    <row r="118" spans="1:16" hidden="1" x14ac:dyDescent="0.2">
      <c r="J118" s="820"/>
      <c r="K118" s="817">
        <v>411</v>
      </c>
      <c r="L118" s="808" t="str">
        <f>IF(COUNT(L110,L112)=2,IF(L110&lt;L112,K110,K112),"")</f>
        <v/>
      </c>
      <c r="N118" s="814" t="str">
        <f>IF(L118="-",0,IF(L120="-",13,""))</f>
        <v/>
      </c>
      <c r="O118" s="816"/>
      <c r="P118" s="820"/>
    </row>
    <row r="119" spans="1:16" ht="13.5" hidden="1" thickBot="1" x14ac:dyDescent="0.25">
      <c r="J119" s="820"/>
      <c r="K119" s="808"/>
      <c r="L119" s="850"/>
      <c r="M119" s="881"/>
      <c r="N119" s="831"/>
      <c r="O119" s="849"/>
      <c r="P119" s="852" t="str">
        <f>IF(COUNT(N118,N120)=2,IF(N118&gt;N120,L118,L120),"")</f>
        <v/>
      </c>
    </row>
    <row r="120" spans="1:16" hidden="1" x14ac:dyDescent="0.2">
      <c r="J120" s="820"/>
      <c r="K120" s="817">
        <v>412</v>
      </c>
      <c r="L120" s="821" t="str">
        <f>IF(COUNT(L114,L116)=2,IF(L114&lt;L116,K114,K116),"")</f>
        <v/>
      </c>
      <c r="M120" s="841"/>
      <c r="N120" s="834" t="str">
        <f>IF(L120="-",0,IF(L118="-",13,""))</f>
        <v/>
      </c>
      <c r="P120" s="876" t="s">
        <v>303</v>
      </c>
    </row>
    <row r="121" spans="1:16" hidden="1" x14ac:dyDescent="0.2">
      <c r="G121" s="820"/>
      <c r="H121" s="837"/>
      <c r="I121" s="808"/>
      <c r="P121" s="820"/>
    </row>
    <row r="122" spans="1:16" ht="13.5" hidden="1" thickBot="1" x14ac:dyDescent="0.25">
      <c r="G122" s="820"/>
      <c r="H122" s="837"/>
      <c r="I122" s="808"/>
      <c r="J122" s="808"/>
      <c r="P122" s="878" t="str">
        <f>IF(COUNT(N118,N120)=2,IF(N118&lt;N120,L118,L120),"")</f>
        <v/>
      </c>
    </row>
    <row r="123" spans="1:16" hidden="1" x14ac:dyDescent="0.2">
      <c r="G123" s="808"/>
      <c r="H123" s="837"/>
      <c r="I123" s="808"/>
      <c r="J123" s="820"/>
      <c r="P123" s="876" t="s">
        <v>355</v>
      </c>
    </row>
    <row r="124" spans="1:16" hidden="1" x14ac:dyDescent="0.2"/>
    <row r="125" spans="1:16" hidden="1" x14ac:dyDescent="0.2">
      <c r="A125" s="860" t="s">
        <v>611</v>
      </c>
      <c r="B125" s="820"/>
      <c r="C125" s="820"/>
      <c r="D125" s="808"/>
      <c r="E125" s="820"/>
      <c r="J125" s="813">
        <v>301</v>
      </c>
      <c r="K125" s="808" t="str">
        <f>IF(COUNT(G78,G82)=2,IF(G78&lt;G82,F78,F82),"")</f>
        <v/>
      </c>
      <c r="L125" s="814" t="str">
        <f>IF(K125="-",0,IF(K127="-",13,""))</f>
        <v/>
      </c>
      <c r="N125" s="815"/>
    </row>
    <row r="126" spans="1:16" hidden="1" x14ac:dyDescent="0.2">
      <c r="A126" s="808"/>
      <c r="B126" s="808"/>
      <c r="C126" s="808"/>
      <c r="D126" s="808"/>
      <c r="E126" s="808"/>
      <c r="J126" s="817"/>
      <c r="K126" s="880">
        <v>311</v>
      </c>
      <c r="L126" s="831" t="str">
        <f>IF(COUNT(L125,L127)=2,IF(L125&gt;L127,K125,K127),"")</f>
        <v/>
      </c>
      <c r="N126" s="827" t="str">
        <f>IF(L126="-",0,IF(L130="-",13,""))</f>
        <v/>
      </c>
    </row>
    <row r="127" spans="1:16" hidden="1" x14ac:dyDescent="0.2">
      <c r="A127" s="808"/>
      <c r="B127" s="808"/>
      <c r="C127" s="808"/>
      <c r="D127" s="808"/>
      <c r="E127" s="808"/>
      <c r="J127" s="817">
        <v>302</v>
      </c>
      <c r="K127" s="832" t="str">
        <f>IF(COUNT(G86,G90)=2,IF(G86&lt;G90,F86,F90),"")</f>
        <v/>
      </c>
      <c r="L127" s="822" t="str">
        <f>IF(K127="-",0,IF(K125="-",13,""))</f>
        <v/>
      </c>
      <c r="M127" s="881"/>
      <c r="N127" s="824"/>
    </row>
    <row r="128" spans="1:16" ht="13.5" hidden="1" thickBot="1" x14ac:dyDescent="0.25">
      <c r="A128" s="808"/>
      <c r="B128" s="808"/>
      <c r="C128" s="808"/>
      <c r="D128" s="808"/>
      <c r="E128" s="808"/>
      <c r="J128" s="817"/>
      <c r="K128" s="808"/>
      <c r="L128" s="820"/>
      <c r="M128" s="833"/>
      <c r="N128" s="838"/>
      <c r="P128" s="852" t="str">
        <f>IF(COUNT(N126,N130)=2,IF(N126&gt;N130,L126,L130),"")</f>
        <v/>
      </c>
    </row>
    <row r="129" spans="1:16" hidden="1" x14ac:dyDescent="0.2">
      <c r="A129" s="808"/>
      <c r="B129" s="808"/>
      <c r="C129" s="808"/>
      <c r="D129" s="808"/>
      <c r="E129" s="808"/>
      <c r="J129" s="817">
        <v>303</v>
      </c>
      <c r="K129" s="808" t="str">
        <f>IF(COUNT(G94,G98)=2,IF(G94&lt;G98,F94,F98),"")</f>
        <v/>
      </c>
      <c r="L129" s="814" t="str">
        <f>IF(K129="-",0,IF(K131="-",13,""))</f>
        <v/>
      </c>
      <c r="M129" s="833"/>
      <c r="N129" s="842"/>
      <c r="O129" s="829"/>
      <c r="P129" s="855" t="s">
        <v>356</v>
      </c>
    </row>
    <row r="130" spans="1:16" hidden="1" x14ac:dyDescent="0.2">
      <c r="A130" s="808"/>
      <c r="B130" s="808"/>
      <c r="C130" s="808"/>
      <c r="D130" s="808"/>
      <c r="E130" s="808"/>
      <c r="J130" s="817"/>
      <c r="K130" s="880">
        <v>312</v>
      </c>
      <c r="L130" s="831" t="str">
        <f>IF(COUNT(L129,L131)=2,IF(L129&gt;L131,K129,K131),"")</f>
        <v/>
      </c>
      <c r="M130" s="841"/>
      <c r="N130" s="814" t="str">
        <f>IF(L130="-",0,IF(L126="-",13,""))</f>
        <v/>
      </c>
      <c r="O130" s="816"/>
      <c r="P130" s="808"/>
    </row>
    <row r="131" spans="1:16" ht="13.5" hidden="1" thickBot="1" x14ac:dyDescent="0.25">
      <c r="A131" s="808"/>
      <c r="B131" s="808"/>
      <c r="C131" s="808"/>
      <c r="D131" s="808"/>
      <c r="E131" s="808"/>
      <c r="J131" s="817">
        <v>304</v>
      </c>
      <c r="K131" s="832" t="str">
        <f>IF(COUNT(G102,G106)=2,IF(G102&lt;G106,F102,F106),"")</f>
        <v/>
      </c>
      <c r="L131" s="822" t="str">
        <f>IF(K131="-",0,IF(K129="-",13,""))</f>
        <v/>
      </c>
      <c r="N131" s="835"/>
      <c r="O131" s="816"/>
      <c r="P131" s="878" t="str">
        <f>IF(COUNT(N126,N130)=2,IF(N126&lt;N130,L126,L130),"")</f>
        <v/>
      </c>
    </row>
    <row r="132" spans="1:16" hidden="1" x14ac:dyDescent="0.2">
      <c r="A132" s="808"/>
      <c r="B132" s="808"/>
      <c r="C132" s="808"/>
      <c r="D132" s="808"/>
      <c r="E132" s="808"/>
      <c r="J132" s="808"/>
      <c r="K132" s="837"/>
      <c r="L132" s="808"/>
      <c r="N132" s="820"/>
      <c r="O132" s="816"/>
      <c r="P132" s="855" t="s">
        <v>357</v>
      </c>
    </row>
    <row r="133" spans="1:16" hidden="1" x14ac:dyDescent="0.2">
      <c r="A133" s="808"/>
      <c r="B133" s="808"/>
      <c r="C133" s="808"/>
      <c r="D133" s="808"/>
      <c r="E133" s="808"/>
      <c r="J133" s="808"/>
      <c r="K133" s="817">
        <v>311</v>
      </c>
      <c r="L133" s="808" t="str">
        <f>IF(COUNT(L125,L127)=2,IF(L125&lt;L127,K125,K127),"")</f>
        <v/>
      </c>
      <c r="N133" s="814" t="str">
        <f>IF(L133="-",0,IF(L135="-",13,""))</f>
        <v/>
      </c>
      <c r="O133" s="816"/>
      <c r="P133" s="820"/>
    </row>
    <row r="134" spans="1:16" ht="13.5" hidden="1" thickBot="1" x14ac:dyDescent="0.25">
      <c r="A134" s="808"/>
      <c r="B134" s="808"/>
      <c r="C134" s="808"/>
      <c r="D134" s="808"/>
      <c r="E134" s="808"/>
      <c r="J134" s="808"/>
      <c r="K134" s="808"/>
      <c r="L134" s="850"/>
      <c r="M134" s="881"/>
      <c r="N134" s="831"/>
      <c r="O134" s="849"/>
      <c r="P134" s="852" t="str">
        <f>IF(COUNT(N133,N135)=2,IF(N133&gt;N135,L133,L135),"")</f>
        <v/>
      </c>
    </row>
    <row r="135" spans="1:16" hidden="1" x14ac:dyDescent="0.2">
      <c r="A135" s="808"/>
      <c r="B135" s="808"/>
      <c r="C135" s="808"/>
      <c r="D135" s="808"/>
      <c r="E135" s="808"/>
      <c r="J135" s="808"/>
      <c r="K135" s="817">
        <v>312</v>
      </c>
      <c r="L135" s="821" t="str">
        <f>IF(COUNT(L129,L131)=2,IF(L129&lt;L131,K129,K131),"")</f>
        <v/>
      </c>
      <c r="M135" s="841"/>
      <c r="N135" s="834" t="str">
        <f>IF(L135="-",0,IF(L133="-",13,""))</f>
        <v/>
      </c>
      <c r="P135" s="876" t="s">
        <v>358</v>
      </c>
    </row>
    <row r="136" spans="1:16" hidden="1" x14ac:dyDescent="0.2">
      <c r="A136" s="808"/>
      <c r="B136" s="808"/>
      <c r="C136" s="808"/>
      <c r="D136" s="808"/>
      <c r="E136" s="808"/>
      <c r="K136" s="808"/>
      <c r="L136" s="808"/>
      <c r="M136" s="808"/>
      <c r="P136" s="820"/>
    </row>
    <row r="137" spans="1:16" ht="13.5" hidden="1" thickBot="1" x14ac:dyDescent="0.25">
      <c r="A137" s="808"/>
      <c r="B137" s="808"/>
      <c r="C137" s="808"/>
      <c r="D137" s="808"/>
      <c r="E137" s="808"/>
      <c r="F137" s="808"/>
      <c r="G137" s="837"/>
      <c r="H137" s="808"/>
      <c r="I137" s="820"/>
      <c r="J137" s="808"/>
      <c r="P137" s="878" t="str">
        <f>IF(COUNT(N133,N135)=2,IF(N133&lt;N135,L133,L135),"")</f>
        <v/>
      </c>
    </row>
    <row r="138" spans="1:16" hidden="1" x14ac:dyDescent="0.2">
      <c r="A138" s="808"/>
      <c r="B138" s="808"/>
      <c r="C138" s="808"/>
      <c r="D138" s="808"/>
      <c r="E138" s="808"/>
      <c r="F138" s="808"/>
      <c r="G138" s="837"/>
      <c r="H138" s="808"/>
      <c r="I138" s="808"/>
      <c r="J138" s="820"/>
      <c r="P138" s="876" t="s">
        <v>359</v>
      </c>
    </row>
    <row r="139" spans="1:16" hidden="1" x14ac:dyDescent="0.2">
      <c r="A139" s="808"/>
      <c r="B139" s="808"/>
      <c r="C139" s="808"/>
      <c r="D139" s="808"/>
      <c r="E139" s="808"/>
      <c r="F139" s="808"/>
      <c r="G139" s="808"/>
      <c r="I139" s="808"/>
      <c r="J139" s="808"/>
      <c r="K139" s="808"/>
      <c r="L139" s="808"/>
    </row>
    <row r="140" spans="1:16" hidden="1" x14ac:dyDescent="0.2">
      <c r="A140" s="812" t="s">
        <v>543</v>
      </c>
      <c r="B140" s="808"/>
      <c r="C140" s="808"/>
      <c r="D140" s="808"/>
      <c r="N140" s="808"/>
    </row>
    <row r="141" spans="1:16" hidden="1" x14ac:dyDescent="0.2">
      <c r="A141" s="808"/>
      <c r="B141" s="820"/>
      <c r="C141" s="820"/>
      <c r="D141" s="835"/>
      <c r="I141" s="813">
        <v>201</v>
      </c>
      <c r="J141" s="808" t="str">
        <f>IF(COUNT(F77,F79)=2,IF(F77&lt;F79,E77,D79),"")</f>
        <v/>
      </c>
      <c r="K141" s="827" t="str">
        <f>IF(J141="-",0,IF(J143="-",13,""))</f>
        <v/>
      </c>
      <c r="L141" s="815"/>
      <c r="N141" s="815"/>
    </row>
    <row r="142" spans="1:16" hidden="1" x14ac:dyDescent="0.2">
      <c r="A142" s="812"/>
      <c r="B142" s="808"/>
      <c r="C142" s="808"/>
      <c r="D142" s="808"/>
      <c r="I142" s="817"/>
      <c r="J142" s="866">
        <v>211</v>
      </c>
      <c r="K142" s="831" t="str">
        <f>IF(COUNT(K141,K143)=2,IF(K141&gt;K143,J141,J143),"")</f>
        <v/>
      </c>
      <c r="L142" s="827" t="str">
        <f>IF(K142="-",0,IF(K146="-",13,""))</f>
        <v/>
      </c>
      <c r="N142" s="808"/>
    </row>
    <row r="143" spans="1:16" hidden="1" x14ac:dyDescent="0.2">
      <c r="A143" s="808"/>
      <c r="B143" s="808"/>
      <c r="C143" s="808"/>
      <c r="D143" s="808"/>
      <c r="I143" s="817">
        <v>202</v>
      </c>
      <c r="J143" s="821" t="str">
        <f>IF(COUNT(F81,F83)=2,IF(F81&lt;F83,E81,D83),"")</f>
        <v/>
      </c>
      <c r="K143" s="867" t="str">
        <f>IF(J143="-",0,IF(J141="-",13,""))</f>
        <v/>
      </c>
      <c r="L143" s="824"/>
      <c r="N143" s="827" t="str">
        <f>IF(L144="-",0,IF(L152="-",13,""))</f>
        <v/>
      </c>
    </row>
    <row r="144" spans="1:16" hidden="1" x14ac:dyDescent="0.2">
      <c r="A144" s="808"/>
      <c r="B144" s="808"/>
      <c r="C144" s="808"/>
      <c r="D144" s="808"/>
      <c r="I144" s="817"/>
      <c r="J144" s="808"/>
      <c r="K144" s="844">
        <v>221</v>
      </c>
      <c r="L144" s="831" t="str">
        <f>IF(COUNT(L142,L146)=2,IF(L142&gt;L146,K142,K146),"")</f>
        <v/>
      </c>
      <c r="N144" s="808"/>
    </row>
    <row r="145" spans="1:16" hidden="1" x14ac:dyDescent="0.2">
      <c r="A145" s="808"/>
      <c r="B145" s="808"/>
      <c r="C145" s="808"/>
      <c r="D145" s="808"/>
      <c r="I145" s="817">
        <v>203</v>
      </c>
      <c r="J145" s="808" t="str">
        <f>IF(COUNT(F85,F87)=2,IF(F85&lt;F87,E85,D87),"")</f>
        <v/>
      </c>
      <c r="K145" s="862" t="str">
        <f>IF(J145="-",0,IF(J147="-",13,""))</f>
        <v/>
      </c>
      <c r="L145" s="854"/>
      <c r="M145" s="881"/>
      <c r="N145" s="808"/>
    </row>
    <row r="146" spans="1:16" hidden="1" x14ac:dyDescent="0.2">
      <c r="A146" s="808"/>
      <c r="B146" s="808"/>
      <c r="C146" s="808"/>
      <c r="D146" s="808"/>
      <c r="I146" s="817"/>
      <c r="J146" s="866">
        <v>212</v>
      </c>
      <c r="K146" s="871" t="str">
        <f>IF(COUNT(K145,K147)=2,IF(K145&gt;K147,J145,J147),"")</f>
        <v/>
      </c>
      <c r="L146" s="814" t="str">
        <f>IF(K146="-",0,IF(K142="-",13,""))</f>
        <v/>
      </c>
      <c r="M146" s="833"/>
      <c r="N146" s="808"/>
    </row>
    <row r="147" spans="1:16" ht="13.5" hidden="1" thickBot="1" x14ac:dyDescent="0.25">
      <c r="A147" s="808"/>
      <c r="B147" s="808"/>
      <c r="C147" s="808"/>
      <c r="D147" s="808"/>
      <c r="I147" s="817">
        <v>204</v>
      </c>
      <c r="J147" s="821" t="str">
        <f>IF(COUNT(F89,F91)=2,IF(F89&lt;F91,E89,D91),"")</f>
        <v/>
      </c>
      <c r="K147" s="834" t="str">
        <f>IF(J147="-",0,IF(J145="-",13,""))</f>
        <v/>
      </c>
      <c r="L147" s="820"/>
      <c r="M147" s="833"/>
      <c r="N147" s="820"/>
      <c r="P147" s="852" t="str">
        <f>IF(COUNT(N143,N151)=2,IF(N143&gt;N151,L144,L152),"")</f>
        <v/>
      </c>
    </row>
    <row r="148" spans="1:16" hidden="1" x14ac:dyDescent="0.2">
      <c r="A148" s="808"/>
      <c r="B148" s="808"/>
      <c r="C148" s="808"/>
      <c r="D148" s="808"/>
      <c r="I148" s="837"/>
      <c r="J148" s="808"/>
      <c r="K148" s="808"/>
      <c r="L148" s="820"/>
      <c r="M148" s="833"/>
      <c r="N148" s="850"/>
      <c r="O148" s="829"/>
      <c r="P148" s="855" t="s">
        <v>361</v>
      </c>
    </row>
    <row r="149" spans="1:16" hidden="1" x14ac:dyDescent="0.2">
      <c r="A149" s="808"/>
      <c r="B149" s="808"/>
      <c r="C149" s="808"/>
      <c r="D149" s="808"/>
      <c r="I149" s="813">
        <v>205</v>
      </c>
      <c r="J149" s="808" t="str">
        <f>IF(COUNT(F93,F95)=2,IF(F93&lt;F95,E93,D95),"")</f>
        <v/>
      </c>
      <c r="K149" s="827" t="str">
        <f>IF(J149="-",0,IF(J151="-",13,""))</f>
        <v/>
      </c>
      <c r="L149" s="820"/>
      <c r="M149" s="833"/>
      <c r="N149" s="820"/>
      <c r="O149" s="816"/>
      <c r="P149" s="820"/>
    </row>
    <row r="150" spans="1:16" ht="13.5" hidden="1" thickBot="1" x14ac:dyDescent="0.25">
      <c r="A150" s="808"/>
      <c r="B150" s="808"/>
      <c r="C150" s="808"/>
      <c r="D150" s="808"/>
      <c r="I150" s="817"/>
      <c r="J150" s="866">
        <v>213</v>
      </c>
      <c r="K150" s="831" t="str">
        <f>IF(COUNT(K149,K151)=2,IF(K149&gt;K151,J149,J151),"")</f>
        <v/>
      </c>
      <c r="L150" s="814" t="str">
        <f>IF(K150="-",0,IF(K154="-",13,""))</f>
        <v/>
      </c>
      <c r="M150" s="833"/>
      <c r="N150" s="876"/>
      <c r="O150" s="816"/>
      <c r="P150" s="852" t="str">
        <f>IF(COUNT(N143,N151)=2,IF(N143&lt;N151,L144,L152),"")</f>
        <v/>
      </c>
    </row>
    <row r="151" spans="1:16" hidden="1" x14ac:dyDescent="0.2">
      <c r="A151" s="808"/>
      <c r="B151" s="808"/>
      <c r="C151" s="808"/>
      <c r="D151" s="808"/>
      <c r="I151" s="817">
        <v>206</v>
      </c>
      <c r="J151" s="821" t="str">
        <f>IF(COUNT(F97,F99)=2,IF(F97&lt;F99,E97,D99),"")</f>
        <v/>
      </c>
      <c r="K151" s="867" t="str">
        <f>IF(J151="-",0,IF(J149="-",13,""))</f>
        <v/>
      </c>
      <c r="L151" s="838"/>
      <c r="M151" s="833"/>
      <c r="N151" s="814" t="str">
        <f>IF(L152="-",0,IF(L144="-",13,""))</f>
        <v/>
      </c>
      <c r="O151" s="820"/>
      <c r="P151" s="876" t="s">
        <v>363</v>
      </c>
    </row>
    <row r="152" spans="1:16" hidden="1" x14ac:dyDescent="0.2">
      <c r="A152" s="808"/>
      <c r="B152" s="808"/>
      <c r="C152" s="808"/>
      <c r="D152" s="808"/>
      <c r="I152" s="817"/>
      <c r="J152" s="808"/>
      <c r="K152" s="844">
        <v>222</v>
      </c>
      <c r="L152" s="831" t="str">
        <f>IF(COUNT(L150,L154)=2,IF(L150&gt;L154,K150,K154),"")</f>
        <v/>
      </c>
      <c r="M152" s="841"/>
      <c r="N152" s="820"/>
      <c r="O152" s="820"/>
      <c r="P152" s="820"/>
    </row>
    <row r="153" spans="1:16" hidden="1" x14ac:dyDescent="0.2">
      <c r="A153" s="808"/>
      <c r="B153" s="808"/>
      <c r="C153" s="808"/>
      <c r="D153" s="808"/>
      <c r="I153" s="817">
        <v>207</v>
      </c>
      <c r="J153" s="808" t="str">
        <f>IF(COUNT(F101,F103)=2,IF(F101&lt;F103,E101,D103),"")</f>
        <v/>
      </c>
      <c r="K153" s="862" t="str">
        <f>IF(J153="-",0,IF(J155="-",13,""))</f>
        <v/>
      </c>
      <c r="L153" s="854"/>
      <c r="N153" s="835"/>
      <c r="O153" s="816"/>
      <c r="P153" s="820"/>
    </row>
    <row r="154" spans="1:16" hidden="1" x14ac:dyDescent="0.2">
      <c r="A154" s="808"/>
      <c r="B154" s="808"/>
      <c r="C154" s="808"/>
      <c r="D154" s="808"/>
      <c r="I154" s="817"/>
      <c r="J154" s="866">
        <v>214</v>
      </c>
      <c r="K154" s="871" t="str">
        <f>IF(COUNT(K153,K155)=2,IF(K153&gt;K155,J153,J155),"")</f>
        <v/>
      </c>
      <c r="L154" s="827" t="str">
        <f>IF(K154="-",0,IF(K150="-",13,""))</f>
        <v/>
      </c>
      <c r="N154" s="820"/>
      <c r="O154" s="816"/>
      <c r="P154" s="820"/>
    </row>
    <row r="155" spans="1:16" hidden="1" x14ac:dyDescent="0.2">
      <c r="A155" s="808"/>
      <c r="B155" s="808"/>
      <c r="C155" s="808"/>
      <c r="D155" s="808"/>
      <c r="I155" s="817">
        <v>208</v>
      </c>
      <c r="J155" s="821" t="str">
        <f>IF(COUNT(F105,F107)=2,IF(F105&lt;F107,E105,D107),"")</f>
        <v/>
      </c>
      <c r="K155" s="834" t="str">
        <f>IF(J155="-",0,IF(J153="-",13,""))</f>
        <v/>
      </c>
      <c r="L155" s="808"/>
      <c r="N155" s="820"/>
      <c r="O155" s="816"/>
      <c r="P155" s="808"/>
    </row>
    <row r="156" spans="1:16" hidden="1" x14ac:dyDescent="0.2">
      <c r="A156" s="808"/>
      <c r="B156" s="808"/>
      <c r="C156" s="808"/>
      <c r="D156" s="808"/>
      <c r="I156" s="808"/>
      <c r="J156" s="808"/>
      <c r="K156" s="808"/>
      <c r="L156" s="808"/>
    </row>
    <row r="157" spans="1:16" hidden="1" x14ac:dyDescent="0.2">
      <c r="A157" s="808"/>
      <c r="B157" s="808"/>
      <c r="C157" s="808"/>
      <c r="D157" s="808"/>
      <c r="I157" s="817"/>
      <c r="J157" s="820"/>
      <c r="K157" s="817">
        <v>221</v>
      </c>
      <c r="L157" s="808" t="str">
        <f>IF(COUNT(L142,L146)=2,IF(L142&lt;L146,K142,K146),"")</f>
        <v/>
      </c>
      <c r="N157" s="814" t="str">
        <f>IF(L157="-",0,IF(L159="-",13,""))</f>
        <v/>
      </c>
      <c r="O157" s="816"/>
      <c r="P157" s="820"/>
    </row>
    <row r="158" spans="1:16" ht="13.5" hidden="1" thickBot="1" x14ac:dyDescent="0.25">
      <c r="A158" s="808"/>
      <c r="B158" s="808"/>
      <c r="C158" s="808"/>
      <c r="D158" s="808"/>
      <c r="I158" s="817"/>
      <c r="J158" s="808"/>
      <c r="K158" s="808"/>
      <c r="L158" s="850"/>
      <c r="M158" s="881"/>
      <c r="N158" s="831"/>
      <c r="O158" s="849"/>
      <c r="P158" s="852" t="str">
        <f>IF(COUNT(N157,N159)=2,IF(N157&gt;N159,L157,L159),"")</f>
        <v/>
      </c>
    </row>
    <row r="159" spans="1:16" hidden="1" x14ac:dyDescent="0.2">
      <c r="A159" s="808"/>
      <c r="B159" s="808"/>
      <c r="C159" s="808"/>
      <c r="D159" s="808"/>
      <c r="I159" s="817"/>
      <c r="J159" s="808"/>
      <c r="K159" s="817">
        <v>222</v>
      </c>
      <c r="L159" s="821" t="str">
        <f>IF(COUNT(L150,L154)=2,IF(L150&lt;L154,K150,K154),"")</f>
        <v/>
      </c>
      <c r="M159" s="841"/>
      <c r="N159" s="834" t="str">
        <f>IF(L159="-",0,IF(L157="-",13,""))</f>
        <v/>
      </c>
      <c r="P159" s="876" t="s">
        <v>364</v>
      </c>
    </row>
    <row r="160" spans="1:16" hidden="1" x14ac:dyDescent="0.2">
      <c r="A160" s="808"/>
      <c r="B160" s="808"/>
      <c r="C160" s="808"/>
      <c r="D160" s="808"/>
      <c r="I160" s="817"/>
      <c r="J160" s="808"/>
      <c r="K160" s="808"/>
      <c r="L160" s="808"/>
      <c r="N160" s="808"/>
      <c r="P160" s="820"/>
    </row>
    <row r="161" spans="1:16" ht="13.5" hidden="1" thickBot="1" x14ac:dyDescent="0.25">
      <c r="A161" s="808"/>
      <c r="B161" s="808"/>
      <c r="C161" s="808"/>
      <c r="D161" s="808"/>
      <c r="I161" s="817"/>
      <c r="J161" s="808"/>
      <c r="K161" s="808"/>
      <c r="L161" s="808"/>
      <c r="N161" s="820"/>
      <c r="P161" s="878" t="str">
        <f>IF(COUNT(N157,N159)=2,IF(N157&lt;N159,L157,L159),"")</f>
        <v/>
      </c>
    </row>
    <row r="162" spans="1:16" hidden="1" x14ac:dyDescent="0.2">
      <c r="A162" s="808"/>
      <c r="B162" s="808"/>
      <c r="C162" s="808"/>
      <c r="D162" s="808"/>
      <c r="I162" s="817"/>
      <c r="J162" s="808"/>
      <c r="K162" s="808"/>
      <c r="L162" s="808"/>
      <c r="N162" s="808"/>
      <c r="P162" s="876" t="s">
        <v>365</v>
      </c>
    </row>
    <row r="163" spans="1:16" hidden="1" x14ac:dyDescent="0.2"/>
    <row r="164" spans="1:16" hidden="1" x14ac:dyDescent="0.2">
      <c r="A164" s="808"/>
      <c r="B164" s="808"/>
      <c r="C164" s="808"/>
      <c r="D164" s="808"/>
      <c r="I164" s="817"/>
      <c r="J164" s="813">
        <v>211</v>
      </c>
      <c r="K164" s="808" t="str">
        <f>IF(COUNT(K141,K143)=2,IF(K141&lt;K143,J141,J143),"")</f>
        <v/>
      </c>
      <c r="L164" s="814" t="str">
        <f>IF(K164="-",0,IF(K166="-",13,""))</f>
        <v/>
      </c>
      <c r="N164" s="815"/>
    </row>
    <row r="165" spans="1:16" hidden="1" x14ac:dyDescent="0.2">
      <c r="A165" s="808"/>
      <c r="B165" s="808"/>
      <c r="C165" s="808"/>
      <c r="D165" s="808"/>
      <c r="I165" s="817"/>
      <c r="J165" s="817"/>
      <c r="K165" s="880">
        <v>231</v>
      </c>
      <c r="L165" s="831" t="str">
        <f>IF(COUNT(L164,L166)=2,IF(L164&gt;L166,K164,K166),"")</f>
        <v/>
      </c>
      <c r="N165" s="827" t="str">
        <f>IF(L165="-",0,IF(L169="-",13,""))</f>
        <v/>
      </c>
    </row>
    <row r="166" spans="1:16" hidden="1" x14ac:dyDescent="0.2">
      <c r="A166" s="808"/>
      <c r="B166" s="808"/>
      <c r="C166" s="808"/>
      <c r="D166" s="808"/>
      <c r="I166" s="817"/>
      <c r="J166" s="817">
        <v>212</v>
      </c>
      <c r="K166" s="832" t="str">
        <f>IF(COUNT(K145,K147)=2,IF(K145&lt;K147,J145,J147),"")</f>
        <v/>
      </c>
      <c r="L166" s="822" t="str">
        <f>IF(K166="-",0,IF(K164="-",13,""))</f>
        <v/>
      </c>
      <c r="M166" s="881"/>
      <c r="N166" s="824"/>
    </row>
    <row r="167" spans="1:16" ht="13.5" hidden="1" thickBot="1" x14ac:dyDescent="0.25">
      <c r="A167" s="808"/>
      <c r="B167" s="808"/>
      <c r="C167" s="808"/>
      <c r="D167" s="808"/>
      <c r="I167" s="817"/>
      <c r="J167" s="817"/>
      <c r="K167" s="808"/>
      <c r="L167" s="820"/>
      <c r="M167" s="833"/>
      <c r="N167" s="838"/>
      <c r="P167" s="852" t="str">
        <f>IF(COUNT(N165,N169)=2,IF(N165&gt;N169,L165,L169),"")</f>
        <v/>
      </c>
    </row>
    <row r="168" spans="1:16" hidden="1" x14ac:dyDescent="0.2">
      <c r="A168" s="808"/>
      <c r="B168" s="808"/>
      <c r="C168" s="808"/>
      <c r="D168" s="808"/>
      <c r="I168" s="817"/>
      <c r="J168" s="817">
        <v>213</v>
      </c>
      <c r="K168" s="808" t="str">
        <f>IF(COUNT(K149,K151)=2,IF(K149&lt;K151,J149,J151),"")</f>
        <v/>
      </c>
      <c r="L168" s="814" t="str">
        <f>IF(K168="-",0,IF(K170="-",13,""))</f>
        <v/>
      </c>
      <c r="M168" s="833"/>
      <c r="N168" s="842"/>
      <c r="O168" s="829"/>
      <c r="P168" s="855" t="s">
        <v>544</v>
      </c>
    </row>
    <row r="169" spans="1:16" hidden="1" x14ac:dyDescent="0.2">
      <c r="A169" s="808"/>
      <c r="B169" s="808"/>
      <c r="C169" s="808"/>
      <c r="D169" s="808"/>
      <c r="I169" s="817"/>
      <c r="J169" s="817"/>
      <c r="K169" s="880">
        <v>232</v>
      </c>
      <c r="L169" s="831" t="str">
        <f>IF(COUNT(L168,L170)=2,IF(L168&gt;L170,K168,K170),"")</f>
        <v/>
      </c>
      <c r="M169" s="841"/>
      <c r="N169" s="814" t="str">
        <f>IF(L169="-",0,IF(L165="-",13,""))</f>
        <v/>
      </c>
      <c r="O169" s="816"/>
      <c r="P169" s="808"/>
    </row>
    <row r="170" spans="1:16" ht="13.5" hidden="1" thickBot="1" x14ac:dyDescent="0.25">
      <c r="A170" s="808"/>
      <c r="B170" s="808"/>
      <c r="C170" s="808"/>
      <c r="D170" s="808"/>
      <c r="I170" s="817"/>
      <c r="J170" s="817">
        <v>214</v>
      </c>
      <c r="K170" s="832" t="str">
        <f>IF(COUNT(K153,K155)=2,IF(K153&lt;K155,J153,J155),"")</f>
        <v/>
      </c>
      <c r="L170" s="822" t="str">
        <f>IF(K170="-",0,IF(K168="-",13,""))</f>
        <v/>
      </c>
      <c r="N170" s="835"/>
      <c r="O170" s="816"/>
      <c r="P170" s="878" t="str">
        <f>IF(COUNT(N165,N169)=2,IF(N165&lt;N169,L165,L169),"")</f>
        <v/>
      </c>
    </row>
    <row r="171" spans="1:16" hidden="1" x14ac:dyDescent="0.2">
      <c r="A171" s="808"/>
      <c r="B171" s="808"/>
      <c r="C171" s="808"/>
      <c r="D171" s="808"/>
      <c r="I171" s="817"/>
      <c r="J171" s="808"/>
      <c r="K171" s="837"/>
      <c r="L171" s="808"/>
      <c r="N171" s="820"/>
      <c r="O171" s="816"/>
      <c r="P171" s="855" t="s">
        <v>545</v>
      </c>
    </row>
    <row r="172" spans="1:16" hidden="1" x14ac:dyDescent="0.2">
      <c r="A172" s="808"/>
      <c r="B172" s="808"/>
      <c r="C172" s="808"/>
      <c r="D172" s="808"/>
      <c r="I172" s="817"/>
      <c r="J172" s="808"/>
      <c r="K172" s="837">
        <v>231</v>
      </c>
      <c r="L172" s="808" t="str">
        <f>IF(COUNT(L164,L166)=2,IF(L164&lt;L166,K164,K166),"")</f>
        <v/>
      </c>
      <c r="N172" s="814" t="str">
        <f>IF(L172="-",0,IF(L174="-",13,""))</f>
        <v/>
      </c>
      <c r="O172" s="816"/>
      <c r="P172" s="820"/>
    </row>
    <row r="173" spans="1:16" ht="13.5" hidden="1" thickBot="1" x14ac:dyDescent="0.25">
      <c r="A173" s="808"/>
      <c r="B173" s="808"/>
      <c r="C173" s="808"/>
      <c r="D173" s="808"/>
      <c r="I173" s="808"/>
      <c r="J173" s="808"/>
      <c r="K173" s="837"/>
      <c r="L173" s="850"/>
      <c r="M173" s="881"/>
      <c r="N173" s="831"/>
      <c r="O173" s="849"/>
      <c r="P173" s="852" t="str">
        <f>IF(COUNT(N172,N174)=2,IF(N172&gt;N174,L172,L174),"")</f>
        <v/>
      </c>
    </row>
    <row r="174" spans="1:16" hidden="1" x14ac:dyDescent="0.2">
      <c r="A174" s="808"/>
      <c r="B174" s="808"/>
      <c r="C174" s="808"/>
      <c r="D174" s="808"/>
      <c r="I174" s="820"/>
      <c r="J174" s="808"/>
      <c r="K174" s="837">
        <v>232</v>
      </c>
      <c r="L174" s="821" t="str">
        <f>IF(COUNT(L168,L170)=2,IF(L168&lt;L170,K168,K170),"")</f>
        <v/>
      </c>
      <c r="M174" s="841"/>
      <c r="N174" s="834" t="str">
        <f>IF(L174="-",0,IF(L172="-",13,""))</f>
        <v/>
      </c>
      <c r="P174" s="876" t="s">
        <v>546</v>
      </c>
    </row>
    <row r="175" spans="1:16" hidden="1" x14ac:dyDescent="0.2">
      <c r="A175" s="808"/>
      <c r="B175" s="808"/>
      <c r="C175" s="808"/>
      <c r="D175" s="808"/>
      <c r="E175" s="820"/>
      <c r="F175" s="808"/>
      <c r="G175" s="837"/>
      <c r="H175" s="808"/>
      <c r="I175" s="820"/>
      <c r="P175" s="820"/>
    </row>
    <row r="176" spans="1:16" ht="13.5" hidden="1" thickBot="1" x14ac:dyDescent="0.25">
      <c r="A176" s="808"/>
      <c r="B176" s="808"/>
      <c r="C176" s="808"/>
      <c r="D176" s="808"/>
      <c r="E176" s="820"/>
      <c r="F176" s="808"/>
      <c r="G176" s="837"/>
      <c r="H176" s="808"/>
      <c r="P176" s="878" t="str">
        <f>IF(COUNT(N172,N174)=2,IF(N172&lt;N174,L172,L174),"")</f>
        <v/>
      </c>
    </row>
    <row r="177" spans="1:16" hidden="1" x14ac:dyDescent="0.2">
      <c r="A177" s="808"/>
      <c r="B177" s="808"/>
      <c r="C177" s="808"/>
      <c r="D177" s="808"/>
      <c r="E177" s="820"/>
      <c r="F177" s="808"/>
      <c r="G177" s="837"/>
      <c r="H177" s="808"/>
      <c r="I177" s="808"/>
      <c r="P177" s="876" t="s">
        <v>612</v>
      </c>
    </row>
    <row r="178" spans="1:16" hidden="1" x14ac:dyDescent="0.2">
      <c r="A178" s="808"/>
      <c r="B178" s="808"/>
      <c r="C178" s="808"/>
      <c r="D178" s="808"/>
    </row>
    <row r="179" spans="1:16" hidden="1" x14ac:dyDescent="0.2">
      <c r="A179" s="812" t="s">
        <v>613</v>
      </c>
      <c r="B179" s="808"/>
      <c r="H179" s="813">
        <v>101</v>
      </c>
      <c r="I179" s="808" t="str">
        <f>IF(COUNT(D78,D80)=2,IF(D78&lt;D80,C78,C80),"")</f>
        <v/>
      </c>
      <c r="K179" s="827" t="str">
        <f>IF(I179="-",0,IF(I181="-",13,""))</f>
        <v/>
      </c>
      <c r="L179" s="815"/>
      <c r="N179" s="808"/>
    </row>
    <row r="180" spans="1:16" hidden="1" x14ac:dyDescent="0.2">
      <c r="A180" s="808"/>
      <c r="B180" s="820"/>
      <c r="H180" s="817"/>
      <c r="I180" s="829"/>
      <c r="J180" s="874">
        <v>111</v>
      </c>
      <c r="K180" s="831" t="str">
        <f>IF(COUNT(K179,K181)=2,IF(K179&gt;K181,I179,I181),"")</f>
        <v/>
      </c>
      <c r="L180" s="827" t="str">
        <f>IF(K180="-",0,IF(K184="-",13,""))</f>
        <v/>
      </c>
      <c r="N180" s="815"/>
    </row>
    <row r="181" spans="1:16" hidden="1" x14ac:dyDescent="0.2">
      <c r="A181" s="812"/>
      <c r="B181" s="808"/>
      <c r="H181" s="817">
        <v>102</v>
      </c>
      <c r="I181" s="821" t="str">
        <f>IF(COUNT(D82,D84)=2,IF(D82&lt;D84,C82,C84),"")</f>
        <v/>
      </c>
      <c r="J181" s="841"/>
      <c r="K181" s="867" t="str">
        <f>IF(I181="-",0,IF(I179="-",13,""))</f>
        <v/>
      </c>
      <c r="L181" s="824"/>
      <c r="N181" s="808"/>
    </row>
    <row r="182" spans="1:16" hidden="1" x14ac:dyDescent="0.2">
      <c r="A182" s="808"/>
      <c r="B182" s="808"/>
      <c r="H182" s="817"/>
      <c r="J182" s="808"/>
      <c r="K182" s="844">
        <v>121</v>
      </c>
      <c r="L182" s="831" t="str">
        <f>IF(COUNT(L180,L184)=2,IF(L180&gt;L184,K180,K184),"")</f>
        <v/>
      </c>
      <c r="N182" s="827" t="str">
        <f>IF(L182="-",0,IF(L190="-",13,""))</f>
        <v/>
      </c>
    </row>
    <row r="183" spans="1:16" hidden="1" x14ac:dyDescent="0.2">
      <c r="A183" s="808"/>
      <c r="B183" s="808"/>
      <c r="H183" s="817">
        <v>103</v>
      </c>
      <c r="I183" s="808" t="str">
        <f>IF(COUNT(D86,D88)=2,IF(D86&lt;D88,C86,C88),"")</f>
        <v/>
      </c>
      <c r="K183" s="862" t="str">
        <f>IF(I183="-",0,IF(I185="-",13,""))</f>
        <v/>
      </c>
      <c r="L183" s="854"/>
      <c r="M183" s="881"/>
      <c r="N183" s="808"/>
    </row>
    <row r="184" spans="1:16" hidden="1" x14ac:dyDescent="0.2">
      <c r="A184" s="808"/>
      <c r="B184" s="808"/>
      <c r="H184" s="817"/>
      <c r="I184" s="829"/>
      <c r="J184" s="874">
        <v>112</v>
      </c>
      <c r="K184" s="871" t="str">
        <f>IF(COUNT(K183,K185)=2,IF(K183&gt;K185,I183,I185),"")</f>
        <v/>
      </c>
      <c r="L184" s="814" t="str">
        <f>IF(K184="-",0,IF(K180="-",13,""))</f>
        <v/>
      </c>
      <c r="M184" s="833"/>
      <c r="N184" s="808"/>
    </row>
    <row r="185" spans="1:16" hidden="1" x14ac:dyDescent="0.2">
      <c r="A185" s="808"/>
      <c r="B185" s="808"/>
      <c r="H185" s="817">
        <v>104</v>
      </c>
      <c r="I185" s="821" t="str">
        <f>IF(COUNT(D90,D92)=2,IF(D90&lt;D92,C90,C92),"")</f>
        <v/>
      </c>
      <c r="J185" s="841"/>
      <c r="K185" s="834" t="str">
        <f>IF(I185="-",0,IF(I183="-",13,""))</f>
        <v/>
      </c>
      <c r="L185" s="820"/>
      <c r="M185" s="833"/>
      <c r="N185" s="808"/>
    </row>
    <row r="186" spans="1:16" ht="13.5" hidden="1" thickBot="1" x14ac:dyDescent="0.25">
      <c r="A186" s="808"/>
      <c r="B186" s="808"/>
      <c r="H186" s="837"/>
      <c r="J186" s="808"/>
      <c r="K186" s="808"/>
      <c r="L186" s="820"/>
      <c r="M186" s="833"/>
      <c r="N186" s="820"/>
      <c r="P186" s="852" t="str">
        <f>IF(COUNT(N182,N190)=2,IF(N182&gt;N190,L182,L190),"")</f>
        <v/>
      </c>
    </row>
    <row r="187" spans="1:16" hidden="1" x14ac:dyDescent="0.2">
      <c r="A187" s="808"/>
      <c r="B187" s="808"/>
      <c r="H187" s="813">
        <v>105</v>
      </c>
      <c r="I187" s="808" t="str">
        <f>IF(COUNT(D94,D96)=2,IF(D94&lt;D96,C94,C96),"")</f>
        <v/>
      </c>
      <c r="K187" s="827" t="str">
        <f>IF(I187="-",0,IF(I189="-",13,""))</f>
        <v/>
      </c>
      <c r="L187" s="820"/>
      <c r="M187" s="833"/>
      <c r="N187" s="850"/>
      <c r="O187" s="829"/>
      <c r="P187" s="855" t="s">
        <v>547</v>
      </c>
    </row>
    <row r="188" spans="1:16" hidden="1" x14ac:dyDescent="0.2">
      <c r="A188" s="808"/>
      <c r="B188" s="808"/>
      <c r="H188" s="817"/>
      <c r="I188" s="829"/>
      <c r="J188" s="874">
        <v>113</v>
      </c>
      <c r="K188" s="831" t="str">
        <f>IF(COUNT(K187,K189)=2,IF(K187&gt;K189,I187,I189),"")</f>
        <v/>
      </c>
      <c r="L188" s="814" t="str">
        <f>IF(K188="-",0,IF(K192="-",13,""))</f>
        <v/>
      </c>
      <c r="M188" s="833"/>
      <c r="N188" s="820"/>
      <c r="O188" s="816"/>
      <c r="P188" s="820"/>
    </row>
    <row r="189" spans="1:16" ht="13.5" hidden="1" thickBot="1" x14ac:dyDescent="0.25">
      <c r="A189" s="808"/>
      <c r="B189" s="808"/>
      <c r="H189" s="817">
        <v>106</v>
      </c>
      <c r="I189" s="821" t="str">
        <f>IF(COUNT(D98,D100)=2,IF(D98&lt;D100,C98,C100),"")</f>
        <v/>
      </c>
      <c r="J189" s="841"/>
      <c r="K189" s="867" t="str">
        <f>IF(I189="-",0,IF(I187="-",13,""))</f>
        <v/>
      </c>
      <c r="L189" s="838"/>
      <c r="M189" s="833"/>
      <c r="N189" s="876"/>
      <c r="O189" s="816"/>
      <c r="P189" s="852" t="str">
        <f>IF(COUNT(N182,N190)=2,IF(N182&lt;N190,L182,L190),"")</f>
        <v/>
      </c>
    </row>
    <row r="190" spans="1:16" hidden="1" x14ac:dyDescent="0.2">
      <c r="A190" s="808"/>
      <c r="B190" s="808"/>
      <c r="H190" s="817"/>
      <c r="J190" s="808"/>
      <c r="K190" s="844">
        <v>122</v>
      </c>
      <c r="L190" s="831" t="str">
        <f>IF(COUNT(L188,L192)=2,IF(L188&gt;L192,K188,K192),"")</f>
        <v/>
      </c>
      <c r="M190" s="841"/>
      <c r="N190" s="814" t="str">
        <f>IF(L190="-",0,IF(L182="-",13,""))</f>
        <v/>
      </c>
      <c r="O190" s="816"/>
      <c r="P190" s="876" t="s">
        <v>614</v>
      </c>
    </row>
    <row r="191" spans="1:16" hidden="1" x14ac:dyDescent="0.2">
      <c r="A191" s="808"/>
      <c r="B191" s="808"/>
      <c r="H191" s="817">
        <v>107</v>
      </c>
      <c r="I191" s="808" t="str">
        <f>IF(COUNT(D102,D104)=2,IF(D102&lt;D104,C102,C104),"")</f>
        <v/>
      </c>
      <c r="K191" s="862" t="str">
        <f>IF(I191="-",0,IF(I193="-",13,""))</f>
        <v/>
      </c>
      <c r="L191" s="854"/>
      <c r="N191" s="820"/>
      <c r="O191" s="820"/>
      <c r="P191" s="820"/>
    </row>
    <row r="192" spans="1:16" hidden="1" x14ac:dyDescent="0.2">
      <c r="A192" s="808"/>
      <c r="B192" s="808"/>
      <c r="H192" s="817"/>
      <c r="I192" s="829"/>
      <c r="J192" s="874">
        <v>114</v>
      </c>
      <c r="K192" s="871" t="str">
        <f>IF(COUNT(K191,K193)=2,IF(K191&gt;K193,I191,I193),"")</f>
        <v/>
      </c>
      <c r="L192" s="827" t="str">
        <f>IF(K192="-",0,IF(K188="-",13,""))</f>
        <v/>
      </c>
      <c r="N192" s="835"/>
      <c r="O192" s="820"/>
      <c r="P192" s="820"/>
    </row>
    <row r="193" spans="1:16" hidden="1" x14ac:dyDescent="0.2">
      <c r="A193" s="808"/>
      <c r="B193" s="808"/>
      <c r="H193" s="817">
        <v>108</v>
      </c>
      <c r="I193" s="821" t="str">
        <f>IF(COUNT(D106,D108)=2,IF(D106&lt;D108,C106,C108),"")</f>
        <v/>
      </c>
      <c r="J193" s="841"/>
      <c r="K193" s="834" t="str">
        <f>IF(I193="-",0,IF(I191="-",13,""))</f>
        <v/>
      </c>
      <c r="L193" s="808"/>
      <c r="N193" s="820"/>
      <c r="O193" s="816"/>
      <c r="P193" s="820"/>
    </row>
    <row r="194" spans="1:16" hidden="1" x14ac:dyDescent="0.2">
      <c r="A194" s="808"/>
      <c r="B194" s="808"/>
      <c r="N194" s="816"/>
      <c r="O194" s="816"/>
    </row>
    <row r="195" spans="1:16" hidden="1" x14ac:dyDescent="0.2">
      <c r="H195" s="817"/>
      <c r="J195" s="820"/>
      <c r="K195" s="817">
        <v>121</v>
      </c>
      <c r="L195" s="808" t="str">
        <f>IF(COUNT(L180,L184)=2,IF(L180&lt;L184,K180,K184),"")</f>
        <v/>
      </c>
      <c r="N195" s="814" t="str">
        <f>IF(L195="-",0,IF(L197="-",13,""))</f>
        <v/>
      </c>
      <c r="O195" s="816"/>
      <c r="P195" s="820"/>
    </row>
    <row r="196" spans="1:16" ht="13.5" hidden="1" thickBot="1" x14ac:dyDescent="0.25">
      <c r="A196" s="808"/>
      <c r="B196" s="808"/>
      <c r="H196" s="817"/>
      <c r="J196" s="808"/>
      <c r="K196" s="808"/>
      <c r="L196" s="850"/>
      <c r="M196" s="881"/>
      <c r="N196" s="831"/>
      <c r="O196" s="849"/>
      <c r="P196" s="852" t="str">
        <f>IF(COUNT(N195,N197)=2,IF(N195&gt;N197,L195,L197),"")</f>
        <v/>
      </c>
    </row>
    <row r="197" spans="1:16" hidden="1" x14ac:dyDescent="0.2">
      <c r="A197" s="808"/>
      <c r="B197" s="808"/>
      <c r="H197" s="817"/>
      <c r="J197" s="808"/>
      <c r="K197" s="817">
        <v>122</v>
      </c>
      <c r="L197" s="821" t="str">
        <f>IF(COUNT(L188,L192)=2,IF(L188&lt;L192,K188,K192),"")</f>
        <v/>
      </c>
      <c r="M197" s="841"/>
      <c r="N197" s="834" t="str">
        <f>IF(L197="-",0,IF(L195="-",13,""))</f>
        <v/>
      </c>
      <c r="P197" s="876" t="s">
        <v>615</v>
      </c>
    </row>
    <row r="198" spans="1:16" hidden="1" x14ac:dyDescent="0.2">
      <c r="A198" s="808"/>
      <c r="B198" s="808"/>
      <c r="C198" s="817"/>
      <c r="E198" s="808"/>
      <c r="F198" s="808"/>
      <c r="G198" s="808"/>
      <c r="H198" s="808"/>
      <c r="I198" s="808"/>
      <c r="P198" s="820"/>
    </row>
    <row r="199" spans="1:16" ht="13.5" hidden="1" thickBot="1" x14ac:dyDescent="0.25">
      <c r="A199" s="808"/>
      <c r="B199" s="808"/>
      <c r="C199" s="817"/>
      <c r="E199" s="808"/>
      <c r="F199" s="808"/>
      <c r="G199" s="808"/>
      <c r="H199" s="820"/>
      <c r="I199" s="808"/>
      <c r="P199" s="878" t="str">
        <f>IF(COUNT(N195,N197)=2,IF(N195&lt;N197,L195,L197),"")</f>
        <v/>
      </c>
    </row>
    <row r="200" spans="1:16" hidden="1" x14ac:dyDescent="0.2">
      <c r="A200" s="808"/>
      <c r="B200" s="808"/>
      <c r="C200" s="817"/>
      <c r="E200" s="808"/>
      <c r="F200" s="808"/>
      <c r="G200" s="808"/>
      <c r="H200" s="808"/>
      <c r="I200" s="820"/>
      <c r="P200" s="876" t="s">
        <v>616</v>
      </c>
    </row>
    <row r="201" spans="1:16" hidden="1" x14ac:dyDescent="0.2">
      <c r="A201" s="808"/>
      <c r="B201" s="808"/>
      <c r="C201" s="817"/>
      <c r="E201" s="808"/>
      <c r="F201" s="808"/>
      <c r="G201" s="808"/>
      <c r="H201" s="808"/>
      <c r="I201" s="808"/>
      <c r="P201" s="808"/>
    </row>
    <row r="202" spans="1:16" hidden="1" x14ac:dyDescent="0.2">
      <c r="A202" s="808"/>
      <c r="B202" s="808"/>
      <c r="C202" s="817"/>
      <c r="I202" s="808"/>
      <c r="J202" s="813">
        <v>111</v>
      </c>
      <c r="K202" s="808" t="str">
        <f>IF(COUNT(K179,K181)=2,IF(K179&lt;K181,I179,I181),"")</f>
        <v/>
      </c>
      <c r="L202" s="814" t="str">
        <f>IF(K202="-",0,IF(K204="-",13,""))</f>
        <v/>
      </c>
      <c r="N202" s="815"/>
      <c r="P202" s="808"/>
    </row>
    <row r="203" spans="1:16" hidden="1" x14ac:dyDescent="0.2">
      <c r="A203" s="808"/>
      <c r="B203" s="808"/>
      <c r="C203" s="817"/>
      <c r="J203" s="817"/>
      <c r="K203" s="880">
        <v>131</v>
      </c>
      <c r="L203" s="831" t="str">
        <f>IF(COUNT(L202,L204)=2,IF(L202&gt;L204,K202,K204),"")</f>
        <v/>
      </c>
      <c r="N203" s="827" t="str">
        <f>IF(L203="-",0,IF(L207="-",13,""))</f>
        <v/>
      </c>
      <c r="P203" s="808"/>
    </row>
    <row r="204" spans="1:16" hidden="1" x14ac:dyDescent="0.2">
      <c r="A204" s="808"/>
      <c r="B204" s="808"/>
      <c r="C204" s="817"/>
      <c r="J204" s="817">
        <v>112</v>
      </c>
      <c r="K204" s="832" t="str">
        <f>IF(COUNT(K183,K185)=2,IF(K183&lt;K185,I183,I185),"")</f>
        <v/>
      </c>
      <c r="L204" s="822" t="str">
        <f>IF(K204="-",0,IF(K202="-",13,""))</f>
        <v/>
      </c>
      <c r="M204" s="881"/>
      <c r="N204" s="824"/>
      <c r="P204" s="808"/>
    </row>
    <row r="205" spans="1:16" ht="13.5" hidden="1" thickBot="1" x14ac:dyDescent="0.25">
      <c r="A205" s="808"/>
      <c r="B205" s="808"/>
      <c r="C205" s="817"/>
      <c r="J205" s="817"/>
      <c r="K205" s="808"/>
      <c r="L205" s="820"/>
      <c r="M205" s="833"/>
      <c r="N205" s="838"/>
      <c r="P205" s="852" t="str">
        <f>IF(COUNT(N203,N207)=2,IF(N203&gt;N207,L203,L207),"")</f>
        <v/>
      </c>
    </row>
    <row r="206" spans="1:16" hidden="1" x14ac:dyDescent="0.2">
      <c r="A206" s="808"/>
      <c r="B206" s="808"/>
      <c r="C206" s="817"/>
      <c r="J206" s="817">
        <v>113</v>
      </c>
      <c r="K206" s="808" t="str">
        <f>IF(COUNT(K187,K189)=2,IF(K187&lt;K189,I187,I189),"")</f>
        <v/>
      </c>
      <c r="L206" s="814" t="str">
        <f>IF(K206="-",0,IF(K208="-",13,""))</f>
        <v/>
      </c>
      <c r="M206" s="833"/>
      <c r="N206" s="842"/>
      <c r="O206" s="829"/>
      <c r="P206" s="855" t="s">
        <v>617</v>
      </c>
    </row>
    <row r="207" spans="1:16" hidden="1" x14ac:dyDescent="0.2">
      <c r="A207" s="808"/>
      <c r="B207" s="808"/>
      <c r="C207" s="817"/>
      <c r="J207" s="817"/>
      <c r="K207" s="880">
        <v>132</v>
      </c>
      <c r="L207" s="831" t="str">
        <f>IF(COUNT(L206,L208)=2,IF(L206&gt;L208,K206,K208),"")</f>
        <v/>
      </c>
      <c r="M207" s="841"/>
      <c r="N207" s="814" t="str">
        <f>IF(L207="-",0,IF(L203="-",13,""))</f>
        <v/>
      </c>
      <c r="O207" s="816"/>
      <c r="P207" s="808"/>
    </row>
    <row r="208" spans="1:16" ht="13.5" hidden="1" thickBot="1" x14ac:dyDescent="0.25">
      <c r="A208" s="808"/>
      <c r="B208" s="808"/>
      <c r="C208" s="817"/>
      <c r="J208" s="817">
        <v>114</v>
      </c>
      <c r="K208" s="832" t="str">
        <f>IF(COUNT(K191,K193)=2,IF(K191&lt;K193,I191,I193),"")</f>
        <v/>
      </c>
      <c r="L208" s="822" t="str">
        <f>IF(K208="-",0,IF(K206="-",13,""))</f>
        <v/>
      </c>
      <c r="N208" s="835"/>
      <c r="O208" s="816"/>
      <c r="P208" s="878" t="str">
        <f>IF(COUNT(N203,N207)=2,IF(N203&lt;N207,L203,L207),"")</f>
        <v/>
      </c>
    </row>
    <row r="209" spans="1:16" hidden="1" x14ac:dyDescent="0.2">
      <c r="A209" s="808"/>
      <c r="B209" s="808"/>
      <c r="C209" s="817"/>
      <c r="J209" s="808"/>
      <c r="K209" s="837"/>
      <c r="L209" s="808"/>
      <c r="N209" s="820"/>
      <c r="O209" s="816"/>
      <c r="P209" s="855" t="s">
        <v>618</v>
      </c>
    </row>
    <row r="210" spans="1:16" hidden="1" x14ac:dyDescent="0.2">
      <c r="A210" s="808"/>
      <c r="B210" s="808"/>
      <c r="C210" s="808"/>
      <c r="J210" s="808"/>
      <c r="K210" s="817">
        <v>131</v>
      </c>
      <c r="L210" s="808" t="str">
        <f>IF(COUNT(L202,L204)=2,IF(L202&lt;L204,K202,K204),"")</f>
        <v/>
      </c>
      <c r="N210" s="814" t="str">
        <f>IF(L210="-",0,IF(L212="-",13,""))</f>
        <v/>
      </c>
      <c r="O210" s="816"/>
      <c r="P210" s="820"/>
    </row>
    <row r="211" spans="1:16" ht="13.5" hidden="1" thickBot="1" x14ac:dyDescent="0.25">
      <c r="A211" s="808"/>
      <c r="B211" s="808"/>
      <c r="C211" s="820"/>
      <c r="J211" s="808"/>
      <c r="K211" s="808"/>
      <c r="L211" s="850"/>
      <c r="M211" s="881"/>
      <c r="N211" s="831"/>
      <c r="O211" s="849"/>
      <c r="P211" s="852" t="str">
        <f>IF(COUNT(N210,N212)=2,IF(N210&gt;N212,L210,L212),"")</f>
        <v/>
      </c>
    </row>
    <row r="212" spans="1:16" hidden="1" x14ac:dyDescent="0.2">
      <c r="A212" s="808"/>
      <c r="B212" s="808"/>
      <c r="C212" s="820"/>
      <c r="J212" s="808"/>
      <c r="K212" s="817">
        <v>132</v>
      </c>
      <c r="L212" s="821" t="str">
        <f>IF(COUNT(L206,L208)=2,IF(L206&lt;L208,K206,K208),"")</f>
        <v/>
      </c>
      <c r="M212" s="841"/>
      <c r="N212" s="834" t="str">
        <f>IF(L212="-",0,IF(L210="-",13,""))</f>
        <v/>
      </c>
      <c r="P212" s="876" t="s">
        <v>619</v>
      </c>
    </row>
    <row r="213" spans="1:16" hidden="1" x14ac:dyDescent="0.2">
      <c r="A213" s="808"/>
      <c r="B213" s="808"/>
      <c r="C213" s="820"/>
      <c r="E213" s="808"/>
      <c r="F213" s="837"/>
      <c r="G213" s="808"/>
      <c r="P213" s="820"/>
    </row>
    <row r="214" spans="1:16" ht="13.5" hidden="1" thickBot="1" x14ac:dyDescent="0.25">
      <c r="A214" s="808"/>
      <c r="B214" s="808"/>
      <c r="C214" s="820"/>
      <c r="E214" s="808"/>
      <c r="F214" s="837"/>
      <c r="G214" s="808"/>
      <c r="P214" s="878" t="str">
        <f>IF(COUNT(N210,N212)=2,IF(N210&lt;N212,L210,L212),"")</f>
        <v/>
      </c>
    </row>
    <row r="215" spans="1:16" hidden="1" x14ac:dyDescent="0.2">
      <c r="A215" s="808"/>
      <c r="B215" s="808"/>
      <c r="C215" s="820"/>
      <c r="D215" s="808"/>
      <c r="E215" s="837"/>
      <c r="F215" s="808"/>
      <c r="G215" s="808"/>
      <c r="H215" s="820"/>
      <c r="P215" s="876" t="s">
        <v>620</v>
      </c>
    </row>
    <row r="216" spans="1:16" hidden="1" x14ac:dyDescent="0.2">
      <c r="A216" s="808"/>
      <c r="B216" s="808"/>
      <c r="C216" s="808"/>
      <c r="D216" s="808"/>
      <c r="E216" s="808"/>
      <c r="F216" s="808"/>
      <c r="G216" s="808"/>
      <c r="H216" s="808"/>
      <c r="I216" s="808"/>
      <c r="J216" s="808"/>
      <c r="K216" s="808"/>
      <c r="L216" s="808"/>
    </row>
    <row r="217" spans="1:16" hidden="1" x14ac:dyDescent="0.2">
      <c r="A217" s="808"/>
      <c r="B217" s="808"/>
      <c r="C217" s="808"/>
      <c r="D217" s="808"/>
      <c r="E217" s="808"/>
      <c r="F217" s="808"/>
      <c r="G217" s="808"/>
      <c r="H217" s="808"/>
      <c r="I217" s="808"/>
      <c r="J217" s="808"/>
      <c r="K217" s="808"/>
      <c r="L217" s="808"/>
    </row>
    <row r="218" spans="1:16" hidden="1" x14ac:dyDescent="0.2">
      <c r="A218" s="808"/>
      <c r="B218" s="808"/>
      <c r="C218" s="808"/>
      <c r="D218" s="808"/>
      <c r="E218" s="808"/>
      <c r="F218" s="808"/>
      <c r="G218" s="808"/>
      <c r="H218" s="808"/>
      <c r="I218" s="808"/>
      <c r="J218" s="808"/>
      <c r="K218" s="808"/>
      <c r="L218" s="808"/>
    </row>
    <row r="219" spans="1:16" hidden="1" x14ac:dyDescent="0.2">
      <c r="A219" s="808"/>
      <c r="B219" s="808"/>
      <c r="C219" s="808"/>
      <c r="D219" s="808"/>
      <c r="E219" s="808"/>
      <c r="F219" s="808"/>
      <c r="G219" s="808"/>
      <c r="H219" s="808"/>
      <c r="I219" s="808"/>
      <c r="J219" s="808"/>
      <c r="K219" s="808"/>
      <c r="L219" s="808"/>
    </row>
    <row r="220" spans="1:16" hidden="1" x14ac:dyDescent="0.2">
      <c r="A220" s="808"/>
      <c r="B220" s="808"/>
      <c r="C220" s="808"/>
      <c r="D220" s="808"/>
      <c r="E220" s="808"/>
      <c r="F220" s="808"/>
      <c r="G220" s="808"/>
      <c r="H220" s="808"/>
      <c r="I220" s="808"/>
      <c r="J220" s="808"/>
      <c r="K220" s="808"/>
      <c r="L220" s="808"/>
    </row>
    <row r="221" spans="1:16" hidden="1" x14ac:dyDescent="0.2">
      <c r="A221" s="808"/>
      <c r="B221" s="808"/>
      <c r="C221" s="808"/>
      <c r="D221" s="808"/>
      <c r="E221" s="808"/>
      <c r="F221" s="808"/>
      <c r="G221" s="808"/>
      <c r="H221" s="808"/>
      <c r="I221" s="808"/>
      <c r="J221" s="808"/>
      <c r="K221" s="808"/>
      <c r="L221" s="808"/>
    </row>
    <row r="222" spans="1:16" hidden="1" x14ac:dyDescent="0.2">
      <c r="A222" s="808"/>
      <c r="B222" s="808"/>
      <c r="C222" s="808"/>
      <c r="D222" s="808"/>
      <c r="E222" s="808"/>
      <c r="F222" s="808"/>
      <c r="G222" s="808"/>
      <c r="H222" s="808"/>
      <c r="I222" s="808"/>
      <c r="J222" s="808"/>
      <c r="K222" s="808"/>
      <c r="L222" s="808"/>
    </row>
    <row r="223" spans="1:16" hidden="1" x14ac:dyDescent="0.2">
      <c r="A223" s="808"/>
      <c r="B223" s="808"/>
      <c r="C223" s="808"/>
      <c r="D223" s="808"/>
      <c r="E223" s="808"/>
      <c r="F223" s="808"/>
      <c r="G223" s="808"/>
      <c r="H223" s="808"/>
      <c r="I223" s="808"/>
      <c r="J223" s="808"/>
      <c r="K223" s="808"/>
      <c r="L223" s="808"/>
    </row>
    <row r="224" spans="1:16" hidden="1" x14ac:dyDescent="0.2">
      <c r="A224" s="808"/>
      <c r="B224" s="808"/>
      <c r="C224" s="808"/>
      <c r="D224" s="808"/>
      <c r="E224" s="808"/>
      <c r="F224" s="808"/>
      <c r="G224" s="808"/>
      <c r="H224" s="808"/>
      <c r="I224" s="808"/>
      <c r="J224" s="808"/>
      <c r="K224" s="808"/>
      <c r="L224" s="808"/>
    </row>
    <row r="225" spans="1:15" hidden="1" x14ac:dyDescent="0.2">
      <c r="L225" s="808"/>
    </row>
    <row r="226" spans="1:15" hidden="1" x14ac:dyDescent="0.2">
      <c r="A226" s="808"/>
      <c r="B226" s="808"/>
      <c r="C226" s="808"/>
      <c r="D226" s="808"/>
      <c r="E226" s="808"/>
      <c r="F226" s="808"/>
      <c r="G226" s="808"/>
      <c r="H226" s="808"/>
      <c r="I226" s="808"/>
      <c r="J226" s="808"/>
      <c r="K226" s="808"/>
      <c r="L226" s="808"/>
    </row>
    <row r="227" spans="1:15" hidden="1" x14ac:dyDescent="0.2">
      <c r="A227" s="808"/>
      <c r="B227" s="808"/>
      <c r="C227" s="808"/>
      <c r="D227" s="808"/>
      <c r="E227" s="808"/>
      <c r="F227" s="808"/>
      <c r="G227" s="808"/>
      <c r="H227" s="808"/>
      <c r="I227" s="808"/>
      <c r="J227" s="808"/>
      <c r="K227" s="808"/>
      <c r="L227" s="808"/>
      <c r="M227" s="808"/>
      <c r="N227" s="808"/>
      <c r="O227" s="808"/>
    </row>
    <row r="228" spans="1:15" hidden="1" x14ac:dyDescent="0.2">
      <c r="A228" s="808"/>
      <c r="B228" s="808"/>
      <c r="C228" s="808"/>
      <c r="D228" s="808"/>
      <c r="E228" s="808"/>
      <c r="F228" s="808"/>
      <c r="G228" s="808"/>
      <c r="H228" s="808"/>
      <c r="I228" s="808"/>
      <c r="J228" s="808"/>
      <c r="K228" s="808"/>
      <c r="L228" s="808"/>
      <c r="M228" s="808"/>
      <c r="N228" s="808"/>
      <c r="O228" s="808"/>
    </row>
    <row r="229" spans="1:15" hidden="1" x14ac:dyDescent="0.2">
      <c r="A229" s="808"/>
      <c r="B229" s="808"/>
      <c r="C229" s="808"/>
      <c r="D229" s="808"/>
      <c r="E229" s="808"/>
      <c r="F229" s="808"/>
      <c r="G229" s="808"/>
      <c r="H229" s="808"/>
      <c r="I229" s="808"/>
      <c r="J229" s="808"/>
      <c r="K229" s="808"/>
      <c r="L229" s="808"/>
      <c r="M229" s="808"/>
      <c r="N229" s="808"/>
      <c r="O229" s="808"/>
    </row>
    <row r="230" spans="1:15" hidden="1" x14ac:dyDescent="0.2">
      <c r="A230" s="808"/>
      <c r="B230" s="808"/>
      <c r="C230" s="808"/>
      <c r="D230" s="808"/>
      <c r="E230" s="808"/>
      <c r="F230" s="808"/>
      <c r="G230" s="808"/>
      <c r="H230" s="808"/>
      <c r="I230" s="808"/>
      <c r="J230" s="808"/>
      <c r="K230" s="808"/>
      <c r="L230" s="808"/>
      <c r="M230" s="808"/>
      <c r="N230" s="808"/>
      <c r="O230" s="808"/>
    </row>
    <row r="231" spans="1:15" hidden="1" x14ac:dyDescent="0.2">
      <c r="A231" s="808"/>
      <c r="B231" s="808"/>
      <c r="C231" s="808"/>
      <c r="D231" s="808"/>
      <c r="E231" s="808"/>
      <c r="F231" s="808"/>
      <c r="G231" s="808"/>
      <c r="H231" s="808"/>
      <c r="I231" s="808"/>
      <c r="J231" s="808"/>
      <c r="K231" s="808"/>
      <c r="L231" s="808"/>
      <c r="M231" s="808"/>
      <c r="N231" s="808"/>
      <c r="O231" s="808"/>
    </row>
    <row r="232" spans="1:15" hidden="1" x14ac:dyDescent="0.2">
      <c r="A232" s="808"/>
      <c r="B232" s="808"/>
      <c r="C232" s="808"/>
      <c r="D232" s="808"/>
      <c r="E232" s="808"/>
      <c r="F232" s="808"/>
      <c r="G232" s="808"/>
      <c r="H232" s="808"/>
      <c r="I232" s="808"/>
      <c r="J232" s="808"/>
      <c r="K232" s="808"/>
      <c r="L232" s="808"/>
      <c r="M232" s="808"/>
      <c r="N232" s="808"/>
      <c r="O232" s="808"/>
    </row>
    <row r="233" spans="1:15" hidden="1" x14ac:dyDescent="0.2">
      <c r="A233" s="808"/>
      <c r="B233" s="808"/>
      <c r="C233" s="808"/>
      <c r="D233" s="808"/>
      <c r="E233" s="808"/>
      <c r="F233" s="808"/>
      <c r="G233" s="808"/>
      <c r="H233" s="808"/>
      <c r="I233" s="808"/>
      <c r="J233" s="808"/>
      <c r="K233" s="808"/>
      <c r="L233" s="808"/>
      <c r="M233" s="808"/>
      <c r="N233" s="808"/>
      <c r="O233" s="808"/>
    </row>
    <row r="234" spans="1:15" hidden="1" x14ac:dyDescent="0.2"/>
    <row r="235" spans="1:15" hidden="1" x14ac:dyDescent="0.2"/>
    <row r="236" spans="1:15" hidden="1" x14ac:dyDescent="0.2">
      <c r="A236" s="808"/>
      <c r="B236" s="808"/>
      <c r="C236" s="808"/>
      <c r="D236" s="808"/>
      <c r="E236" s="808"/>
      <c r="F236" s="808"/>
      <c r="G236" s="808"/>
      <c r="H236" s="808"/>
      <c r="I236" s="808"/>
      <c r="J236" s="808"/>
      <c r="K236" s="808"/>
      <c r="L236" s="808"/>
      <c r="M236" s="808"/>
      <c r="N236" s="808"/>
      <c r="O236" s="808"/>
    </row>
    <row r="237" spans="1:15" hidden="1" x14ac:dyDescent="0.2">
      <c r="A237" s="808"/>
      <c r="B237" s="808"/>
      <c r="C237" s="808"/>
      <c r="D237" s="808"/>
      <c r="E237" s="808"/>
      <c r="F237" s="808"/>
      <c r="G237" s="808"/>
      <c r="H237" s="808"/>
      <c r="I237" s="808"/>
      <c r="J237" s="808"/>
      <c r="K237" s="808"/>
      <c r="L237" s="808"/>
      <c r="M237" s="808"/>
      <c r="N237" s="808"/>
      <c r="O237" s="808"/>
    </row>
    <row r="238" spans="1:15" hidden="1" x14ac:dyDescent="0.2">
      <c r="A238" s="808"/>
      <c r="B238" s="808"/>
      <c r="C238" s="808"/>
      <c r="D238" s="808"/>
      <c r="E238" s="808"/>
      <c r="F238" s="808"/>
      <c r="G238" s="808"/>
      <c r="H238" s="808"/>
      <c r="I238" s="808"/>
      <c r="J238" s="808"/>
      <c r="K238" s="808"/>
      <c r="L238" s="808"/>
      <c r="M238" s="808"/>
      <c r="N238" s="808"/>
      <c r="O238" s="808"/>
    </row>
    <row r="239" spans="1:15" hidden="1" x14ac:dyDescent="0.2">
      <c r="A239" s="808"/>
      <c r="B239" s="808"/>
      <c r="C239" s="808"/>
      <c r="D239" s="808"/>
      <c r="E239" s="808"/>
      <c r="F239" s="808"/>
      <c r="G239" s="808"/>
      <c r="H239" s="808"/>
      <c r="I239" s="808"/>
      <c r="J239" s="808"/>
      <c r="K239" s="808"/>
      <c r="L239" s="808"/>
      <c r="M239" s="808"/>
      <c r="N239" s="808"/>
      <c r="O239" s="808"/>
    </row>
    <row r="240" spans="1:15" hidden="1" x14ac:dyDescent="0.2">
      <c r="A240" s="808"/>
      <c r="B240" s="808"/>
      <c r="C240" s="808"/>
      <c r="D240" s="808"/>
      <c r="E240" s="808"/>
      <c r="F240" s="808"/>
      <c r="G240" s="808"/>
      <c r="H240" s="808"/>
      <c r="I240" s="808"/>
      <c r="J240" s="808"/>
      <c r="K240" s="808"/>
      <c r="L240" s="808"/>
      <c r="M240" s="808"/>
      <c r="N240" s="808"/>
      <c r="O240" s="808"/>
    </row>
    <row r="241" spans="1:15" hidden="1" x14ac:dyDescent="0.2">
      <c r="A241" s="808"/>
      <c r="B241" s="808"/>
      <c r="C241" s="808"/>
      <c r="D241" s="808"/>
      <c r="E241" s="808"/>
      <c r="F241" s="808"/>
      <c r="G241" s="808"/>
      <c r="H241" s="808"/>
      <c r="I241" s="808"/>
      <c r="J241" s="808"/>
      <c r="K241" s="808"/>
      <c r="L241" s="808"/>
      <c r="M241" s="808"/>
      <c r="N241" s="808"/>
      <c r="O241" s="808"/>
    </row>
    <row r="242" spans="1:15" hidden="1" x14ac:dyDescent="0.2">
      <c r="A242" s="808"/>
      <c r="B242" s="808"/>
      <c r="C242" s="808"/>
      <c r="D242" s="808"/>
      <c r="E242" s="808"/>
      <c r="F242" s="808"/>
      <c r="G242" s="808"/>
      <c r="H242" s="808"/>
      <c r="I242" s="808"/>
      <c r="J242" s="808"/>
      <c r="K242" s="808"/>
      <c r="L242" s="808"/>
      <c r="M242" s="808"/>
      <c r="N242" s="808"/>
      <c r="O242" s="808"/>
    </row>
    <row r="243" spans="1:15" hidden="1" x14ac:dyDescent="0.2">
      <c r="A243" s="808"/>
      <c r="B243" s="808"/>
      <c r="C243" s="808"/>
      <c r="D243" s="808"/>
      <c r="E243" s="808"/>
      <c r="F243" s="808"/>
      <c r="G243" s="808"/>
      <c r="H243" s="808"/>
      <c r="I243" s="808"/>
      <c r="J243" s="808"/>
      <c r="K243" s="808"/>
      <c r="L243" s="808"/>
      <c r="M243" s="808"/>
      <c r="N243" s="808"/>
      <c r="O243" s="808"/>
    </row>
    <row r="244" spans="1:15" hidden="1" x14ac:dyDescent="0.2">
      <c r="M244" s="808"/>
      <c r="N244" s="808"/>
      <c r="O244" s="808"/>
    </row>
    <row r="245" spans="1:15" hidden="1" x14ac:dyDescent="0.2">
      <c r="M245" s="808"/>
      <c r="N245" s="808"/>
      <c r="O245" s="808"/>
    </row>
    <row r="246" spans="1:15" hidden="1" x14ac:dyDescent="0.2">
      <c r="M246" s="808"/>
      <c r="N246" s="808"/>
      <c r="O246" s="808"/>
    </row>
    <row r="247" spans="1:15" hidden="1" x14ac:dyDescent="0.2">
      <c r="M247" s="808"/>
      <c r="N247" s="808"/>
      <c r="O247" s="808"/>
    </row>
    <row r="248" spans="1:15" hidden="1" x14ac:dyDescent="0.2">
      <c r="M248" s="808"/>
      <c r="N248" s="808"/>
      <c r="O248" s="808"/>
    </row>
    <row r="249" spans="1:15" hidden="1" x14ac:dyDescent="0.2">
      <c r="M249" s="808"/>
      <c r="N249" s="808"/>
      <c r="O249" s="808"/>
    </row>
    <row r="250" spans="1:15" hidden="1" x14ac:dyDescent="0.2">
      <c r="M250" s="808"/>
      <c r="N250" s="808"/>
      <c r="O250" s="808"/>
    </row>
    <row r="251" spans="1:15" hidden="1" x14ac:dyDescent="0.2">
      <c r="M251" s="808"/>
      <c r="N251" s="808"/>
      <c r="O251" s="808"/>
    </row>
    <row r="252" spans="1:15" hidden="1" x14ac:dyDescent="0.2">
      <c r="M252" s="808"/>
      <c r="N252" s="808"/>
      <c r="O252" s="808"/>
    </row>
    <row r="253" spans="1:15" hidden="1" x14ac:dyDescent="0.2">
      <c r="M253" s="808"/>
      <c r="N253" s="808"/>
      <c r="O253" s="808"/>
    </row>
    <row r="254" spans="1:15" hidden="1" x14ac:dyDescent="0.2">
      <c r="M254" s="808"/>
      <c r="N254" s="808"/>
      <c r="O254" s="808"/>
    </row>
    <row r="255" spans="1:15" hidden="1" x14ac:dyDescent="0.2">
      <c r="M255" s="808"/>
      <c r="N255" s="808"/>
      <c r="O255" s="808"/>
    </row>
    <row r="256" spans="1:15" hidden="1" x14ac:dyDescent="0.2">
      <c r="M256" s="808"/>
      <c r="N256" s="808"/>
      <c r="O256" s="808"/>
    </row>
    <row r="257" spans="1:15" hidden="1" x14ac:dyDescent="0.2">
      <c r="A257" s="808"/>
      <c r="B257" s="808"/>
      <c r="C257" s="808"/>
      <c r="D257" s="808"/>
      <c r="E257" s="808"/>
      <c r="F257" s="808"/>
      <c r="G257" s="808"/>
      <c r="H257" s="808"/>
      <c r="I257" s="808"/>
      <c r="J257" s="808"/>
      <c r="K257" s="808"/>
      <c r="L257" s="808"/>
      <c r="M257" s="808"/>
      <c r="N257" s="808"/>
      <c r="O257" s="808"/>
    </row>
    <row r="258" spans="1:15" hidden="1" x14ac:dyDescent="0.2">
      <c r="A258" s="808"/>
      <c r="B258" s="808"/>
      <c r="C258" s="808"/>
      <c r="D258" s="808"/>
      <c r="E258" s="808"/>
      <c r="F258" s="808"/>
      <c r="G258" s="808"/>
      <c r="H258" s="808"/>
      <c r="I258" s="808"/>
      <c r="J258" s="808"/>
      <c r="K258" s="808"/>
      <c r="L258" s="808"/>
      <c r="M258" s="808"/>
      <c r="N258" s="808"/>
      <c r="O258" s="808"/>
    </row>
    <row r="259" spans="1:15" hidden="1" x14ac:dyDescent="0.2">
      <c r="A259" s="808"/>
      <c r="B259" s="808"/>
      <c r="C259" s="808"/>
      <c r="D259" s="808"/>
      <c r="E259" s="808"/>
      <c r="F259" s="808"/>
      <c r="G259" s="808"/>
      <c r="H259" s="808"/>
      <c r="I259" s="808"/>
      <c r="J259" s="808"/>
      <c r="K259" s="808"/>
      <c r="L259" s="808"/>
      <c r="M259" s="808"/>
      <c r="N259" s="808"/>
      <c r="O259" s="808"/>
    </row>
    <row r="260" spans="1:15" hidden="1" x14ac:dyDescent="0.2">
      <c r="A260" s="808"/>
      <c r="B260" s="808"/>
      <c r="C260" s="808"/>
      <c r="D260" s="808"/>
      <c r="E260" s="808"/>
      <c r="F260" s="808"/>
      <c r="G260" s="808"/>
      <c r="H260" s="808"/>
      <c r="I260" s="808"/>
      <c r="J260" s="808"/>
      <c r="K260" s="808"/>
      <c r="L260" s="808"/>
      <c r="M260" s="808"/>
      <c r="N260" s="808"/>
      <c r="O260" s="808"/>
    </row>
    <row r="261" spans="1:15" hidden="1" x14ac:dyDescent="0.2">
      <c r="A261" s="808"/>
      <c r="B261" s="808"/>
      <c r="C261" s="808"/>
      <c r="D261" s="808"/>
      <c r="E261" s="808"/>
      <c r="F261" s="808"/>
      <c r="G261" s="808"/>
      <c r="H261" s="808"/>
      <c r="I261" s="808"/>
      <c r="J261" s="808"/>
      <c r="K261" s="808"/>
      <c r="L261" s="808"/>
      <c r="M261" s="808"/>
      <c r="N261" s="808"/>
      <c r="O261" s="808"/>
    </row>
    <row r="262" spans="1:15" hidden="1" x14ac:dyDescent="0.2">
      <c r="A262" s="808"/>
      <c r="B262" s="808"/>
      <c r="C262" s="808"/>
      <c r="D262" s="808"/>
      <c r="E262" s="808"/>
      <c r="F262" s="808"/>
      <c r="G262" s="808"/>
      <c r="H262" s="808"/>
      <c r="I262" s="808"/>
      <c r="J262" s="808"/>
      <c r="K262" s="808"/>
      <c r="L262" s="808"/>
      <c r="M262" s="808"/>
      <c r="N262" s="808"/>
      <c r="O262" s="808"/>
    </row>
    <row r="263" spans="1:15" hidden="1" x14ac:dyDescent="0.2">
      <c r="A263" s="808"/>
      <c r="B263" s="808"/>
      <c r="C263" s="808"/>
      <c r="D263" s="808"/>
      <c r="E263" s="808"/>
      <c r="F263" s="808"/>
      <c r="G263" s="808"/>
      <c r="H263" s="808"/>
      <c r="I263" s="808"/>
      <c r="J263" s="808"/>
      <c r="K263" s="808"/>
      <c r="L263" s="808"/>
      <c r="M263" s="808"/>
      <c r="N263" s="808"/>
      <c r="O263" s="808"/>
    </row>
    <row r="264" spans="1:15" hidden="1" x14ac:dyDescent="0.2">
      <c r="A264" s="808"/>
      <c r="B264" s="808"/>
      <c r="C264" s="808"/>
      <c r="D264" s="808"/>
      <c r="E264" s="808"/>
      <c r="F264" s="808"/>
      <c r="G264" s="808"/>
      <c r="H264" s="808"/>
      <c r="I264" s="808"/>
      <c r="J264" s="808"/>
      <c r="K264" s="808"/>
      <c r="L264" s="808"/>
      <c r="M264" s="808"/>
      <c r="N264" s="808"/>
      <c r="O264" s="808"/>
    </row>
    <row r="265" spans="1:15" hidden="1" x14ac:dyDescent="0.2">
      <c r="A265" s="808"/>
      <c r="B265" s="808"/>
      <c r="C265" s="808"/>
      <c r="D265" s="808"/>
      <c r="E265" s="808"/>
      <c r="F265" s="808"/>
      <c r="G265" s="808"/>
      <c r="H265" s="808"/>
      <c r="I265" s="808"/>
      <c r="J265" s="808"/>
      <c r="K265" s="808"/>
      <c r="L265" s="808"/>
      <c r="M265" s="808"/>
      <c r="N265" s="808"/>
      <c r="O265" s="808"/>
    </row>
    <row r="266" spans="1:15" hidden="1" x14ac:dyDescent="0.2">
      <c r="A266" s="808"/>
      <c r="B266" s="808"/>
      <c r="C266" s="808"/>
      <c r="D266" s="808"/>
      <c r="E266" s="808"/>
      <c r="F266" s="808"/>
      <c r="G266" s="808"/>
      <c r="H266" s="808"/>
      <c r="I266" s="808"/>
      <c r="J266" s="808"/>
      <c r="K266" s="808"/>
      <c r="L266" s="808"/>
      <c r="M266" s="808"/>
      <c r="N266" s="808"/>
      <c r="O266" s="808"/>
    </row>
    <row r="267" spans="1:15" hidden="1" x14ac:dyDescent="0.2">
      <c r="A267" s="808"/>
      <c r="B267" s="808"/>
      <c r="C267" s="808"/>
      <c r="D267" s="808"/>
      <c r="E267" s="808"/>
      <c r="F267" s="808"/>
      <c r="G267" s="808"/>
      <c r="H267" s="808"/>
      <c r="I267" s="808"/>
      <c r="J267" s="808"/>
      <c r="K267" s="808"/>
      <c r="L267" s="808"/>
      <c r="M267" s="808"/>
      <c r="N267" s="808"/>
      <c r="O267" s="808"/>
    </row>
    <row r="268" spans="1:15" hidden="1" x14ac:dyDescent="0.2">
      <c r="A268" s="808"/>
      <c r="B268" s="808"/>
      <c r="C268" s="808"/>
      <c r="D268" s="808"/>
      <c r="E268" s="808"/>
      <c r="F268" s="808"/>
      <c r="G268" s="808"/>
      <c r="H268" s="808"/>
      <c r="I268" s="808"/>
      <c r="J268" s="808"/>
      <c r="K268" s="808"/>
      <c r="L268" s="808"/>
      <c r="M268" s="808"/>
      <c r="N268" s="808"/>
      <c r="O268" s="808"/>
    </row>
    <row r="269" spans="1:15" hidden="1" x14ac:dyDescent="0.2">
      <c r="A269" s="808"/>
      <c r="B269" s="808"/>
      <c r="C269" s="808"/>
      <c r="D269" s="808"/>
      <c r="E269" s="808"/>
      <c r="F269" s="808"/>
      <c r="G269" s="808"/>
      <c r="H269" s="808"/>
      <c r="I269" s="808"/>
      <c r="J269" s="808"/>
      <c r="K269" s="808"/>
      <c r="L269" s="808"/>
      <c r="M269" s="808"/>
      <c r="N269" s="808"/>
      <c r="O269" s="808"/>
    </row>
    <row r="270" spans="1:15" hidden="1" x14ac:dyDescent="0.2">
      <c r="A270" s="808"/>
      <c r="B270" s="808"/>
      <c r="C270" s="808"/>
      <c r="D270" s="808"/>
      <c r="E270" s="808"/>
      <c r="F270" s="808"/>
      <c r="G270" s="808"/>
      <c r="H270" s="808"/>
      <c r="I270" s="808"/>
      <c r="J270" s="808"/>
      <c r="K270" s="808"/>
      <c r="L270" s="808"/>
      <c r="M270" s="808"/>
      <c r="N270" s="808"/>
      <c r="O270" s="808"/>
    </row>
    <row r="271" spans="1:15" hidden="1" x14ac:dyDescent="0.2">
      <c r="A271" s="808"/>
      <c r="B271" s="808"/>
      <c r="C271" s="808"/>
      <c r="D271" s="808"/>
      <c r="E271" s="808"/>
      <c r="F271" s="808"/>
      <c r="G271" s="808"/>
      <c r="H271" s="808"/>
      <c r="I271" s="808"/>
      <c r="J271" s="808"/>
      <c r="K271" s="808"/>
      <c r="L271" s="808"/>
      <c r="M271" s="808"/>
      <c r="N271" s="808"/>
      <c r="O271" s="808"/>
    </row>
    <row r="272" spans="1:15" hidden="1" x14ac:dyDescent="0.2">
      <c r="A272" s="808"/>
      <c r="B272" s="808"/>
      <c r="C272" s="808"/>
      <c r="D272" s="808"/>
      <c r="E272" s="808"/>
      <c r="F272" s="808"/>
      <c r="G272" s="808"/>
      <c r="H272" s="808"/>
      <c r="I272" s="808"/>
      <c r="J272" s="808"/>
      <c r="K272" s="808"/>
      <c r="L272" s="808"/>
      <c r="M272" s="808"/>
      <c r="N272" s="808"/>
      <c r="O272" s="808"/>
    </row>
    <row r="273" spans="1:15" hidden="1" x14ac:dyDescent="0.2">
      <c r="A273" s="808"/>
      <c r="B273" s="808"/>
      <c r="C273" s="808"/>
      <c r="D273" s="808"/>
      <c r="E273" s="808"/>
      <c r="F273" s="808"/>
      <c r="G273" s="808"/>
      <c r="H273" s="808"/>
      <c r="I273" s="808"/>
      <c r="J273" s="808"/>
      <c r="K273" s="808"/>
      <c r="L273" s="808"/>
      <c r="M273" s="808"/>
      <c r="N273" s="808"/>
      <c r="O273" s="808"/>
    </row>
    <row r="274" spans="1:15" hidden="1" x14ac:dyDescent="0.2">
      <c r="A274" s="808"/>
      <c r="B274" s="808"/>
      <c r="C274" s="808"/>
      <c r="D274" s="808"/>
      <c r="E274" s="808"/>
      <c r="F274" s="808"/>
      <c r="G274" s="808"/>
      <c r="H274" s="808"/>
      <c r="I274" s="808"/>
      <c r="J274" s="808"/>
      <c r="K274" s="808"/>
      <c r="L274" s="808"/>
      <c r="M274" s="808"/>
      <c r="N274" s="808"/>
      <c r="O274" s="808"/>
    </row>
    <row r="275" spans="1:15" hidden="1" x14ac:dyDescent="0.2">
      <c r="A275" s="808"/>
      <c r="B275" s="808"/>
      <c r="C275" s="808"/>
      <c r="D275" s="808"/>
      <c r="E275" s="808"/>
      <c r="F275" s="808"/>
      <c r="G275" s="808"/>
      <c r="H275" s="808"/>
      <c r="I275" s="808"/>
      <c r="J275" s="808"/>
      <c r="K275" s="808"/>
      <c r="L275" s="808"/>
      <c r="M275" s="808"/>
      <c r="N275" s="808"/>
      <c r="O275" s="808"/>
    </row>
    <row r="276" spans="1:15" hidden="1" x14ac:dyDescent="0.2">
      <c r="A276" s="808"/>
      <c r="B276" s="808"/>
      <c r="C276" s="808"/>
      <c r="D276" s="808"/>
      <c r="E276" s="808"/>
      <c r="F276" s="808"/>
      <c r="G276" s="808"/>
      <c r="H276" s="808"/>
      <c r="I276" s="808"/>
      <c r="J276" s="808"/>
      <c r="K276" s="808"/>
      <c r="L276" s="808"/>
      <c r="M276" s="808"/>
      <c r="N276" s="808"/>
      <c r="O276" s="808"/>
    </row>
    <row r="277" spans="1:15" hidden="1" x14ac:dyDescent="0.2">
      <c r="A277" s="808"/>
      <c r="B277" s="808"/>
      <c r="C277" s="808"/>
      <c r="D277" s="808"/>
      <c r="E277" s="808"/>
      <c r="F277" s="808"/>
      <c r="G277" s="808"/>
      <c r="H277" s="808"/>
      <c r="I277" s="808"/>
      <c r="J277" s="808"/>
      <c r="K277" s="808"/>
      <c r="L277" s="808"/>
      <c r="M277" s="808"/>
      <c r="N277" s="808"/>
      <c r="O277" s="808"/>
    </row>
    <row r="278" spans="1:15" hidden="1" x14ac:dyDescent="0.2">
      <c r="A278" s="808"/>
      <c r="B278" s="808"/>
      <c r="C278" s="808"/>
      <c r="D278" s="808"/>
      <c r="E278" s="808"/>
      <c r="F278" s="808"/>
      <c r="G278" s="808"/>
      <c r="H278" s="808"/>
      <c r="I278" s="808"/>
      <c r="J278" s="808"/>
      <c r="K278" s="808"/>
      <c r="L278" s="808"/>
      <c r="M278" s="808"/>
      <c r="N278" s="808"/>
      <c r="O278" s="808"/>
    </row>
    <row r="279" spans="1:15" hidden="1" x14ac:dyDescent="0.2">
      <c r="A279" s="808"/>
      <c r="B279" s="808"/>
      <c r="C279" s="808"/>
      <c r="D279" s="808"/>
      <c r="E279" s="808"/>
      <c r="F279" s="808"/>
      <c r="G279" s="808"/>
      <c r="H279" s="808"/>
      <c r="I279" s="808"/>
      <c r="J279" s="808"/>
      <c r="K279" s="808"/>
      <c r="L279" s="808"/>
      <c r="M279" s="808"/>
      <c r="N279" s="808"/>
      <c r="O279" s="808"/>
    </row>
    <row r="280" spans="1:15" hidden="1" x14ac:dyDescent="0.2">
      <c r="A280" s="808"/>
      <c r="B280" s="808"/>
      <c r="C280" s="808"/>
      <c r="D280" s="808"/>
      <c r="E280" s="808"/>
      <c r="F280" s="808"/>
      <c r="G280" s="808"/>
      <c r="H280" s="808"/>
      <c r="I280" s="808"/>
      <c r="J280" s="808"/>
      <c r="K280" s="808"/>
      <c r="L280" s="808"/>
      <c r="M280" s="808"/>
      <c r="N280" s="808"/>
      <c r="O280" s="808"/>
    </row>
    <row r="281" spans="1:15" hidden="1" x14ac:dyDescent="0.2">
      <c r="A281" s="808"/>
      <c r="B281" s="808"/>
      <c r="C281" s="808"/>
      <c r="D281" s="808"/>
      <c r="E281" s="808"/>
      <c r="F281" s="808"/>
      <c r="G281" s="808"/>
      <c r="H281" s="808"/>
      <c r="I281" s="808"/>
      <c r="J281" s="808"/>
      <c r="K281" s="808"/>
      <c r="L281" s="808"/>
      <c r="M281" s="808"/>
      <c r="N281" s="808"/>
      <c r="O281" s="808"/>
    </row>
    <row r="282" spans="1:15" hidden="1" x14ac:dyDescent="0.2">
      <c r="A282" s="808"/>
      <c r="B282" s="808"/>
      <c r="C282" s="808"/>
      <c r="D282" s="808"/>
      <c r="E282" s="808"/>
      <c r="F282" s="808"/>
      <c r="G282" s="808"/>
      <c r="H282" s="808"/>
      <c r="I282" s="808"/>
      <c r="J282" s="808"/>
      <c r="K282" s="808"/>
      <c r="L282" s="808"/>
      <c r="M282" s="808"/>
      <c r="N282" s="808"/>
      <c r="O282" s="808"/>
    </row>
    <row r="283" spans="1:15" hidden="1" x14ac:dyDescent="0.2">
      <c r="A283" s="808"/>
      <c r="B283" s="808"/>
      <c r="C283" s="808"/>
      <c r="D283" s="808"/>
      <c r="E283" s="808"/>
      <c r="F283" s="808"/>
      <c r="G283" s="808"/>
      <c r="H283" s="808"/>
      <c r="I283" s="808"/>
      <c r="J283" s="808"/>
      <c r="K283" s="808"/>
      <c r="L283" s="808"/>
      <c r="M283" s="808"/>
      <c r="N283" s="808"/>
      <c r="O283" s="808"/>
    </row>
    <row r="284" spans="1:15" hidden="1" x14ac:dyDescent="0.2">
      <c r="A284" s="808"/>
      <c r="B284" s="808"/>
      <c r="C284" s="808"/>
      <c r="D284" s="808"/>
      <c r="E284" s="808"/>
      <c r="F284" s="808"/>
      <c r="G284" s="808"/>
      <c r="H284" s="808"/>
      <c r="I284" s="808"/>
      <c r="J284" s="808"/>
      <c r="K284" s="808"/>
      <c r="L284" s="808"/>
      <c r="M284" s="808"/>
      <c r="N284" s="808"/>
      <c r="O284" s="808"/>
    </row>
    <row r="285" spans="1:15" hidden="1" x14ac:dyDescent="0.2">
      <c r="A285" s="808"/>
      <c r="B285" s="808"/>
      <c r="C285" s="808"/>
      <c r="D285" s="808"/>
      <c r="E285" s="808"/>
      <c r="F285" s="808"/>
      <c r="G285" s="808"/>
      <c r="H285" s="808"/>
      <c r="I285" s="808"/>
      <c r="J285" s="808"/>
      <c r="K285" s="808"/>
      <c r="L285" s="808"/>
      <c r="M285" s="808"/>
      <c r="N285" s="808"/>
      <c r="O285" s="808"/>
    </row>
    <row r="286" spans="1:15" hidden="1" x14ac:dyDescent="0.2">
      <c r="A286" s="808"/>
      <c r="B286" s="808"/>
      <c r="C286" s="808"/>
      <c r="D286" s="808"/>
      <c r="E286" s="808"/>
      <c r="F286" s="808"/>
      <c r="G286" s="808"/>
      <c r="H286" s="808"/>
      <c r="I286" s="808"/>
      <c r="J286" s="808"/>
      <c r="K286" s="808"/>
      <c r="L286" s="808"/>
      <c r="M286" s="808"/>
      <c r="N286" s="808"/>
      <c r="O286" s="808"/>
    </row>
    <row r="287" spans="1:15" hidden="1" x14ac:dyDescent="0.2">
      <c r="A287" s="808"/>
      <c r="B287" s="808"/>
      <c r="C287" s="808"/>
      <c r="D287" s="808"/>
      <c r="E287" s="808"/>
      <c r="F287" s="808"/>
      <c r="G287" s="808"/>
      <c r="H287" s="808"/>
      <c r="I287" s="808"/>
      <c r="J287" s="808"/>
      <c r="K287" s="808"/>
      <c r="L287" s="808"/>
      <c r="M287" s="808"/>
      <c r="N287" s="808"/>
      <c r="O287" s="808"/>
    </row>
    <row r="288" spans="1:15" hidden="1" x14ac:dyDescent="0.2">
      <c r="A288" s="808"/>
      <c r="B288" s="808"/>
      <c r="C288" s="808"/>
      <c r="D288" s="808"/>
      <c r="E288" s="808"/>
      <c r="F288" s="808"/>
      <c r="G288" s="808"/>
      <c r="H288" s="808"/>
      <c r="I288" s="808"/>
      <c r="J288" s="808"/>
      <c r="K288" s="808"/>
      <c r="L288" s="808"/>
      <c r="M288" s="808"/>
      <c r="N288" s="808"/>
      <c r="O288" s="808"/>
    </row>
    <row r="289" spans="1:15" hidden="1" x14ac:dyDescent="0.2">
      <c r="A289" s="808"/>
      <c r="B289" s="808"/>
      <c r="C289" s="808"/>
      <c r="D289" s="808"/>
      <c r="E289" s="808"/>
      <c r="F289" s="808"/>
      <c r="G289" s="808"/>
      <c r="H289" s="808"/>
      <c r="I289" s="808"/>
      <c r="J289" s="808"/>
      <c r="K289" s="808"/>
      <c r="L289" s="808"/>
      <c r="M289" s="808"/>
      <c r="N289" s="808"/>
      <c r="O289" s="808"/>
    </row>
    <row r="290" spans="1:15" hidden="1" x14ac:dyDescent="0.2">
      <c r="A290" s="808"/>
      <c r="B290" s="808"/>
      <c r="C290" s="808"/>
      <c r="D290" s="808"/>
      <c r="E290" s="808"/>
      <c r="F290" s="808"/>
      <c r="G290" s="808"/>
      <c r="H290" s="808"/>
      <c r="I290" s="808"/>
      <c r="J290" s="808"/>
      <c r="K290" s="808"/>
      <c r="L290" s="808"/>
      <c r="M290" s="808"/>
      <c r="N290" s="808"/>
      <c r="O290" s="808"/>
    </row>
    <row r="291" spans="1:15" hidden="1" x14ac:dyDescent="0.2">
      <c r="A291" s="808"/>
      <c r="B291" s="808"/>
      <c r="C291" s="808"/>
      <c r="D291" s="808"/>
      <c r="E291" s="808"/>
      <c r="F291" s="808"/>
      <c r="G291" s="808"/>
      <c r="H291" s="808"/>
      <c r="I291" s="808"/>
      <c r="J291" s="808"/>
      <c r="K291" s="808"/>
      <c r="L291" s="808"/>
      <c r="M291" s="808"/>
      <c r="N291" s="808"/>
      <c r="O291" s="808"/>
    </row>
    <row r="292" spans="1:15" hidden="1" x14ac:dyDescent="0.2">
      <c r="A292" s="808"/>
      <c r="B292" s="808"/>
      <c r="C292" s="808"/>
      <c r="D292" s="808"/>
      <c r="E292" s="808"/>
      <c r="F292" s="808"/>
      <c r="G292" s="808"/>
      <c r="H292" s="808"/>
      <c r="I292" s="808"/>
      <c r="J292" s="808"/>
      <c r="K292" s="808"/>
      <c r="L292" s="808"/>
      <c r="M292" s="808"/>
      <c r="N292" s="808"/>
      <c r="O292" s="808"/>
    </row>
    <row r="293" spans="1:15" hidden="1" x14ac:dyDescent="0.2">
      <c r="A293" s="808"/>
      <c r="B293" s="808"/>
      <c r="C293" s="808"/>
      <c r="D293" s="808"/>
      <c r="E293" s="808"/>
      <c r="F293" s="808"/>
      <c r="G293" s="808"/>
      <c r="H293" s="808"/>
      <c r="I293" s="808"/>
      <c r="J293" s="808"/>
      <c r="K293" s="808"/>
      <c r="L293" s="808"/>
      <c r="M293" s="808"/>
      <c r="N293" s="808"/>
      <c r="O293" s="808"/>
    </row>
    <row r="294" spans="1:15" hidden="1" x14ac:dyDescent="0.2">
      <c r="A294" s="808"/>
      <c r="B294" s="808"/>
      <c r="C294" s="808"/>
      <c r="D294" s="808"/>
      <c r="E294" s="808"/>
      <c r="F294" s="808"/>
      <c r="G294" s="808"/>
      <c r="H294" s="808"/>
      <c r="I294" s="808"/>
      <c r="J294" s="808"/>
      <c r="K294" s="808"/>
      <c r="L294" s="808"/>
      <c r="M294" s="808"/>
      <c r="N294" s="808"/>
      <c r="O294" s="808"/>
    </row>
    <row r="295" spans="1:15" hidden="1" x14ac:dyDescent="0.2">
      <c r="A295" s="808"/>
      <c r="B295" s="808"/>
      <c r="C295" s="808"/>
      <c r="D295" s="808"/>
      <c r="E295" s="808"/>
      <c r="F295" s="808"/>
      <c r="G295" s="808"/>
      <c r="H295" s="808"/>
      <c r="I295" s="808"/>
      <c r="J295" s="808"/>
      <c r="K295" s="808"/>
      <c r="L295" s="808"/>
      <c r="M295" s="808"/>
      <c r="N295" s="808"/>
      <c r="O295" s="808"/>
    </row>
    <row r="296" spans="1:15" hidden="1" x14ac:dyDescent="0.2">
      <c r="A296" s="808"/>
      <c r="B296" s="808"/>
      <c r="C296" s="808"/>
      <c r="D296" s="808"/>
      <c r="E296" s="808"/>
      <c r="F296" s="808"/>
      <c r="G296" s="808"/>
      <c r="H296" s="808"/>
      <c r="I296" s="808"/>
      <c r="J296" s="808"/>
      <c r="K296" s="808"/>
      <c r="L296" s="808"/>
      <c r="M296" s="808"/>
      <c r="N296" s="808"/>
      <c r="O296" s="808"/>
    </row>
    <row r="297" spans="1:15" hidden="1" x14ac:dyDescent="0.2">
      <c r="A297" s="808"/>
      <c r="B297" s="808"/>
      <c r="C297" s="808"/>
      <c r="D297" s="808"/>
      <c r="E297" s="808"/>
      <c r="F297" s="808"/>
      <c r="G297" s="808"/>
      <c r="H297" s="808"/>
      <c r="I297" s="808"/>
      <c r="J297" s="808"/>
      <c r="K297" s="808"/>
      <c r="L297" s="808"/>
      <c r="M297" s="808"/>
      <c r="N297" s="808"/>
      <c r="O297" s="808"/>
    </row>
    <row r="298" spans="1:15" hidden="1" x14ac:dyDescent="0.2">
      <c r="A298" s="812" t="s">
        <v>621</v>
      </c>
      <c r="B298" s="808"/>
      <c r="C298" s="808"/>
      <c r="D298" s="808"/>
      <c r="E298" s="812" t="s">
        <v>622</v>
      </c>
      <c r="F298" s="820"/>
      <c r="G298" s="808"/>
      <c r="H298" s="808"/>
      <c r="I298" s="808"/>
      <c r="J298" s="812" t="s">
        <v>623</v>
      </c>
      <c r="K298" s="820"/>
      <c r="L298" s="808"/>
      <c r="M298" s="808"/>
      <c r="N298" s="808"/>
      <c r="O298" s="808"/>
    </row>
    <row r="299" spans="1:15" hidden="1" x14ac:dyDescent="0.2">
      <c r="A299" s="808"/>
      <c r="B299" s="808"/>
      <c r="C299" s="808"/>
      <c r="D299" s="808"/>
      <c r="E299" s="808"/>
      <c r="F299" s="820"/>
      <c r="G299" s="808"/>
      <c r="H299" s="808"/>
      <c r="I299" s="808"/>
      <c r="J299" s="808"/>
      <c r="K299" s="820"/>
      <c r="L299" s="808"/>
      <c r="M299" s="808"/>
      <c r="N299" s="808"/>
      <c r="O299" s="808"/>
    </row>
    <row r="300" spans="1:15" hidden="1" x14ac:dyDescent="0.2">
      <c r="A300" s="882">
        <v>1</v>
      </c>
      <c r="B300" s="883" t="str">
        <f>IFERROR(INDEX(P$10:P$300,MATCH(A300&amp;". koht",P$11:P$301,0)),"")</f>
        <v/>
      </c>
      <c r="C300" s="863"/>
      <c r="D300" s="858">
        <v>1</v>
      </c>
      <c r="E300" s="884"/>
      <c r="F300" s="820"/>
      <c r="G300" s="808"/>
      <c r="H300" s="808"/>
      <c r="I300" s="858">
        <v>1</v>
      </c>
      <c r="J300" s="884"/>
      <c r="K300" s="820"/>
      <c r="L300" s="808"/>
      <c r="M300" s="808"/>
      <c r="N300" s="808"/>
      <c r="O300" s="808"/>
    </row>
    <row r="301" spans="1:15" hidden="1" x14ac:dyDescent="0.2">
      <c r="A301" s="882">
        <v>2</v>
      </c>
      <c r="B301" s="883" t="str">
        <f t="shared" ref="B301:B331" si="0">IFERROR(INDEX(P$10:P$300,MATCH(A301&amp;". koht",P$11:P$301,0)),"")</f>
        <v/>
      </c>
      <c r="C301" s="885"/>
      <c r="D301" s="858">
        <v>2</v>
      </c>
      <c r="E301" s="886"/>
      <c r="F301" s="820"/>
      <c r="G301" s="808"/>
      <c r="H301" s="808"/>
      <c r="I301" s="858">
        <v>2</v>
      </c>
      <c r="J301" s="886"/>
      <c r="K301" s="820"/>
      <c r="L301" s="808"/>
      <c r="M301" s="808"/>
      <c r="N301" s="808"/>
      <c r="O301" s="808"/>
    </row>
    <row r="302" spans="1:15" hidden="1" x14ac:dyDescent="0.2">
      <c r="A302" s="882">
        <v>3</v>
      </c>
      <c r="B302" s="883" t="str">
        <f t="shared" si="0"/>
        <v/>
      </c>
      <c r="C302" s="885"/>
      <c r="D302" s="858">
        <v>3</v>
      </c>
      <c r="E302" s="887"/>
      <c r="F302" s="820"/>
      <c r="G302" s="808"/>
      <c r="H302" s="808"/>
      <c r="I302" s="858">
        <v>3</v>
      </c>
      <c r="J302" s="887"/>
      <c r="K302" s="820"/>
      <c r="L302" s="808"/>
      <c r="M302" s="808"/>
      <c r="N302" s="808"/>
      <c r="O302" s="808"/>
    </row>
    <row r="303" spans="1:15" hidden="1" x14ac:dyDescent="0.2">
      <c r="A303" s="882">
        <v>4</v>
      </c>
      <c r="B303" s="883" t="str">
        <f t="shared" si="0"/>
        <v/>
      </c>
      <c r="C303" s="885"/>
      <c r="D303" s="858"/>
      <c r="E303" s="808"/>
      <c r="F303" s="808"/>
      <c r="G303" s="808"/>
      <c r="H303" s="808"/>
      <c r="I303" s="858">
        <v>4</v>
      </c>
      <c r="J303" s="808"/>
      <c r="K303" s="808"/>
      <c r="L303" s="808"/>
      <c r="M303" s="808"/>
      <c r="N303" s="808"/>
      <c r="O303" s="808"/>
    </row>
    <row r="304" spans="1:15" hidden="1" x14ac:dyDescent="0.2">
      <c r="A304" s="882">
        <v>5</v>
      </c>
      <c r="B304" s="883" t="str">
        <f t="shared" si="0"/>
        <v/>
      </c>
      <c r="C304" s="888"/>
      <c r="D304" s="858"/>
      <c r="E304" s="808"/>
      <c r="F304" s="808"/>
      <c r="G304" s="808"/>
      <c r="H304" s="808"/>
      <c r="I304" s="858">
        <v>5</v>
      </c>
      <c r="J304" s="808"/>
      <c r="K304" s="808"/>
      <c r="L304" s="808"/>
      <c r="M304" s="808"/>
      <c r="N304" s="808"/>
      <c r="O304" s="808"/>
    </row>
    <row r="305" spans="1:15" hidden="1" x14ac:dyDescent="0.2">
      <c r="A305" s="882">
        <v>6</v>
      </c>
      <c r="B305" s="883" t="str">
        <f t="shared" si="0"/>
        <v/>
      </c>
      <c r="C305" s="888"/>
      <c r="D305" s="808"/>
      <c r="E305" s="808"/>
      <c r="F305" s="808"/>
      <c r="G305" s="808"/>
      <c r="H305" s="808"/>
      <c r="I305" s="858">
        <v>6</v>
      </c>
      <c r="J305" s="808"/>
      <c r="K305" s="808"/>
      <c r="L305" s="808"/>
      <c r="M305" s="808"/>
      <c r="N305" s="808"/>
      <c r="O305" s="808"/>
    </row>
    <row r="306" spans="1:15" hidden="1" x14ac:dyDescent="0.2">
      <c r="A306" s="882">
        <v>7</v>
      </c>
      <c r="B306" s="883" t="str">
        <f t="shared" si="0"/>
        <v/>
      </c>
      <c r="C306" s="888"/>
      <c r="D306" s="808"/>
      <c r="E306" s="808"/>
      <c r="F306" s="808"/>
      <c r="G306" s="808"/>
      <c r="H306" s="808"/>
      <c r="I306" s="858">
        <v>7</v>
      </c>
      <c r="J306" s="808"/>
      <c r="K306" s="808"/>
      <c r="L306" s="808"/>
      <c r="M306" s="808"/>
      <c r="N306" s="808"/>
      <c r="O306" s="808"/>
    </row>
    <row r="307" spans="1:15" hidden="1" x14ac:dyDescent="0.2">
      <c r="A307" s="882">
        <v>8</v>
      </c>
      <c r="B307" s="883" t="str">
        <f t="shared" si="0"/>
        <v/>
      </c>
      <c r="C307" s="888"/>
      <c r="D307" s="808"/>
      <c r="E307" s="812" t="s">
        <v>624</v>
      </c>
      <c r="F307" s="820"/>
      <c r="G307" s="808"/>
      <c r="H307" s="808"/>
      <c r="I307" s="858">
        <v>8</v>
      </c>
      <c r="J307" s="808"/>
      <c r="K307" s="808"/>
      <c r="L307" s="808"/>
      <c r="M307" s="808"/>
      <c r="N307" s="808"/>
      <c r="O307" s="808"/>
    </row>
    <row r="308" spans="1:15" hidden="1" x14ac:dyDescent="0.2">
      <c r="A308" s="882">
        <v>9</v>
      </c>
      <c r="B308" s="883" t="str">
        <f t="shared" si="0"/>
        <v/>
      </c>
      <c r="C308" s="888"/>
      <c r="D308" s="808"/>
      <c r="E308" s="808"/>
      <c r="F308" s="820"/>
      <c r="G308" s="808"/>
      <c r="H308" s="808"/>
      <c r="I308" s="858">
        <v>9</v>
      </c>
      <c r="J308" s="889"/>
      <c r="K308" s="808"/>
      <c r="L308" s="808"/>
      <c r="M308" s="808"/>
      <c r="N308" s="808"/>
      <c r="O308" s="808"/>
    </row>
    <row r="309" spans="1:15" hidden="1" x14ac:dyDescent="0.2">
      <c r="A309" s="882">
        <v>10</v>
      </c>
      <c r="B309" s="883" t="str">
        <f t="shared" si="0"/>
        <v/>
      </c>
      <c r="C309" s="888"/>
      <c r="D309" s="858">
        <v>1</v>
      </c>
      <c r="E309" s="884"/>
      <c r="F309" s="820"/>
      <c r="G309" s="808"/>
      <c r="H309" s="808"/>
      <c r="I309" s="858">
        <v>10</v>
      </c>
      <c r="J309" s="808"/>
      <c r="K309" s="808"/>
      <c r="L309" s="808"/>
      <c r="M309" s="808"/>
      <c r="N309" s="808"/>
      <c r="O309" s="808"/>
    </row>
    <row r="310" spans="1:15" hidden="1" x14ac:dyDescent="0.2">
      <c r="A310" s="882">
        <v>11</v>
      </c>
      <c r="B310" s="883" t="str">
        <f t="shared" si="0"/>
        <v/>
      </c>
      <c r="C310" s="888"/>
      <c r="D310" s="858">
        <v>2</v>
      </c>
      <c r="E310" s="886"/>
      <c r="F310" s="820"/>
      <c r="G310" s="808"/>
      <c r="H310" s="808"/>
      <c r="I310" s="858">
        <v>11</v>
      </c>
      <c r="J310" s="889"/>
      <c r="K310" s="808"/>
      <c r="L310" s="808"/>
      <c r="M310" s="808"/>
      <c r="N310" s="808"/>
      <c r="O310" s="808"/>
    </row>
    <row r="311" spans="1:15" hidden="1" x14ac:dyDescent="0.2">
      <c r="A311" s="882">
        <v>12</v>
      </c>
      <c r="B311" s="883" t="str">
        <f t="shared" si="0"/>
        <v/>
      </c>
      <c r="C311" s="888"/>
      <c r="D311" s="858">
        <v>3</v>
      </c>
      <c r="E311" s="887"/>
      <c r="F311" s="820"/>
      <c r="G311" s="808"/>
      <c r="H311" s="808"/>
      <c r="I311" s="858">
        <v>12</v>
      </c>
      <c r="J311" s="808"/>
      <c r="K311" s="808"/>
      <c r="L311" s="808"/>
      <c r="M311" s="808"/>
      <c r="N311" s="808"/>
      <c r="O311" s="808"/>
    </row>
    <row r="312" spans="1:15" hidden="1" x14ac:dyDescent="0.2">
      <c r="A312" s="882">
        <v>13</v>
      </c>
      <c r="B312" s="883" t="str">
        <f t="shared" si="0"/>
        <v/>
      </c>
      <c r="C312" s="888"/>
      <c r="D312" s="808"/>
      <c r="E312" s="808"/>
      <c r="F312" s="808"/>
      <c r="G312" s="808"/>
      <c r="H312" s="808"/>
      <c r="I312" s="858"/>
      <c r="J312" s="808"/>
      <c r="K312" s="808"/>
      <c r="L312" s="808"/>
      <c r="M312" s="808"/>
      <c r="N312" s="808"/>
      <c r="O312" s="808"/>
    </row>
    <row r="313" spans="1:15" hidden="1" x14ac:dyDescent="0.2">
      <c r="A313" s="882">
        <v>14</v>
      </c>
      <c r="B313" s="883" t="str">
        <f t="shared" si="0"/>
        <v/>
      </c>
      <c r="C313" s="888"/>
      <c r="D313" s="808"/>
      <c r="E313" s="808"/>
      <c r="F313" s="808"/>
      <c r="G313" s="808"/>
      <c r="H313" s="808"/>
      <c r="I313" s="808"/>
      <c r="J313" s="808"/>
      <c r="K313" s="808"/>
      <c r="L313" s="808"/>
      <c r="M313" s="808"/>
      <c r="N313" s="808"/>
      <c r="O313" s="808"/>
    </row>
    <row r="314" spans="1:15" hidden="1" x14ac:dyDescent="0.2">
      <c r="A314" s="882">
        <v>15</v>
      </c>
      <c r="B314" s="883" t="str">
        <f t="shared" si="0"/>
        <v/>
      </c>
      <c r="C314" s="888"/>
      <c r="D314" s="808"/>
      <c r="E314" s="808"/>
      <c r="F314" s="808"/>
      <c r="G314" s="808"/>
      <c r="H314" s="808"/>
      <c r="I314" s="808"/>
      <c r="J314" s="808"/>
      <c r="K314" s="808"/>
      <c r="L314" s="808"/>
      <c r="M314" s="808"/>
      <c r="N314" s="808"/>
      <c r="O314" s="808"/>
    </row>
    <row r="315" spans="1:15" hidden="1" x14ac:dyDescent="0.2">
      <c r="A315" s="882">
        <v>16</v>
      </c>
      <c r="B315" s="883" t="str">
        <f t="shared" si="0"/>
        <v/>
      </c>
      <c r="C315" s="808"/>
      <c r="D315" s="808"/>
      <c r="E315" s="808"/>
      <c r="F315" s="808"/>
      <c r="G315" s="808"/>
      <c r="H315" s="808"/>
      <c r="I315" s="808"/>
      <c r="J315" s="808"/>
      <c r="K315" s="808"/>
      <c r="L315" s="808"/>
      <c r="M315" s="808"/>
      <c r="N315" s="808"/>
      <c r="O315" s="808"/>
    </row>
    <row r="316" spans="1:15" hidden="1" x14ac:dyDescent="0.2">
      <c r="A316" s="882">
        <v>17</v>
      </c>
      <c r="B316" s="883" t="str">
        <f>IFERROR(INDEX(P$10:P$300,MATCH(A316&amp;". koht",P$11:P$301,0)),"")</f>
        <v/>
      </c>
      <c r="C316" s="808"/>
      <c r="D316" s="808"/>
      <c r="E316" s="808"/>
      <c r="F316" s="808"/>
      <c r="G316" s="808"/>
      <c r="H316" s="808"/>
      <c r="I316" s="808"/>
      <c r="J316" s="808"/>
      <c r="K316" s="808"/>
      <c r="L316" s="808"/>
      <c r="M316" s="808"/>
      <c r="N316" s="808"/>
      <c r="O316" s="808"/>
    </row>
    <row r="317" spans="1:15" hidden="1" x14ac:dyDescent="0.2">
      <c r="A317" s="882">
        <v>18</v>
      </c>
      <c r="B317" s="883" t="str">
        <f t="shared" si="0"/>
        <v/>
      </c>
      <c r="C317" s="808"/>
      <c r="D317" s="808"/>
      <c r="E317" s="808"/>
      <c r="F317" s="808"/>
      <c r="G317" s="808"/>
      <c r="H317" s="808"/>
      <c r="I317" s="808"/>
      <c r="J317" s="808"/>
      <c r="K317" s="808"/>
      <c r="L317" s="808"/>
      <c r="M317" s="808"/>
      <c r="N317" s="808"/>
      <c r="O317" s="808"/>
    </row>
    <row r="318" spans="1:15" hidden="1" x14ac:dyDescent="0.2">
      <c r="A318" s="882">
        <v>19</v>
      </c>
      <c r="B318" s="883" t="str">
        <f t="shared" si="0"/>
        <v/>
      </c>
      <c r="C318" s="808"/>
      <c r="D318" s="808"/>
      <c r="E318" s="808"/>
      <c r="F318" s="808"/>
      <c r="G318" s="808"/>
      <c r="H318" s="808"/>
      <c r="I318" s="808"/>
      <c r="J318" s="808"/>
      <c r="K318" s="808"/>
      <c r="L318" s="808"/>
      <c r="M318" s="808"/>
      <c r="N318" s="808"/>
      <c r="O318" s="808"/>
    </row>
    <row r="319" spans="1:15" hidden="1" x14ac:dyDescent="0.2">
      <c r="A319" s="882">
        <v>20</v>
      </c>
      <c r="B319" s="883" t="str">
        <f>IFERROR(INDEX(P$10:P$300,MATCH(A319&amp;". koht",P$11:P$301,0)),"")</f>
        <v/>
      </c>
      <c r="C319" s="808"/>
      <c r="D319" s="808"/>
      <c r="E319" s="808"/>
      <c r="F319" s="808"/>
      <c r="G319" s="808"/>
      <c r="H319" s="808"/>
      <c r="I319" s="808"/>
      <c r="J319" s="808"/>
      <c r="K319" s="808"/>
      <c r="L319" s="808"/>
      <c r="M319" s="808"/>
      <c r="N319" s="808"/>
      <c r="O319" s="808"/>
    </row>
    <row r="320" spans="1:15" hidden="1" x14ac:dyDescent="0.2">
      <c r="A320" s="882">
        <v>21</v>
      </c>
      <c r="B320" s="883" t="str">
        <f t="shared" si="0"/>
        <v/>
      </c>
      <c r="C320" s="808"/>
      <c r="D320" s="808"/>
      <c r="E320" s="808"/>
      <c r="F320" s="808"/>
      <c r="G320" s="808"/>
      <c r="H320" s="808"/>
      <c r="I320" s="808"/>
      <c r="J320" s="808"/>
      <c r="K320" s="808"/>
      <c r="L320" s="808"/>
      <c r="M320" s="808"/>
      <c r="N320" s="808"/>
      <c r="O320" s="808"/>
    </row>
    <row r="321" spans="1:15" hidden="1" x14ac:dyDescent="0.2">
      <c r="A321" s="882">
        <v>22</v>
      </c>
      <c r="B321" s="883" t="str">
        <f t="shared" si="0"/>
        <v/>
      </c>
      <c r="C321" s="808"/>
      <c r="D321" s="808"/>
      <c r="E321" s="808"/>
      <c r="F321" s="808"/>
      <c r="G321" s="808"/>
      <c r="H321" s="808"/>
      <c r="I321" s="808"/>
      <c r="J321" s="808"/>
      <c r="K321" s="808"/>
      <c r="L321" s="808"/>
      <c r="M321" s="808"/>
      <c r="N321" s="808"/>
      <c r="O321" s="808"/>
    </row>
    <row r="322" spans="1:15" hidden="1" x14ac:dyDescent="0.2">
      <c r="A322" s="882">
        <v>23</v>
      </c>
      <c r="B322" s="883" t="str">
        <f t="shared" si="0"/>
        <v/>
      </c>
      <c r="C322" s="808"/>
      <c r="D322" s="808"/>
      <c r="E322" s="808"/>
      <c r="F322" s="808"/>
      <c r="G322" s="808"/>
      <c r="H322" s="808"/>
      <c r="I322" s="808"/>
      <c r="J322" s="808"/>
      <c r="K322" s="808"/>
      <c r="L322" s="808"/>
      <c r="M322" s="808"/>
      <c r="N322" s="808"/>
      <c r="O322" s="808"/>
    </row>
    <row r="323" spans="1:15" hidden="1" x14ac:dyDescent="0.2">
      <c r="A323" s="882">
        <v>24</v>
      </c>
      <c r="B323" s="883" t="str">
        <f t="shared" si="0"/>
        <v/>
      </c>
      <c r="C323" s="808"/>
      <c r="D323" s="808"/>
      <c r="E323" s="808"/>
      <c r="F323" s="808"/>
      <c r="G323" s="808"/>
      <c r="H323" s="808"/>
      <c r="I323" s="808"/>
      <c r="J323" s="808"/>
      <c r="K323" s="808"/>
      <c r="L323" s="808"/>
      <c r="M323" s="808"/>
      <c r="N323" s="808"/>
      <c r="O323" s="808"/>
    </row>
    <row r="324" spans="1:15" hidden="1" x14ac:dyDescent="0.2">
      <c r="A324" s="882">
        <v>25</v>
      </c>
      <c r="B324" s="883" t="str">
        <f t="shared" si="0"/>
        <v/>
      </c>
      <c r="C324" s="808"/>
      <c r="D324" s="808"/>
      <c r="E324" s="808"/>
      <c r="F324" s="808"/>
      <c r="G324" s="808"/>
      <c r="H324" s="808"/>
      <c r="I324" s="808"/>
      <c r="J324" s="808"/>
      <c r="K324" s="808"/>
      <c r="L324" s="808"/>
      <c r="M324" s="808"/>
      <c r="N324" s="808"/>
      <c r="O324" s="808"/>
    </row>
    <row r="325" spans="1:15" hidden="1" x14ac:dyDescent="0.2">
      <c r="A325" s="882">
        <v>26</v>
      </c>
      <c r="B325" s="883" t="str">
        <f t="shared" si="0"/>
        <v/>
      </c>
      <c r="C325" s="808"/>
      <c r="D325" s="808"/>
      <c r="E325" s="808"/>
      <c r="F325" s="808"/>
      <c r="G325" s="808"/>
      <c r="H325" s="808"/>
      <c r="I325" s="808"/>
      <c r="J325" s="808"/>
      <c r="K325" s="808"/>
      <c r="L325" s="808"/>
      <c r="M325" s="808"/>
      <c r="N325" s="808"/>
      <c r="O325" s="808"/>
    </row>
    <row r="326" spans="1:15" hidden="1" x14ac:dyDescent="0.2">
      <c r="A326" s="882">
        <v>27</v>
      </c>
      <c r="B326" s="883" t="str">
        <f t="shared" si="0"/>
        <v/>
      </c>
      <c r="C326" s="808"/>
      <c r="D326" s="808"/>
      <c r="E326" s="808"/>
      <c r="F326" s="808"/>
      <c r="G326" s="808"/>
      <c r="H326" s="808"/>
      <c r="I326" s="808"/>
      <c r="J326" s="808"/>
      <c r="K326" s="808"/>
      <c r="L326" s="808"/>
      <c r="M326" s="808"/>
      <c r="N326" s="808"/>
      <c r="O326" s="808"/>
    </row>
    <row r="327" spans="1:15" hidden="1" x14ac:dyDescent="0.2">
      <c r="A327" s="882">
        <v>28</v>
      </c>
      <c r="B327" s="883" t="str">
        <f t="shared" si="0"/>
        <v/>
      </c>
      <c r="C327" s="808"/>
      <c r="D327" s="808"/>
      <c r="E327" s="808"/>
      <c r="F327" s="808"/>
      <c r="G327" s="808"/>
      <c r="H327" s="808"/>
      <c r="I327" s="808"/>
      <c r="J327" s="808"/>
      <c r="K327" s="808"/>
      <c r="L327" s="808"/>
      <c r="M327" s="808"/>
      <c r="N327" s="808"/>
      <c r="O327" s="808"/>
    </row>
    <row r="328" spans="1:15" hidden="1" x14ac:dyDescent="0.2">
      <c r="A328" s="882">
        <v>29</v>
      </c>
      <c r="B328" s="883" t="str">
        <f t="shared" si="0"/>
        <v/>
      </c>
      <c r="C328" s="808"/>
      <c r="D328" s="808"/>
      <c r="E328" s="808"/>
      <c r="F328" s="808"/>
      <c r="G328" s="808"/>
      <c r="H328" s="808"/>
      <c r="I328" s="808"/>
      <c r="J328" s="808"/>
      <c r="K328" s="808"/>
      <c r="L328" s="808"/>
      <c r="M328" s="808"/>
      <c r="N328" s="808"/>
      <c r="O328" s="808"/>
    </row>
    <row r="329" spans="1:15" hidden="1" x14ac:dyDescent="0.2">
      <c r="A329" s="882">
        <v>30</v>
      </c>
      <c r="B329" s="883" t="str">
        <f t="shared" si="0"/>
        <v/>
      </c>
      <c r="C329" s="808"/>
      <c r="D329" s="808"/>
      <c r="E329" s="808"/>
      <c r="F329" s="808"/>
      <c r="G329" s="808"/>
      <c r="H329" s="808"/>
      <c r="I329" s="808"/>
      <c r="J329" s="808"/>
      <c r="K329" s="808"/>
      <c r="L329" s="808"/>
      <c r="M329" s="808"/>
      <c r="N329" s="808"/>
      <c r="O329" s="808"/>
    </row>
    <row r="330" spans="1:15" hidden="1" x14ac:dyDescent="0.2">
      <c r="A330" s="882">
        <v>31</v>
      </c>
      <c r="B330" s="883" t="str">
        <f t="shared" si="0"/>
        <v/>
      </c>
      <c r="C330" s="808"/>
      <c r="D330" s="808"/>
      <c r="E330" s="808"/>
      <c r="F330" s="808"/>
      <c r="G330" s="808"/>
      <c r="H330" s="808"/>
      <c r="I330" s="808"/>
      <c r="J330" s="808"/>
      <c r="K330" s="808"/>
      <c r="L330" s="808"/>
      <c r="M330" s="808"/>
      <c r="N330" s="808"/>
      <c r="O330" s="808"/>
    </row>
    <row r="331" spans="1:15" hidden="1" x14ac:dyDescent="0.2">
      <c r="A331" s="882">
        <v>32</v>
      </c>
      <c r="B331" s="883" t="str">
        <f t="shared" si="0"/>
        <v/>
      </c>
      <c r="C331" s="808"/>
      <c r="D331" s="808"/>
      <c r="E331" s="808"/>
      <c r="F331" s="808"/>
      <c r="G331" s="808"/>
      <c r="H331" s="808"/>
      <c r="I331" s="808"/>
      <c r="J331" s="808"/>
      <c r="K331" s="808"/>
      <c r="L331" s="808"/>
      <c r="M331" s="808"/>
      <c r="N331" s="808"/>
      <c r="O331" s="808"/>
    </row>
    <row r="333" spans="1:15" x14ac:dyDescent="0.2">
      <c r="A333" s="812" t="s">
        <v>621</v>
      </c>
      <c r="B333" s="808"/>
      <c r="C333" s="808"/>
      <c r="D333" s="808"/>
      <c r="E333" s="812" t="s">
        <v>622</v>
      </c>
      <c r="F333" s="820"/>
      <c r="G333" s="808"/>
      <c r="H333" s="808"/>
      <c r="I333" s="808"/>
      <c r="J333" s="812" t="s">
        <v>623</v>
      </c>
      <c r="K333" s="820"/>
      <c r="L333" s="808"/>
    </row>
    <row r="334" spans="1:15" x14ac:dyDescent="0.2">
      <c r="A334" s="808"/>
      <c r="B334" s="808"/>
      <c r="C334" s="808"/>
      <c r="D334" s="808"/>
      <c r="E334" s="808"/>
      <c r="F334" s="820"/>
      <c r="G334" s="808"/>
      <c r="H334" s="808"/>
      <c r="I334" s="808"/>
      <c r="J334" s="808"/>
      <c r="K334" s="820"/>
      <c r="L334" s="808"/>
    </row>
    <row r="335" spans="1:15" x14ac:dyDescent="0.2">
      <c r="A335" s="882">
        <v>1</v>
      </c>
      <c r="B335" s="883" t="s">
        <v>12</v>
      </c>
      <c r="C335" s="863"/>
      <c r="D335" s="858">
        <v>1</v>
      </c>
      <c r="E335" s="884" t="s">
        <v>111</v>
      </c>
      <c r="F335" s="820"/>
      <c r="G335" s="808"/>
      <c r="H335" s="808"/>
      <c r="I335" s="858">
        <v>1</v>
      </c>
      <c r="J335" s="884" t="s">
        <v>125</v>
      </c>
      <c r="K335" s="820"/>
      <c r="L335" s="808"/>
    </row>
    <row r="336" spans="1:15" x14ac:dyDescent="0.2">
      <c r="A336" s="882">
        <v>2</v>
      </c>
      <c r="B336" s="883" t="s">
        <v>125</v>
      </c>
      <c r="C336" s="885"/>
      <c r="D336" s="858">
        <v>2</v>
      </c>
      <c r="E336" s="886" t="s">
        <v>496</v>
      </c>
      <c r="F336" s="820"/>
      <c r="G336" s="808"/>
      <c r="H336" s="808"/>
      <c r="I336" s="858">
        <v>2</v>
      </c>
      <c r="J336" s="886" t="s">
        <v>109</v>
      </c>
      <c r="K336" s="820"/>
      <c r="L336" s="808"/>
    </row>
    <row r="337" spans="1:12" x14ac:dyDescent="0.2">
      <c r="A337" s="882">
        <v>3</v>
      </c>
      <c r="B337" s="883" t="s">
        <v>109</v>
      </c>
      <c r="C337" s="885"/>
      <c r="D337" s="858">
        <v>3</v>
      </c>
      <c r="E337" s="887" t="s">
        <v>541</v>
      </c>
      <c r="F337" s="820"/>
      <c r="G337" s="808"/>
      <c r="H337" s="808"/>
      <c r="I337" s="858">
        <v>3</v>
      </c>
      <c r="J337" s="887" t="s">
        <v>90</v>
      </c>
      <c r="K337" s="820"/>
      <c r="L337" s="808"/>
    </row>
    <row r="338" spans="1:12" x14ac:dyDescent="0.2">
      <c r="A338" s="882">
        <v>4</v>
      </c>
      <c r="B338" s="883" t="s">
        <v>90</v>
      </c>
      <c r="C338" s="885"/>
      <c r="D338" s="858">
        <v>4</v>
      </c>
      <c r="E338" s="808" t="s">
        <v>629</v>
      </c>
      <c r="F338" s="808"/>
      <c r="G338" s="808"/>
      <c r="H338" s="808"/>
      <c r="I338" s="858">
        <v>4</v>
      </c>
      <c r="J338" s="808" t="s">
        <v>108</v>
      </c>
      <c r="K338" s="808"/>
      <c r="L338" s="808"/>
    </row>
    <row r="339" spans="1:12" x14ac:dyDescent="0.2">
      <c r="A339" s="882">
        <v>5</v>
      </c>
      <c r="B339" s="883" t="s">
        <v>95</v>
      </c>
      <c r="C339" s="888"/>
      <c r="D339" s="858">
        <v>5</v>
      </c>
      <c r="E339" s="808" t="s">
        <v>122</v>
      </c>
      <c r="F339" s="808"/>
      <c r="G339" s="808"/>
      <c r="H339" s="808"/>
      <c r="I339" s="858">
        <v>5</v>
      </c>
      <c r="J339" s="808" t="s">
        <v>120</v>
      </c>
      <c r="K339" s="808"/>
      <c r="L339" s="808"/>
    </row>
    <row r="340" spans="1:12" x14ac:dyDescent="0.2">
      <c r="A340" s="882">
        <v>6</v>
      </c>
      <c r="B340" s="883" t="s">
        <v>108</v>
      </c>
      <c r="C340" s="888"/>
      <c r="D340" s="858">
        <v>6</v>
      </c>
      <c r="E340" s="808" t="s">
        <v>626</v>
      </c>
      <c r="F340" s="808"/>
      <c r="G340" s="808"/>
      <c r="H340" s="808"/>
      <c r="I340" s="858">
        <v>6</v>
      </c>
      <c r="J340" s="808" t="s">
        <v>123</v>
      </c>
      <c r="K340" s="808"/>
      <c r="L340" s="808"/>
    </row>
    <row r="341" spans="1:12" x14ac:dyDescent="0.2">
      <c r="A341" s="882">
        <v>7</v>
      </c>
      <c r="B341" s="883" t="s">
        <v>120</v>
      </c>
      <c r="C341" s="888"/>
      <c r="D341" s="858">
        <v>7</v>
      </c>
      <c r="E341" s="808" t="s">
        <v>118</v>
      </c>
      <c r="F341" s="808"/>
      <c r="G341" s="808"/>
      <c r="H341" s="808"/>
      <c r="I341" s="858">
        <v>7</v>
      </c>
      <c r="J341" s="808" t="s">
        <v>111</v>
      </c>
      <c r="K341" s="808"/>
      <c r="L341" s="808"/>
    </row>
    <row r="342" spans="1:12" x14ac:dyDescent="0.2">
      <c r="A342" s="882">
        <v>8</v>
      </c>
      <c r="B342" s="883" t="s">
        <v>216</v>
      </c>
      <c r="C342" s="888"/>
      <c r="D342" s="808">
        <v>8</v>
      </c>
      <c r="E342" s="810" t="s">
        <v>628</v>
      </c>
      <c r="F342" s="820"/>
      <c r="G342" s="808"/>
      <c r="H342" s="808"/>
      <c r="I342" s="858">
        <v>8</v>
      </c>
      <c r="J342" s="808" t="s">
        <v>472</v>
      </c>
      <c r="K342" s="808"/>
      <c r="L342" s="808"/>
    </row>
    <row r="343" spans="1:12" x14ac:dyDescent="0.2">
      <c r="A343" s="882">
        <v>9</v>
      </c>
      <c r="B343" s="883" t="s">
        <v>123</v>
      </c>
      <c r="C343" s="888"/>
      <c r="D343" s="808"/>
      <c r="F343" s="820"/>
      <c r="G343" s="808"/>
      <c r="H343" s="808"/>
      <c r="I343" s="858">
        <v>9</v>
      </c>
      <c r="J343" s="889" t="s">
        <v>496</v>
      </c>
      <c r="K343" s="808"/>
      <c r="L343" s="808"/>
    </row>
    <row r="344" spans="1:12" x14ac:dyDescent="0.2">
      <c r="A344" s="882">
        <v>10</v>
      </c>
      <c r="B344" s="883" t="s">
        <v>89</v>
      </c>
      <c r="C344" s="888"/>
      <c r="E344" s="812" t="s">
        <v>624</v>
      </c>
      <c r="F344" s="820"/>
      <c r="G344" s="808"/>
      <c r="H344" s="808"/>
      <c r="I344" s="858">
        <v>10</v>
      </c>
      <c r="J344" s="808" t="s">
        <v>106</v>
      </c>
      <c r="K344" s="808"/>
      <c r="L344" s="808"/>
    </row>
    <row r="345" spans="1:12" x14ac:dyDescent="0.2">
      <c r="A345" s="882">
        <v>11</v>
      </c>
      <c r="B345" s="883" t="s">
        <v>111</v>
      </c>
      <c r="C345" s="888"/>
      <c r="E345" s="808"/>
      <c r="F345" s="820"/>
      <c r="G345" s="808"/>
      <c r="H345" s="808"/>
      <c r="I345" s="858">
        <v>11</v>
      </c>
      <c r="J345" s="889" t="s">
        <v>127</v>
      </c>
      <c r="K345" s="808"/>
      <c r="L345" s="808"/>
    </row>
    <row r="346" spans="1:12" x14ac:dyDescent="0.2">
      <c r="A346" s="882">
        <v>12</v>
      </c>
      <c r="B346" s="883" t="s">
        <v>472</v>
      </c>
      <c r="C346" s="888"/>
      <c r="D346" s="858">
        <v>1</v>
      </c>
      <c r="E346" s="884" t="s">
        <v>472</v>
      </c>
      <c r="F346" s="820"/>
      <c r="G346" s="808"/>
      <c r="H346" s="808"/>
      <c r="I346" s="858">
        <v>12</v>
      </c>
      <c r="J346" s="808" t="s">
        <v>124</v>
      </c>
      <c r="K346" s="808"/>
      <c r="L346" s="808"/>
    </row>
    <row r="347" spans="1:12" x14ac:dyDescent="0.2">
      <c r="A347" s="882">
        <v>13</v>
      </c>
      <c r="B347" s="883" t="s">
        <v>119</v>
      </c>
      <c r="C347" s="888"/>
      <c r="D347" s="858">
        <v>2</v>
      </c>
      <c r="E347" s="886" t="s">
        <v>134</v>
      </c>
      <c r="F347" s="808"/>
      <c r="G347" s="808"/>
      <c r="H347" s="808"/>
      <c r="I347" s="858"/>
      <c r="J347" s="808"/>
      <c r="K347" s="808"/>
      <c r="L347" s="808"/>
    </row>
    <row r="348" spans="1:12" x14ac:dyDescent="0.2">
      <c r="A348" s="882">
        <v>14</v>
      </c>
      <c r="B348" s="883" t="s">
        <v>496</v>
      </c>
      <c r="C348" s="888"/>
      <c r="D348" s="858">
        <v>3</v>
      </c>
      <c r="E348" s="887" t="s">
        <v>626</v>
      </c>
      <c r="F348" s="808"/>
      <c r="G348" s="808"/>
      <c r="H348" s="808"/>
      <c r="I348" s="808"/>
      <c r="J348" s="808"/>
      <c r="K348" s="808"/>
      <c r="L348" s="808"/>
    </row>
    <row r="349" spans="1:12" x14ac:dyDescent="0.2">
      <c r="A349" s="882">
        <v>15</v>
      </c>
      <c r="B349" s="883" t="s">
        <v>86</v>
      </c>
      <c r="C349" s="888"/>
      <c r="D349" s="808"/>
      <c r="E349" s="808"/>
      <c r="F349" s="808"/>
      <c r="G349" s="808"/>
      <c r="H349" s="808"/>
      <c r="I349" s="808"/>
      <c r="J349" s="808"/>
      <c r="K349" s="808"/>
      <c r="L349" s="808"/>
    </row>
    <row r="350" spans="1:12" x14ac:dyDescent="0.2">
      <c r="A350" s="882">
        <v>16</v>
      </c>
      <c r="B350" s="883" t="s">
        <v>94</v>
      </c>
      <c r="C350" s="808"/>
      <c r="D350" s="808"/>
      <c r="E350" s="808"/>
      <c r="F350" s="808"/>
      <c r="G350" s="808"/>
      <c r="H350" s="808"/>
      <c r="I350" s="808"/>
      <c r="J350" s="808"/>
      <c r="K350" s="808"/>
      <c r="L350" s="808"/>
    </row>
    <row r="351" spans="1:12" x14ac:dyDescent="0.2">
      <c r="A351" s="882">
        <v>17</v>
      </c>
      <c r="B351" s="883" t="s">
        <v>625</v>
      </c>
      <c r="C351" s="808"/>
      <c r="D351" s="808"/>
      <c r="E351" s="808"/>
      <c r="F351" s="808"/>
      <c r="G351" s="808"/>
      <c r="H351" s="808"/>
      <c r="I351" s="808"/>
      <c r="J351" s="808"/>
      <c r="K351" s="808"/>
      <c r="L351" s="808"/>
    </row>
    <row r="352" spans="1:12" x14ac:dyDescent="0.2">
      <c r="A352" s="882">
        <v>18</v>
      </c>
      <c r="B352" s="883" t="s">
        <v>88</v>
      </c>
      <c r="C352" s="808"/>
      <c r="D352" s="808"/>
      <c r="E352" s="808"/>
      <c r="F352" s="808"/>
      <c r="G352" s="808"/>
      <c r="H352" s="808"/>
      <c r="I352" s="808"/>
      <c r="J352" s="808"/>
      <c r="K352" s="808"/>
      <c r="L352" s="808"/>
    </row>
    <row r="353" spans="1:12" x14ac:dyDescent="0.2">
      <c r="A353" s="882">
        <v>19</v>
      </c>
      <c r="B353" s="883" t="s">
        <v>129</v>
      </c>
      <c r="C353" s="808"/>
      <c r="D353" s="808"/>
      <c r="E353" s="808"/>
      <c r="F353" s="808"/>
      <c r="G353" s="808"/>
      <c r="H353" s="808"/>
      <c r="I353" s="808"/>
      <c r="J353" s="808"/>
      <c r="K353" s="808"/>
      <c r="L353" s="808"/>
    </row>
    <row r="354" spans="1:12" x14ac:dyDescent="0.2">
      <c r="A354" s="882">
        <v>20</v>
      </c>
      <c r="B354" s="883" t="s">
        <v>626</v>
      </c>
      <c r="C354" s="808"/>
      <c r="D354" s="808"/>
      <c r="E354" s="808"/>
      <c r="F354" s="808"/>
      <c r="G354" s="808"/>
      <c r="H354" s="808"/>
      <c r="I354" s="808"/>
      <c r="J354" s="808"/>
      <c r="K354" s="808"/>
      <c r="L354" s="808"/>
    </row>
    <row r="355" spans="1:12" x14ac:dyDescent="0.2">
      <c r="A355" s="882">
        <v>21</v>
      </c>
      <c r="B355" s="883" t="s">
        <v>106</v>
      </c>
      <c r="C355" s="808"/>
      <c r="D355" s="808"/>
      <c r="E355" s="808"/>
      <c r="F355" s="808"/>
      <c r="G355" s="808"/>
      <c r="H355" s="808"/>
      <c r="I355" s="808"/>
      <c r="J355" s="808"/>
      <c r="K355" s="808"/>
      <c r="L355" s="808"/>
    </row>
    <row r="356" spans="1:12" x14ac:dyDescent="0.2">
      <c r="A356" s="882">
        <v>22</v>
      </c>
      <c r="B356" s="883" t="s">
        <v>140</v>
      </c>
      <c r="C356" s="808"/>
      <c r="D356" s="808"/>
      <c r="E356" s="808"/>
      <c r="F356" s="808"/>
      <c r="G356" s="808"/>
      <c r="H356" s="808"/>
      <c r="I356" s="808"/>
      <c r="J356" s="808"/>
      <c r="K356" s="808"/>
      <c r="L356" s="808"/>
    </row>
    <row r="357" spans="1:12" x14ac:dyDescent="0.2">
      <c r="A357" s="882">
        <v>23</v>
      </c>
      <c r="B357" s="883" t="s">
        <v>127</v>
      </c>
      <c r="C357" s="808"/>
      <c r="D357" s="808"/>
      <c r="E357" s="808"/>
      <c r="F357" s="808"/>
      <c r="G357" s="808"/>
      <c r="H357" s="808"/>
      <c r="I357" s="808"/>
      <c r="J357" s="808"/>
      <c r="K357" s="808"/>
      <c r="L357" s="808"/>
    </row>
    <row r="358" spans="1:12" x14ac:dyDescent="0.2">
      <c r="A358" s="882">
        <v>24</v>
      </c>
      <c r="B358" s="883" t="s">
        <v>124</v>
      </c>
      <c r="C358" s="808"/>
      <c r="D358" s="808"/>
      <c r="E358" s="808"/>
      <c r="F358" s="808"/>
      <c r="G358" s="808"/>
      <c r="H358" s="808"/>
      <c r="I358" s="808"/>
      <c r="J358" s="808"/>
      <c r="K358" s="808"/>
      <c r="L358" s="808"/>
    </row>
    <row r="359" spans="1:12" x14ac:dyDescent="0.2">
      <c r="A359" s="882">
        <v>25</v>
      </c>
      <c r="B359" s="883" t="s">
        <v>528</v>
      </c>
      <c r="C359" s="808"/>
      <c r="D359" s="808"/>
      <c r="E359" s="808"/>
      <c r="F359" s="808"/>
      <c r="G359" s="808"/>
      <c r="H359" s="808"/>
      <c r="I359" s="808"/>
      <c r="J359" s="808"/>
      <c r="K359" s="808"/>
      <c r="L359" s="808"/>
    </row>
    <row r="360" spans="1:12" x14ac:dyDescent="0.2">
      <c r="A360" s="882">
        <v>26</v>
      </c>
      <c r="B360" s="883" t="s">
        <v>122</v>
      </c>
      <c r="C360" s="808"/>
      <c r="D360" s="808"/>
      <c r="E360" s="808"/>
      <c r="F360" s="808"/>
      <c r="G360" s="808"/>
      <c r="H360" s="808"/>
      <c r="I360" s="808"/>
      <c r="J360" s="808"/>
      <c r="K360" s="808"/>
      <c r="L360" s="808"/>
    </row>
    <row r="361" spans="1:12" x14ac:dyDescent="0.2">
      <c r="A361" s="882">
        <v>27</v>
      </c>
      <c r="B361" s="883" t="s">
        <v>139</v>
      </c>
      <c r="C361" s="808"/>
      <c r="D361" s="808"/>
      <c r="E361" s="808"/>
      <c r="F361" s="808"/>
      <c r="G361" s="808"/>
      <c r="H361" s="808"/>
      <c r="I361" s="808"/>
      <c r="J361" s="808"/>
      <c r="K361" s="808"/>
      <c r="L361" s="808"/>
    </row>
    <row r="362" spans="1:12" x14ac:dyDescent="0.2">
      <c r="A362" s="882">
        <v>28</v>
      </c>
      <c r="B362" s="883" t="s">
        <v>118</v>
      </c>
      <c r="C362" s="808"/>
      <c r="D362" s="808"/>
      <c r="E362" s="808"/>
      <c r="F362" s="808"/>
      <c r="G362" s="808"/>
      <c r="H362" s="808"/>
      <c r="I362" s="808"/>
      <c r="J362" s="808"/>
      <c r="K362" s="808"/>
      <c r="L362" s="808"/>
    </row>
    <row r="363" spans="1:12" x14ac:dyDescent="0.2">
      <c r="A363" s="882">
        <v>29</v>
      </c>
      <c r="B363" s="883" t="s">
        <v>627</v>
      </c>
      <c r="C363" s="808"/>
      <c r="D363" s="808"/>
      <c r="E363" s="808"/>
      <c r="F363" s="808"/>
      <c r="G363" s="808"/>
      <c r="H363" s="808"/>
      <c r="I363" s="808"/>
      <c r="J363" s="808"/>
      <c r="K363" s="808"/>
      <c r="L363" s="808"/>
    </row>
    <row r="364" spans="1:12" x14ac:dyDescent="0.2">
      <c r="A364" s="882">
        <v>30</v>
      </c>
      <c r="B364" s="883" t="s">
        <v>541</v>
      </c>
      <c r="C364" s="808"/>
      <c r="D364" s="808"/>
      <c r="E364" s="808"/>
      <c r="F364" s="808"/>
      <c r="G364" s="808"/>
      <c r="H364" s="808"/>
      <c r="I364" s="808"/>
      <c r="J364" s="808"/>
      <c r="K364" s="808"/>
      <c r="L364" s="808"/>
    </row>
    <row r="365" spans="1:12" x14ac:dyDescent="0.2">
      <c r="A365" s="882">
        <v>31</v>
      </c>
      <c r="B365" s="883" t="s">
        <v>134</v>
      </c>
      <c r="C365" s="808"/>
      <c r="D365" s="808"/>
      <c r="E365" s="808"/>
      <c r="F365" s="808"/>
      <c r="G365" s="808"/>
      <c r="H365" s="808"/>
      <c r="I365" s="808"/>
      <c r="J365" s="808"/>
      <c r="K365" s="808"/>
      <c r="L365" s="808"/>
    </row>
    <row r="366" spans="1:12" x14ac:dyDescent="0.2">
      <c r="A366" s="882">
        <v>32</v>
      </c>
      <c r="B366" s="890" t="s">
        <v>628</v>
      </c>
      <c r="C366" s="808"/>
      <c r="D366" s="808"/>
      <c r="E366" s="808"/>
      <c r="F366" s="808"/>
      <c r="G366" s="808"/>
      <c r="H366" s="808"/>
      <c r="I366" s="808"/>
      <c r="J366" s="808"/>
      <c r="K366" s="808"/>
      <c r="L366" s="808"/>
    </row>
  </sheetData>
  <conditionalFormatting sqref="O62:O63 O70 M73 M71:O71 L72:O72">
    <cfRule type="cellIs" dxfId="1043" priority="216" operator="equal">
      <formula>13</formula>
    </cfRule>
  </conditionalFormatting>
  <conditionalFormatting sqref="C8 C10">
    <cfRule type="aboveAverage" dxfId="1042" priority="215"/>
  </conditionalFormatting>
  <conditionalFormatting sqref="C8 C10">
    <cfRule type="containsBlanks" dxfId="1041" priority="214">
      <formula>LEN(TRIM(C8))=0</formula>
    </cfRule>
  </conditionalFormatting>
  <conditionalFormatting sqref="C12 C14">
    <cfRule type="aboveAverage" dxfId="1040" priority="213"/>
  </conditionalFormatting>
  <conditionalFormatting sqref="C12 C14">
    <cfRule type="containsBlanks" dxfId="1039" priority="212">
      <formula>LEN(TRIM(C12))=0</formula>
    </cfRule>
  </conditionalFormatting>
  <conditionalFormatting sqref="C16 C18">
    <cfRule type="aboveAverage" dxfId="1038" priority="211"/>
  </conditionalFormatting>
  <conditionalFormatting sqref="C16 C18">
    <cfRule type="containsBlanks" dxfId="1037" priority="210">
      <formula>LEN(TRIM(C16))=0</formula>
    </cfRule>
  </conditionalFormatting>
  <conditionalFormatting sqref="C24 C26">
    <cfRule type="aboveAverage" dxfId="1036" priority="209"/>
  </conditionalFormatting>
  <conditionalFormatting sqref="C24 C26">
    <cfRule type="containsBlanks" dxfId="1035" priority="208">
      <formula>LEN(TRIM(C24))=0</formula>
    </cfRule>
  </conditionalFormatting>
  <conditionalFormatting sqref="C32 C34">
    <cfRule type="aboveAverage" dxfId="1034" priority="207"/>
  </conditionalFormatting>
  <conditionalFormatting sqref="C32 C34">
    <cfRule type="containsBlanks" dxfId="1033" priority="206">
      <formula>LEN(TRIM(C32))=0</formula>
    </cfRule>
  </conditionalFormatting>
  <conditionalFormatting sqref="C20 C22">
    <cfRule type="aboveAverage" dxfId="1032" priority="205"/>
  </conditionalFormatting>
  <conditionalFormatting sqref="C20 C22">
    <cfRule type="containsBlanks" dxfId="1031" priority="204">
      <formula>LEN(TRIM(C20))=0</formula>
    </cfRule>
  </conditionalFormatting>
  <conditionalFormatting sqref="C28 C30">
    <cfRule type="aboveAverage" dxfId="1030" priority="203"/>
  </conditionalFormatting>
  <conditionalFormatting sqref="C28 C30">
    <cfRule type="containsBlanks" dxfId="1029" priority="202">
      <formula>LEN(TRIM(C28))=0</formula>
    </cfRule>
  </conditionalFormatting>
  <conditionalFormatting sqref="C36 C38">
    <cfRule type="containsBlanks" dxfId="1028" priority="200">
      <formula>LEN(TRIM(C36))=0</formula>
    </cfRule>
    <cfRule type="aboveAverage" dxfId="1027" priority="201"/>
  </conditionalFormatting>
  <conditionalFormatting sqref="C41 C43">
    <cfRule type="aboveAverage" dxfId="1026" priority="199"/>
  </conditionalFormatting>
  <conditionalFormatting sqref="C41 C43">
    <cfRule type="containsBlanks" dxfId="1025" priority="198">
      <formula>LEN(TRIM(C41))=0</formula>
    </cfRule>
  </conditionalFormatting>
  <conditionalFormatting sqref="C45 C47">
    <cfRule type="aboveAverage" dxfId="1024" priority="197"/>
  </conditionalFormatting>
  <conditionalFormatting sqref="C45 C47">
    <cfRule type="containsBlanks" dxfId="1023" priority="196">
      <formula>LEN(TRIM(C45))=0</formula>
    </cfRule>
  </conditionalFormatting>
  <conditionalFormatting sqref="C49 C51">
    <cfRule type="aboveAverage" dxfId="1022" priority="195"/>
  </conditionalFormatting>
  <conditionalFormatting sqref="C49 C51">
    <cfRule type="containsBlanks" dxfId="1021" priority="194">
      <formula>LEN(TRIM(C49))=0</formula>
    </cfRule>
  </conditionalFormatting>
  <conditionalFormatting sqref="C57 C59">
    <cfRule type="aboveAverage" dxfId="1020" priority="193"/>
  </conditionalFormatting>
  <conditionalFormatting sqref="C57 C59">
    <cfRule type="containsBlanks" dxfId="1019" priority="192">
      <formula>LEN(TRIM(C57))=0</formula>
    </cfRule>
  </conditionalFormatting>
  <conditionalFormatting sqref="C65 C67">
    <cfRule type="aboveAverage" dxfId="1018" priority="191"/>
  </conditionalFormatting>
  <conditionalFormatting sqref="C65 C67">
    <cfRule type="containsBlanks" dxfId="1017" priority="190">
      <formula>LEN(TRIM(C65))=0</formula>
    </cfRule>
  </conditionalFormatting>
  <conditionalFormatting sqref="C53 C55">
    <cfRule type="aboveAverage" dxfId="1016" priority="189"/>
  </conditionalFormatting>
  <conditionalFormatting sqref="C53 C55">
    <cfRule type="containsBlanks" dxfId="1015" priority="188">
      <formula>LEN(TRIM(C53))=0</formula>
    </cfRule>
  </conditionalFormatting>
  <conditionalFormatting sqref="C61 C63">
    <cfRule type="aboveAverage" dxfId="1014" priority="187"/>
  </conditionalFormatting>
  <conditionalFormatting sqref="C61 C63">
    <cfRule type="containsBlanks" dxfId="1013" priority="186">
      <formula>LEN(TRIM(C61))=0</formula>
    </cfRule>
  </conditionalFormatting>
  <conditionalFormatting sqref="C69 C71">
    <cfRule type="containsBlanks" dxfId="1012" priority="184">
      <formula>LEN(TRIM(C69))=0</formula>
    </cfRule>
    <cfRule type="aboveAverage" dxfId="1011" priority="185"/>
  </conditionalFormatting>
  <conditionalFormatting sqref="D106 D108 D102 D104 D98 D100 D94 D96 D90 D92 D86 D88 D82 D84 D78 D80">
    <cfRule type="aboveAverage" dxfId="1010" priority="183"/>
  </conditionalFormatting>
  <conditionalFormatting sqref="D106 D108 D102 D104 D98 D100 D94 D96 D90 D92 D86 D88 D82 D84 D78 D80">
    <cfRule type="containsBlanks" dxfId="1009" priority="182">
      <formula>LEN(TRIM(D78))=0</formula>
    </cfRule>
  </conditionalFormatting>
  <conditionalFormatting sqref="N151">
    <cfRule type="containsBlanks" dxfId="1008" priority="128">
      <formula>LEN(TRIM(N151))=0</formula>
    </cfRule>
  </conditionalFormatting>
  <conditionalFormatting sqref="F77 F79">
    <cfRule type="aboveAverage" dxfId="1007" priority="181"/>
  </conditionalFormatting>
  <conditionalFormatting sqref="F77 F79">
    <cfRule type="containsBlanks" dxfId="1006" priority="180">
      <formula>LEN(TRIM(F77))=0</formula>
    </cfRule>
  </conditionalFormatting>
  <conditionalFormatting sqref="F81 F83">
    <cfRule type="aboveAverage" dxfId="1005" priority="179"/>
  </conditionalFormatting>
  <conditionalFormatting sqref="F81 F83">
    <cfRule type="containsBlanks" dxfId="1004" priority="178">
      <formula>LEN(TRIM(F81))=0</formula>
    </cfRule>
  </conditionalFormatting>
  <conditionalFormatting sqref="F85 F87">
    <cfRule type="aboveAverage" dxfId="1003" priority="177"/>
  </conditionalFormatting>
  <conditionalFormatting sqref="F85 F87">
    <cfRule type="containsBlanks" dxfId="1002" priority="176">
      <formula>LEN(TRIM(F85))=0</formula>
    </cfRule>
  </conditionalFormatting>
  <conditionalFormatting sqref="F93 F95">
    <cfRule type="aboveAverage" dxfId="1001" priority="175"/>
  </conditionalFormatting>
  <conditionalFormatting sqref="F93 F95">
    <cfRule type="containsBlanks" dxfId="1000" priority="174">
      <formula>LEN(TRIM(F93))=0</formula>
    </cfRule>
  </conditionalFormatting>
  <conditionalFormatting sqref="F101 F103">
    <cfRule type="aboveAverage" dxfId="999" priority="173"/>
  </conditionalFormatting>
  <conditionalFormatting sqref="F101 F103">
    <cfRule type="containsBlanks" dxfId="998" priority="172">
      <formula>LEN(TRIM(F101))=0</formula>
    </cfRule>
  </conditionalFormatting>
  <conditionalFormatting sqref="F89 F91">
    <cfRule type="aboveAverage" dxfId="997" priority="171"/>
  </conditionalFormatting>
  <conditionalFormatting sqref="F89 F91">
    <cfRule type="containsBlanks" dxfId="996" priority="170">
      <formula>LEN(TRIM(F89))=0</formula>
    </cfRule>
  </conditionalFormatting>
  <conditionalFormatting sqref="F97 F99">
    <cfRule type="aboveAverage" dxfId="995" priority="169"/>
  </conditionalFormatting>
  <conditionalFormatting sqref="F97 F99">
    <cfRule type="containsBlanks" dxfId="994" priority="168">
      <formula>LEN(TRIM(F97))=0</formula>
    </cfRule>
  </conditionalFormatting>
  <conditionalFormatting sqref="F105 F107">
    <cfRule type="aboveAverage" dxfId="993" priority="167"/>
  </conditionalFormatting>
  <conditionalFormatting sqref="F105 F107">
    <cfRule type="containsBlanks" dxfId="992" priority="166">
      <formula>LEN(TRIM(F105))=0</formula>
    </cfRule>
  </conditionalFormatting>
  <conditionalFormatting sqref="E13 E9">
    <cfRule type="containsBlanks" dxfId="991" priority="164">
      <formula>LEN(TRIM(E9))=0</formula>
    </cfRule>
    <cfRule type="aboveAverage" dxfId="990" priority="165"/>
  </conditionalFormatting>
  <conditionalFormatting sqref="E21 E18">
    <cfRule type="containsBlanks" dxfId="989" priority="162">
      <formula>LEN(TRIM(E18))=0</formula>
    </cfRule>
    <cfRule type="aboveAverage" dxfId="988" priority="163"/>
  </conditionalFormatting>
  <conditionalFormatting sqref="O82 O84">
    <cfRule type="containsBlanks" dxfId="987" priority="160">
      <formula>LEN(TRIM(O82))=0</formula>
    </cfRule>
  </conditionalFormatting>
  <conditionalFormatting sqref="O89 O91">
    <cfRule type="containsBlanks" dxfId="986" priority="158">
      <formula>LEN(TRIM(O89))=0</formula>
    </cfRule>
  </conditionalFormatting>
  <conditionalFormatting sqref="N126">
    <cfRule type="containsBlanks" dxfId="985" priority="154">
      <formula>LEN(TRIM(N126))=0</formula>
    </cfRule>
  </conditionalFormatting>
  <conditionalFormatting sqref="N130">
    <cfRule type="containsBlanks" dxfId="984" priority="152">
      <formula>LEN(TRIM(N130))=0</formula>
    </cfRule>
  </conditionalFormatting>
  <conditionalFormatting sqref="K149 K151">
    <cfRule type="containsBlanks" dxfId="983" priority="144">
      <formula>LEN(TRIM(K149))=0</formula>
    </cfRule>
  </conditionalFormatting>
  <conditionalFormatting sqref="K145 K147">
    <cfRule type="containsBlanks" dxfId="982" priority="142">
      <formula>LEN(TRIM(K145))=0</formula>
    </cfRule>
  </conditionalFormatting>
  <conditionalFormatting sqref="O82 O84">
    <cfRule type="aboveAverage" dxfId="981" priority="161"/>
  </conditionalFormatting>
  <conditionalFormatting sqref="O89 O91">
    <cfRule type="aboveAverage" dxfId="980" priority="159"/>
  </conditionalFormatting>
  <conditionalFormatting sqref="N133 N135">
    <cfRule type="aboveAverage" dxfId="979" priority="157"/>
  </conditionalFormatting>
  <conditionalFormatting sqref="N133 N135">
    <cfRule type="containsBlanks" dxfId="978" priority="156">
      <formula>LEN(TRIM(N133))=0</formula>
    </cfRule>
  </conditionalFormatting>
  <conditionalFormatting sqref="N126">
    <cfRule type="aboveAverage" dxfId="977" priority="155"/>
  </conditionalFormatting>
  <conditionalFormatting sqref="N130">
    <cfRule type="aboveAverage" dxfId="976" priority="153"/>
  </conditionalFormatting>
  <conditionalFormatting sqref="L129 L131">
    <cfRule type="containsBlanks" dxfId="975" priority="148">
      <formula>LEN(TRIM(L129))=0</formula>
    </cfRule>
  </conditionalFormatting>
  <conditionalFormatting sqref="K141 K143">
    <cfRule type="containsBlanks" dxfId="974" priority="146">
      <formula>LEN(TRIM(K141))=0</formula>
    </cfRule>
  </conditionalFormatting>
  <conditionalFormatting sqref="L125 L127">
    <cfRule type="aboveAverage" dxfId="973" priority="151"/>
  </conditionalFormatting>
  <conditionalFormatting sqref="L125 L127">
    <cfRule type="containsBlanks" dxfId="972" priority="150">
      <formula>LEN(TRIM(L125))=0</formula>
    </cfRule>
  </conditionalFormatting>
  <conditionalFormatting sqref="L129 L131">
    <cfRule type="aboveAverage" dxfId="971" priority="149"/>
  </conditionalFormatting>
  <conditionalFormatting sqref="K141 K143">
    <cfRule type="aboveAverage" dxfId="970" priority="147"/>
  </conditionalFormatting>
  <conditionalFormatting sqref="K149 K151">
    <cfRule type="aboveAverage" dxfId="969" priority="145"/>
  </conditionalFormatting>
  <conditionalFormatting sqref="K145 K147">
    <cfRule type="aboveAverage" dxfId="968" priority="143"/>
  </conditionalFormatting>
  <conditionalFormatting sqref="K153 K155">
    <cfRule type="aboveAverage" dxfId="967" priority="141"/>
  </conditionalFormatting>
  <conditionalFormatting sqref="K153 K155">
    <cfRule type="containsBlanks" dxfId="966" priority="140">
      <formula>LEN(TRIM(K153))=0</formula>
    </cfRule>
  </conditionalFormatting>
  <conditionalFormatting sqref="L142">
    <cfRule type="aboveAverage" dxfId="965" priority="139"/>
  </conditionalFormatting>
  <conditionalFormatting sqref="L142">
    <cfRule type="containsBlanks" dxfId="964" priority="138">
      <formula>LEN(TRIM(L142))=0</formula>
    </cfRule>
  </conditionalFormatting>
  <conditionalFormatting sqref="L146">
    <cfRule type="aboveAverage" dxfId="963" priority="137"/>
  </conditionalFormatting>
  <conditionalFormatting sqref="L146">
    <cfRule type="containsBlanks" dxfId="962" priority="136">
      <formula>LEN(TRIM(L146))=0</formula>
    </cfRule>
  </conditionalFormatting>
  <conditionalFormatting sqref="L150">
    <cfRule type="aboveAverage" dxfId="961" priority="135"/>
  </conditionalFormatting>
  <conditionalFormatting sqref="L150">
    <cfRule type="containsBlanks" dxfId="960" priority="134">
      <formula>LEN(TRIM(L150))=0</formula>
    </cfRule>
  </conditionalFormatting>
  <conditionalFormatting sqref="L154">
    <cfRule type="aboveAverage" dxfId="959" priority="133"/>
  </conditionalFormatting>
  <conditionalFormatting sqref="L154">
    <cfRule type="containsBlanks" dxfId="958" priority="132">
      <formula>LEN(TRIM(L154))=0</formula>
    </cfRule>
  </conditionalFormatting>
  <conditionalFormatting sqref="N143">
    <cfRule type="aboveAverage" dxfId="957" priority="131"/>
  </conditionalFormatting>
  <conditionalFormatting sqref="N143">
    <cfRule type="containsBlanks" dxfId="956" priority="130">
      <formula>LEN(TRIM(N143))=0</formula>
    </cfRule>
  </conditionalFormatting>
  <conditionalFormatting sqref="N151">
    <cfRule type="aboveAverage" dxfId="955" priority="129"/>
  </conditionalFormatting>
  <conditionalFormatting sqref="G19 G11">
    <cfRule type="containsBlanks" dxfId="954" priority="126">
      <formula>LEN(TRIM(G11))=0</formula>
    </cfRule>
    <cfRule type="aboveAverage" dxfId="953" priority="127"/>
  </conditionalFormatting>
  <conditionalFormatting sqref="N182">
    <cfRule type="containsBlanks" dxfId="952" priority="100">
      <formula>LEN(TRIM(N182))=0</formula>
    </cfRule>
  </conditionalFormatting>
  <conditionalFormatting sqref="I31 I15">
    <cfRule type="containsBlanks" dxfId="951" priority="124">
      <formula>LEN(TRIM(I15))=0</formula>
    </cfRule>
    <cfRule type="aboveAverage" dxfId="950" priority="125"/>
  </conditionalFormatting>
  <conditionalFormatting sqref="K23 K56">
    <cfRule type="containsBlanks" dxfId="949" priority="122">
      <formula>LEN(TRIM(K23))=0</formula>
    </cfRule>
    <cfRule type="aboveAverage" dxfId="948" priority="123"/>
  </conditionalFormatting>
  <conditionalFormatting sqref="M40 M80">
    <cfRule type="containsBlanks" dxfId="947" priority="120">
      <formula>LEN(TRIM(M40))=0</formula>
    </cfRule>
    <cfRule type="aboveAverage" dxfId="946" priority="121"/>
  </conditionalFormatting>
  <conditionalFormatting sqref="L180">
    <cfRule type="containsBlanks" dxfId="945" priority="108">
      <formula>LEN(TRIM(L180))=0</formula>
    </cfRule>
  </conditionalFormatting>
  <conditionalFormatting sqref="L184">
    <cfRule type="containsBlanks" dxfId="944" priority="106">
      <formula>LEN(TRIM(L184))=0</formula>
    </cfRule>
  </conditionalFormatting>
  <conditionalFormatting sqref="L188">
    <cfRule type="containsBlanks" dxfId="943" priority="104">
      <formula>LEN(TRIM(L188))=0</formula>
    </cfRule>
  </conditionalFormatting>
  <conditionalFormatting sqref="L192">
    <cfRule type="containsBlanks" dxfId="942" priority="102">
      <formula>LEN(TRIM(L192))=0</formula>
    </cfRule>
  </conditionalFormatting>
  <conditionalFormatting sqref="N157 N159">
    <cfRule type="containsBlanks" dxfId="941" priority="118">
      <formula>LEN(TRIM(N157))=0</formula>
    </cfRule>
  </conditionalFormatting>
  <conditionalFormatting sqref="N157 N159">
    <cfRule type="aboveAverage" dxfId="940" priority="119"/>
  </conditionalFormatting>
  <conditionalFormatting sqref="N190">
    <cfRule type="containsBlanks" dxfId="939" priority="98">
      <formula>LEN(TRIM(N190))=0</formula>
    </cfRule>
  </conditionalFormatting>
  <conditionalFormatting sqref="K179 K181">
    <cfRule type="aboveAverage" dxfId="938" priority="117"/>
  </conditionalFormatting>
  <conditionalFormatting sqref="K179 K181">
    <cfRule type="containsBlanks" dxfId="937" priority="116">
      <formula>LEN(TRIM(K179))=0</formula>
    </cfRule>
  </conditionalFormatting>
  <conditionalFormatting sqref="K187 K189">
    <cfRule type="aboveAverage" dxfId="936" priority="115"/>
  </conditionalFormatting>
  <conditionalFormatting sqref="K187 K189">
    <cfRule type="containsBlanks" dxfId="935" priority="114">
      <formula>LEN(TRIM(K187))=0</formula>
    </cfRule>
  </conditionalFormatting>
  <conditionalFormatting sqref="K183 K185">
    <cfRule type="aboveAverage" dxfId="934" priority="113"/>
  </conditionalFormatting>
  <conditionalFormatting sqref="K183 K185">
    <cfRule type="containsBlanks" dxfId="933" priority="112">
      <formula>LEN(TRIM(K183))=0</formula>
    </cfRule>
  </conditionalFormatting>
  <conditionalFormatting sqref="K191 K193">
    <cfRule type="aboveAverage" dxfId="932" priority="111"/>
  </conditionalFormatting>
  <conditionalFormatting sqref="K191 K193">
    <cfRule type="containsBlanks" dxfId="931" priority="110">
      <formula>LEN(TRIM(K191))=0</formula>
    </cfRule>
  </conditionalFormatting>
  <conditionalFormatting sqref="L180">
    <cfRule type="aboveAverage" dxfId="930" priority="109"/>
  </conditionalFormatting>
  <conditionalFormatting sqref="L184">
    <cfRule type="aboveAverage" dxfId="929" priority="107"/>
  </conditionalFormatting>
  <conditionalFormatting sqref="L188">
    <cfRule type="aboveAverage" dxfId="928" priority="105"/>
  </conditionalFormatting>
  <conditionalFormatting sqref="L192">
    <cfRule type="aboveAverage" dxfId="927" priority="103"/>
  </conditionalFormatting>
  <conditionalFormatting sqref="N182">
    <cfRule type="aboveAverage" dxfId="926" priority="101"/>
  </conditionalFormatting>
  <conditionalFormatting sqref="N190">
    <cfRule type="aboveAverage" dxfId="925" priority="99"/>
  </conditionalFormatting>
  <conditionalFormatting sqref="L206 L208">
    <cfRule type="containsBlanks" dxfId="924" priority="88">
      <formula>LEN(TRIM(L206))=0</formula>
    </cfRule>
  </conditionalFormatting>
  <conditionalFormatting sqref="N210 N212">
    <cfRule type="aboveAverage" dxfId="923" priority="97"/>
  </conditionalFormatting>
  <conditionalFormatting sqref="N210 N212">
    <cfRule type="containsBlanks" dxfId="922" priority="96">
      <formula>LEN(TRIM(N210))=0</formula>
    </cfRule>
  </conditionalFormatting>
  <conditionalFormatting sqref="N203">
    <cfRule type="aboveAverage" dxfId="921" priority="95"/>
  </conditionalFormatting>
  <conditionalFormatting sqref="N203">
    <cfRule type="containsBlanks" dxfId="920" priority="94">
      <formula>LEN(TRIM(N203))=0</formula>
    </cfRule>
  </conditionalFormatting>
  <conditionalFormatting sqref="N207">
    <cfRule type="aboveAverage" dxfId="919" priority="93"/>
  </conditionalFormatting>
  <conditionalFormatting sqref="N207">
    <cfRule type="containsBlanks" dxfId="918" priority="92">
      <formula>LEN(TRIM(N207))=0</formula>
    </cfRule>
  </conditionalFormatting>
  <conditionalFormatting sqref="L202 L204">
    <cfRule type="aboveAverage" dxfId="917" priority="91"/>
  </conditionalFormatting>
  <conditionalFormatting sqref="L202 L204">
    <cfRule type="containsBlanks" dxfId="916" priority="90">
      <formula>LEN(TRIM(L202))=0</formula>
    </cfRule>
  </conditionalFormatting>
  <conditionalFormatting sqref="L206 L208">
    <cfRule type="aboveAverage" dxfId="915" priority="89"/>
  </conditionalFormatting>
  <conditionalFormatting sqref="N195 N197">
    <cfRule type="containsBlanks" dxfId="914" priority="86">
      <formula>LEN(TRIM(N195))=0</formula>
    </cfRule>
  </conditionalFormatting>
  <conditionalFormatting sqref="N195 N197">
    <cfRule type="aboveAverage" dxfId="913" priority="87"/>
  </conditionalFormatting>
  <conditionalFormatting sqref="G102">
    <cfRule type="aboveAverage" dxfId="912" priority="85"/>
  </conditionalFormatting>
  <conditionalFormatting sqref="G102 G106">
    <cfRule type="aboveAverage" dxfId="911" priority="83"/>
    <cfRule type="containsBlanks" dxfId="910" priority="84">
      <formula>LEN(TRIM(G102))=0</formula>
    </cfRule>
  </conditionalFormatting>
  <conditionalFormatting sqref="G94">
    <cfRule type="aboveAverage" dxfId="909" priority="82"/>
  </conditionalFormatting>
  <conditionalFormatting sqref="G94 G98">
    <cfRule type="aboveAverage" dxfId="908" priority="80"/>
    <cfRule type="containsBlanks" dxfId="907" priority="81">
      <formula>LEN(TRIM(G94))=0</formula>
    </cfRule>
  </conditionalFormatting>
  <conditionalFormatting sqref="G86">
    <cfRule type="aboveAverage" dxfId="906" priority="79"/>
  </conditionalFormatting>
  <conditionalFormatting sqref="G86 G90">
    <cfRule type="aboveAverage" dxfId="905" priority="77"/>
    <cfRule type="containsBlanks" dxfId="904" priority="78">
      <formula>LEN(TRIM(G86))=0</formula>
    </cfRule>
  </conditionalFormatting>
  <conditionalFormatting sqref="G78">
    <cfRule type="aboveAverage" dxfId="903" priority="76"/>
  </conditionalFormatting>
  <conditionalFormatting sqref="G78 G82">
    <cfRule type="aboveAverage" dxfId="902" priority="74"/>
    <cfRule type="containsBlanks" dxfId="901" priority="75">
      <formula>LEN(TRIM(G78))=0</formula>
    </cfRule>
  </conditionalFormatting>
  <conditionalFormatting sqref="H92 H96">
    <cfRule type="containsBlanks" dxfId="900" priority="72">
      <formula>LEN(TRIM(H92))=0</formula>
    </cfRule>
    <cfRule type="aboveAverage" dxfId="899" priority="73"/>
  </conditionalFormatting>
  <conditionalFormatting sqref="H100 H104">
    <cfRule type="containsBlanks" dxfId="898" priority="70">
      <formula>LEN(TRIM(H100))=0</formula>
    </cfRule>
    <cfRule type="aboveAverage" dxfId="897" priority="71"/>
  </conditionalFormatting>
  <conditionalFormatting sqref="H76 H80">
    <cfRule type="containsBlanks" dxfId="896" priority="68">
      <formula>LEN(TRIM(H76))=0</formula>
    </cfRule>
    <cfRule type="aboveAverage" dxfId="895" priority="69"/>
  </conditionalFormatting>
  <conditionalFormatting sqref="H84 H88">
    <cfRule type="containsBlanks" dxfId="894" priority="66">
      <formula>LEN(TRIM(H84))=0</formula>
    </cfRule>
    <cfRule type="aboveAverage" dxfId="893" priority="67"/>
  </conditionalFormatting>
  <conditionalFormatting sqref="I78 I86">
    <cfRule type="containsBlanks" dxfId="892" priority="64">
      <formula>LEN(TRIM(I78))=0</formula>
    </cfRule>
    <cfRule type="aboveAverage" dxfId="891" priority="65"/>
  </conditionalFormatting>
  <conditionalFormatting sqref="I94 I102">
    <cfRule type="containsBlanks" dxfId="890" priority="62">
      <formula>LEN(TRIM(I94))=0</formula>
    </cfRule>
    <cfRule type="aboveAverage" dxfId="889" priority="63"/>
  </conditionalFormatting>
  <conditionalFormatting sqref="J75 J82">
    <cfRule type="containsBlanks" dxfId="888" priority="60">
      <formula>LEN(TRIM(J75))=0</formula>
    </cfRule>
    <cfRule type="aboveAverage" dxfId="887" priority="61"/>
  </conditionalFormatting>
  <conditionalFormatting sqref="J91 J98">
    <cfRule type="containsBlanks" dxfId="886" priority="58">
      <formula>LEN(TRIM(J91))=0</formula>
    </cfRule>
    <cfRule type="aboveAverage" dxfId="885" priority="59"/>
  </conditionalFormatting>
  <conditionalFormatting sqref="K79 K95">
    <cfRule type="containsBlanks" dxfId="884" priority="56">
      <formula>LEN(TRIM(K79))=0</formula>
    </cfRule>
    <cfRule type="aboveAverage" dxfId="883" priority="57"/>
  </conditionalFormatting>
  <conditionalFormatting sqref="L73 L87">
    <cfRule type="containsBlanks" dxfId="882" priority="54">
      <formula>LEN(TRIM(L73))=0</formula>
    </cfRule>
    <cfRule type="aboveAverage" dxfId="881" priority="55"/>
  </conditionalFormatting>
  <conditionalFormatting sqref="G27 G35">
    <cfRule type="containsBlanks" dxfId="880" priority="52">
      <formula>LEN(TRIM(G27))=0</formula>
    </cfRule>
    <cfRule type="aboveAverage" dxfId="879" priority="53"/>
  </conditionalFormatting>
  <conditionalFormatting sqref="G44 G52">
    <cfRule type="containsBlanks" dxfId="878" priority="50">
      <formula>LEN(TRIM(G44))=0</formula>
    </cfRule>
    <cfRule type="aboveAverage" dxfId="877" priority="51"/>
  </conditionalFormatting>
  <conditionalFormatting sqref="G60 G68">
    <cfRule type="containsBlanks" dxfId="876" priority="48">
      <formula>LEN(TRIM(G60))=0</formula>
    </cfRule>
    <cfRule type="aboveAverage" dxfId="875" priority="49"/>
  </conditionalFormatting>
  <conditionalFormatting sqref="O65 O69">
    <cfRule type="containsBlanks" dxfId="874" priority="46">
      <formula>LEN(TRIM(O65))=0</formula>
    </cfRule>
    <cfRule type="aboveAverage" dxfId="873" priority="47"/>
  </conditionalFormatting>
  <conditionalFormatting sqref="I48 I64">
    <cfRule type="containsBlanks" dxfId="872" priority="44">
      <formula>LEN(TRIM(I48))=0</formula>
    </cfRule>
    <cfRule type="aboveAverage" dxfId="871" priority="45"/>
  </conditionalFormatting>
  <conditionalFormatting sqref="E29 E25">
    <cfRule type="containsBlanks" dxfId="870" priority="42">
      <formula>LEN(TRIM(E25))=0</formula>
    </cfRule>
    <cfRule type="aboveAverage" dxfId="869" priority="43"/>
  </conditionalFormatting>
  <conditionalFormatting sqref="E37 E33">
    <cfRule type="containsBlanks" dxfId="868" priority="40">
      <formula>LEN(TRIM(E33))=0</formula>
    </cfRule>
    <cfRule type="aboveAverage" dxfId="867" priority="41"/>
  </conditionalFormatting>
  <conditionalFormatting sqref="E47 E42">
    <cfRule type="containsBlanks" dxfId="866" priority="38">
      <formula>LEN(TRIM(E42))=0</formula>
    </cfRule>
    <cfRule type="aboveAverage" dxfId="865" priority="39"/>
  </conditionalFormatting>
  <conditionalFormatting sqref="E54 E50">
    <cfRule type="containsBlanks" dxfId="864" priority="36">
      <formula>LEN(TRIM(E50))=0</formula>
    </cfRule>
    <cfRule type="aboveAverage" dxfId="863" priority="37"/>
  </conditionalFormatting>
  <conditionalFormatting sqref="E62 E58">
    <cfRule type="containsBlanks" dxfId="862" priority="34">
      <formula>LEN(TRIM(E58))=0</formula>
    </cfRule>
    <cfRule type="aboveAverage" dxfId="861" priority="35"/>
  </conditionalFormatting>
  <conditionalFormatting sqref="E70 E66">
    <cfRule type="containsBlanks" dxfId="860" priority="32">
      <formula>LEN(TRIM(E66))=0</formula>
    </cfRule>
    <cfRule type="aboveAverage" dxfId="859" priority="33"/>
  </conditionalFormatting>
  <conditionalFormatting sqref="B8:B71">
    <cfRule type="duplicateValues" dxfId="858" priority="31"/>
  </conditionalFormatting>
  <conditionalFormatting sqref="B300:B331">
    <cfRule type="expression" dxfId="857" priority="26">
      <formula>A300=3</formula>
    </cfRule>
    <cfRule type="expression" dxfId="856" priority="27">
      <formula>A300=2</formula>
    </cfRule>
    <cfRule type="expression" dxfId="855" priority="28">
      <formula>A300=1</formula>
    </cfRule>
    <cfRule type="containsBlanks" dxfId="854" priority="29">
      <formula>LEN(TRIM(B300))=0</formula>
    </cfRule>
    <cfRule type="duplicateValues" dxfId="853" priority="30"/>
  </conditionalFormatting>
  <conditionalFormatting sqref="N165">
    <cfRule type="containsBlanks" dxfId="852" priority="22">
      <formula>LEN(TRIM(N165))=0</formula>
    </cfRule>
  </conditionalFormatting>
  <conditionalFormatting sqref="N169">
    <cfRule type="containsBlanks" dxfId="851" priority="20">
      <formula>LEN(TRIM(N169))=0</formula>
    </cfRule>
  </conditionalFormatting>
  <conditionalFormatting sqref="N172 N174">
    <cfRule type="aboveAverage" dxfId="850" priority="25"/>
  </conditionalFormatting>
  <conditionalFormatting sqref="N172 N174">
    <cfRule type="containsBlanks" dxfId="849" priority="24">
      <formula>LEN(TRIM(N172))=0</formula>
    </cfRule>
  </conditionalFormatting>
  <conditionalFormatting sqref="N165">
    <cfRule type="aboveAverage" dxfId="848" priority="23"/>
  </conditionalFormatting>
  <conditionalFormatting sqref="N169">
    <cfRule type="aboveAverage" dxfId="847" priority="21"/>
  </conditionalFormatting>
  <conditionalFormatting sqref="L164 L166">
    <cfRule type="aboveAverage" dxfId="846" priority="19"/>
  </conditionalFormatting>
  <conditionalFormatting sqref="L164 L166">
    <cfRule type="containsBlanks" dxfId="845" priority="18">
      <formula>LEN(TRIM(L164))=0</formula>
    </cfRule>
  </conditionalFormatting>
  <conditionalFormatting sqref="L168 L170">
    <cfRule type="aboveAverage" dxfId="844" priority="17"/>
  </conditionalFormatting>
  <conditionalFormatting sqref="L168 L170">
    <cfRule type="containsBlanks" dxfId="843" priority="16">
      <formula>LEN(TRIM(L168))=0</formula>
    </cfRule>
  </conditionalFormatting>
  <conditionalFormatting sqref="N111">
    <cfRule type="containsBlanks" dxfId="842" priority="12">
      <formula>LEN(TRIM(N111))=0</formula>
    </cfRule>
  </conditionalFormatting>
  <conditionalFormatting sqref="N115">
    <cfRule type="containsBlanks" dxfId="841" priority="10">
      <formula>LEN(TRIM(N115))=0</formula>
    </cfRule>
  </conditionalFormatting>
  <conditionalFormatting sqref="N118 N120">
    <cfRule type="aboveAverage" dxfId="840" priority="15"/>
  </conditionalFormatting>
  <conditionalFormatting sqref="N118 N120">
    <cfRule type="containsBlanks" dxfId="839" priority="14">
      <formula>LEN(TRIM(N118))=0</formula>
    </cfRule>
  </conditionalFormatting>
  <conditionalFormatting sqref="N111">
    <cfRule type="aboveAverage" dxfId="838" priority="13"/>
  </conditionalFormatting>
  <conditionalFormatting sqref="N115">
    <cfRule type="aboveAverage" dxfId="837" priority="11"/>
  </conditionalFormatting>
  <conditionalFormatting sqref="L110 L112">
    <cfRule type="aboveAverage" dxfId="836" priority="9"/>
  </conditionalFormatting>
  <conditionalFormatting sqref="L110 L112">
    <cfRule type="containsBlanks" dxfId="835" priority="8">
      <formula>LEN(TRIM(L110))=0</formula>
    </cfRule>
  </conditionalFormatting>
  <conditionalFormatting sqref="L114 L116">
    <cfRule type="aboveAverage" dxfId="834" priority="7"/>
  </conditionalFormatting>
  <conditionalFormatting sqref="L114 L116">
    <cfRule type="containsBlanks" dxfId="833" priority="6">
      <formula>LEN(TRIM(L114))=0</formula>
    </cfRule>
  </conditionalFormatting>
  <conditionalFormatting sqref="B351:B365">
    <cfRule type="expression" dxfId="832" priority="1">
      <formula>A352=3</formula>
    </cfRule>
    <cfRule type="expression" dxfId="831" priority="2">
      <formula>A352=2</formula>
    </cfRule>
    <cfRule type="expression" dxfId="830" priority="3">
      <formula>A352=1</formula>
    </cfRule>
    <cfRule type="containsBlanks" dxfId="829" priority="4">
      <formula>LEN(TRIM(B351))=0</formula>
    </cfRule>
    <cfRule type="duplicateValues" dxfId="828" priority="5"/>
  </conditionalFormatting>
  <conditionalFormatting sqref="B335:B350">
    <cfRule type="expression" dxfId="827" priority="2361">
      <formula>A335=3</formula>
    </cfRule>
    <cfRule type="expression" dxfId="826" priority="2362">
      <formula>A335=2</formula>
    </cfRule>
    <cfRule type="expression" dxfId="825" priority="2363">
      <formula>A335=1</formula>
    </cfRule>
    <cfRule type="containsBlanks" dxfId="824" priority="2364">
      <formula>LEN(TRIM(B335))=0</formula>
    </cfRule>
    <cfRule type="duplicateValues" dxfId="823" priority="2365"/>
  </conditionalFormatting>
  <pageMargins left="0.39370078740157483" right="0.31496062992125984" top="0.59055118110236227" bottom="0.39370078740157483" header="0.39370078740157483" footer="0"/>
  <pageSetup paperSize="9" fitToHeight="0" orientation="landscape" verticalDpi="1200" r:id="rId1"/>
  <headerFooter>
    <oddHeader>&amp;R&amp;P. leht &amp;N-st</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14"/>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customWidth="1"/>
    <col min="25" max="25" width="7" style="58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16.5703125" style="581" hidden="1" customWidth="1"/>
    <col min="36" max="36" width="9.140625" style="581" hidden="1" customWidth="1"/>
    <col min="37" max="37" width="17.28515625" style="581" hidden="1" customWidth="1"/>
    <col min="38" max="38" width="9.140625" style="581" hidden="1" customWidth="1"/>
    <col min="39" max="39" width="15.28515625" style="581" hidden="1" customWidth="1"/>
    <col min="40" max="16384" width="9.140625" style="581"/>
  </cols>
  <sheetData>
    <row r="1" spans="1:40" x14ac:dyDescent="0.2">
      <c r="A1" s="572" t="str">
        <f>UPPER((Kalend!E31)&amp;" - "&amp;(Kalend!C31)&amp;" - "&amp;(Kalend!D31))</f>
        <v>8 - TOILA VALLA LAHTISED MV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"&amp;(Kalend!A31)&amp;" kell "&amp;(Kalend!B31)</f>
        <v>Toimumisaeg: P, 28.08.2022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"&amp;(Kalend!F31)</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"&amp;(Kalend!G31)</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524</v>
      </c>
      <c r="C8" s="613">
        <v>13</v>
      </c>
      <c r="D8" s="614" t="s">
        <v>288</v>
      </c>
      <c r="E8" s="614">
        <v>6</v>
      </c>
      <c r="F8" s="636" t="s">
        <v>647</v>
      </c>
      <c r="G8" s="613">
        <v>13</v>
      </c>
      <c r="H8" s="614" t="s">
        <v>288</v>
      </c>
      <c r="I8" s="614">
        <v>5</v>
      </c>
      <c r="J8" s="636" t="s">
        <v>646</v>
      </c>
      <c r="K8" s="613">
        <v>13</v>
      </c>
      <c r="L8" s="614" t="s">
        <v>288</v>
      </c>
      <c r="M8" s="614">
        <v>9</v>
      </c>
      <c r="N8" s="636" t="s">
        <v>644</v>
      </c>
      <c r="O8" s="613">
        <v>13</v>
      </c>
      <c r="P8" s="614" t="s">
        <v>288</v>
      </c>
      <c r="Q8" s="614">
        <v>10</v>
      </c>
      <c r="R8" s="636" t="s">
        <v>292</v>
      </c>
      <c r="S8" s="613"/>
      <c r="T8" s="614" t="s">
        <v>288</v>
      </c>
      <c r="U8" s="614"/>
      <c r="V8" s="636"/>
      <c r="W8" s="637">
        <f>IF(C8&gt;E8,J$3,IF(C8&lt;E8,J$5,IF(ISNUMBER(C8),J$4,0)))+IF(G8&gt;I8,J$3,IF(G8&lt;I8,J$5,IF(ISNUMBER(G8),J$4,0)))+IF(K8&gt;M8,J$3,IF(K8&lt;M8,J$5,IF(ISNUMBER(K8),J$4,0)))+IF(O8&gt;Q8,J$3,IF(O8&lt;Q8,J$5,IF(ISNUMBER(O8),J$4,0)))+IF(S8&gt;U8,J$3,IF(S8&lt;U8,J$5,IF(ISNUMBER(S8),J$4,0)))</f>
        <v>4</v>
      </c>
      <c r="X8" s="612">
        <v>20</v>
      </c>
      <c r="Y8" s="612">
        <v>80</v>
      </c>
      <c r="Z8" s="613">
        <f>C8+G8+K8+O8+S8</f>
        <v>52</v>
      </c>
      <c r="AA8" s="614" t="s">
        <v>288</v>
      </c>
      <c r="AB8" s="615">
        <f>E8+I8+M8+Q8+U8</f>
        <v>30</v>
      </c>
      <c r="AC8" s="616">
        <f>Z8-AB8</f>
        <v>22</v>
      </c>
      <c r="AE8" s="731">
        <f t="shared" ref="AE8:AE12" ca="1" si="0">SUM(AF8:AM8)</f>
        <v>484</v>
      </c>
      <c r="AF8" s="732">
        <f ca="1">IFERROR(INDEX(Reit!I$8:I$115,MATCH(AG8,Reit!F$8:F$115,0)),"")</f>
        <v>228</v>
      </c>
      <c r="AG8" s="733" t="str">
        <f t="shared" ref="AG8:AG16" si="1">IFERROR(LEFT(B8,(FIND(",",B8,1)-1)),"")</f>
        <v>Kaspar Mänd</v>
      </c>
      <c r="AH8" s="732">
        <f ca="1">IFERROR(INDEX(Reit!I$8:I$115,MATCH(AI8,Reit!F$8:F$115,0)),"")</f>
        <v>256</v>
      </c>
      <c r="AI8" s="733" t="str">
        <f t="shared" ref="AI8:AI16" si="2">IFERROR(MID(B8,FIND(", ",B8)+2,256),"")</f>
        <v>Matti Vinni</v>
      </c>
      <c r="AJ8" s="732" t="str">
        <f>IFERROR(INDEX(Reit!I$8:I$115,MATCH(AK8,Reit!F$8:F$115,0)),"")</f>
        <v/>
      </c>
      <c r="AK8" s="733" t="str">
        <f t="shared" ref="AK8:AK16" si="3">IFERROR(MID(B8,FIND("^",SUBSTITUTE(B8,", ","^",1))+2,FIND("^",SUBSTITUTE(B8,", ","^",2))-FIND("^",SUBSTITUTE(B8,", ","^",1))-2),"")</f>
        <v/>
      </c>
      <c r="AL8" s="732" t="str">
        <f>IFERROR(INDEX(Reit!I$8:I$115,MATCH(AM8,Reit!F$8:F$115,0)),"")</f>
        <v/>
      </c>
      <c r="AM8" s="733" t="str">
        <f t="shared" ref="AM8:AM16" si="4">IFERROR(MID(B8,FIND(", ",B8,FIND(", ",B8,FIND(", ",B8))+1)+2,700),"")</f>
        <v/>
      </c>
      <c r="AN8" s="573"/>
    </row>
    <row r="9" spans="1:40" x14ac:dyDescent="0.2">
      <c r="A9" s="634">
        <v>2</v>
      </c>
      <c r="B9" s="635" t="s">
        <v>644</v>
      </c>
      <c r="C9" s="613">
        <v>13</v>
      </c>
      <c r="D9" s="614" t="s">
        <v>288</v>
      </c>
      <c r="E9" s="614">
        <v>5</v>
      </c>
      <c r="F9" s="636" t="s">
        <v>651</v>
      </c>
      <c r="G9" s="613">
        <v>12</v>
      </c>
      <c r="H9" s="614" t="s">
        <v>288</v>
      </c>
      <c r="I9" s="614">
        <v>11</v>
      </c>
      <c r="J9" s="636" t="s">
        <v>477</v>
      </c>
      <c r="K9" s="613">
        <v>9</v>
      </c>
      <c r="L9" s="614" t="s">
        <v>288</v>
      </c>
      <c r="M9" s="614">
        <v>13</v>
      </c>
      <c r="N9" s="636" t="s">
        <v>524</v>
      </c>
      <c r="O9" s="613">
        <v>13</v>
      </c>
      <c r="P9" s="614" t="s">
        <v>288</v>
      </c>
      <c r="Q9" s="614">
        <v>1</v>
      </c>
      <c r="R9" s="636" t="s">
        <v>646</v>
      </c>
      <c r="S9" s="613"/>
      <c r="T9" s="614" t="s">
        <v>288</v>
      </c>
      <c r="U9" s="614"/>
      <c r="V9" s="636"/>
      <c r="W9" s="637">
        <f t="shared" ref="W9:W16" si="5">IF(C9&gt;E9,J$3,IF(C9&lt;E9,J$5,IF(ISNUMBER(C9),J$4,0)))+IF(G9&gt;I9,J$3,IF(G9&lt;I9,J$5,IF(ISNUMBER(G9),J$4,0)))+IF(K9&gt;M9,J$3,IF(K9&lt;M9,J$5,IF(ISNUMBER(K9),J$4,0)))+IF(O9&gt;Q9,J$3,IF(O9&lt;Q9,J$5,IF(ISNUMBER(O9),J$4,0)))+IF(S9&gt;U9,J$3,IF(S9&lt;U9,J$5,IF(ISNUMBER(S9),J$4,0)))</f>
        <v>3</v>
      </c>
      <c r="X9" s="612">
        <v>20</v>
      </c>
      <c r="Y9" s="612">
        <v>72</v>
      </c>
      <c r="Z9" s="613">
        <f t="shared" ref="Z9:Z16" si="6">C9+G9+K9+O9+S9</f>
        <v>47</v>
      </c>
      <c r="AA9" s="614" t="s">
        <v>288</v>
      </c>
      <c r="AB9" s="615">
        <f t="shared" ref="AB9:AB16" si="7">E9+I9+M9+Q9+U9</f>
        <v>30</v>
      </c>
      <c r="AC9" s="616">
        <f t="shared" ref="AC9:AC16" si="8">Z9-AB9</f>
        <v>17</v>
      </c>
      <c r="AE9" s="731">
        <f t="shared" ca="1" si="0"/>
        <v>447</v>
      </c>
      <c r="AF9" s="732">
        <f ca="1">IFERROR(INDEX(Reit!I$8:I$115,MATCH(AG9,Reit!F$8:F$115,0)),"")</f>
        <v>268</v>
      </c>
      <c r="AG9" s="733" t="str">
        <f t="shared" si="1"/>
        <v>Ivar Viljaste</v>
      </c>
      <c r="AH9" s="732">
        <f ca="1">IFERROR(INDEX(Reit!I$8:I$115,MATCH(AI9,Reit!F$8:F$115,0)),"")</f>
        <v>179</v>
      </c>
      <c r="AI9" s="733" t="str">
        <f t="shared" si="2"/>
        <v>Jaan Sepp</v>
      </c>
      <c r="AJ9" s="732" t="str">
        <f>IFERROR(INDEX(Reit!I$8:I$115,MATCH(AK9,Reit!F$8:F$115,0)),"")</f>
        <v/>
      </c>
      <c r="AK9" s="733" t="str">
        <f t="shared" si="3"/>
        <v/>
      </c>
      <c r="AL9" s="732" t="str">
        <f>IFERROR(INDEX(Reit!I$8:I$115,MATCH(AM9,Reit!F$8:F$115,0)),"")</f>
        <v/>
      </c>
      <c r="AM9" s="733" t="str">
        <f t="shared" si="4"/>
        <v/>
      </c>
      <c r="AN9" s="573"/>
    </row>
    <row r="10" spans="1:40" x14ac:dyDescent="0.2">
      <c r="A10" s="634">
        <v>3</v>
      </c>
      <c r="B10" s="635" t="s">
        <v>292</v>
      </c>
      <c r="C10" s="613">
        <v>13</v>
      </c>
      <c r="D10" s="614" t="s">
        <v>288</v>
      </c>
      <c r="E10" s="614">
        <v>5</v>
      </c>
      <c r="F10" s="636" t="s">
        <v>294</v>
      </c>
      <c r="G10" s="613">
        <v>13</v>
      </c>
      <c r="H10" s="614" t="s">
        <v>288</v>
      </c>
      <c r="I10" s="614">
        <v>9</v>
      </c>
      <c r="J10" s="636" t="s">
        <v>567</v>
      </c>
      <c r="K10" s="613">
        <v>13</v>
      </c>
      <c r="L10" s="614" t="s">
        <v>288</v>
      </c>
      <c r="M10" s="614">
        <v>9</v>
      </c>
      <c r="N10" s="636" t="s">
        <v>648</v>
      </c>
      <c r="O10" s="613">
        <v>10</v>
      </c>
      <c r="P10" s="614" t="s">
        <v>288</v>
      </c>
      <c r="Q10" s="614">
        <v>13</v>
      </c>
      <c r="R10" s="636" t="s">
        <v>524</v>
      </c>
      <c r="S10" s="613"/>
      <c r="T10" s="614" t="s">
        <v>288</v>
      </c>
      <c r="U10" s="614"/>
      <c r="V10" s="636"/>
      <c r="W10" s="637">
        <f t="shared" si="5"/>
        <v>3</v>
      </c>
      <c r="X10" s="612">
        <v>18</v>
      </c>
      <c r="Y10" s="612">
        <v>68</v>
      </c>
      <c r="Z10" s="613">
        <f t="shared" si="6"/>
        <v>49</v>
      </c>
      <c r="AA10" s="614" t="s">
        <v>288</v>
      </c>
      <c r="AB10" s="615">
        <f t="shared" si="7"/>
        <v>36</v>
      </c>
      <c r="AC10" s="616">
        <f t="shared" si="8"/>
        <v>13</v>
      </c>
      <c r="AE10" s="731">
        <f t="shared" ca="1" si="0"/>
        <v>363</v>
      </c>
      <c r="AF10" s="732">
        <f ca="1">IFERROR(INDEX(Reit!I$8:I$115,MATCH(AG10,Reit!F$8:F$115,0)),"")</f>
        <v>131</v>
      </c>
      <c r="AG10" s="733" t="str">
        <f t="shared" si="1"/>
        <v>Oksana Rõndenkova</v>
      </c>
      <c r="AH10" s="732">
        <f ca="1">IFERROR(INDEX(Reit!I$8:I$115,MATCH(AI10,Reit!F$8:F$115,0)),"")</f>
        <v>232</v>
      </c>
      <c r="AI10" s="733" t="str">
        <f t="shared" si="2"/>
        <v>Oleg Rõndenkov</v>
      </c>
      <c r="AJ10" s="732" t="str">
        <f>IFERROR(INDEX(Reit!I$8:I$115,MATCH(AK10,Reit!F$8:F$115,0)),"")</f>
        <v/>
      </c>
      <c r="AK10" s="733" t="str">
        <f t="shared" si="3"/>
        <v/>
      </c>
      <c r="AL10" s="732" t="str">
        <f>IFERROR(INDEX(Reit!I$8:I$115,MATCH(AM10,Reit!F$8:F$115,0)),"")</f>
        <v/>
      </c>
      <c r="AM10" s="733" t="str">
        <f t="shared" si="4"/>
        <v/>
      </c>
      <c r="AN10" s="573"/>
    </row>
    <row r="11" spans="1:40" x14ac:dyDescent="0.2">
      <c r="A11" s="634">
        <v>4</v>
      </c>
      <c r="B11" s="635" t="s">
        <v>477</v>
      </c>
      <c r="C11" s="613">
        <v>13</v>
      </c>
      <c r="D11" s="614" t="s">
        <v>288</v>
      </c>
      <c r="E11" s="614">
        <v>5</v>
      </c>
      <c r="F11" s="636" t="s">
        <v>536</v>
      </c>
      <c r="G11" s="613">
        <v>11</v>
      </c>
      <c r="H11" s="614" t="s">
        <v>288</v>
      </c>
      <c r="I11" s="614">
        <v>12</v>
      </c>
      <c r="J11" s="636" t="s">
        <v>644</v>
      </c>
      <c r="K11" s="613">
        <v>13</v>
      </c>
      <c r="L11" s="614" t="s">
        <v>288</v>
      </c>
      <c r="M11" s="614">
        <v>11</v>
      </c>
      <c r="N11" s="636" t="s">
        <v>647</v>
      </c>
      <c r="O11" s="613">
        <v>13</v>
      </c>
      <c r="P11" s="614" t="s">
        <v>288</v>
      </c>
      <c r="Q11" s="614">
        <v>7</v>
      </c>
      <c r="R11" s="636" t="s">
        <v>567</v>
      </c>
      <c r="S11" s="613"/>
      <c r="T11" s="614" t="s">
        <v>288</v>
      </c>
      <c r="U11" s="614"/>
      <c r="V11" s="636"/>
      <c r="W11" s="637">
        <f t="shared" si="5"/>
        <v>3</v>
      </c>
      <c r="X11" s="612">
        <v>16</v>
      </c>
      <c r="Y11" s="612">
        <v>72</v>
      </c>
      <c r="Z11" s="613">
        <f t="shared" si="6"/>
        <v>50</v>
      </c>
      <c r="AA11" s="614" t="s">
        <v>288</v>
      </c>
      <c r="AB11" s="615">
        <f t="shared" si="7"/>
        <v>35</v>
      </c>
      <c r="AC11" s="616">
        <f t="shared" si="8"/>
        <v>15</v>
      </c>
      <c r="AE11" s="731">
        <f t="shared" ca="1" si="0"/>
        <v>449</v>
      </c>
      <c r="AF11" s="732">
        <f ca="1">IFERROR(INDEX(Reit!I$8:I$115,MATCH(AG11,Reit!F$8:F$115,0)),"")</f>
        <v>262</v>
      </c>
      <c r="AG11" s="733" t="str">
        <f t="shared" si="1"/>
        <v>Kenneth Muusikus</v>
      </c>
      <c r="AH11" s="732">
        <f ca="1">IFERROR(INDEX(Reit!I$8:I$115,MATCH(AI11,Reit!F$8:F$115,0)),"")</f>
        <v>187</v>
      </c>
      <c r="AI11" s="733" t="str">
        <f t="shared" si="2"/>
        <v>Sander Rose</v>
      </c>
      <c r="AJ11" s="732" t="str">
        <f>IFERROR(INDEX(Reit!I$8:I$115,MATCH(AK11,Reit!F$8:F$115,0)),"")</f>
        <v/>
      </c>
      <c r="AK11" s="733" t="str">
        <f t="shared" si="3"/>
        <v/>
      </c>
      <c r="AL11" s="732" t="str">
        <f>IFERROR(INDEX(Reit!I$8:I$115,MATCH(AM11,Reit!F$8:F$115,0)),"")</f>
        <v/>
      </c>
      <c r="AM11" s="733" t="str">
        <f t="shared" si="4"/>
        <v/>
      </c>
      <c r="AN11" s="573"/>
    </row>
    <row r="12" spans="1:40" x14ac:dyDescent="0.2">
      <c r="A12" s="634">
        <v>5</v>
      </c>
      <c r="B12" s="635" t="s">
        <v>652</v>
      </c>
      <c r="C12" s="613">
        <v>6</v>
      </c>
      <c r="D12" s="614" t="s">
        <v>288</v>
      </c>
      <c r="E12" s="614">
        <v>13</v>
      </c>
      <c r="F12" s="636" t="s">
        <v>646</v>
      </c>
      <c r="G12" s="613">
        <v>13</v>
      </c>
      <c r="H12" s="614" t="s">
        <v>288</v>
      </c>
      <c r="I12" s="614">
        <v>11</v>
      </c>
      <c r="J12" s="636" t="s">
        <v>294</v>
      </c>
      <c r="K12" s="613">
        <v>13</v>
      </c>
      <c r="L12" s="614" t="s">
        <v>288</v>
      </c>
      <c r="M12" s="614">
        <v>4</v>
      </c>
      <c r="N12" s="636" t="s">
        <v>650</v>
      </c>
      <c r="O12" s="613">
        <v>13</v>
      </c>
      <c r="P12" s="614" t="s">
        <v>288</v>
      </c>
      <c r="Q12" s="614">
        <v>5</v>
      </c>
      <c r="R12" s="636" t="s">
        <v>648</v>
      </c>
      <c r="S12" s="613"/>
      <c r="T12" s="614" t="s">
        <v>288</v>
      </c>
      <c r="U12" s="614"/>
      <c r="V12" s="636"/>
      <c r="W12" s="637">
        <f t="shared" si="5"/>
        <v>3</v>
      </c>
      <c r="X12" s="612">
        <v>14</v>
      </c>
      <c r="Y12" s="612">
        <v>64</v>
      </c>
      <c r="Z12" s="613">
        <f t="shared" si="6"/>
        <v>45</v>
      </c>
      <c r="AA12" s="614" t="s">
        <v>288</v>
      </c>
      <c r="AB12" s="615">
        <f t="shared" si="7"/>
        <v>33</v>
      </c>
      <c r="AC12" s="616">
        <f t="shared" si="8"/>
        <v>12</v>
      </c>
      <c r="AE12" s="731">
        <f t="shared" ca="1" si="0"/>
        <v>251</v>
      </c>
      <c r="AF12" s="732">
        <f ca="1">IFERROR(INDEX(Reit!I$8:I$115,MATCH(AG12,Reit!F$8:F$115,0)),"")</f>
        <v>138</v>
      </c>
      <c r="AG12" s="733" t="str">
        <f t="shared" si="1"/>
        <v>Meelis Luud</v>
      </c>
      <c r="AH12" s="732">
        <f ca="1">IFERROR(INDEX(Reit!I$8:I$115,MATCH(AI12,Reit!F$8:F$115,0)),"")</f>
        <v>113</v>
      </c>
      <c r="AI12" s="733" t="str">
        <f t="shared" si="2"/>
        <v>Urmas Jõeäär</v>
      </c>
      <c r="AJ12" s="732" t="str">
        <f>IFERROR(INDEX(Reit!I$8:I$115,MATCH(AK12,Reit!F$8:F$115,0)),"")</f>
        <v/>
      </c>
      <c r="AK12" s="733" t="str">
        <f t="shared" si="3"/>
        <v/>
      </c>
      <c r="AL12" s="732" t="str">
        <f>IFERROR(INDEX(Reit!I$8:I$115,MATCH(AM12,Reit!F$8:F$115,0)),"")</f>
        <v/>
      </c>
      <c r="AM12" s="733" t="str">
        <f t="shared" si="4"/>
        <v/>
      </c>
      <c r="AN12" s="573"/>
    </row>
    <row r="13" spans="1:40" x14ac:dyDescent="0.2">
      <c r="A13" s="634">
        <v>6</v>
      </c>
      <c r="B13" s="635" t="s">
        <v>646</v>
      </c>
      <c r="C13" s="613">
        <v>13</v>
      </c>
      <c r="D13" s="614" t="s">
        <v>288</v>
      </c>
      <c r="E13" s="614">
        <v>6</v>
      </c>
      <c r="F13" s="636" t="s">
        <v>645</v>
      </c>
      <c r="G13" s="613">
        <v>5</v>
      </c>
      <c r="H13" s="614" t="s">
        <v>288</v>
      </c>
      <c r="I13" s="614">
        <v>13</v>
      </c>
      <c r="J13" s="636" t="s">
        <v>524</v>
      </c>
      <c r="K13" s="613">
        <v>13</v>
      </c>
      <c r="L13" s="614" t="s">
        <v>288</v>
      </c>
      <c r="M13" s="614">
        <v>7</v>
      </c>
      <c r="N13" s="636" t="s">
        <v>366</v>
      </c>
      <c r="O13" s="613">
        <v>1</v>
      </c>
      <c r="P13" s="614" t="s">
        <v>288</v>
      </c>
      <c r="Q13" s="614">
        <v>13</v>
      </c>
      <c r="R13" s="636" t="s">
        <v>644</v>
      </c>
      <c r="S13" s="613"/>
      <c r="T13" s="614" t="s">
        <v>288</v>
      </c>
      <c r="U13" s="614"/>
      <c r="V13" s="636"/>
      <c r="W13" s="637">
        <f t="shared" si="5"/>
        <v>2</v>
      </c>
      <c r="X13" s="612">
        <v>22</v>
      </c>
      <c r="Y13" s="612">
        <v>70</v>
      </c>
      <c r="Z13" s="613">
        <f t="shared" si="6"/>
        <v>32</v>
      </c>
      <c r="AA13" s="614" t="s">
        <v>288</v>
      </c>
      <c r="AB13" s="615">
        <f t="shared" si="7"/>
        <v>39</v>
      </c>
      <c r="AC13" s="616">
        <f t="shared" si="8"/>
        <v>-7</v>
      </c>
      <c r="AE13" s="731">
        <f t="shared" ref="AE13:AE16" ca="1" si="9">SUM(AF13:AM13)</f>
        <v>171</v>
      </c>
      <c r="AF13" s="732">
        <f ca="1">IFERROR(INDEX(Reit!I$8:I$115,MATCH(AG13,Reit!F$8:F$115,0)),"")</f>
        <v>87</v>
      </c>
      <c r="AG13" s="733" t="str">
        <f t="shared" si="1"/>
        <v>Vladimir Ogneštšikov</v>
      </c>
      <c r="AH13" s="732">
        <f ca="1">IFERROR(INDEX(Reit!I$8:I$115,MATCH(AI13,Reit!F$8:F$115,0)),"")</f>
        <v>84</v>
      </c>
      <c r="AI13" s="733" t="str">
        <f t="shared" si="2"/>
        <v>Tõnu Kapper</v>
      </c>
      <c r="AJ13" s="732" t="str">
        <f>IFERROR(INDEX(Reit!I$8:I$115,MATCH(AK13,Reit!F$8:F$115,0)),"")</f>
        <v/>
      </c>
      <c r="AK13" s="733" t="str">
        <f t="shared" si="3"/>
        <v/>
      </c>
      <c r="AL13" s="732" t="str">
        <f>IFERROR(INDEX(Reit!I$8:I$115,MATCH(AM13,Reit!F$8:F$115,0)),"")</f>
        <v/>
      </c>
      <c r="AM13" s="733" t="str">
        <f t="shared" si="4"/>
        <v/>
      </c>
      <c r="AN13" s="573"/>
    </row>
    <row r="14" spans="1:40" x14ac:dyDescent="0.2">
      <c r="A14" s="634">
        <v>7</v>
      </c>
      <c r="B14" s="638" t="s">
        <v>647</v>
      </c>
      <c r="C14" s="613">
        <v>6</v>
      </c>
      <c r="D14" s="614" t="s">
        <v>288</v>
      </c>
      <c r="E14" s="614">
        <v>13</v>
      </c>
      <c r="F14" s="636" t="s">
        <v>524</v>
      </c>
      <c r="G14" s="613">
        <v>13</v>
      </c>
      <c r="H14" s="614" t="s">
        <v>288</v>
      </c>
      <c r="I14" s="614">
        <v>8</v>
      </c>
      <c r="J14" s="636" t="s">
        <v>649</v>
      </c>
      <c r="K14" s="613">
        <v>11</v>
      </c>
      <c r="L14" s="614" t="s">
        <v>288</v>
      </c>
      <c r="M14" s="614">
        <v>13</v>
      </c>
      <c r="N14" s="636" t="s">
        <v>477</v>
      </c>
      <c r="O14" s="613">
        <v>13</v>
      </c>
      <c r="P14" s="614" t="s">
        <v>288</v>
      </c>
      <c r="Q14" s="614">
        <v>9</v>
      </c>
      <c r="R14" s="636" t="s">
        <v>366</v>
      </c>
      <c r="S14" s="613"/>
      <c r="T14" s="614" t="s">
        <v>288</v>
      </c>
      <c r="U14" s="614"/>
      <c r="V14" s="636"/>
      <c r="W14" s="637">
        <f t="shared" si="5"/>
        <v>2</v>
      </c>
      <c r="X14" s="612">
        <v>20</v>
      </c>
      <c r="Y14" s="612">
        <v>64</v>
      </c>
      <c r="Z14" s="613">
        <f t="shared" si="6"/>
        <v>43</v>
      </c>
      <c r="AA14" s="614" t="s">
        <v>288</v>
      </c>
      <c r="AB14" s="615">
        <f t="shared" si="7"/>
        <v>43</v>
      </c>
      <c r="AC14" s="616">
        <f t="shared" si="8"/>
        <v>0</v>
      </c>
      <c r="AE14" s="731">
        <f t="shared" ca="1" si="9"/>
        <v>56</v>
      </c>
      <c r="AF14" s="732">
        <f ca="1">IFERROR(INDEX(Reit!I$8:I$115,MATCH(AG14,Reit!F$8:F$115,0)),"")</f>
        <v>20</v>
      </c>
      <c r="AG14" s="733" t="str">
        <f t="shared" si="1"/>
        <v>Johannes Neiland</v>
      </c>
      <c r="AH14" s="732">
        <f ca="1">IFERROR(INDEX(Reit!I$8:I$115,MATCH(AI14,Reit!F$8:F$115,0)),"")</f>
        <v>36</v>
      </c>
      <c r="AI14" s="733" t="str">
        <f t="shared" si="2"/>
        <v>Oliver Ojasalu</v>
      </c>
      <c r="AJ14" s="732" t="str">
        <f>IFERROR(INDEX(Reit!I$8:I$115,MATCH(AK14,Reit!F$8:F$115,0)),"")</f>
        <v/>
      </c>
      <c r="AK14" s="733" t="str">
        <f t="shared" si="3"/>
        <v/>
      </c>
      <c r="AL14" s="732" t="str">
        <f>IFERROR(INDEX(Reit!I$8:I$115,MATCH(AM14,Reit!F$8:F$115,0)),"")</f>
        <v/>
      </c>
      <c r="AM14" s="733" t="str">
        <f t="shared" si="4"/>
        <v/>
      </c>
      <c r="AN14" s="573"/>
    </row>
    <row r="15" spans="1:40" x14ac:dyDescent="0.2">
      <c r="A15" s="634">
        <v>8</v>
      </c>
      <c r="B15" s="638" t="s">
        <v>567</v>
      </c>
      <c r="C15" s="613">
        <v>13</v>
      </c>
      <c r="D15" s="614" t="s">
        <v>288</v>
      </c>
      <c r="E15" s="614">
        <v>6</v>
      </c>
      <c r="F15" s="636" t="s">
        <v>649</v>
      </c>
      <c r="G15" s="613">
        <v>9</v>
      </c>
      <c r="H15" s="614" t="s">
        <v>288</v>
      </c>
      <c r="I15" s="614">
        <v>13</v>
      </c>
      <c r="J15" s="636" t="s">
        <v>292</v>
      </c>
      <c r="K15" s="613">
        <v>13</v>
      </c>
      <c r="L15" s="614" t="s">
        <v>288</v>
      </c>
      <c r="M15" s="614">
        <v>10</v>
      </c>
      <c r="N15" s="636" t="s">
        <v>651</v>
      </c>
      <c r="O15" s="613">
        <v>7</v>
      </c>
      <c r="P15" s="614" t="s">
        <v>288</v>
      </c>
      <c r="Q15" s="614">
        <v>13</v>
      </c>
      <c r="R15" s="636" t="s">
        <v>477</v>
      </c>
      <c r="S15" s="613"/>
      <c r="T15" s="614" t="s">
        <v>288</v>
      </c>
      <c r="U15" s="614"/>
      <c r="V15" s="636"/>
      <c r="W15" s="637">
        <f t="shared" si="5"/>
        <v>2</v>
      </c>
      <c r="X15" s="612">
        <v>18</v>
      </c>
      <c r="Y15" s="612">
        <v>60</v>
      </c>
      <c r="Z15" s="613">
        <f t="shared" si="6"/>
        <v>42</v>
      </c>
      <c r="AA15" s="614" t="s">
        <v>288</v>
      </c>
      <c r="AB15" s="615">
        <f t="shared" si="7"/>
        <v>42</v>
      </c>
      <c r="AC15" s="616">
        <f t="shared" si="8"/>
        <v>0</v>
      </c>
      <c r="AE15" s="731">
        <f t="shared" ca="1" si="9"/>
        <v>234</v>
      </c>
      <c r="AF15" s="732">
        <f ca="1">IFERROR(INDEX(Reit!I$8:I$115,MATCH(AG15,Reit!F$8:F$115,0)),"")</f>
        <v>133</v>
      </c>
      <c r="AG15" s="733" t="str">
        <f t="shared" si="1"/>
        <v>Andres Veski</v>
      </c>
      <c r="AH15" s="732">
        <f ca="1">IFERROR(INDEX(Reit!I$8:I$115,MATCH(AI15,Reit!F$8:F$115,0)),"")</f>
        <v>101</v>
      </c>
      <c r="AI15" s="733" t="str">
        <f t="shared" si="2"/>
        <v>Svetlana Veski</v>
      </c>
      <c r="AJ15" s="732" t="str">
        <f>IFERROR(INDEX(Reit!I$8:I$115,MATCH(AK15,Reit!F$8:F$115,0)),"")</f>
        <v/>
      </c>
      <c r="AK15" s="733" t="str">
        <f t="shared" si="3"/>
        <v/>
      </c>
      <c r="AL15" s="732" t="str">
        <f>IFERROR(INDEX(Reit!I$8:I$115,MATCH(AM15,Reit!F$8:F$115,0)),"")</f>
        <v/>
      </c>
      <c r="AM15" s="733" t="str">
        <f t="shared" si="4"/>
        <v/>
      </c>
      <c r="AN15" s="573"/>
    </row>
    <row r="16" spans="1:40" x14ac:dyDescent="0.2">
      <c r="A16" s="634">
        <v>9</v>
      </c>
      <c r="B16" s="635" t="s">
        <v>525</v>
      </c>
      <c r="C16" s="613">
        <v>13</v>
      </c>
      <c r="D16" s="614" t="s">
        <v>288</v>
      </c>
      <c r="E16" s="614">
        <v>7</v>
      </c>
      <c r="F16" s="636" t="s">
        <v>291</v>
      </c>
      <c r="G16" s="613">
        <v>13</v>
      </c>
      <c r="H16" s="614" t="s">
        <v>288</v>
      </c>
      <c r="I16" s="614">
        <v>5</v>
      </c>
      <c r="J16" s="636" t="s">
        <v>366</v>
      </c>
      <c r="K16" s="613">
        <v>9</v>
      </c>
      <c r="L16" s="614" t="s">
        <v>288</v>
      </c>
      <c r="M16" s="614">
        <v>13</v>
      </c>
      <c r="N16" s="636" t="s">
        <v>292</v>
      </c>
      <c r="O16" s="613">
        <v>5</v>
      </c>
      <c r="P16" s="614" t="s">
        <v>288</v>
      </c>
      <c r="Q16" s="614">
        <v>13</v>
      </c>
      <c r="R16" s="636" t="s">
        <v>645</v>
      </c>
      <c r="S16" s="613"/>
      <c r="T16" s="614" t="s">
        <v>288</v>
      </c>
      <c r="U16" s="614"/>
      <c r="V16" s="636"/>
      <c r="W16" s="637">
        <f t="shared" si="5"/>
        <v>2</v>
      </c>
      <c r="X16" s="612">
        <v>14</v>
      </c>
      <c r="Y16" s="612">
        <v>48</v>
      </c>
      <c r="Z16" s="613">
        <f t="shared" si="6"/>
        <v>40</v>
      </c>
      <c r="AA16" s="614" t="s">
        <v>288</v>
      </c>
      <c r="AB16" s="615">
        <f t="shared" si="7"/>
        <v>38</v>
      </c>
      <c r="AC16" s="616">
        <f t="shared" si="8"/>
        <v>2</v>
      </c>
      <c r="AE16" s="731">
        <f t="shared" ca="1" si="9"/>
        <v>252</v>
      </c>
      <c r="AF16" s="732">
        <f ca="1">IFERROR(INDEX(Reit!I$8:I$115,MATCH(AG16,Reit!F$8:F$115,0)),"")</f>
        <v>108</v>
      </c>
      <c r="AG16" s="733" t="str">
        <f t="shared" si="1"/>
        <v>Kristel Tihhonjuk</v>
      </c>
      <c r="AH16" s="732">
        <f ca="1">IFERROR(INDEX(Reit!I$8:I$115,MATCH(AI16,Reit!F$8:F$115,0)),"")</f>
        <v>144</v>
      </c>
      <c r="AI16" s="733" t="str">
        <f t="shared" si="2"/>
        <v>Vadim Tihhonjuk</v>
      </c>
      <c r="AJ16" s="732" t="str">
        <f>IFERROR(INDEX(Reit!I$8:I$115,MATCH(AK16,Reit!F$8:F$115,0)),"")</f>
        <v/>
      </c>
      <c r="AK16" s="733" t="str">
        <f t="shared" si="3"/>
        <v/>
      </c>
      <c r="AL16" s="732" t="str">
        <f>IFERROR(INDEX(Reit!I$8:I$115,MATCH(AM16,Reit!F$8:F$115,0)),"")</f>
        <v/>
      </c>
      <c r="AM16" s="733" t="str">
        <f t="shared" si="4"/>
        <v/>
      </c>
      <c r="AN16" s="573"/>
    </row>
    <row r="17" spans="1:40" x14ac:dyDescent="0.2">
      <c r="A17" s="634">
        <v>10</v>
      </c>
      <c r="B17" s="638" t="s">
        <v>649</v>
      </c>
      <c r="C17" s="613">
        <v>6</v>
      </c>
      <c r="D17" s="614" t="s">
        <v>288</v>
      </c>
      <c r="E17" s="614">
        <v>13</v>
      </c>
      <c r="F17" s="636" t="s">
        <v>567</v>
      </c>
      <c r="G17" s="613">
        <v>8</v>
      </c>
      <c r="H17" s="614" t="s">
        <v>288</v>
      </c>
      <c r="I17" s="614">
        <v>13</v>
      </c>
      <c r="J17" s="636" t="s">
        <v>647</v>
      </c>
      <c r="K17" s="613">
        <v>13</v>
      </c>
      <c r="L17" s="614" t="s">
        <v>288</v>
      </c>
      <c r="M17" s="614">
        <v>12</v>
      </c>
      <c r="N17" s="636" t="s">
        <v>294</v>
      </c>
      <c r="O17" s="613">
        <v>13</v>
      </c>
      <c r="P17" s="614" t="s">
        <v>288</v>
      </c>
      <c r="Q17" s="614">
        <v>7</v>
      </c>
      <c r="R17" s="636" t="s">
        <v>536</v>
      </c>
      <c r="S17" s="613"/>
      <c r="T17" s="614" t="s">
        <v>288</v>
      </c>
      <c r="U17" s="614"/>
      <c r="V17" s="636"/>
      <c r="W17" s="637">
        <f t="shared" ref="W17:W22" si="10">IF(C17&gt;E17,J$3,IF(C17&lt;E17,J$5,IF(ISNUMBER(C17),J$4,0)))+IF(G17&gt;I17,J$3,IF(G17&lt;I17,J$5,IF(ISNUMBER(G17),J$4,0)))+IF(K17&gt;M17,J$3,IF(K17&lt;M17,J$5,IF(ISNUMBER(K17),J$4,0)))+IF(O17&gt;Q17,J$3,IF(O17&lt;Q17,J$5,IF(ISNUMBER(O17),J$4,0)))+IF(S17&gt;U17,J$3,IF(S17&lt;U17,J$5,IF(ISNUMBER(S17),J$4,0)))</f>
        <v>2</v>
      </c>
      <c r="X17" s="612">
        <v>12</v>
      </c>
      <c r="Y17" s="612">
        <v>68</v>
      </c>
      <c r="Z17" s="613">
        <f t="shared" ref="Z17:Z22" si="11">C17+G17+K17+O17+S17</f>
        <v>40</v>
      </c>
      <c r="AA17" s="614" t="s">
        <v>288</v>
      </c>
      <c r="AB17" s="615">
        <f t="shared" ref="AB17:AB22" si="12">E17+I17+M17+Q17+U17</f>
        <v>45</v>
      </c>
      <c r="AC17" s="616">
        <f t="shared" ref="AC17:AC22" si="13">Z17-AB17</f>
        <v>-5</v>
      </c>
      <c r="AE17" s="731">
        <f t="shared" ref="AE17:AE22" ca="1" si="14">SUM(AF17:AM17)</f>
        <v>304</v>
      </c>
      <c r="AF17" s="732">
        <f ca="1">IFERROR(INDEX(Reit!I$8:I$115,MATCH(AG17,Reit!F$8:F$115,0)),"")</f>
        <v>136</v>
      </c>
      <c r="AG17" s="733" t="str">
        <f t="shared" ref="AG17:AG22" si="15">IFERROR(LEFT(B17,(FIND(",",B17,1)-1)),"")</f>
        <v>Jaan Saar</v>
      </c>
      <c r="AH17" s="732">
        <f ca="1">IFERROR(INDEX(Reit!I$8:I$115,MATCH(AI17,Reit!F$8:F$115,0)),"")</f>
        <v>168</v>
      </c>
      <c r="AI17" s="733" t="str">
        <f t="shared" ref="AI17:AI22" si="16">IFERROR(MID(B17,FIND(", ",B17)+2,256),"")</f>
        <v>Sirje Maala</v>
      </c>
      <c r="AJ17" s="732" t="str">
        <f>IFERROR(INDEX(Reit!I$8:I$115,MATCH(AK17,Reit!F$8:F$115,0)),"")</f>
        <v/>
      </c>
      <c r="AK17" s="733" t="str">
        <f t="shared" ref="AK17:AK22" si="17">IFERROR(MID(B17,FIND("^",SUBSTITUTE(B17,", ","^",1))+2,FIND("^",SUBSTITUTE(B17,", ","^",2))-FIND("^",SUBSTITUTE(B17,", ","^",1))-2),"")</f>
        <v/>
      </c>
      <c r="AL17" s="732" t="str">
        <f>IFERROR(INDEX(Reit!I$8:I$115,MATCH(AM17,Reit!F$8:F$115,0)),"")</f>
        <v/>
      </c>
      <c r="AM17" s="733" t="str">
        <f t="shared" ref="AM17:AM22" si="18">IFERROR(MID(B17,FIND(", ",B17,FIND(", ",B17,FIND(", ",B17))+1)+2,700),"")</f>
        <v/>
      </c>
      <c r="AN17" s="573"/>
    </row>
    <row r="18" spans="1:40" x14ac:dyDescent="0.2">
      <c r="A18" s="634">
        <v>11</v>
      </c>
      <c r="B18" s="635" t="s">
        <v>650</v>
      </c>
      <c r="C18" s="613">
        <v>10</v>
      </c>
      <c r="D18" s="614" t="s">
        <v>288</v>
      </c>
      <c r="E18" s="614">
        <v>13</v>
      </c>
      <c r="F18" s="636" t="s">
        <v>366</v>
      </c>
      <c r="G18" s="613">
        <v>13</v>
      </c>
      <c r="H18" s="614" t="s">
        <v>288</v>
      </c>
      <c r="I18" s="614">
        <v>1</v>
      </c>
      <c r="J18" s="636" t="s">
        <v>536</v>
      </c>
      <c r="K18" s="613">
        <v>4</v>
      </c>
      <c r="L18" s="614" t="s">
        <v>288</v>
      </c>
      <c r="M18" s="614">
        <v>13</v>
      </c>
      <c r="N18" s="636" t="s">
        <v>645</v>
      </c>
      <c r="O18" s="613">
        <v>13</v>
      </c>
      <c r="P18" s="614" t="s">
        <v>288</v>
      </c>
      <c r="Q18" s="614">
        <v>4</v>
      </c>
      <c r="R18" s="636" t="s">
        <v>651</v>
      </c>
      <c r="S18" s="613"/>
      <c r="T18" s="614" t="s">
        <v>288</v>
      </c>
      <c r="U18" s="614"/>
      <c r="V18" s="636"/>
      <c r="W18" s="637">
        <f t="shared" si="10"/>
        <v>2</v>
      </c>
      <c r="X18" s="612">
        <v>12</v>
      </c>
      <c r="Y18" s="612">
        <v>58</v>
      </c>
      <c r="Z18" s="613">
        <f t="shared" si="11"/>
        <v>40</v>
      </c>
      <c r="AA18" s="614" t="s">
        <v>288</v>
      </c>
      <c r="AB18" s="615">
        <f t="shared" si="12"/>
        <v>31</v>
      </c>
      <c r="AC18" s="616">
        <f t="shared" si="13"/>
        <v>9</v>
      </c>
      <c r="AE18" s="731">
        <f t="shared" ca="1" si="14"/>
        <v>42</v>
      </c>
      <c r="AF18" s="732">
        <f ca="1">IFERROR(INDEX(Reit!I$8:I$115,MATCH(AG18,Reit!F$8:F$115,0)),"")</f>
        <v>30</v>
      </c>
      <c r="AG18" s="733" t="str">
        <f t="shared" si="15"/>
        <v>Aleksander Korikov</v>
      </c>
      <c r="AH18" s="732">
        <f ca="1">IFERROR(INDEX(Reit!I$8:I$115,MATCH(AI18,Reit!F$8:F$115,0)),"")</f>
        <v>12</v>
      </c>
      <c r="AI18" s="733" t="str">
        <f t="shared" si="16"/>
        <v>Jevgeni Korikov</v>
      </c>
      <c r="AJ18" s="732" t="str">
        <f>IFERROR(INDEX(Reit!I$8:I$115,MATCH(AK18,Reit!F$8:F$115,0)),"")</f>
        <v/>
      </c>
      <c r="AK18" s="733" t="str">
        <f t="shared" si="17"/>
        <v/>
      </c>
      <c r="AL18" s="732" t="str">
        <f>IFERROR(INDEX(Reit!I$8:I$115,MATCH(AM18,Reit!F$8:F$115,0)),"")</f>
        <v/>
      </c>
      <c r="AM18" s="733" t="str">
        <f t="shared" si="18"/>
        <v/>
      </c>
      <c r="AN18" s="573"/>
    </row>
    <row r="19" spans="1:40" x14ac:dyDescent="0.2">
      <c r="A19" s="634">
        <v>12</v>
      </c>
      <c r="B19" s="638" t="s">
        <v>366</v>
      </c>
      <c r="C19" s="613">
        <v>13</v>
      </c>
      <c r="D19" s="614" t="s">
        <v>288</v>
      </c>
      <c r="E19" s="614">
        <v>10</v>
      </c>
      <c r="F19" s="636" t="s">
        <v>650</v>
      </c>
      <c r="G19" s="613">
        <v>5</v>
      </c>
      <c r="H19" s="614" t="s">
        <v>288</v>
      </c>
      <c r="I19" s="614">
        <v>13</v>
      </c>
      <c r="J19" s="636" t="s">
        <v>648</v>
      </c>
      <c r="K19" s="613">
        <v>7</v>
      </c>
      <c r="L19" s="614" t="s">
        <v>288</v>
      </c>
      <c r="M19" s="614">
        <v>13</v>
      </c>
      <c r="N19" s="636" t="s">
        <v>646</v>
      </c>
      <c r="O19" s="613">
        <v>9</v>
      </c>
      <c r="P19" s="614" t="s">
        <v>288</v>
      </c>
      <c r="Q19" s="614">
        <v>13</v>
      </c>
      <c r="R19" s="636" t="s">
        <v>647</v>
      </c>
      <c r="S19" s="613"/>
      <c r="T19" s="614" t="s">
        <v>288</v>
      </c>
      <c r="U19" s="614"/>
      <c r="V19" s="636"/>
      <c r="W19" s="637">
        <f t="shared" si="10"/>
        <v>1</v>
      </c>
      <c r="X19" s="612">
        <v>16</v>
      </c>
      <c r="Y19" s="612">
        <v>68</v>
      </c>
      <c r="Z19" s="613">
        <f t="shared" si="11"/>
        <v>34</v>
      </c>
      <c r="AA19" s="614" t="s">
        <v>288</v>
      </c>
      <c r="AB19" s="615">
        <f t="shared" si="12"/>
        <v>49</v>
      </c>
      <c r="AC19" s="616">
        <f t="shared" si="13"/>
        <v>-15</v>
      </c>
      <c r="AE19" s="731">
        <f t="shared" ca="1" si="14"/>
        <v>316</v>
      </c>
      <c r="AF19" s="732">
        <f ca="1">IFERROR(INDEX(Reit!I$8:I$115,MATCH(AG19,Reit!F$8:F$115,0)),"")</f>
        <v>150</v>
      </c>
      <c r="AG19" s="733" t="str">
        <f t="shared" si="15"/>
        <v>Ljudmila Varendi</v>
      </c>
      <c r="AH19" s="732">
        <f ca="1">IFERROR(INDEX(Reit!I$8:I$115,MATCH(AI19,Reit!F$8:F$115,0)),"")</f>
        <v>166</v>
      </c>
      <c r="AI19" s="733" t="str">
        <f t="shared" si="16"/>
        <v>Viktor Švarõgin</v>
      </c>
      <c r="AJ19" s="732" t="str">
        <f>IFERROR(INDEX(Reit!I$8:I$115,MATCH(AK19,Reit!F$8:F$115,0)),"")</f>
        <v/>
      </c>
      <c r="AK19" s="733" t="str">
        <f t="shared" si="17"/>
        <v/>
      </c>
      <c r="AL19" s="732" t="str">
        <f>IFERROR(INDEX(Reit!I$8:I$115,MATCH(AM19,Reit!F$8:F$115,0)),"")</f>
        <v/>
      </c>
      <c r="AM19" s="733" t="str">
        <f t="shared" si="18"/>
        <v/>
      </c>
      <c r="AN19" s="573"/>
    </row>
    <row r="20" spans="1:40" x14ac:dyDescent="0.2">
      <c r="A20" s="634">
        <v>13</v>
      </c>
      <c r="B20" s="635" t="s">
        <v>294</v>
      </c>
      <c r="C20" s="613">
        <v>5</v>
      </c>
      <c r="D20" s="614" t="s">
        <v>288</v>
      </c>
      <c r="E20" s="614">
        <v>13</v>
      </c>
      <c r="F20" s="636" t="s">
        <v>292</v>
      </c>
      <c r="G20" s="613">
        <v>11</v>
      </c>
      <c r="H20" s="614" t="s">
        <v>288</v>
      </c>
      <c r="I20" s="614">
        <v>13</v>
      </c>
      <c r="J20" s="636" t="s">
        <v>645</v>
      </c>
      <c r="K20" s="613">
        <v>12</v>
      </c>
      <c r="L20" s="614" t="s">
        <v>288</v>
      </c>
      <c r="M20" s="614">
        <v>13</v>
      </c>
      <c r="N20" s="636" t="s">
        <v>649</v>
      </c>
      <c r="O20" s="613">
        <v>13</v>
      </c>
      <c r="P20" s="614" t="s">
        <v>288</v>
      </c>
      <c r="Q20" s="614">
        <v>7</v>
      </c>
      <c r="R20" s="636" t="s">
        <v>291</v>
      </c>
      <c r="S20" s="613"/>
      <c r="T20" s="614" t="s">
        <v>288</v>
      </c>
      <c r="U20" s="614"/>
      <c r="V20" s="636"/>
      <c r="W20" s="637">
        <f t="shared" si="10"/>
        <v>1</v>
      </c>
      <c r="X20" s="612">
        <v>16</v>
      </c>
      <c r="Y20" s="612">
        <v>44</v>
      </c>
      <c r="Z20" s="613">
        <f t="shared" si="11"/>
        <v>41</v>
      </c>
      <c r="AA20" s="614" t="s">
        <v>288</v>
      </c>
      <c r="AB20" s="615">
        <f t="shared" si="12"/>
        <v>46</v>
      </c>
      <c r="AC20" s="616">
        <f t="shared" si="13"/>
        <v>-5</v>
      </c>
      <c r="AE20" s="731">
        <f t="shared" ca="1" si="14"/>
        <v>176</v>
      </c>
      <c r="AF20" s="732">
        <f ca="1">IFERROR(INDEX(Reit!I$8:I$115,MATCH(AG20,Reit!F$8:F$115,0)),"")</f>
        <v>110</v>
      </c>
      <c r="AG20" s="733" t="str">
        <f t="shared" si="15"/>
        <v>Henri Mitt</v>
      </c>
      <c r="AH20" s="732">
        <f ca="1">IFERROR(INDEX(Reit!I$8:I$115,MATCH(AI20,Reit!F$8:F$115,0)),"")</f>
        <v>66</v>
      </c>
      <c r="AI20" s="733" t="str">
        <f t="shared" si="16"/>
        <v>Urmas Randlaine</v>
      </c>
      <c r="AJ20" s="732" t="str">
        <f>IFERROR(INDEX(Reit!I$8:I$115,MATCH(AK20,Reit!F$8:F$115,0)),"")</f>
        <v/>
      </c>
      <c r="AK20" s="733" t="str">
        <f t="shared" si="17"/>
        <v/>
      </c>
      <c r="AL20" s="732" t="str">
        <f>IFERROR(INDEX(Reit!I$8:I$115,MATCH(AM20,Reit!F$8:F$115,0)),"")</f>
        <v/>
      </c>
      <c r="AM20" s="733" t="str">
        <f t="shared" si="18"/>
        <v/>
      </c>
      <c r="AN20" s="573"/>
    </row>
    <row r="21" spans="1:40" x14ac:dyDescent="0.2">
      <c r="A21" s="634">
        <v>14</v>
      </c>
      <c r="B21" s="638" t="s">
        <v>651</v>
      </c>
      <c r="C21" s="613">
        <v>5</v>
      </c>
      <c r="D21" s="614" t="s">
        <v>288</v>
      </c>
      <c r="E21" s="614">
        <v>13</v>
      </c>
      <c r="F21" s="636" t="s">
        <v>644</v>
      </c>
      <c r="G21" s="613">
        <v>13</v>
      </c>
      <c r="H21" s="614" t="s">
        <v>288</v>
      </c>
      <c r="I21" s="614">
        <v>7</v>
      </c>
      <c r="J21" s="636" t="s">
        <v>291</v>
      </c>
      <c r="K21" s="613">
        <v>10</v>
      </c>
      <c r="L21" s="614" t="s">
        <v>288</v>
      </c>
      <c r="M21" s="614">
        <v>13</v>
      </c>
      <c r="N21" s="636" t="s">
        <v>567</v>
      </c>
      <c r="O21" s="613">
        <v>4</v>
      </c>
      <c r="P21" s="614" t="s">
        <v>288</v>
      </c>
      <c r="Q21" s="614">
        <v>13</v>
      </c>
      <c r="R21" s="636" t="s">
        <v>650</v>
      </c>
      <c r="S21" s="613"/>
      <c r="T21" s="614" t="s">
        <v>288</v>
      </c>
      <c r="U21" s="614"/>
      <c r="V21" s="636"/>
      <c r="W21" s="637">
        <f t="shared" si="10"/>
        <v>1</v>
      </c>
      <c r="X21" s="612">
        <v>14</v>
      </c>
      <c r="Y21" s="612">
        <v>50</v>
      </c>
      <c r="Z21" s="613">
        <f t="shared" si="11"/>
        <v>32</v>
      </c>
      <c r="AA21" s="614" t="s">
        <v>288</v>
      </c>
      <c r="AB21" s="615">
        <f t="shared" si="12"/>
        <v>46</v>
      </c>
      <c r="AC21" s="616">
        <f t="shared" si="13"/>
        <v>-14</v>
      </c>
      <c r="AE21" s="731">
        <f t="shared" ca="1" si="14"/>
        <v>12</v>
      </c>
      <c r="AF21" s="732">
        <f ca="1">IFERROR(INDEX(Reit!I$8:I$115,MATCH(AG21,Reit!F$8:F$115,0)),"")</f>
        <v>6</v>
      </c>
      <c r="AG21" s="733" t="str">
        <f t="shared" si="15"/>
        <v>Tõnis Anton</v>
      </c>
      <c r="AH21" s="732">
        <f ca="1">IFERROR(INDEX(Reit!I$8:I$115,MATCH(AI21,Reit!F$8:F$115,0)),"")</f>
        <v>6</v>
      </c>
      <c r="AI21" s="733" t="str">
        <f t="shared" si="16"/>
        <v>Vitali Mokrušin</v>
      </c>
      <c r="AJ21" s="732" t="str">
        <f>IFERROR(INDEX(Reit!I$8:I$115,MATCH(AK21,Reit!F$8:F$115,0)),"")</f>
        <v/>
      </c>
      <c r="AK21" s="733" t="str">
        <f t="shared" si="17"/>
        <v/>
      </c>
      <c r="AL21" s="732" t="str">
        <f>IFERROR(INDEX(Reit!I$8:I$115,MATCH(AM21,Reit!F$8:F$115,0)),"")</f>
        <v/>
      </c>
      <c r="AM21" s="733" t="str">
        <f t="shared" si="18"/>
        <v/>
      </c>
      <c r="AN21" s="573"/>
    </row>
    <row r="22" spans="1:40" x14ac:dyDescent="0.2">
      <c r="A22" s="634">
        <v>15</v>
      </c>
      <c r="B22" s="635" t="s">
        <v>536</v>
      </c>
      <c r="C22" s="613">
        <v>5</v>
      </c>
      <c r="D22" s="614" t="s">
        <v>288</v>
      </c>
      <c r="E22" s="614">
        <v>13</v>
      </c>
      <c r="F22" s="636" t="s">
        <v>477</v>
      </c>
      <c r="G22" s="613">
        <v>1</v>
      </c>
      <c r="H22" s="614" t="s">
        <v>288</v>
      </c>
      <c r="I22" s="614">
        <v>13</v>
      </c>
      <c r="J22" s="636" t="s">
        <v>650</v>
      </c>
      <c r="K22" s="613">
        <v>13</v>
      </c>
      <c r="L22" s="614" t="s">
        <v>288</v>
      </c>
      <c r="M22" s="614">
        <v>7</v>
      </c>
      <c r="N22" s="636" t="s">
        <v>291</v>
      </c>
      <c r="O22" s="613">
        <v>7</v>
      </c>
      <c r="P22" s="614" t="s">
        <v>288</v>
      </c>
      <c r="Q22" s="614">
        <v>13</v>
      </c>
      <c r="R22" s="636" t="s">
        <v>649</v>
      </c>
      <c r="S22" s="613"/>
      <c r="T22" s="614" t="s">
        <v>288</v>
      </c>
      <c r="U22" s="614"/>
      <c r="V22" s="636"/>
      <c r="W22" s="637">
        <f t="shared" si="10"/>
        <v>1</v>
      </c>
      <c r="X22" s="612">
        <v>14</v>
      </c>
      <c r="Y22" s="612">
        <v>40</v>
      </c>
      <c r="Z22" s="613">
        <f t="shared" si="11"/>
        <v>26</v>
      </c>
      <c r="AA22" s="614" t="s">
        <v>288</v>
      </c>
      <c r="AB22" s="615">
        <f t="shared" si="12"/>
        <v>46</v>
      </c>
      <c r="AC22" s="616">
        <f t="shared" si="13"/>
        <v>-20</v>
      </c>
      <c r="AE22" s="731">
        <f t="shared" ca="1" si="14"/>
        <v>66</v>
      </c>
      <c r="AF22" s="732">
        <f ca="1">IFERROR(INDEX(Reit!I$8:I$115,MATCH(AG22,Reit!F$8:F$115,0)),"")</f>
        <v>26</v>
      </c>
      <c r="AG22" s="733" t="str">
        <f t="shared" si="15"/>
        <v>Liis Mägi</v>
      </c>
      <c r="AH22" s="732">
        <f ca="1">IFERROR(INDEX(Reit!I$8:I$115,MATCH(AI22,Reit!F$8:F$115,0)),"")</f>
        <v>40</v>
      </c>
      <c r="AI22" s="733" t="str">
        <f t="shared" si="16"/>
        <v>Marko Rooden</v>
      </c>
      <c r="AJ22" s="732" t="str">
        <f>IFERROR(INDEX(Reit!I$8:I$115,MATCH(AK22,Reit!F$8:F$115,0)),"")</f>
        <v/>
      </c>
      <c r="AK22" s="733" t="str">
        <f t="shared" si="17"/>
        <v/>
      </c>
      <c r="AL22" s="732" t="str">
        <f>IFERROR(INDEX(Reit!I$8:I$115,MATCH(AM22,Reit!F$8:F$115,0)),"")</f>
        <v/>
      </c>
      <c r="AM22" s="733" t="str">
        <f t="shared" si="18"/>
        <v/>
      </c>
      <c r="AN22" s="573"/>
    </row>
    <row r="23" spans="1:40"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x14ac:dyDescent="0.2">
      <c r="A24" s="806" t="s">
        <v>674</v>
      </c>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9" spans="1:40" x14ac:dyDescent="0.2">
      <c r="A299" s="573"/>
      <c r="B299" s="573"/>
      <c r="C299" s="584" t="s">
        <v>54</v>
      </c>
    </row>
    <row r="300" spans="1:40" x14ac:dyDescent="0.2">
      <c r="A300" s="627">
        <v>1</v>
      </c>
      <c r="B300" s="628" t="str">
        <f t="shared" ref="B300:B308" si="19">IFERROR(INDEX(B$1:B$85,MATCH(A300,A$1:A$85,0)),"")</f>
        <v>Kaspar Mänd, Matti Vinni</v>
      </c>
      <c r="C300" s="629">
        <v>40</v>
      </c>
    </row>
    <row r="301" spans="1:40" x14ac:dyDescent="0.2">
      <c r="A301" s="627">
        <v>2</v>
      </c>
      <c r="B301" s="628" t="s">
        <v>292</v>
      </c>
      <c r="C301" s="629">
        <v>34</v>
      </c>
    </row>
    <row r="302" spans="1:40" x14ac:dyDescent="0.2">
      <c r="A302" s="627">
        <v>3</v>
      </c>
      <c r="B302" s="628" t="s">
        <v>644</v>
      </c>
      <c r="C302" s="629">
        <v>30</v>
      </c>
    </row>
    <row r="303" spans="1:40" x14ac:dyDescent="0.2">
      <c r="A303" s="627">
        <v>4</v>
      </c>
      <c r="B303" s="628" t="str">
        <f t="shared" si="19"/>
        <v>Kenneth Muusikus, Sander Rose</v>
      </c>
      <c r="C303" s="629">
        <v>26</v>
      </c>
    </row>
    <row r="304" spans="1:40" x14ac:dyDescent="0.2">
      <c r="A304" s="627">
        <v>5</v>
      </c>
      <c r="B304" s="628" t="str">
        <f t="shared" si="19"/>
        <v>Meelis Luud, Urmas Jõeäär</v>
      </c>
      <c r="C304" s="629">
        <v>24</v>
      </c>
    </row>
    <row r="305" spans="1:3" x14ac:dyDescent="0.2">
      <c r="A305" s="627">
        <v>6</v>
      </c>
      <c r="B305" s="628" t="str">
        <f t="shared" si="19"/>
        <v>Vladimir Ogneštšikov, Tõnu Kapper</v>
      </c>
      <c r="C305" s="629">
        <v>22</v>
      </c>
    </row>
    <row r="306" spans="1:3" x14ac:dyDescent="0.2">
      <c r="A306" s="627">
        <v>7</v>
      </c>
      <c r="B306" s="628" t="str">
        <f t="shared" si="19"/>
        <v>Johannes Neiland, Oliver Ojasalu</v>
      </c>
      <c r="C306" s="629">
        <v>20</v>
      </c>
    </row>
    <row r="307" spans="1:3" x14ac:dyDescent="0.2">
      <c r="A307" s="627">
        <v>8</v>
      </c>
      <c r="B307" s="628" t="str">
        <f t="shared" si="19"/>
        <v>Andres Veski, Svetlana Veski</v>
      </c>
      <c r="C307" s="629">
        <v>18</v>
      </c>
    </row>
    <row r="308" spans="1:3" x14ac:dyDescent="0.2">
      <c r="A308" s="627">
        <v>9</v>
      </c>
      <c r="B308" s="628" t="str">
        <f t="shared" si="19"/>
        <v>Kristel Tihhonjuk, Vadim Tihhonjuk</v>
      </c>
      <c r="C308" s="629">
        <v>16</v>
      </c>
    </row>
    <row r="309" spans="1:3" x14ac:dyDescent="0.2">
      <c r="A309" s="627">
        <v>10</v>
      </c>
      <c r="B309" s="628" t="str">
        <f t="shared" ref="B309:B314" si="20">IFERROR(INDEX(B$1:B$85,MATCH(A309,A$1:A$85,0)),"")</f>
        <v>Jaan Saar, Sirje Maala</v>
      </c>
      <c r="C309" s="629">
        <v>14</v>
      </c>
    </row>
    <row r="310" spans="1:3" x14ac:dyDescent="0.2">
      <c r="A310" s="627">
        <v>11</v>
      </c>
      <c r="B310" s="628" t="str">
        <f t="shared" si="20"/>
        <v>Aleksander Korikov, Jevgeni Korikov</v>
      </c>
      <c r="C310" s="629">
        <v>12</v>
      </c>
    </row>
    <row r="311" spans="1:3" x14ac:dyDescent="0.2">
      <c r="A311" s="627">
        <v>12</v>
      </c>
      <c r="B311" s="628" t="str">
        <f t="shared" si="20"/>
        <v>Ljudmila Varendi, Viktor Švarõgin</v>
      </c>
      <c r="C311" s="629">
        <v>10</v>
      </c>
    </row>
    <row r="312" spans="1:3" x14ac:dyDescent="0.2">
      <c r="A312" s="627">
        <v>13</v>
      </c>
      <c r="B312" s="628" t="str">
        <f t="shared" si="20"/>
        <v>Henri Mitt, Urmas Randlaine</v>
      </c>
      <c r="C312" s="629">
        <v>8</v>
      </c>
    </row>
    <row r="313" spans="1:3" x14ac:dyDescent="0.2">
      <c r="A313" s="627">
        <v>14</v>
      </c>
      <c r="B313" s="628" t="str">
        <f t="shared" si="20"/>
        <v>Tõnis Anton, Vitali Mokrušin</v>
      </c>
      <c r="C313" s="629">
        <v>6</v>
      </c>
    </row>
    <row r="314" spans="1:3" x14ac:dyDescent="0.2">
      <c r="A314" s="627">
        <v>15</v>
      </c>
      <c r="B314" s="628" t="str">
        <f t="shared" si="20"/>
        <v>Liis Mägi, Marko Rooden</v>
      </c>
      <c r="C314" s="629">
        <v>4</v>
      </c>
    </row>
  </sheetData>
  <conditionalFormatting sqref="C8:C22">
    <cfRule type="expression" dxfId="822" priority="18">
      <formula>IF($C8&gt;$E8,TRUE)</formula>
    </cfRule>
  </conditionalFormatting>
  <conditionalFormatting sqref="E8:E22">
    <cfRule type="expression" dxfId="821" priority="19">
      <formula>IF($C8&lt;$E8,TRUE)</formula>
    </cfRule>
  </conditionalFormatting>
  <conditionalFormatting sqref="K8:K22">
    <cfRule type="expression" dxfId="820" priority="26">
      <formula>IF($K8&gt;$M8,TRUE)</formula>
    </cfRule>
  </conditionalFormatting>
  <conditionalFormatting sqref="M8:M22">
    <cfRule type="expression" dxfId="819" priority="27">
      <formula>IF($K8&lt;$M8,TRUE)</formula>
    </cfRule>
  </conditionalFormatting>
  <conditionalFormatting sqref="O8:O22">
    <cfRule type="expression" dxfId="818" priority="30">
      <formula>IF($O8&gt;$Q8,TRUE)</formula>
    </cfRule>
  </conditionalFormatting>
  <conditionalFormatting sqref="Q8:Q22">
    <cfRule type="expression" dxfId="817" priority="31">
      <formula>IF($O8&lt;$Q8,TRUE)</formula>
    </cfRule>
  </conditionalFormatting>
  <conditionalFormatting sqref="S8:S22">
    <cfRule type="expression" dxfId="816" priority="34">
      <formula>IF($S8&gt;$U8,TRUE)</formula>
    </cfRule>
  </conditionalFormatting>
  <conditionalFormatting sqref="U8:U22">
    <cfRule type="expression" dxfId="815" priority="35">
      <formula>IF($S8&lt;$U8,TRUE)</formula>
    </cfRule>
  </conditionalFormatting>
  <conditionalFormatting sqref="G8:G22">
    <cfRule type="expression" dxfId="814" priority="22">
      <formula>IF($G8&gt;$I8,TRUE)</formula>
    </cfRule>
  </conditionalFormatting>
  <conditionalFormatting sqref="I8:I22">
    <cfRule type="expression" dxfId="813" priority="23">
      <formula>IF($G8&lt;$I8,TRUE)</formula>
    </cfRule>
  </conditionalFormatting>
  <conditionalFormatting sqref="F8:F22">
    <cfRule type="containsText" dxfId="812" priority="9" operator="containsText" text="vaba voor">
      <formula>NOT(ISERROR(SEARCH("vaba voor",F8)))</formula>
    </cfRule>
  </conditionalFormatting>
  <conditionalFormatting sqref="N8:N22">
    <cfRule type="containsText" dxfId="811" priority="7" operator="containsText" text="vaba voor">
      <formula>NOT(ISERROR(SEARCH("vaba voor",N8)))</formula>
    </cfRule>
  </conditionalFormatting>
  <conditionalFormatting sqref="R8:R22">
    <cfRule type="containsText" dxfId="810" priority="10" operator="containsText" text="vaba voor">
      <formula>NOT(ISERROR(SEARCH("vaba voor",R8)))</formula>
    </cfRule>
  </conditionalFormatting>
  <conditionalFormatting sqref="V8:V22">
    <cfRule type="containsText" dxfId="809" priority="6" operator="containsText" text="vaba voor">
      <formula>NOT(ISERROR(SEARCH("vaba voor",V8)))</formula>
    </cfRule>
  </conditionalFormatting>
  <conditionalFormatting sqref="J8:J22">
    <cfRule type="containsText" dxfId="808" priority="8" operator="containsText" text="vaba voor">
      <formula>NOT(ISERROR(SEARCH("vaba voor",J8)))</formula>
    </cfRule>
  </conditionalFormatting>
  <conditionalFormatting sqref="C8:F22">
    <cfRule type="expression" dxfId="807" priority="14">
      <formula>IF(AND(ISNUMBER($C8),$C8=$E8),TRUE)</formula>
    </cfRule>
    <cfRule type="expression" dxfId="806" priority="16">
      <formula>IF($C8&gt;$E8,TRUE)</formula>
    </cfRule>
    <cfRule type="expression" dxfId="805" priority="17">
      <formula>IF($C8&lt;$E8,TRUE)</formula>
    </cfRule>
  </conditionalFormatting>
  <conditionalFormatting sqref="G8:J22">
    <cfRule type="expression" dxfId="804" priority="15">
      <formula>IF(AND(ISNUMBER($G8),$G8=$I8),TRUE)</formula>
    </cfRule>
    <cfRule type="expression" dxfId="803" priority="20">
      <formula>IF($G8&gt;$I8,TRUE)</formula>
    </cfRule>
    <cfRule type="expression" dxfId="802" priority="21">
      <formula>IF($G8&lt;$I8,TRUE)</formula>
    </cfRule>
  </conditionalFormatting>
  <conditionalFormatting sqref="K8:N22">
    <cfRule type="expression" dxfId="801" priority="13">
      <formula>IF(AND(ISNUMBER($K8),$K8=$M8),TRUE)</formula>
    </cfRule>
    <cfRule type="expression" dxfId="800" priority="24">
      <formula>IF($K8&gt;$M8,TRUE)</formula>
    </cfRule>
    <cfRule type="expression" dxfId="799" priority="25">
      <formula>IF($K8&lt;$M8,TRUE)</formula>
    </cfRule>
  </conditionalFormatting>
  <conditionalFormatting sqref="O8:R22">
    <cfRule type="expression" dxfId="798" priority="12">
      <formula>IF(AND(ISNUMBER($O8),$O8=$Q8),TRUE)</formula>
    </cfRule>
    <cfRule type="expression" dxfId="797" priority="28">
      <formula>IF($O8&gt;$Q8,TRUE)</formula>
    </cfRule>
    <cfRule type="expression" dxfId="796" priority="29">
      <formula>IF($O8&lt;$Q8,TRUE)</formula>
    </cfRule>
  </conditionalFormatting>
  <conditionalFormatting sqref="S8:V22">
    <cfRule type="expression" dxfId="795" priority="11">
      <formula>IF(AND(ISNUMBER($S8),$S8=$U8),TRUE)</formula>
    </cfRule>
    <cfRule type="expression" dxfId="794" priority="32">
      <formula>IF($S8&gt;$U8,TRUE)</formula>
    </cfRule>
    <cfRule type="expression" dxfId="793" priority="33">
      <formula>IF($S8&lt;$U8,TRUE)</formula>
    </cfRule>
  </conditionalFormatting>
  <conditionalFormatting sqref="C8:C22 G8:G22 K8:K22 O8:O22 S8:S22">
    <cfRule type="expression" dxfId="792" priority="4">
      <formula>AND(C8=0,E8=13)</formula>
    </cfRule>
  </conditionalFormatting>
  <conditionalFormatting sqref="E8:E22 I8:I22 M8:M22 Q8:Q22 U8:U22">
    <cfRule type="expression" dxfId="791" priority="5">
      <formula>AND(E8=0,C8=13)</formula>
    </cfRule>
  </conditionalFormatting>
  <conditionalFormatting sqref="A8:A22">
    <cfRule type="duplicateValues" dxfId="790" priority="36"/>
  </conditionalFormatting>
  <conditionalFormatting sqref="A300:A314">
    <cfRule type="duplicateValues" dxfId="789" priority="37"/>
  </conditionalFormatting>
  <conditionalFormatting sqref="B300:B314">
    <cfRule type="expression" dxfId="788" priority="38">
      <formula>A300=3</formula>
    </cfRule>
    <cfRule type="expression" dxfId="787" priority="39">
      <formula>A300=2</formula>
    </cfRule>
    <cfRule type="expression" dxfId="786" priority="40">
      <formula>A300=1</formula>
    </cfRule>
    <cfRule type="containsBlanks" dxfId="785" priority="41">
      <formula>LEN(TRIM(B300))=0</formula>
    </cfRule>
    <cfRule type="duplicateValues" dxfId="784" priority="42"/>
  </conditionalFormatting>
  <conditionalFormatting sqref="AG8:AG22 AK8:AK22 AM8:AM22">
    <cfRule type="expression" dxfId="783" priority="1">
      <formula>AND(AF8="",COUNTIF(AG8,"*,*")=0)</formula>
    </cfRule>
  </conditionalFormatting>
  <conditionalFormatting sqref="AI8:AI22">
    <cfRule type="expression" dxfId="782" priority="2">
      <formula>AND(AH8="",FIND(",",AI8))</formula>
    </cfRule>
    <cfRule type="expression" dxfId="781" priority="3">
      <formula>AND(AH8="",COUNTIF(AI8,"*,*")=0)</formula>
    </cfRule>
  </conditionalFormatting>
  <pageMargins left="0.27559055118110237" right="0.27559055118110237" top="0.78740157480314965" bottom="0.39370078740157483" header="0.59055118110236227" footer="0"/>
  <pageSetup paperSize="9" fitToHeight="0" orientation="landscape" r:id="rId1"/>
  <headerFooter>
    <oddHeader>&amp;R&amp;9Page &amp;P of &amp;N</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11"/>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customWidth="1"/>
    <col min="20" max="20" width="1.140625" style="581" customWidth="1"/>
    <col min="21" max="21" width="2.7109375" style="581" customWidth="1"/>
    <col min="22" max="22" width="9.140625" style="581" customWidth="1"/>
    <col min="23" max="23" width="5.7109375" style="581" customWidth="1"/>
    <col min="24" max="24" width="5.5703125" style="581" customWidth="1"/>
    <col min="25" max="25" width="7" style="58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14.85546875" style="581" hidden="1" customWidth="1"/>
    <col min="36" max="36" width="9.140625" style="581" hidden="1" customWidth="1"/>
    <col min="37" max="37" width="17.28515625" style="581" hidden="1" customWidth="1"/>
    <col min="38" max="38" width="9.140625" style="581" hidden="1" customWidth="1"/>
    <col min="39" max="39" width="15.28515625" style="581" hidden="1" customWidth="1"/>
    <col min="40" max="16384" width="9.140625" style="581"/>
  </cols>
  <sheetData>
    <row r="1" spans="1:40" x14ac:dyDescent="0.2">
      <c r="A1" s="572" t="str">
        <f>UPPER((Kalend!E33)&amp;" - "&amp;(Kalend!C33)&amp;" - "&amp;(Kalend!D33))</f>
        <v>9 - IDA-VIRUMAA MV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"&amp;(Kalend!A33)&amp;" kell "&amp;(Kalend!B33)</f>
        <v>Toimumisaeg: P, 04.09.2022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"&amp;(Kalend!F33)</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"&amp;(Kalend!G33)</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477</v>
      </c>
      <c r="C8" s="613">
        <v>13</v>
      </c>
      <c r="D8" s="614" t="s">
        <v>288</v>
      </c>
      <c r="E8" s="614">
        <v>7</v>
      </c>
      <c r="F8" s="636" t="s">
        <v>567</v>
      </c>
      <c r="G8" s="613">
        <v>12</v>
      </c>
      <c r="H8" s="614" t="s">
        <v>288</v>
      </c>
      <c r="I8" s="614">
        <v>11</v>
      </c>
      <c r="J8" s="636" t="s">
        <v>292</v>
      </c>
      <c r="K8" s="613">
        <v>13</v>
      </c>
      <c r="L8" s="614" t="s">
        <v>288</v>
      </c>
      <c r="M8" s="614">
        <v>11</v>
      </c>
      <c r="N8" s="636" t="s">
        <v>677</v>
      </c>
      <c r="O8" s="613">
        <v>13</v>
      </c>
      <c r="P8" s="614" t="s">
        <v>288</v>
      </c>
      <c r="Q8" s="614">
        <v>6</v>
      </c>
      <c r="R8" s="636" t="s">
        <v>652</v>
      </c>
      <c r="S8" s="613">
        <v>13</v>
      </c>
      <c r="T8" s="614" t="s">
        <v>288</v>
      </c>
      <c r="U8" s="614">
        <v>5</v>
      </c>
      <c r="V8" s="636" t="s">
        <v>678</v>
      </c>
      <c r="W8" s="637">
        <f>IF(C8&gt;E8,J$3,IF(C8&lt;E8,J$5,IF(ISNUMBER(C8),J$4,0)))+IF(G8&gt;I8,J$3,IF(G8&lt;I8,J$5,IF(ISNUMBER(G8),J$4,0)))+IF(K8&gt;M8,J$3,IF(K8&lt;M8,J$5,IF(ISNUMBER(K8),J$4,0)))+IF(O8&gt;Q8,J$3,IF(O8&lt;Q8,J$5,IF(ISNUMBER(O8),J$4,0)))+IF(S8&gt;U8,J$3,IF(S8&lt;U8,J$5,IF(ISNUMBER(S8),J$4,0)))</f>
        <v>5</v>
      </c>
      <c r="X8" s="612">
        <v>26</v>
      </c>
      <c r="Y8" s="612">
        <v>142</v>
      </c>
      <c r="Z8" s="613">
        <f>C8+G8+K8+O8+S8</f>
        <v>64</v>
      </c>
      <c r="AA8" s="614" t="s">
        <v>288</v>
      </c>
      <c r="AB8" s="615">
        <f>E8+I8+M8+Q8+U8</f>
        <v>40</v>
      </c>
      <c r="AC8" s="616">
        <f>Z8-AB8</f>
        <v>24</v>
      </c>
      <c r="AE8" s="731">
        <f t="shared" ref="AE8" ca="1" si="0">SUM(AF8:AM8)</f>
        <v>449</v>
      </c>
      <c r="AF8" s="732">
        <f ca="1">IFERROR(INDEX(Reit!I$8:I$115,MATCH(AG8,Reit!F$8:F$115,0)),"")</f>
        <v>262</v>
      </c>
      <c r="AG8" s="733" t="str">
        <f t="shared" ref="AG8" si="1">IFERROR(LEFT(B8,(FIND(",",B8,1)-1)),"")</f>
        <v>Kenneth Muusikus</v>
      </c>
      <c r="AH8" s="732">
        <f ca="1">IFERROR(INDEX(Reit!I$8:I$115,MATCH(AI8,Reit!F$8:F$115,0)),"")</f>
        <v>187</v>
      </c>
      <c r="AI8" s="733" t="str">
        <f t="shared" ref="AI8" si="2">IFERROR(MID(B8,FIND(", ",B8)+2,256),"")</f>
        <v>Sander Rose</v>
      </c>
      <c r="AJ8" s="732" t="str">
        <f>IFERROR(INDEX(Reit!I$8:I$115,MATCH(AK8,Reit!F$8:F$115,0)),"")</f>
        <v/>
      </c>
      <c r="AK8" s="733" t="str">
        <f t="shared" ref="AK8" si="3">IFERROR(MID(B8,FIND("^",SUBSTITUTE(B8,", ","^",1))+2,FIND("^",SUBSTITUTE(B8,", ","^",2))-FIND("^",SUBSTITUTE(B8,", ","^",1))-2),"")</f>
        <v/>
      </c>
      <c r="AL8" s="732" t="str">
        <f>IFERROR(INDEX(Reit!I$8:I$115,MATCH(AM8,Reit!F$8:F$115,0)),"")</f>
        <v/>
      </c>
      <c r="AM8" s="733" t="str">
        <f t="shared" ref="AM8" si="4">IFERROR(MID(B8,FIND(", ",B8,FIND(", ",B8,FIND(", ",B8))+1)+2,700),"")</f>
        <v/>
      </c>
      <c r="AN8" s="573"/>
    </row>
    <row r="9" spans="1:40" x14ac:dyDescent="0.2">
      <c r="A9" s="634">
        <v>2</v>
      </c>
      <c r="B9" s="635" t="s">
        <v>677</v>
      </c>
      <c r="C9" s="613">
        <v>13</v>
      </c>
      <c r="D9" s="614" t="s">
        <v>288</v>
      </c>
      <c r="E9" s="614">
        <v>9</v>
      </c>
      <c r="F9" s="636" t="s">
        <v>679</v>
      </c>
      <c r="G9" s="613">
        <v>13</v>
      </c>
      <c r="H9" s="614" t="s">
        <v>288</v>
      </c>
      <c r="I9" s="614">
        <v>6</v>
      </c>
      <c r="J9" s="636" t="s">
        <v>678</v>
      </c>
      <c r="K9" s="613">
        <v>11</v>
      </c>
      <c r="L9" s="614" t="s">
        <v>288</v>
      </c>
      <c r="M9" s="614">
        <v>13</v>
      </c>
      <c r="N9" s="636" t="s">
        <v>477</v>
      </c>
      <c r="O9" s="613">
        <v>13</v>
      </c>
      <c r="P9" s="614" t="s">
        <v>288</v>
      </c>
      <c r="Q9" s="614">
        <v>4</v>
      </c>
      <c r="R9" s="636" t="s">
        <v>292</v>
      </c>
      <c r="S9" s="613">
        <v>13</v>
      </c>
      <c r="T9" s="614" t="s">
        <v>288</v>
      </c>
      <c r="U9" s="614">
        <v>10</v>
      </c>
      <c r="V9" s="636" t="s">
        <v>652</v>
      </c>
      <c r="W9" s="637">
        <f t="shared" ref="W9:W16" si="5">IF(C9&gt;E9,J$3,IF(C9&lt;E9,J$5,IF(ISNUMBER(C9),J$4,0)))+IF(G9&gt;I9,J$3,IF(G9&lt;I9,J$5,IF(ISNUMBER(G9),J$4,0)))+IF(K9&gt;M9,J$3,IF(K9&lt;M9,J$5,IF(ISNUMBER(K9),J$4,0)))+IF(O9&gt;Q9,J$3,IF(O9&lt;Q9,J$5,IF(ISNUMBER(O9),J$4,0)))+IF(S9&gt;U9,J$3,IF(S9&lt;U9,J$5,IF(ISNUMBER(S9),J$4,0)))</f>
        <v>4</v>
      </c>
      <c r="X9" s="612">
        <v>28</v>
      </c>
      <c r="Y9" s="612">
        <v>138</v>
      </c>
      <c r="Z9" s="613">
        <f t="shared" ref="Z9:Z16" si="6">C9+G9+K9+O9+S9</f>
        <v>63</v>
      </c>
      <c r="AA9" s="614" t="s">
        <v>288</v>
      </c>
      <c r="AB9" s="615">
        <f t="shared" ref="AB9:AB16" si="7">E9+I9+M9+Q9+U9</f>
        <v>42</v>
      </c>
      <c r="AC9" s="616">
        <f t="shared" ref="AC9:AC16" si="8">Z9-AB9</f>
        <v>21</v>
      </c>
      <c r="AE9" s="731">
        <f t="shared" ref="AE9:AE17" ca="1" si="9">SUM(AF9:AM9)</f>
        <v>435</v>
      </c>
      <c r="AF9" s="732">
        <f ca="1">IFERROR(INDEX(Reit!I$8:I$115,MATCH(AG9,Reit!F$8:F$115,0)),"")</f>
        <v>179</v>
      </c>
      <c r="AG9" s="733" t="str">
        <f t="shared" ref="AG9:AG17" si="10">IFERROR(LEFT(B9,(FIND(",",B9,1)-1)),"")</f>
        <v>Jaan Sepp</v>
      </c>
      <c r="AH9" s="732">
        <f ca="1">IFERROR(INDEX(Reit!I$8:I$115,MATCH(AI9,Reit!F$8:F$115,0)),"")</f>
        <v>256</v>
      </c>
      <c r="AI9" s="733" t="str">
        <f t="shared" ref="AI9:AI17" si="11">IFERROR(MID(B9,FIND(", ",B9)+2,256),"")</f>
        <v>Matti Vinni</v>
      </c>
      <c r="AJ9" s="732" t="str">
        <f>IFERROR(INDEX(Reit!I$8:I$115,MATCH(AK9,Reit!F$8:F$115,0)),"")</f>
        <v/>
      </c>
      <c r="AK9" s="733" t="str">
        <f t="shared" ref="AK9:AK17" si="12">IFERROR(MID(B9,FIND("^",SUBSTITUTE(B9,", ","^",1))+2,FIND("^",SUBSTITUTE(B9,", ","^",2))-FIND("^",SUBSTITUTE(B9,", ","^",1))-2),"")</f>
        <v/>
      </c>
      <c r="AL9" s="732" t="str">
        <f>IFERROR(INDEX(Reit!I$8:I$115,MATCH(AM9,Reit!F$8:F$115,0)),"")</f>
        <v/>
      </c>
      <c r="AM9" s="733" t="str">
        <f t="shared" ref="AM9:AM17" si="13">IFERROR(MID(B9,FIND(", ",B9,FIND(", ",B9,FIND(", ",B9))+1)+2,700),"")</f>
        <v/>
      </c>
      <c r="AN9" s="573"/>
    </row>
    <row r="10" spans="1:40" x14ac:dyDescent="0.2">
      <c r="A10" s="634">
        <v>3</v>
      </c>
      <c r="B10" s="635" t="s">
        <v>366</v>
      </c>
      <c r="C10" s="613">
        <v>13</v>
      </c>
      <c r="D10" s="614" t="s">
        <v>288</v>
      </c>
      <c r="E10" s="614">
        <v>4</v>
      </c>
      <c r="F10" s="636" t="s">
        <v>680</v>
      </c>
      <c r="G10" s="613">
        <v>6</v>
      </c>
      <c r="H10" s="614" t="s">
        <v>288</v>
      </c>
      <c r="I10" s="614">
        <v>13</v>
      </c>
      <c r="J10" s="636" t="s">
        <v>677</v>
      </c>
      <c r="K10" s="613">
        <v>13</v>
      </c>
      <c r="L10" s="614" t="s">
        <v>288</v>
      </c>
      <c r="M10" s="614">
        <v>9</v>
      </c>
      <c r="N10" s="636" t="s">
        <v>525</v>
      </c>
      <c r="O10" s="613">
        <v>13</v>
      </c>
      <c r="P10" s="614" t="s">
        <v>288</v>
      </c>
      <c r="Q10" s="614">
        <v>12</v>
      </c>
      <c r="R10" s="636" t="s">
        <v>679</v>
      </c>
      <c r="S10" s="613">
        <v>5</v>
      </c>
      <c r="T10" s="614" t="s">
        <v>288</v>
      </c>
      <c r="U10" s="614">
        <v>13</v>
      </c>
      <c r="V10" s="636" t="s">
        <v>477</v>
      </c>
      <c r="W10" s="637">
        <f t="shared" si="5"/>
        <v>3</v>
      </c>
      <c r="X10" s="612">
        <v>26</v>
      </c>
      <c r="Y10" s="612">
        <v>120</v>
      </c>
      <c r="Z10" s="613">
        <f t="shared" si="6"/>
        <v>50</v>
      </c>
      <c r="AA10" s="614" t="s">
        <v>288</v>
      </c>
      <c r="AB10" s="615">
        <f t="shared" si="7"/>
        <v>51</v>
      </c>
      <c r="AC10" s="616">
        <f t="shared" si="8"/>
        <v>-1</v>
      </c>
      <c r="AE10" s="731">
        <f t="shared" ca="1" si="9"/>
        <v>316</v>
      </c>
      <c r="AF10" s="732">
        <f ca="1">IFERROR(INDEX(Reit!I$8:I$115,MATCH(AG10,Reit!F$8:F$115,0)),"")</f>
        <v>150</v>
      </c>
      <c r="AG10" s="733" t="str">
        <f t="shared" si="10"/>
        <v>Ljudmila Varendi</v>
      </c>
      <c r="AH10" s="732">
        <f ca="1">IFERROR(INDEX(Reit!I$8:I$115,MATCH(AI10,Reit!F$8:F$115,0)),"")</f>
        <v>166</v>
      </c>
      <c r="AI10" s="733" t="str">
        <f t="shared" si="11"/>
        <v>Viktor Švarõgin</v>
      </c>
      <c r="AJ10" s="732" t="str">
        <f>IFERROR(INDEX(Reit!I$8:I$115,MATCH(AK10,Reit!F$8:F$115,0)),"")</f>
        <v/>
      </c>
      <c r="AK10" s="733" t="str">
        <f t="shared" si="12"/>
        <v/>
      </c>
      <c r="AL10" s="732" t="str">
        <f>IFERROR(INDEX(Reit!I$8:I$115,MATCH(AM10,Reit!F$8:F$115,0)),"")</f>
        <v/>
      </c>
      <c r="AM10" s="733" t="str">
        <f t="shared" si="13"/>
        <v/>
      </c>
      <c r="AN10" s="573"/>
    </row>
    <row r="11" spans="1:40" x14ac:dyDescent="0.2">
      <c r="A11" s="634">
        <v>4</v>
      </c>
      <c r="B11" s="635" t="s">
        <v>682</v>
      </c>
      <c r="C11" s="613">
        <v>11</v>
      </c>
      <c r="D11" s="614" t="s">
        <v>288</v>
      </c>
      <c r="E11" s="614">
        <v>13</v>
      </c>
      <c r="F11" s="636" t="s">
        <v>525</v>
      </c>
      <c r="G11" s="613">
        <v>13</v>
      </c>
      <c r="H11" s="614" t="s">
        <v>288</v>
      </c>
      <c r="I11" s="614">
        <v>3</v>
      </c>
      <c r="J11" s="636" t="s">
        <v>680</v>
      </c>
      <c r="K11" s="613">
        <v>11</v>
      </c>
      <c r="L11" s="614" t="s">
        <v>288</v>
      </c>
      <c r="M11" s="614">
        <v>13</v>
      </c>
      <c r="N11" s="636" t="s">
        <v>652</v>
      </c>
      <c r="O11" s="613">
        <v>13</v>
      </c>
      <c r="P11" s="614" t="s">
        <v>288</v>
      </c>
      <c r="Q11" s="614">
        <v>8</v>
      </c>
      <c r="R11" s="636" t="s">
        <v>567</v>
      </c>
      <c r="S11" s="613">
        <v>13</v>
      </c>
      <c r="T11" s="614" t="s">
        <v>288</v>
      </c>
      <c r="U11" s="614">
        <v>6</v>
      </c>
      <c r="V11" s="636" t="s">
        <v>292</v>
      </c>
      <c r="W11" s="637">
        <f t="shared" si="5"/>
        <v>3</v>
      </c>
      <c r="X11" s="612">
        <v>16</v>
      </c>
      <c r="Y11" s="612">
        <v>132</v>
      </c>
      <c r="Z11" s="613">
        <f t="shared" si="6"/>
        <v>61</v>
      </c>
      <c r="AA11" s="614" t="s">
        <v>288</v>
      </c>
      <c r="AB11" s="615">
        <f t="shared" si="7"/>
        <v>43</v>
      </c>
      <c r="AC11" s="616">
        <f t="shared" si="8"/>
        <v>18</v>
      </c>
      <c r="AE11" s="731">
        <f t="shared" ca="1" si="9"/>
        <v>294</v>
      </c>
      <c r="AF11" s="732">
        <f ca="1">IFERROR(INDEX(Reit!I$8:I$115,MATCH(AG11,Reit!F$8:F$115,0)),"")</f>
        <v>268</v>
      </c>
      <c r="AG11" s="733" t="str">
        <f t="shared" si="10"/>
        <v>Ivar Viljaste</v>
      </c>
      <c r="AH11" s="732">
        <f ca="1">IFERROR(INDEX(Reit!I$8:I$115,MATCH(AI11,Reit!F$8:F$115,0)),"")</f>
        <v>26</v>
      </c>
      <c r="AI11" s="733" t="str">
        <f t="shared" si="11"/>
        <v>Kristo Viljaste</v>
      </c>
      <c r="AJ11" s="732" t="str">
        <f>IFERROR(INDEX(Reit!I$8:I$115,MATCH(AK11,Reit!F$8:F$115,0)),"")</f>
        <v/>
      </c>
      <c r="AK11" s="733" t="str">
        <f t="shared" si="12"/>
        <v/>
      </c>
      <c r="AL11" s="732" t="str">
        <f>IFERROR(INDEX(Reit!I$8:I$115,MATCH(AM11,Reit!F$8:F$115,0)),"")</f>
        <v/>
      </c>
      <c r="AM11" s="733" t="str">
        <f t="shared" si="13"/>
        <v/>
      </c>
      <c r="AN11" s="573"/>
    </row>
    <row r="12" spans="1:40" x14ac:dyDescent="0.2">
      <c r="A12" s="634">
        <v>5</v>
      </c>
      <c r="B12" s="635" t="s">
        <v>652</v>
      </c>
      <c r="C12" s="613">
        <v>6</v>
      </c>
      <c r="D12" s="614" t="s">
        <v>288</v>
      </c>
      <c r="E12" s="614">
        <v>13</v>
      </c>
      <c r="F12" s="636" t="s">
        <v>292</v>
      </c>
      <c r="G12" s="613">
        <v>13</v>
      </c>
      <c r="H12" s="614" t="s">
        <v>288</v>
      </c>
      <c r="I12" s="614">
        <v>10</v>
      </c>
      <c r="J12" s="636" t="s">
        <v>567</v>
      </c>
      <c r="K12" s="613">
        <v>13</v>
      </c>
      <c r="L12" s="614" t="s">
        <v>288</v>
      </c>
      <c r="M12" s="614">
        <v>11</v>
      </c>
      <c r="N12" s="636" t="s">
        <v>681</v>
      </c>
      <c r="O12" s="613">
        <v>6</v>
      </c>
      <c r="P12" s="614" t="s">
        <v>288</v>
      </c>
      <c r="Q12" s="614">
        <v>13</v>
      </c>
      <c r="R12" s="636" t="s">
        <v>477</v>
      </c>
      <c r="S12" s="613">
        <v>10</v>
      </c>
      <c r="T12" s="614" t="s">
        <v>288</v>
      </c>
      <c r="U12" s="614">
        <v>13</v>
      </c>
      <c r="V12" s="636" t="s">
        <v>677</v>
      </c>
      <c r="W12" s="637">
        <f t="shared" si="5"/>
        <v>2</v>
      </c>
      <c r="X12" s="612">
        <v>32</v>
      </c>
      <c r="Y12" s="612">
        <v>126</v>
      </c>
      <c r="Z12" s="613">
        <f t="shared" si="6"/>
        <v>48</v>
      </c>
      <c r="AA12" s="614" t="s">
        <v>288</v>
      </c>
      <c r="AB12" s="615">
        <f t="shared" si="7"/>
        <v>60</v>
      </c>
      <c r="AC12" s="616">
        <f t="shared" si="8"/>
        <v>-12</v>
      </c>
      <c r="AE12" s="731">
        <f t="shared" ca="1" si="9"/>
        <v>251</v>
      </c>
      <c r="AF12" s="732">
        <f ca="1">IFERROR(INDEX(Reit!I$8:I$115,MATCH(AG12,Reit!F$8:F$115,0)),"")</f>
        <v>138</v>
      </c>
      <c r="AG12" s="733" t="str">
        <f t="shared" si="10"/>
        <v>Meelis Luud</v>
      </c>
      <c r="AH12" s="732">
        <f ca="1">IFERROR(INDEX(Reit!I$8:I$115,MATCH(AI12,Reit!F$8:F$115,0)),"")</f>
        <v>113</v>
      </c>
      <c r="AI12" s="733" t="str">
        <f t="shared" si="11"/>
        <v>Urmas Jõeäär</v>
      </c>
      <c r="AJ12" s="732" t="str">
        <f>IFERROR(INDEX(Reit!I$8:I$115,MATCH(AK12,Reit!F$8:F$115,0)),"")</f>
        <v/>
      </c>
      <c r="AK12" s="733" t="str">
        <f t="shared" si="12"/>
        <v/>
      </c>
      <c r="AL12" s="732" t="str">
        <f>IFERROR(INDEX(Reit!I$8:I$115,MATCH(AM12,Reit!F$8:F$115,0)),"")</f>
        <v/>
      </c>
      <c r="AM12" s="733" t="str">
        <f t="shared" si="13"/>
        <v/>
      </c>
      <c r="AN12" s="573"/>
    </row>
    <row r="13" spans="1:40" x14ac:dyDescent="0.2">
      <c r="A13" s="634">
        <v>6</v>
      </c>
      <c r="B13" s="635" t="s">
        <v>292</v>
      </c>
      <c r="C13" s="613">
        <v>13</v>
      </c>
      <c r="D13" s="614" t="s">
        <v>288</v>
      </c>
      <c r="E13" s="614">
        <v>6</v>
      </c>
      <c r="F13" s="636" t="s">
        <v>652</v>
      </c>
      <c r="G13" s="613">
        <v>11</v>
      </c>
      <c r="H13" s="614" t="s">
        <v>288</v>
      </c>
      <c r="I13" s="614">
        <v>12</v>
      </c>
      <c r="J13" s="636" t="s">
        <v>477</v>
      </c>
      <c r="K13" s="613">
        <v>13</v>
      </c>
      <c r="L13" s="614" t="s">
        <v>288</v>
      </c>
      <c r="M13" s="614">
        <v>1</v>
      </c>
      <c r="N13" s="636" t="s">
        <v>679</v>
      </c>
      <c r="O13" s="613">
        <v>4</v>
      </c>
      <c r="P13" s="614" t="s">
        <v>288</v>
      </c>
      <c r="Q13" s="614">
        <v>13</v>
      </c>
      <c r="R13" s="636" t="s">
        <v>677</v>
      </c>
      <c r="S13" s="613">
        <v>6</v>
      </c>
      <c r="T13" s="614" t="s">
        <v>288</v>
      </c>
      <c r="U13" s="614">
        <v>13</v>
      </c>
      <c r="V13" s="636" t="s">
        <v>681</v>
      </c>
      <c r="W13" s="637">
        <f t="shared" si="5"/>
        <v>2</v>
      </c>
      <c r="X13" s="612">
        <v>32</v>
      </c>
      <c r="Y13" s="612">
        <v>124</v>
      </c>
      <c r="Z13" s="613">
        <f t="shared" si="6"/>
        <v>47</v>
      </c>
      <c r="AA13" s="614" t="s">
        <v>288</v>
      </c>
      <c r="AB13" s="615">
        <f t="shared" si="7"/>
        <v>45</v>
      </c>
      <c r="AC13" s="616">
        <f t="shared" si="8"/>
        <v>2</v>
      </c>
      <c r="AE13" s="731">
        <f t="shared" ca="1" si="9"/>
        <v>363</v>
      </c>
      <c r="AF13" s="732">
        <f ca="1">IFERROR(INDEX(Reit!I$8:I$115,MATCH(AG13,Reit!F$8:F$115,0)),"")</f>
        <v>131</v>
      </c>
      <c r="AG13" s="733" t="str">
        <f t="shared" si="10"/>
        <v>Oksana Rõndenkova</v>
      </c>
      <c r="AH13" s="732">
        <f ca="1">IFERROR(INDEX(Reit!I$8:I$115,MATCH(AI13,Reit!F$8:F$115,0)),"")</f>
        <v>232</v>
      </c>
      <c r="AI13" s="733" t="str">
        <f t="shared" si="11"/>
        <v>Oleg Rõndenkov</v>
      </c>
      <c r="AJ13" s="732" t="str">
        <f>IFERROR(INDEX(Reit!I$8:I$115,MATCH(AK13,Reit!F$8:F$115,0)),"")</f>
        <v/>
      </c>
      <c r="AK13" s="733" t="str">
        <f t="shared" si="12"/>
        <v/>
      </c>
      <c r="AL13" s="732" t="str">
        <f>IFERROR(INDEX(Reit!I$8:I$115,MATCH(AM13,Reit!F$8:F$115,0)),"")</f>
        <v/>
      </c>
      <c r="AM13" s="733" t="str">
        <f t="shared" si="13"/>
        <v/>
      </c>
      <c r="AN13" s="573"/>
    </row>
    <row r="14" spans="1:40" x14ac:dyDescent="0.2">
      <c r="A14" s="634">
        <v>7</v>
      </c>
      <c r="B14" s="638" t="s">
        <v>567</v>
      </c>
      <c r="C14" s="613">
        <v>7</v>
      </c>
      <c r="D14" s="614" t="s">
        <v>288</v>
      </c>
      <c r="E14" s="614">
        <v>13</v>
      </c>
      <c r="F14" s="636" t="s">
        <v>477</v>
      </c>
      <c r="G14" s="613">
        <v>10</v>
      </c>
      <c r="H14" s="614" t="s">
        <v>288</v>
      </c>
      <c r="I14" s="614">
        <v>13</v>
      </c>
      <c r="J14" s="636" t="s">
        <v>652</v>
      </c>
      <c r="K14" s="613">
        <v>13</v>
      </c>
      <c r="L14" s="614" t="s">
        <v>288</v>
      </c>
      <c r="M14" s="614">
        <v>11</v>
      </c>
      <c r="N14" s="636" t="s">
        <v>680</v>
      </c>
      <c r="O14" s="613">
        <v>8</v>
      </c>
      <c r="P14" s="614" t="s">
        <v>288</v>
      </c>
      <c r="Q14" s="614">
        <v>13</v>
      </c>
      <c r="R14" s="636" t="s">
        <v>681</v>
      </c>
      <c r="S14" s="613">
        <v>13</v>
      </c>
      <c r="T14" s="614" t="s">
        <v>288</v>
      </c>
      <c r="U14" s="614">
        <v>8</v>
      </c>
      <c r="V14" s="636" t="s">
        <v>525</v>
      </c>
      <c r="W14" s="637">
        <f t="shared" si="5"/>
        <v>2</v>
      </c>
      <c r="X14" s="612">
        <v>24</v>
      </c>
      <c r="Y14" s="612">
        <v>118</v>
      </c>
      <c r="Z14" s="613">
        <f t="shared" si="6"/>
        <v>51</v>
      </c>
      <c r="AA14" s="614" t="s">
        <v>288</v>
      </c>
      <c r="AB14" s="615">
        <f t="shared" si="7"/>
        <v>58</v>
      </c>
      <c r="AC14" s="616">
        <f t="shared" si="8"/>
        <v>-7</v>
      </c>
      <c r="AE14" s="731">
        <f t="shared" ca="1" si="9"/>
        <v>234</v>
      </c>
      <c r="AF14" s="732">
        <f ca="1">IFERROR(INDEX(Reit!I$8:I$115,MATCH(AG14,Reit!F$8:F$115,0)),"")</f>
        <v>133</v>
      </c>
      <c r="AG14" s="733" t="str">
        <f t="shared" si="10"/>
        <v>Andres Veski</v>
      </c>
      <c r="AH14" s="732">
        <f ca="1">IFERROR(INDEX(Reit!I$8:I$115,MATCH(AI14,Reit!F$8:F$115,0)),"")</f>
        <v>101</v>
      </c>
      <c r="AI14" s="733" t="str">
        <f t="shared" si="11"/>
        <v>Svetlana Veski</v>
      </c>
      <c r="AJ14" s="732" t="str">
        <f>IFERROR(INDEX(Reit!I$8:I$115,MATCH(AK14,Reit!F$8:F$115,0)),"")</f>
        <v/>
      </c>
      <c r="AK14" s="733" t="str">
        <f t="shared" si="12"/>
        <v/>
      </c>
      <c r="AL14" s="732" t="str">
        <f>IFERROR(INDEX(Reit!I$8:I$115,MATCH(AM14,Reit!F$8:F$115,0)),"")</f>
        <v/>
      </c>
      <c r="AM14" s="733" t="str">
        <f t="shared" si="13"/>
        <v/>
      </c>
      <c r="AN14" s="573"/>
    </row>
    <row r="15" spans="1:40" x14ac:dyDescent="0.2">
      <c r="A15" s="634">
        <v>8</v>
      </c>
      <c r="B15" s="638" t="s">
        <v>683</v>
      </c>
      <c r="C15" s="613">
        <v>9</v>
      </c>
      <c r="D15" s="614" t="s">
        <v>288</v>
      </c>
      <c r="E15" s="614">
        <v>13</v>
      </c>
      <c r="F15" s="636" t="s">
        <v>677</v>
      </c>
      <c r="G15" s="613">
        <v>13</v>
      </c>
      <c r="H15" s="614" t="s">
        <v>288</v>
      </c>
      <c r="I15" s="614">
        <v>7</v>
      </c>
      <c r="J15" s="636" t="s">
        <v>525</v>
      </c>
      <c r="K15" s="613">
        <v>1</v>
      </c>
      <c r="L15" s="614" t="s">
        <v>288</v>
      </c>
      <c r="M15" s="614">
        <v>13</v>
      </c>
      <c r="N15" s="636" t="s">
        <v>292</v>
      </c>
      <c r="O15" s="613">
        <v>12</v>
      </c>
      <c r="P15" s="614" t="s">
        <v>288</v>
      </c>
      <c r="Q15" s="614">
        <v>13</v>
      </c>
      <c r="R15" s="636" t="s">
        <v>678</v>
      </c>
      <c r="S15" s="613">
        <v>13</v>
      </c>
      <c r="T15" s="614" t="s">
        <v>288</v>
      </c>
      <c r="U15" s="614">
        <v>8</v>
      </c>
      <c r="V15" s="636" t="s">
        <v>680</v>
      </c>
      <c r="W15" s="637">
        <f t="shared" si="5"/>
        <v>2</v>
      </c>
      <c r="X15" s="612">
        <v>22</v>
      </c>
      <c r="Y15" s="612">
        <v>130</v>
      </c>
      <c r="Z15" s="613">
        <f t="shared" si="6"/>
        <v>48</v>
      </c>
      <c r="AA15" s="614" t="s">
        <v>288</v>
      </c>
      <c r="AB15" s="615">
        <f t="shared" si="7"/>
        <v>54</v>
      </c>
      <c r="AC15" s="616">
        <f t="shared" si="8"/>
        <v>-6</v>
      </c>
      <c r="AE15" s="731">
        <f t="shared" ca="1" si="9"/>
        <v>165</v>
      </c>
      <c r="AF15" s="732">
        <f ca="1">IFERROR(INDEX(Reit!I$8:I$115,MATCH(AG15,Reit!F$8:F$115,0)),"")</f>
        <v>139</v>
      </c>
      <c r="AG15" s="733" t="str">
        <f t="shared" si="10"/>
        <v>Enn Tokman</v>
      </c>
      <c r="AH15" s="732">
        <f ca="1">IFERROR(INDEX(Reit!I$8:I$115,MATCH(AI15,Reit!F$8:F$115,0)),"")</f>
        <v>26</v>
      </c>
      <c r="AI15" s="733" t="str">
        <f t="shared" si="11"/>
        <v>Tarmo Bombe</v>
      </c>
      <c r="AJ15" s="732" t="str">
        <f>IFERROR(INDEX(Reit!I$8:I$115,MATCH(AK15,Reit!F$8:F$115,0)),"")</f>
        <v/>
      </c>
      <c r="AK15" s="733" t="str">
        <f t="shared" si="12"/>
        <v/>
      </c>
      <c r="AL15" s="732" t="str">
        <f>IFERROR(INDEX(Reit!I$8:I$115,MATCH(AM15,Reit!F$8:F$115,0)),"")</f>
        <v/>
      </c>
      <c r="AM15" s="733" t="str">
        <f t="shared" si="13"/>
        <v/>
      </c>
      <c r="AN15" s="573"/>
    </row>
    <row r="16" spans="1:40" x14ac:dyDescent="0.2">
      <c r="A16" s="634">
        <v>9</v>
      </c>
      <c r="B16" s="635" t="s">
        <v>525</v>
      </c>
      <c r="C16" s="613">
        <v>13</v>
      </c>
      <c r="D16" s="614" t="s">
        <v>288</v>
      </c>
      <c r="E16" s="614">
        <v>11</v>
      </c>
      <c r="F16" s="636" t="s">
        <v>681</v>
      </c>
      <c r="G16" s="613">
        <v>7</v>
      </c>
      <c r="H16" s="614" t="s">
        <v>288</v>
      </c>
      <c r="I16" s="614">
        <v>13</v>
      </c>
      <c r="J16" s="636" t="s">
        <v>679</v>
      </c>
      <c r="K16" s="613">
        <v>9</v>
      </c>
      <c r="L16" s="614" t="s">
        <v>288</v>
      </c>
      <c r="M16" s="614">
        <v>13</v>
      </c>
      <c r="N16" s="636" t="s">
        <v>678</v>
      </c>
      <c r="O16" s="613">
        <v>8</v>
      </c>
      <c r="P16" s="614" t="s">
        <v>288</v>
      </c>
      <c r="Q16" s="614">
        <v>13</v>
      </c>
      <c r="R16" s="636" t="s">
        <v>680</v>
      </c>
      <c r="S16" s="613">
        <v>8</v>
      </c>
      <c r="T16" s="614" t="s">
        <v>288</v>
      </c>
      <c r="U16" s="614">
        <v>13</v>
      </c>
      <c r="V16" s="636" t="s">
        <v>567</v>
      </c>
      <c r="W16" s="637">
        <f t="shared" si="5"/>
        <v>1</v>
      </c>
      <c r="X16" s="612">
        <v>22</v>
      </c>
      <c r="Y16" s="612">
        <v>110</v>
      </c>
      <c r="Z16" s="613">
        <f t="shared" si="6"/>
        <v>45</v>
      </c>
      <c r="AA16" s="614" t="s">
        <v>288</v>
      </c>
      <c r="AB16" s="615">
        <f t="shared" si="7"/>
        <v>63</v>
      </c>
      <c r="AC16" s="616">
        <f t="shared" si="8"/>
        <v>-18</v>
      </c>
      <c r="AE16" s="731">
        <f t="shared" ca="1" si="9"/>
        <v>252</v>
      </c>
      <c r="AF16" s="732">
        <f ca="1">IFERROR(INDEX(Reit!I$8:I$115,MATCH(AG16,Reit!F$8:F$115,0)),"")</f>
        <v>108</v>
      </c>
      <c r="AG16" s="733" t="str">
        <f t="shared" si="10"/>
        <v>Kristel Tihhonjuk</v>
      </c>
      <c r="AH16" s="732">
        <f ca="1">IFERROR(INDEX(Reit!I$8:I$115,MATCH(AI16,Reit!F$8:F$115,0)),"")</f>
        <v>144</v>
      </c>
      <c r="AI16" s="733" t="str">
        <f t="shared" si="11"/>
        <v>Vadim Tihhonjuk</v>
      </c>
      <c r="AJ16" s="732" t="str">
        <f>IFERROR(INDEX(Reit!I$8:I$115,MATCH(AK16,Reit!F$8:F$115,0)),"")</f>
        <v/>
      </c>
      <c r="AK16" s="733" t="str">
        <f t="shared" si="12"/>
        <v/>
      </c>
      <c r="AL16" s="732" t="str">
        <f>IFERROR(INDEX(Reit!I$8:I$115,MATCH(AM16,Reit!F$8:F$115,0)),"")</f>
        <v/>
      </c>
      <c r="AM16" s="733" t="str">
        <f t="shared" si="13"/>
        <v/>
      </c>
      <c r="AN16" s="573"/>
    </row>
    <row r="17" spans="1:40" x14ac:dyDescent="0.2">
      <c r="A17" s="634">
        <v>10</v>
      </c>
      <c r="B17" s="638" t="s">
        <v>680</v>
      </c>
      <c r="C17" s="613">
        <v>4</v>
      </c>
      <c r="D17" s="614" t="s">
        <v>288</v>
      </c>
      <c r="E17" s="614">
        <v>13</v>
      </c>
      <c r="F17" s="636" t="s">
        <v>678</v>
      </c>
      <c r="G17" s="613">
        <v>3</v>
      </c>
      <c r="H17" s="614" t="s">
        <v>288</v>
      </c>
      <c r="I17" s="614">
        <v>13</v>
      </c>
      <c r="J17" s="636" t="s">
        <v>681</v>
      </c>
      <c r="K17" s="613">
        <v>11</v>
      </c>
      <c r="L17" s="614" t="s">
        <v>288</v>
      </c>
      <c r="M17" s="614">
        <v>13</v>
      </c>
      <c r="N17" s="636" t="s">
        <v>567</v>
      </c>
      <c r="O17" s="613">
        <v>13</v>
      </c>
      <c r="P17" s="614" t="s">
        <v>288</v>
      </c>
      <c r="Q17" s="614">
        <v>8</v>
      </c>
      <c r="R17" s="636" t="s">
        <v>525</v>
      </c>
      <c r="S17" s="613">
        <v>8</v>
      </c>
      <c r="T17" s="614" t="s">
        <v>288</v>
      </c>
      <c r="U17" s="614">
        <v>13</v>
      </c>
      <c r="V17" s="636" t="s">
        <v>679</v>
      </c>
      <c r="W17" s="637">
        <f t="shared" ref="W17" si="14">IF(C17&gt;E17,J$3,IF(C17&lt;E17,J$5,IF(ISNUMBER(C17),J$4,0)))+IF(G17&gt;I17,J$3,IF(G17&lt;I17,J$5,IF(ISNUMBER(G17),J$4,0)))+IF(K17&gt;M17,J$3,IF(K17&lt;M17,J$5,IF(ISNUMBER(K17),J$4,0)))+IF(O17&gt;Q17,J$3,IF(O17&lt;Q17,J$5,IF(ISNUMBER(O17),J$4,0)))+IF(S17&gt;U17,J$3,IF(S17&lt;U17,J$5,IF(ISNUMBER(S17),J$4,0)))</f>
        <v>1</v>
      </c>
      <c r="X17" s="612">
        <v>22</v>
      </c>
      <c r="Y17" s="612">
        <v>110</v>
      </c>
      <c r="Z17" s="613">
        <f t="shared" ref="Z17" si="15">C17+G17+K17+O17+S17</f>
        <v>39</v>
      </c>
      <c r="AA17" s="614" t="s">
        <v>288</v>
      </c>
      <c r="AB17" s="615">
        <f t="shared" ref="AB17" si="16">E17+I17+M17+Q17+U17</f>
        <v>60</v>
      </c>
      <c r="AC17" s="616">
        <f t="shared" ref="AC17" si="17">Z17-AB17</f>
        <v>-21</v>
      </c>
      <c r="AE17" s="731">
        <f t="shared" ca="1" si="9"/>
        <v>208</v>
      </c>
      <c r="AF17" s="732">
        <f ca="1">IFERROR(INDEX(Reit!I$8:I$115,MATCH(AG17,Reit!F$8:F$115,0)),"")</f>
        <v>40</v>
      </c>
      <c r="AG17" s="733" t="str">
        <f t="shared" si="10"/>
        <v>Marko Rooden</v>
      </c>
      <c r="AH17" s="732">
        <f ca="1">IFERROR(INDEX(Reit!I$8:I$115,MATCH(AI17,Reit!F$8:F$115,0)),"")</f>
        <v>168</v>
      </c>
      <c r="AI17" s="733" t="str">
        <f t="shared" si="11"/>
        <v>Sirje Maala</v>
      </c>
      <c r="AJ17" s="732" t="str">
        <f>IFERROR(INDEX(Reit!I$8:I$115,MATCH(AK17,Reit!F$8:F$115,0)),"")</f>
        <v/>
      </c>
      <c r="AK17" s="733" t="str">
        <f t="shared" si="12"/>
        <v/>
      </c>
      <c r="AL17" s="732" t="str">
        <f>IFERROR(INDEX(Reit!I$8:I$115,MATCH(AM17,Reit!F$8:F$115,0)),"")</f>
        <v/>
      </c>
      <c r="AM17" s="733" t="str">
        <f t="shared" si="13"/>
        <v/>
      </c>
      <c r="AN17" s="573"/>
    </row>
    <row r="18" spans="1:40" x14ac:dyDescent="0.2">
      <c r="AN18" s="573"/>
    </row>
    <row r="19" spans="1:40"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hidden="1"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8" si="18">IFERROR(INDEX(B$1:B$85,MATCH(A300,A$1:A$85,0)),"")</f>
        <v>Kenneth Muusikus, Sander Rose</v>
      </c>
      <c r="C300" s="629">
        <v>40</v>
      </c>
    </row>
    <row r="301" spans="1:40" x14ac:dyDescent="0.2">
      <c r="A301" s="627">
        <v>2</v>
      </c>
      <c r="B301" s="628" t="str">
        <f t="shared" si="18"/>
        <v>Jaan Sepp, Matti Vinni</v>
      </c>
      <c r="C301" s="629">
        <v>34</v>
      </c>
    </row>
    <row r="302" spans="1:40" x14ac:dyDescent="0.2">
      <c r="A302" s="627">
        <v>3</v>
      </c>
      <c r="B302" s="628" t="str">
        <f t="shared" si="18"/>
        <v>Ljudmila Varendi, Viktor Švarõgin</v>
      </c>
      <c r="C302" s="629">
        <v>30</v>
      </c>
    </row>
    <row r="303" spans="1:40" x14ac:dyDescent="0.2">
      <c r="A303" s="627">
        <v>4</v>
      </c>
      <c r="B303" s="628" t="str">
        <f t="shared" si="18"/>
        <v>Ivar Viljaste, Kristo Viljaste</v>
      </c>
      <c r="C303" s="629">
        <v>26</v>
      </c>
    </row>
    <row r="304" spans="1:40" x14ac:dyDescent="0.2">
      <c r="A304" s="627">
        <v>5</v>
      </c>
      <c r="B304" s="628" t="str">
        <f t="shared" si="18"/>
        <v>Meelis Luud, Urmas Jõeäär</v>
      </c>
      <c r="C304" s="629">
        <v>24</v>
      </c>
    </row>
    <row r="305" spans="1:3" x14ac:dyDescent="0.2">
      <c r="A305" s="627">
        <v>6</v>
      </c>
      <c r="B305" s="628" t="str">
        <f t="shared" si="18"/>
        <v>Oksana Rõndenkova, Oleg Rõndenkov</v>
      </c>
      <c r="C305" s="629">
        <v>22</v>
      </c>
    </row>
    <row r="306" spans="1:3" x14ac:dyDescent="0.2">
      <c r="A306" s="627">
        <v>7</v>
      </c>
      <c r="B306" s="628" t="str">
        <f t="shared" si="18"/>
        <v>Andres Veski, Svetlana Veski</v>
      </c>
      <c r="C306" s="629">
        <v>20</v>
      </c>
    </row>
    <row r="307" spans="1:3" x14ac:dyDescent="0.2">
      <c r="A307" s="627">
        <v>8</v>
      </c>
      <c r="B307" s="628" t="str">
        <f t="shared" si="18"/>
        <v>Enn Tokman, Tarmo Bombe</v>
      </c>
      <c r="C307" s="629">
        <v>18</v>
      </c>
    </row>
    <row r="308" spans="1:3" x14ac:dyDescent="0.2">
      <c r="A308" s="627">
        <v>9</v>
      </c>
      <c r="B308" s="628" t="str">
        <f t="shared" si="18"/>
        <v>Kristel Tihhonjuk, Vadim Tihhonjuk</v>
      </c>
      <c r="C308" s="629">
        <v>16</v>
      </c>
    </row>
    <row r="309" spans="1:3" x14ac:dyDescent="0.2">
      <c r="A309" s="627">
        <v>10</v>
      </c>
      <c r="B309" s="628" t="str">
        <f t="shared" ref="B309" si="19">IFERROR(INDEX(B$1:B$85,MATCH(A309,A$1:A$85,0)),"")</f>
        <v>Marko Rooden, Sirje Maala</v>
      </c>
      <c r="C309" s="629">
        <v>14</v>
      </c>
    </row>
    <row r="310" spans="1:3" x14ac:dyDescent="0.2">
      <c r="C310" s="734"/>
    </row>
    <row r="311" spans="1:3" x14ac:dyDescent="0.2">
      <c r="C311" s="734"/>
    </row>
  </sheetData>
  <conditionalFormatting sqref="C8:C17">
    <cfRule type="expression" dxfId="780" priority="18">
      <formula>IF($C8&gt;$E8,TRUE)</formula>
    </cfRule>
  </conditionalFormatting>
  <conditionalFormatting sqref="E8:E17">
    <cfRule type="expression" dxfId="779" priority="19">
      <formula>IF($C8&lt;$E8,TRUE)</formula>
    </cfRule>
  </conditionalFormatting>
  <conditionalFormatting sqref="K8:K17">
    <cfRule type="expression" dxfId="778" priority="26">
      <formula>IF($K8&gt;$M8,TRUE)</formula>
    </cfRule>
  </conditionalFormatting>
  <conditionalFormatting sqref="M8:M17">
    <cfRule type="expression" dxfId="777" priority="27">
      <formula>IF($K8&lt;$M8,TRUE)</formula>
    </cfRule>
  </conditionalFormatting>
  <conditionalFormatting sqref="O8:O17">
    <cfRule type="expression" dxfId="776" priority="30">
      <formula>IF($O8&gt;$Q8,TRUE)</formula>
    </cfRule>
  </conditionalFormatting>
  <conditionalFormatting sqref="Q8:Q17">
    <cfRule type="expression" dxfId="775" priority="31">
      <formula>IF($O8&lt;$Q8,TRUE)</formula>
    </cfRule>
  </conditionalFormatting>
  <conditionalFormatting sqref="S8:S17">
    <cfRule type="expression" dxfId="774" priority="34">
      <formula>IF($S8&gt;$U8,TRUE)</formula>
    </cfRule>
  </conditionalFormatting>
  <conditionalFormatting sqref="U8:U17">
    <cfRule type="expression" dxfId="773" priority="35">
      <formula>IF($S8&lt;$U8,TRUE)</formula>
    </cfRule>
  </conditionalFormatting>
  <conditionalFormatting sqref="G8:G17">
    <cfRule type="expression" dxfId="772" priority="22">
      <formula>IF($G8&gt;$I8,TRUE)</formula>
    </cfRule>
  </conditionalFormatting>
  <conditionalFormatting sqref="I8:I17">
    <cfRule type="expression" dxfId="771" priority="23">
      <formula>IF($G8&lt;$I8,TRUE)</formula>
    </cfRule>
  </conditionalFormatting>
  <conditionalFormatting sqref="F8:F17">
    <cfRule type="containsText" dxfId="770" priority="9" operator="containsText" text="vaba voor">
      <formula>NOT(ISERROR(SEARCH("vaba voor",F8)))</formula>
    </cfRule>
  </conditionalFormatting>
  <conditionalFormatting sqref="N8:N17">
    <cfRule type="containsText" dxfId="769" priority="7" operator="containsText" text="vaba voor">
      <formula>NOT(ISERROR(SEARCH("vaba voor",N8)))</formula>
    </cfRule>
  </conditionalFormatting>
  <conditionalFormatting sqref="R8:R17">
    <cfRule type="containsText" dxfId="768" priority="10" operator="containsText" text="vaba voor">
      <formula>NOT(ISERROR(SEARCH("vaba voor",R8)))</formula>
    </cfRule>
  </conditionalFormatting>
  <conditionalFormatting sqref="V8:V17">
    <cfRule type="containsText" dxfId="767" priority="6" operator="containsText" text="vaba voor">
      <formula>NOT(ISERROR(SEARCH("vaba voor",V8)))</formula>
    </cfRule>
  </conditionalFormatting>
  <conditionalFormatting sqref="J8:J17">
    <cfRule type="containsText" dxfId="766" priority="8" operator="containsText" text="vaba voor">
      <formula>NOT(ISERROR(SEARCH("vaba voor",J8)))</formula>
    </cfRule>
  </conditionalFormatting>
  <conditionalFormatting sqref="C8:F17">
    <cfRule type="expression" dxfId="765" priority="14">
      <formula>IF(AND(ISNUMBER($C8),$C8=$E8),TRUE)</formula>
    </cfRule>
    <cfRule type="expression" dxfId="764" priority="16">
      <formula>IF($C8&gt;$E8,TRUE)</formula>
    </cfRule>
    <cfRule type="expression" dxfId="763" priority="17">
      <formula>IF($C8&lt;$E8,TRUE)</formula>
    </cfRule>
  </conditionalFormatting>
  <conditionalFormatting sqref="G8:J17">
    <cfRule type="expression" dxfId="762" priority="15">
      <formula>IF(AND(ISNUMBER($G8),$G8=$I8),TRUE)</formula>
    </cfRule>
    <cfRule type="expression" dxfId="761" priority="20">
      <formula>IF($G8&gt;$I8,TRUE)</formula>
    </cfRule>
    <cfRule type="expression" dxfId="760" priority="21">
      <formula>IF($G8&lt;$I8,TRUE)</formula>
    </cfRule>
  </conditionalFormatting>
  <conditionalFormatting sqref="K8:N17">
    <cfRule type="expression" dxfId="759" priority="13">
      <formula>IF(AND(ISNUMBER($K8),$K8=$M8),TRUE)</formula>
    </cfRule>
    <cfRule type="expression" dxfId="758" priority="24">
      <formula>IF($K8&gt;$M8,TRUE)</formula>
    </cfRule>
    <cfRule type="expression" dxfId="757" priority="25">
      <formula>IF($K8&lt;$M8,TRUE)</formula>
    </cfRule>
  </conditionalFormatting>
  <conditionalFormatting sqref="O8:R17">
    <cfRule type="expression" dxfId="756" priority="12">
      <formula>IF(AND(ISNUMBER($O8),$O8=$Q8),TRUE)</formula>
    </cfRule>
    <cfRule type="expression" dxfId="755" priority="28">
      <formula>IF($O8&gt;$Q8,TRUE)</formula>
    </cfRule>
    <cfRule type="expression" dxfId="754" priority="29">
      <formula>IF($O8&lt;$Q8,TRUE)</formula>
    </cfRule>
  </conditionalFormatting>
  <conditionalFormatting sqref="S8:V17">
    <cfRule type="expression" dxfId="753" priority="11">
      <formula>IF(AND(ISNUMBER($S8),$S8=$U8),TRUE)</formula>
    </cfRule>
    <cfRule type="expression" dxfId="752" priority="32">
      <formula>IF($S8&gt;$U8,TRUE)</formula>
    </cfRule>
    <cfRule type="expression" dxfId="751" priority="33">
      <formula>IF($S8&lt;$U8,TRUE)</formula>
    </cfRule>
  </conditionalFormatting>
  <conditionalFormatting sqref="C8:C17 G8:G17 K8:K17 O8:O17 S8:S17">
    <cfRule type="expression" dxfId="750" priority="4">
      <formula>AND(C8=0,E8=13)</formula>
    </cfRule>
  </conditionalFormatting>
  <conditionalFormatting sqref="E8:E17 I8:I17 M8:M17 Q8:Q17 U8:U17">
    <cfRule type="expression" dxfId="749" priority="5">
      <formula>AND(E8=0,C8=13)</formula>
    </cfRule>
  </conditionalFormatting>
  <conditionalFormatting sqref="A8:A17">
    <cfRule type="duplicateValues" dxfId="748" priority="36"/>
  </conditionalFormatting>
  <conditionalFormatting sqref="A300:A309">
    <cfRule type="duplicateValues" dxfId="747" priority="37"/>
  </conditionalFormatting>
  <conditionalFormatting sqref="B300:B309">
    <cfRule type="expression" dxfId="746" priority="38">
      <formula>A300=3</formula>
    </cfRule>
    <cfRule type="expression" dxfId="745" priority="39">
      <formula>A300=2</formula>
    </cfRule>
    <cfRule type="expression" dxfId="744" priority="40">
      <formula>A300=1</formula>
    </cfRule>
    <cfRule type="containsBlanks" dxfId="743" priority="41">
      <formula>LEN(TRIM(B300))=0</formula>
    </cfRule>
    <cfRule type="duplicateValues" dxfId="742" priority="42"/>
  </conditionalFormatting>
  <conditionalFormatting sqref="AG8:AG17 AK8:AK17 AM8:AM17">
    <cfRule type="expression" dxfId="741" priority="1">
      <formula>AND(AF8="",COUNTIF(AG8,"*,*")=0)</formula>
    </cfRule>
  </conditionalFormatting>
  <conditionalFormatting sqref="AI8:AI17">
    <cfRule type="expression" dxfId="740" priority="2">
      <formula>AND(AH8="",FIND(",",AI8))</formula>
    </cfRule>
    <cfRule type="expression" dxfId="739" priority="3">
      <formula>AND(AH8="",COUNTIF(AI8,"*,*")=0)</formula>
    </cfRule>
  </conditionalFormatting>
  <pageMargins left="0.27559055118110237" right="0.27559055118110237" top="0.78740157480314965" bottom="0.39370078740157483" header="0.59055118110236227" footer="0"/>
  <pageSetup paperSize="9" scale="97" fitToHeight="0" orientation="landscape" r:id="rId1"/>
  <headerFooter>
    <oddHeader>&amp;R&amp;9Page &amp;P of &amp;N</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46.8554687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customWidth="1"/>
    <col min="25" max="25" width="7" style="58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4" style="581" hidden="1" customWidth="1"/>
    <col min="34" max="34" width="9.140625" style="581" hidden="1" customWidth="1"/>
    <col min="35" max="35" width="33.28515625" style="581" hidden="1" customWidth="1"/>
    <col min="36" max="36" width="9.140625" style="581" hidden="1" customWidth="1"/>
    <col min="37" max="37" width="17.28515625" style="581" hidden="1" customWidth="1"/>
    <col min="38" max="38" width="9.140625" style="581" hidden="1" customWidth="1"/>
    <col min="39" max="39" width="15.28515625" style="581" hidden="1" customWidth="1"/>
    <col min="40" max="16384" width="9.140625" style="581"/>
  </cols>
  <sheetData>
    <row r="1" spans="1:40" x14ac:dyDescent="0.2">
      <c r="A1" s="572" t="str">
        <f>UPPER((Kalend!E35)&amp;" - "&amp;(Kalend!C35)&amp;" - "&amp;(Kalend!D35))</f>
        <v>10 - IDA-VIRUMAA MV - TRIO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"&amp;(Kalend!A35)&amp;" kell "&amp;(Kalend!B35)</f>
        <v>Toimumisaeg: P, 18.09.2022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C2" s="573"/>
      <c r="AE2" s="573"/>
      <c r="AF2" s="573"/>
      <c r="AG2" s="573"/>
      <c r="AH2" s="573"/>
      <c r="AI2" s="573"/>
      <c r="AJ2" s="573"/>
      <c r="AK2" s="573"/>
      <c r="AL2" s="573"/>
      <c r="AM2" s="573"/>
      <c r="AN2" s="573"/>
    </row>
    <row r="3" spans="1:40" x14ac:dyDescent="0.2">
      <c r="A3" s="583" t="str">
        <f>"Toimumiskoht: "&amp;(Kalend!F35)</f>
        <v>Toimumiskoht: K-Järve spordihoone</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"&amp;(Kalend!G35)</f>
        <v>Korraldaja: Ivar Viljaste</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hidden="1"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hidden="1"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hidden="1" x14ac:dyDescent="0.2">
      <c r="A8" s="634">
        <v>1</v>
      </c>
      <c r="B8" s="635" t="s">
        <v>685</v>
      </c>
      <c r="C8" s="613"/>
      <c r="D8" s="614" t="s">
        <v>288</v>
      </c>
      <c r="E8" s="614"/>
      <c r="F8" s="636"/>
      <c r="G8" s="613"/>
      <c r="H8" s="614" t="s">
        <v>288</v>
      </c>
      <c r="I8" s="614"/>
      <c r="J8" s="636"/>
      <c r="K8" s="613"/>
      <c r="L8" s="614" t="s">
        <v>288</v>
      </c>
      <c r="M8" s="614"/>
      <c r="N8" s="636"/>
      <c r="O8" s="613"/>
      <c r="P8" s="614" t="s">
        <v>288</v>
      </c>
      <c r="Q8" s="614"/>
      <c r="R8" s="636"/>
      <c r="S8" s="613"/>
      <c r="T8" s="614" t="s">
        <v>288</v>
      </c>
      <c r="U8" s="614"/>
      <c r="V8" s="636"/>
      <c r="W8" s="637">
        <f>IF(C8&gt;E8,J$3,IF(C8&lt;E8,J$5,IF(ISNUMBER(C8),J$4,0)))+IF(G8&gt;I8,J$3,IF(G8&lt;I8,J$5,IF(ISNUMBER(G8),J$4,0)))+IF(K8&gt;M8,J$3,IF(K8&lt;M8,J$5,IF(ISNUMBER(K8),J$4,0)))+IF(O8&gt;Q8,J$3,IF(O8&lt;Q8,J$5,IF(ISNUMBER(O8),J$4,0)))+IF(S8&gt;U8,J$3,IF(S8&lt;U8,J$5,IF(ISNUMBER(S8),J$4,0)))</f>
        <v>0</v>
      </c>
      <c r="X8" s="612"/>
      <c r="Y8" s="612"/>
      <c r="Z8" s="613">
        <f>C8+G8+K8+O8+S8</f>
        <v>0</v>
      </c>
      <c r="AA8" s="614" t="s">
        <v>288</v>
      </c>
      <c r="AB8" s="615">
        <f>E8+I8+M8+Q8+U8</f>
        <v>0</v>
      </c>
      <c r="AC8" s="616">
        <f>Z8-AB8</f>
        <v>0</v>
      </c>
      <c r="AD8" s="617"/>
      <c r="AE8" s="731">
        <f t="shared" ref="AE8" ca="1" si="0">SUM(AF8:AM8)</f>
        <v>473</v>
      </c>
      <c r="AF8" s="732">
        <f ca="1">IFERROR(INDEX(Reit!I$7:I$134,MATCH(AG8,Reit!F$7:F$134,0)),"")</f>
        <v>110</v>
      </c>
      <c r="AG8" s="733" t="str">
        <f t="shared" ref="AG8:AG14" si="1">IFERROR(LEFT(B8,(FIND(",",B8,1)-1)),"")</f>
        <v>Henri Mitt</v>
      </c>
      <c r="AH8" s="732" t="str">
        <f>IFERROR(INDEX(Reit!I$7:RI$134,MATCH(AI8,Reit!F$7:F$134,0)),"")</f>
        <v/>
      </c>
      <c r="AI8" s="733" t="str">
        <f t="shared" ref="AI8:AI14" si="2">IFERROR(MID(B8,FIND(", ",B8)+2,256),"")</f>
        <v>Oksana Rõndenkova, Oleg Rõndenkov</v>
      </c>
      <c r="AJ8" s="732">
        <f ca="1">IFERROR(INDEX(Reit!I$7:I$134,MATCH(AK8,Reit!F$7:F$134,0)),"")</f>
        <v>131</v>
      </c>
      <c r="AK8" s="733" t="str">
        <f t="shared" ref="AK8:AK14" si="3">IFERROR(MID(B8,FIND("^",SUBSTITUTE(B8,", ","^",1))+2,FIND("^",SUBSTITUTE(B8,", ","^",2))-FIND("^",SUBSTITUTE(B8,", ","^",1))-2),"")</f>
        <v>Oksana Rõndenkova</v>
      </c>
      <c r="AL8" s="732">
        <f ca="1">IFERROR(INDEX(Reit!I$7:I$134,MATCH(AM8,Reit!F$7:F$134,0)),"")</f>
        <v>232</v>
      </c>
      <c r="AM8" s="733" t="str">
        <f t="shared" ref="AM8:AM14" si="4">IFERROR(MID(B8,FIND(", ",B8,FIND(", ",B8,FIND(", ",B8))+1)+2,700),"")</f>
        <v>Oleg Rõndenkov</v>
      </c>
      <c r="AN8" s="573"/>
    </row>
    <row r="9" spans="1:40" hidden="1" x14ac:dyDescent="0.2">
      <c r="A9" s="634">
        <v>2</v>
      </c>
      <c r="B9" s="635" t="s">
        <v>686</v>
      </c>
      <c r="C9" s="613"/>
      <c r="D9" s="614" t="s">
        <v>288</v>
      </c>
      <c r="E9" s="614"/>
      <c r="F9" s="636"/>
      <c r="G9" s="613"/>
      <c r="H9" s="614" t="s">
        <v>288</v>
      </c>
      <c r="I9" s="614"/>
      <c r="J9" s="636"/>
      <c r="K9" s="613"/>
      <c r="L9" s="614" t="s">
        <v>288</v>
      </c>
      <c r="M9" s="614"/>
      <c r="N9" s="636"/>
      <c r="O9" s="613"/>
      <c r="P9" s="614" t="s">
        <v>288</v>
      </c>
      <c r="Q9" s="614"/>
      <c r="R9" s="636"/>
      <c r="S9" s="613"/>
      <c r="T9" s="614" t="s">
        <v>288</v>
      </c>
      <c r="U9" s="614"/>
      <c r="V9" s="636"/>
      <c r="W9" s="637">
        <f t="shared" ref="W9:W14" si="5">IF(C9&gt;E9,J$3,IF(C9&lt;E9,J$5,IF(ISNUMBER(C9),J$4,0)))+IF(G9&gt;I9,J$3,IF(G9&lt;I9,J$5,IF(ISNUMBER(G9),J$4,0)))+IF(K9&gt;M9,J$3,IF(K9&lt;M9,J$5,IF(ISNUMBER(K9),J$4,0)))+IF(O9&gt;Q9,J$3,IF(O9&lt;Q9,J$5,IF(ISNUMBER(O9),J$4,0)))+IF(S9&gt;U9,J$3,IF(S9&lt;U9,J$5,IF(ISNUMBER(S9),J$4,0)))</f>
        <v>0</v>
      </c>
      <c r="X9" s="612"/>
      <c r="Y9" s="612"/>
      <c r="Z9" s="613">
        <f t="shared" ref="Z9:Z14" si="6">C9+G9+K9+O9+S9</f>
        <v>0</v>
      </c>
      <c r="AA9" s="614" t="s">
        <v>288</v>
      </c>
      <c r="AB9" s="615">
        <f t="shared" ref="AB9:AB14" si="7">E9+I9+M9+Q9+U9</f>
        <v>0</v>
      </c>
      <c r="AC9" s="616">
        <f t="shared" ref="AC9:AC14" si="8">Z9-AB9</f>
        <v>0</v>
      </c>
      <c r="AD9" s="617"/>
      <c r="AE9" s="731">
        <f t="shared" ref="AE9:AE14" ca="1" si="9">SUM(AF9:AM9)</f>
        <v>677</v>
      </c>
      <c r="AF9" s="732">
        <f ca="1">IFERROR(INDEX(Reit!I$7:I$134,MATCH(AG9,Reit!F$7:F$134,0)),"")</f>
        <v>228</v>
      </c>
      <c r="AG9" s="733" t="str">
        <f t="shared" si="1"/>
        <v>Kaspar Mänd</v>
      </c>
      <c r="AH9" s="732" t="str">
        <f>IFERROR(INDEX(Reit!I$7:RI$134,MATCH(AI9,Reit!F$7:F$134,0)),"")</f>
        <v/>
      </c>
      <c r="AI9" s="733" t="str">
        <f t="shared" si="2"/>
        <v>Kenneth Muusikus, Sander Rose</v>
      </c>
      <c r="AJ9" s="732">
        <f ca="1">IFERROR(INDEX(Reit!I$7:I$134,MATCH(AK9,Reit!F$7:F$134,0)),"")</f>
        <v>262</v>
      </c>
      <c r="AK9" s="733" t="str">
        <f t="shared" si="3"/>
        <v>Kenneth Muusikus</v>
      </c>
      <c r="AL9" s="732">
        <f ca="1">IFERROR(INDEX(Reit!I$7:I$134,MATCH(AM9,Reit!F$7:F$134,0)),"")</f>
        <v>187</v>
      </c>
      <c r="AM9" s="733" t="str">
        <f t="shared" si="4"/>
        <v>Sander Rose</v>
      </c>
      <c r="AN9" s="573"/>
    </row>
    <row r="10" spans="1:40" hidden="1" x14ac:dyDescent="0.2">
      <c r="A10" s="634">
        <v>3</v>
      </c>
      <c r="B10" s="635" t="s">
        <v>687</v>
      </c>
      <c r="C10" s="613"/>
      <c r="D10" s="614" t="s">
        <v>288</v>
      </c>
      <c r="E10" s="614"/>
      <c r="F10" s="636"/>
      <c r="G10" s="613"/>
      <c r="H10" s="614" t="s">
        <v>288</v>
      </c>
      <c r="I10" s="614"/>
      <c r="J10" s="636"/>
      <c r="K10" s="613"/>
      <c r="L10" s="614" t="s">
        <v>288</v>
      </c>
      <c r="M10" s="614"/>
      <c r="N10" s="636"/>
      <c r="O10" s="613"/>
      <c r="P10" s="614" t="s">
        <v>288</v>
      </c>
      <c r="Q10" s="614"/>
      <c r="R10" s="636"/>
      <c r="S10" s="613"/>
      <c r="T10" s="614" t="s">
        <v>288</v>
      </c>
      <c r="U10" s="614"/>
      <c r="V10" s="636"/>
      <c r="W10" s="637">
        <f t="shared" si="5"/>
        <v>0</v>
      </c>
      <c r="X10" s="612"/>
      <c r="Y10" s="612"/>
      <c r="Z10" s="613">
        <f t="shared" si="6"/>
        <v>0</v>
      </c>
      <c r="AA10" s="614" t="s">
        <v>288</v>
      </c>
      <c r="AB10" s="615">
        <f t="shared" si="7"/>
        <v>0</v>
      </c>
      <c r="AC10" s="616">
        <f t="shared" si="8"/>
        <v>0</v>
      </c>
      <c r="AD10" s="617"/>
      <c r="AE10" s="731">
        <f t="shared" ca="1" si="9"/>
        <v>507</v>
      </c>
      <c r="AF10" s="732">
        <f ca="1">IFERROR(INDEX(Reit!I$7:I$134,MATCH(AG10,Reit!F$7:F$134,0)),"")</f>
        <v>179</v>
      </c>
      <c r="AG10" s="733" t="str">
        <f t="shared" si="1"/>
        <v>Jaan Sepp</v>
      </c>
      <c r="AH10" s="732" t="str">
        <f>IFERROR(INDEX(Reit!I$7:RI$134,MATCH(AI10,Reit!F$7:F$134,0)),"")</f>
        <v/>
      </c>
      <c r="AI10" s="733" t="str">
        <f t="shared" si="2"/>
        <v>Matti Vinni, Oskar Sepp</v>
      </c>
      <c r="AJ10" s="732">
        <f ca="1">IFERROR(INDEX(Reit!I$7:I$134,MATCH(AK10,Reit!F$7:F$134,0)),"")</f>
        <v>256</v>
      </c>
      <c r="AK10" s="733" t="str">
        <f t="shared" si="3"/>
        <v>Matti Vinni</v>
      </c>
      <c r="AL10" s="732">
        <f ca="1">IFERROR(INDEX(Reit!I$7:I$134,MATCH(AM10,Reit!F$7:F$134,0)),"")</f>
        <v>72</v>
      </c>
      <c r="AM10" s="733" t="str">
        <f t="shared" si="4"/>
        <v>Oskar Sepp</v>
      </c>
      <c r="AN10" s="573"/>
    </row>
    <row r="11" spans="1:40" hidden="1" x14ac:dyDescent="0.2">
      <c r="A11" s="634">
        <v>4</v>
      </c>
      <c r="B11" s="635" t="s">
        <v>688</v>
      </c>
      <c r="C11" s="613"/>
      <c r="D11" s="614" t="s">
        <v>288</v>
      </c>
      <c r="E11" s="614"/>
      <c r="F11" s="636"/>
      <c r="G11" s="613"/>
      <c r="H11" s="614" t="s">
        <v>288</v>
      </c>
      <c r="I11" s="614"/>
      <c r="J11" s="636"/>
      <c r="K11" s="613"/>
      <c r="L11" s="614" t="s">
        <v>288</v>
      </c>
      <c r="M11" s="614"/>
      <c r="N11" s="636"/>
      <c r="O11" s="613"/>
      <c r="P11" s="614" t="s">
        <v>288</v>
      </c>
      <c r="Q11" s="614"/>
      <c r="R11" s="636"/>
      <c r="S11" s="613"/>
      <c r="T11" s="614" t="s">
        <v>288</v>
      </c>
      <c r="U11" s="614"/>
      <c r="V11" s="636"/>
      <c r="W11" s="637">
        <f t="shared" si="5"/>
        <v>0</v>
      </c>
      <c r="X11" s="612"/>
      <c r="Y11" s="612"/>
      <c r="Z11" s="613">
        <f t="shared" si="6"/>
        <v>0</v>
      </c>
      <c r="AA11" s="614" t="s">
        <v>288</v>
      </c>
      <c r="AB11" s="615">
        <f t="shared" si="7"/>
        <v>0</v>
      </c>
      <c r="AC11" s="616">
        <f t="shared" si="8"/>
        <v>0</v>
      </c>
      <c r="AD11" s="617"/>
      <c r="AE11" s="731">
        <f t="shared" ca="1" si="9"/>
        <v>596</v>
      </c>
      <c r="AF11" s="732">
        <f ca="1">IFERROR(INDEX(Reit!I$7:I$134,MATCH(AG11,Reit!F$7:F$134,0)),"")</f>
        <v>268</v>
      </c>
      <c r="AG11" s="733" t="str">
        <f t="shared" si="1"/>
        <v>Ivar Viljaste</v>
      </c>
      <c r="AH11" s="732" t="str">
        <f>IFERROR(INDEX(Reit!I$7:RI$134,MATCH(AI11,Reit!F$7:F$134,0)),"")</f>
        <v/>
      </c>
      <c r="AI11" s="733" t="str">
        <f t="shared" si="2"/>
        <v>Olav Türk, Sirje Viljaste</v>
      </c>
      <c r="AJ11" s="732">
        <f ca="1">IFERROR(INDEX(Reit!I$7:I$134,MATCH(AK11,Reit!F$7:F$134,0)),"")</f>
        <v>242</v>
      </c>
      <c r="AK11" s="733" t="str">
        <f t="shared" si="3"/>
        <v>Olav Türk</v>
      </c>
      <c r="AL11" s="732">
        <f ca="1">IFERROR(INDEX(Reit!I$7:I$134,MATCH(AM11,Reit!F$7:F$134,0)),"")</f>
        <v>86</v>
      </c>
      <c r="AM11" s="733" t="str">
        <f t="shared" si="4"/>
        <v>Sirje Viljaste</v>
      </c>
      <c r="AN11" s="573"/>
    </row>
    <row r="12" spans="1:40" hidden="1" x14ac:dyDescent="0.2">
      <c r="A12" s="634">
        <v>5</v>
      </c>
      <c r="B12" s="635" t="s">
        <v>479</v>
      </c>
      <c r="C12" s="613"/>
      <c r="D12" s="614" t="s">
        <v>288</v>
      </c>
      <c r="E12" s="614"/>
      <c r="F12" s="636"/>
      <c r="G12" s="613"/>
      <c r="H12" s="614" t="s">
        <v>288</v>
      </c>
      <c r="I12" s="614"/>
      <c r="J12" s="636"/>
      <c r="K12" s="613"/>
      <c r="L12" s="614" t="s">
        <v>288</v>
      </c>
      <c r="M12" s="614"/>
      <c r="N12" s="636"/>
      <c r="O12" s="613"/>
      <c r="P12" s="614" t="s">
        <v>288</v>
      </c>
      <c r="Q12" s="614"/>
      <c r="R12" s="636"/>
      <c r="S12" s="613"/>
      <c r="T12" s="614" t="s">
        <v>288</v>
      </c>
      <c r="U12" s="614"/>
      <c r="V12" s="636"/>
      <c r="W12" s="637">
        <f t="shared" si="5"/>
        <v>0</v>
      </c>
      <c r="X12" s="612"/>
      <c r="Y12" s="612"/>
      <c r="Z12" s="613">
        <f t="shared" si="6"/>
        <v>0</v>
      </c>
      <c r="AA12" s="614" t="s">
        <v>288</v>
      </c>
      <c r="AB12" s="615">
        <f t="shared" si="7"/>
        <v>0</v>
      </c>
      <c r="AC12" s="616">
        <f t="shared" si="8"/>
        <v>0</v>
      </c>
      <c r="AD12" s="617"/>
      <c r="AE12" s="731">
        <f t="shared" ca="1" si="9"/>
        <v>272</v>
      </c>
      <c r="AF12" s="732">
        <f ca="1">IFERROR(INDEX(Reit!I$7:I$134,MATCH(AG12,Reit!F$7:F$134,0)),"")</f>
        <v>38</v>
      </c>
      <c r="AG12" s="733" t="str">
        <f t="shared" si="1"/>
        <v>Airi Veski</v>
      </c>
      <c r="AH12" s="732" t="str">
        <f>IFERROR(INDEX(Reit!I$7:RI$134,MATCH(AI12,Reit!F$7:F$134,0)),"")</f>
        <v/>
      </c>
      <c r="AI12" s="733" t="str">
        <f t="shared" si="2"/>
        <v>Andres Veski, Svetlana Veski</v>
      </c>
      <c r="AJ12" s="732">
        <f ca="1">IFERROR(INDEX(Reit!I$7:I$134,MATCH(AK12,Reit!F$7:F$134,0)),"")</f>
        <v>133</v>
      </c>
      <c r="AK12" s="733" t="str">
        <f t="shared" si="3"/>
        <v>Andres Veski</v>
      </c>
      <c r="AL12" s="732">
        <f ca="1">IFERROR(INDEX(Reit!I$7:I$134,MATCH(AM12,Reit!F$7:F$134,0)),"")</f>
        <v>101</v>
      </c>
      <c r="AM12" s="733" t="str">
        <f t="shared" si="4"/>
        <v>Svetlana Veski</v>
      </c>
      <c r="AN12" s="573"/>
    </row>
    <row r="13" spans="1:40" hidden="1" x14ac:dyDescent="0.2">
      <c r="A13" s="634">
        <v>6</v>
      </c>
      <c r="B13" s="635" t="s">
        <v>689</v>
      </c>
      <c r="C13" s="613"/>
      <c r="D13" s="614" t="s">
        <v>288</v>
      </c>
      <c r="E13" s="614"/>
      <c r="F13" s="636"/>
      <c r="G13" s="613"/>
      <c r="H13" s="614" t="s">
        <v>288</v>
      </c>
      <c r="I13" s="614"/>
      <c r="J13" s="636"/>
      <c r="K13" s="613"/>
      <c r="L13" s="614" t="s">
        <v>288</v>
      </c>
      <c r="M13" s="614"/>
      <c r="N13" s="636"/>
      <c r="O13" s="613"/>
      <c r="P13" s="614" t="s">
        <v>288</v>
      </c>
      <c r="Q13" s="614"/>
      <c r="R13" s="636"/>
      <c r="S13" s="613"/>
      <c r="T13" s="614" t="s">
        <v>288</v>
      </c>
      <c r="U13" s="614"/>
      <c r="V13" s="636"/>
      <c r="W13" s="637">
        <f t="shared" si="5"/>
        <v>0</v>
      </c>
      <c r="X13" s="612"/>
      <c r="Y13" s="612"/>
      <c r="Z13" s="613">
        <f t="shared" si="6"/>
        <v>0</v>
      </c>
      <c r="AA13" s="614" t="s">
        <v>288</v>
      </c>
      <c r="AB13" s="615">
        <f t="shared" si="7"/>
        <v>0</v>
      </c>
      <c r="AC13" s="616">
        <f t="shared" si="8"/>
        <v>0</v>
      </c>
      <c r="AD13" s="617"/>
      <c r="AE13" s="731">
        <f t="shared" ca="1" si="9"/>
        <v>376</v>
      </c>
      <c r="AF13" s="732">
        <f ca="1">IFERROR(INDEX(Reit!I$7:I$134,MATCH(AG13,Reit!F$7:F$134,0)),"")</f>
        <v>124</v>
      </c>
      <c r="AG13" s="733" t="str">
        <f t="shared" si="1"/>
        <v>Andrei Grintšak</v>
      </c>
      <c r="AH13" s="732" t="str">
        <f>IFERROR(INDEX(Reit!I$7:RI$134,MATCH(AI13,Reit!F$7:F$134,0)),"")</f>
        <v/>
      </c>
      <c r="AI13" s="733" t="str">
        <f t="shared" si="2"/>
        <v>Kristel Tihhonjuk, Vadim Tihhonjuk</v>
      </c>
      <c r="AJ13" s="732">
        <f ca="1">IFERROR(INDEX(Reit!I$7:I$134,MATCH(AK13,Reit!F$7:F$134,0)),"")</f>
        <v>108</v>
      </c>
      <c r="AK13" s="733" t="str">
        <f t="shared" si="3"/>
        <v>Kristel Tihhonjuk</v>
      </c>
      <c r="AL13" s="732">
        <f ca="1">IFERROR(INDEX(Reit!I$7:I$134,MATCH(AM13,Reit!F$7:F$134,0)),"")</f>
        <v>144</v>
      </c>
      <c r="AM13" s="733" t="str">
        <f t="shared" si="4"/>
        <v>Vadim Tihhonjuk</v>
      </c>
      <c r="AN13" s="573"/>
    </row>
    <row r="14" spans="1:40" hidden="1" x14ac:dyDescent="0.2">
      <c r="A14" s="634">
        <v>7</v>
      </c>
      <c r="B14" s="638" t="s">
        <v>690</v>
      </c>
      <c r="C14" s="613"/>
      <c r="D14" s="614" t="s">
        <v>288</v>
      </c>
      <c r="E14" s="614"/>
      <c r="F14" s="636"/>
      <c r="G14" s="613"/>
      <c r="H14" s="614" t="s">
        <v>288</v>
      </c>
      <c r="I14" s="614"/>
      <c r="J14" s="636"/>
      <c r="K14" s="613"/>
      <c r="L14" s="614" t="s">
        <v>288</v>
      </c>
      <c r="M14" s="614"/>
      <c r="N14" s="636"/>
      <c r="O14" s="613"/>
      <c r="P14" s="614" t="s">
        <v>288</v>
      </c>
      <c r="Q14" s="614"/>
      <c r="R14" s="636"/>
      <c r="S14" s="613"/>
      <c r="T14" s="614" t="s">
        <v>288</v>
      </c>
      <c r="U14" s="614"/>
      <c r="V14" s="636"/>
      <c r="W14" s="637">
        <f t="shared" si="5"/>
        <v>0</v>
      </c>
      <c r="X14" s="612"/>
      <c r="Y14" s="612"/>
      <c r="Z14" s="613">
        <f t="shared" si="6"/>
        <v>0</v>
      </c>
      <c r="AA14" s="614" t="s">
        <v>288</v>
      </c>
      <c r="AB14" s="615">
        <f t="shared" si="7"/>
        <v>0</v>
      </c>
      <c r="AC14" s="616">
        <f t="shared" si="8"/>
        <v>0</v>
      </c>
      <c r="AD14" s="617"/>
      <c r="AE14" s="731">
        <f t="shared" ca="1" si="9"/>
        <v>443</v>
      </c>
      <c r="AF14" s="732">
        <f ca="1">IFERROR(INDEX(Reit!I$7:I$134,MATCH(AG14,Reit!F$7:F$134,0)),"")</f>
        <v>139</v>
      </c>
      <c r="AG14" s="733" t="str">
        <f t="shared" si="1"/>
        <v>Enn Tokman</v>
      </c>
      <c r="AH14" s="732" t="str">
        <f>IFERROR(INDEX(Reit!I$7:RI$134,MATCH(AI14,Reit!F$7:F$134,0)),"")</f>
        <v/>
      </c>
      <c r="AI14" s="733" t="str">
        <f t="shared" si="2"/>
        <v>Jaan Saar, Sirje Maala</v>
      </c>
      <c r="AJ14" s="732">
        <f ca="1">IFERROR(INDEX(Reit!I$7:I$134,MATCH(AK14,Reit!F$7:F$134,0)),"")</f>
        <v>136</v>
      </c>
      <c r="AK14" s="733" t="str">
        <f t="shared" si="3"/>
        <v>Jaan Saar</v>
      </c>
      <c r="AL14" s="732">
        <f ca="1">IFERROR(INDEX(Reit!I$7:I$134,MATCH(AM14,Reit!F$7:F$134,0)),"")</f>
        <v>168</v>
      </c>
      <c r="AM14" s="733" t="str">
        <f t="shared" si="4"/>
        <v>Sirje Maala</v>
      </c>
      <c r="AN14" s="573"/>
    </row>
    <row r="15" spans="1:40" hidden="1" x14ac:dyDescent="0.2"/>
    <row r="17" spans="1:40" hidden="1" x14ac:dyDescent="0.2"/>
    <row r="18" spans="1:40" hidden="1" x14ac:dyDescent="0.2"/>
    <row r="19" spans="1:40" hidden="1"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hidden="1"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c r="F299" s="626" t="s">
        <v>68</v>
      </c>
    </row>
    <row r="300" spans="1:40" x14ac:dyDescent="0.2">
      <c r="A300" s="627">
        <v>1</v>
      </c>
      <c r="B300" s="628" t="str">
        <f t="shared" ref="B300:B306" si="10">IFERROR(INDEX(B$1:B$85,MATCH(A300,A$1:A$85,0)),"")</f>
        <v>Henri Mitt, Oksana Rõndenkova, Oleg Rõndenkov</v>
      </c>
      <c r="C300" s="629">
        <v>40</v>
      </c>
      <c r="F300" s="626">
        <v>4</v>
      </c>
    </row>
    <row r="301" spans="1:40" x14ac:dyDescent="0.2">
      <c r="A301" s="627">
        <v>2</v>
      </c>
      <c r="B301" s="628" t="str">
        <f t="shared" si="10"/>
        <v>Kaspar Mänd, Kenneth Muusikus, Sander Rose</v>
      </c>
      <c r="C301" s="629">
        <v>34</v>
      </c>
      <c r="F301" s="626">
        <v>3</v>
      </c>
    </row>
    <row r="302" spans="1:40" x14ac:dyDescent="0.2">
      <c r="A302" s="627">
        <v>3</v>
      </c>
      <c r="B302" s="628" t="str">
        <f t="shared" si="10"/>
        <v>Jaan Sepp, Matti Vinni, Oskar Sepp</v>
      </c>
      <c r="C302" s="629">
        <v>30</v>
      </c>
      <c r="F302" s="626">
        <v>3</v>
      </c>
    </row>
    <row r="303" spans="1:40" x14ac:dyDescent="0.2">
      <c r="A303" s="627">
        <v>4</v>
      </c>
      <c r="B303" s="628" t="str">
        <f t="shared" si="10"/>
        <v>Ivar Viljaste, Olav Türk, Sirje Viljaste</v>
      </c>
      <c r="C303" s="629">
        <v>26</v>
      </c>
      <c r="F303" s="626">
        <v>2</v>
      </c>
    </row>
    <row r="304" spans="1:40" x14ac:dyDescent="0.2">
      <c r="A304" s="627">
        <v>5</v>
      </c>
      <c r="B304" s="628" t="str">
        <f t="shared" si="10"/>
        <v>Airi Veski, Andres Veski, Svetlana Veski</v>
      </c>
      <c r="C304" s="629">
        <v>24</v>
      </c>
      <c r="F304" s="626">
        <v>2</v>
      </c>
    </row>
    <row r="305" spans="1:6" x14ac:dyDescent="0.2">
      <c r="A305" s="627">
        <v>6</v>
      </c>
      <c r="B305" s="628" t="str">
        <f t="shared" si="10"/>
        <v>Andrei Grintšak, Kristel Tihhonjuk, Vadim Tihhonjuk</v>
      </c>
      <c r="C305" s="629">
        <v>22</v>
      </c>
      <c r="F305" s="626">
        <v>1</v>
      </c>
    </row>
    <row r="306" spans="1:6" x14ac:dyDescent="0.2">
      <c r="A306" s="627">
        <v>7</v>
      </c>
      <c r="B306" s="628" t="str">
        <f t="shared" si="10"/>
        <v>Enn Tokman, Jaan Saar, Sirje Maala</v>
      </c>
      <c r="C306" s="629">
        <v>20</v>
      </c>
      <c r="F306" s="626">
        <v>1</v>
      </c>
    </row>
    <row r="312" spans="1:6" x14ac:dyDescent="0.2">
      <c r="C312" s="734"/>
    </row>
    <row r="313" spans="1:6" x14ac:dyDescent="0.2">
      <c r="C313" s="734"/>
    </row>
  </sheetData>
  <conditionalFormatting sqref="C8:C14">
    <cfRule type="expression" dxfId="738" priority="18">
      <formula>IF($C8&gt;$E8,TRUE)</formula>
    </cfRule>
  </conditionalFormatting>
  <conditionalFormatting sqref="E8:E14">
    <cfRule type="expression" dxfId="737" priority="19">
      <formula>IF($C8&lt;$E8,TRUE)</formula>
    </cfRule>
  </conditionalFormatting>
  <conditionalFormatting sqref="K8:K14">
    <cfRule type="expression" dxfId="736" priority="26">
      <formula>IF($K8&gt;$M8,TRUE)</formula>
    </cfRule>
  </conditionalFormatting>
  <conditionalFormatting sqref="M8:M14">
    <cfRule type="expression" dxfId="735" priority="27">
      <formula>IF($K8&lt;$M8,TRUE)</formula>
    </cfRule>
  </conditionalFormatting>
  <conditionalFormatting sqref="O8:O14">
    <cfRule type="expression" dxfId="734" priority="30">
      <formula>IF($O8&gt;$Q8,TRUE)</formula>
    </cfRule>
  </conditionalFormatting>
  <conditionalFormatting sqref="Q8:Q14">
    <cfRule type="expression" dxfId="733" priority="31">
      <formula>IF($O8&lt;$Q8,TRUE)</formula>
    </cfRule>
  </conditionalFormatting>
  <conditionalFormatting sqref="S8:S14">
    <cfRule type="expression" dxfId="732" priority="34">
      <formula>IF($S8&gt;$U8,TRUE)</formula>
    </cfRule>
  </conditionalFormatting>
  <conditionalFormatting sqref="U8:U14">
    <cfRule type="expression" dxfId="731" priority="35">
      <formula>IF($S8&lt;$U8,TRUE)</formula>
    </cfRule>
  </conditionalFormatting>
  <conditionalFormatting sqref="G8:G14">
    <cfRule type="expression" dxfId="730" priority="22">
      <formula>IF($G8&gt;$I8,TRUE)</formula>
    </cfRule>
  </conditionalFormatting>
  <conditionalFormatting sqref="I8:I14">
    <cfRule type="expression" dxfId="729" priority="23">
      <formula>IF($G8&lt;$I8,TRUE)</formula>
    </cfRule>
  </conditionalFormatting>
  <conditionalFormatting sqref="F8:F14">
    <cfRule type="containsText" dxfId="728" priority="9" operator="containsText" text="vaba voor">
      <formula>NOT(ISERROR(SEARCH("vaba voor",F8)))</formula>
    </cfRule>
  </conditionalFormatting>
  <conditionalFormatting sqref="N8:N14">
    <cfRule type="containsText" dxfId="727" priority="7" operator="containsText" text="vaba voor">
      <formula>NOT(ISERROR(SEARCH("vaba voor",N8)))</formula>
    </cfRule>
  </conditionalFormatting>
  <conditionalFormatting sqref="R8:R14">
    <cfRule type="containsText" dxfId="726" priority="10" operator="containsText" text="vaba voor">
      <formula>NOT(ISERROR(SEARCH("vaba voor",R8)))</formula>
    </cfRule>
  </conditionalFormatting>
  <conditionalFormatting sqref="V8:V14">
    <cfRule type="containsText" dxfId="725" priority="6" operator="containsText" text="vaba voor">
      <formula>NOT(ISERROR(SEARCH("vaba voor",V8)))</formula>
    </cfRule>
  </conditionalFormatting>
  <conditionalFormatting sqref="J8:J14">
    <cfRule type="containsText" dxfId="724" priority="8" operator="containsText" text="vaba voor">
      <formula>NOT(ISERROR(SEARCH("vaba voor",J8)))</formula>
    </cfRule>
  </conditionalFormatting>
  <conditionalFormatting sqref="C8:F14">
    <cfRule type="expression" dxfId="723" priority="14">
      <formula>IF(AND(ISNUMBER($C8),$C8=$E8),TRUE)</formula>
    </cfRule>
    <cfRule type="expression" dxfId="722" priority="16">
      <formula>IF($C8&gt;$E8,TRUE)</formula>
    </cfRule>
    <cfRule type="expression" dxfId="721" priority="17">
      <formula>IF($C8&lt;$E8,TRUE)</formula>
    </cfRule>
  </conditionalFormatting>
  <conditionalFormatting sqref="G8:J14">
    <cfRule type="expression" dxfId="720" priority="15">
      <formula>IF(AND(ISNUMBER($G8),$G8=$I8),TRUE)</formula>
    </cfRule>
    <cfRule type="expression" dxfId="719" priority="20">
      <formula>IF($G8&gt;$I8,TRUE)</formula>
    </cfRule>
    <cfRule type="expression" dxfId="718" priority="21">
      <formula>IF($G8&lt;$I8,TRUE)</formula>
    </cfRule>
  </conditionalFormatting>
  <conditionalFormatting sqref="K8:N14">
    <cfRule type="expression" dxfId="717" priority="13">
      <formula>IF(AND(ISNUMBER($K8),$K8=$M8),TRUE)</formula>
    </cfRule>
    <cfRule type="expression" dxfId="716" priority="24">
      <formula>IF($K8&gt;$M8,TRUE)</formula>
    </cfRule>
    <cfRule type="expression" dxfId="715" priority="25">
      <formula>IF($K8&lt;$M8,TRUE)</formula>
    </cfRule>
  </conditionalFormatting>
  <conditionalFormatting sqref="O8:R14">
    <cfRule type="expression" dxfId="714" priority="12">
      <formula>IF(AND(ISNUMBER($O8),$O8=$Q8),TRUE)</formula>
    </cfRule>
    <cfRule type="expression" dxfId="713" priority="28">
      <formula>IF($O8&gt;$Q8,TRUE)</formula>
    </cfRule>
    <cfRule type="expression" dxfId="712" priority="29">
      <formula>IF($O8&lt;$Q8,TRUE)</formula>
    </cfRule>
  </conditionalFormatting>
  <conditionalFormatting sqref="S8:V14">
    <cfRule type="expression" dxfId="711" priority="11">
      <formula>IF(AND(ISNUMBER($S8),$S8=$U8),TRUE)</formula>
    </cfRule>
    <cfRule type="expression" dxfId="710" priority="32">
      <formula>IF($S8&gt;$U8,TRUE)</formula>
    </cfRule>
    <cfRule type="expression" dxfId="709" priority="33">
      <formula>IF($S8&lt;$U8,TRUE)</formula>
    </cfRule>
  </conditionalFormatting>
  <conditionalFormatting sqref="C8:C14 G8:G14 K8:K14 O8:O14 S8:S14">
    <cfRule type="expression" dxfId="708" priority="4">
      <formula>AND(C8=0,E8=13)</formula>
    </cfRule>
  </conditionalFormatting>
  <conditionalFormatting sqref="E8:E14 I8:I14 M8:M14 Q8:Q14 U8:U14">
    <cfRule type="expression" dxfId="707" priority="5">
      <formula>AND(E8=0,C8=13)</formula>
    </cfRule>
  </conditionalFormatting>
  <conditionalFormatting sqref="AG8:AG14 AK8:AK14 AM8:AM14">
    <cfRule type="expression" dxfId="706" priority="1">
      <formula>AND(AF8="",COUNTIF(AG8,"*,*")=0)</formula>
    </cfRule>
  </conditionalFormatting>
  <conditionalFormatting sqref="AI8:AI14">
    <cfRule type="expression" dxfId="705" priority="2">
      <formula>AND(AH8="",FIND(",",AI8))</formula>
    </cfRule>
    <cfRule type="expression" dxfId="704" priority="3">
      <formula>AND(AH8="",COUNTIF(AI8,"*,*")=0)</formula>
    </cfRule>
  </conditionalFormatting>
  <conditionalFormatting sqref="A300:A306">
    <cfRule type="duplicateValues" dxfId="703" priority="36"/>
  </conditionalFormatting>
  <conditionalFormatting sqref="A8:A14">
    <cfRule type="duplicateValues" dxfId="702" priority="37"/>
  </conditionalFormatting>
  <conditionalFormatting sqref="B300:B306">
    <cfRule type="expression" dxfId="701" priority="38">
      <formula>A300=3</formula>
    </cfRule>
    <cfRule type="expression" dxfId="700" priority="39">
      <formula>A300=2</formula>
    </cfRule>
    <cfRule type="expression" dxfId="699" priority="40">
      <formula>A300=1</formula>
    </cfRule>
    <cfRule type="containsBlanks" dxfId="698" priority="41">
      <formula>LEN(TRIM(B300))=0</formula>
    </cfRule>
    <cfRule type="duplicateValues" dxfId="697" priority="42"/>
  </conditionalFormatting>
  <pageMargins left="0.27559055118110237" right="0.27559055118110237" top="0.78740157480314965" bottom="0.39370078740157483" header="0.59055118110236227" footer="0"/>
  <pageSetup paperSize="9" fitToHeight="0" orientation="landscape" r:id="rId1"/>
  <headerFooter>
    <oddHeader>&amp;R&amp;9Page &amp;P of &amp;N</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G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6.5703125" style="581" bestFit="1" customWidth="1"/>
    <col min="3" max="3" width="4.7109375" style="581" customWidth="1"/>
    <col min="4" max="4" width="1.140625" style="581" customWidth="1"/>
    <col min="5" max="5" width="2.7109375" style="581" customWidth="1"/>
    <col min="6" max="6" width="9.140625" style="581" customWidth="1"/>
    <col min="7" max="7" width="2.7109375" style="581" customWidth="1"/>
    <col min="8" max="8" width="1.140625" style="581" customWidth="1"/>
    <col min="9" max="9" width="2.7109375" style="581" customWidth="1"/>
    <col min="10" max="10" width="9.140625" style="581" customWidth="1"/>
    <col min="11" max="11" width="2.7109375" style="581" customWidth="1"/>
    <col min="12" max="12" width="1.140625" style="581" customWidth="1"/>
    <col min="13" max="13" width="2.7109375" style="581" customWidth="1"/>
    <col min="14" max="14" width="9.140625" style="581" customWidth="1"/>
    <col min="15" max="15" width="2.7109375" style="581" customWidth="1"/>
    <col min="16" max="16" width="1.140625" style="581" customWidth="1"/>
    <col min="17" max="17" width="2.7109375" style="581" customWidth="1"/>
    <col min="18" max="18" width="9.140625" style="581" customWidth="1"/>
    <col min="19" max="19" width="2.7109375" style="581" customWidth="1"/>
    <col min="20" max="20" width="1.140625" style="581" customWidth="1"/>
    <col min="21" max="21" width="2.7109375" style="581" customWidth="1"/>
    <col min="22" max="22" width="9.140625" style="58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1" width="9.140625" style="581" hidden="1" customWidth="1"/>
    <col min="32" max="32" width="16.5703125" style="581" hidden="1" customWidth="1"/>
    <col min="33" max="33" width="9.140625" style="581" hidden="1" customWidth="1"/>
    <col min="34" max="16384" width="9.140625" style="581"/>
  </cols>
  <sheetData>
    <row r="1" spans="1:33" x14ac:dyDescent="0.2">
      <c r="A1" s="572" t="str">
        <f>UPPER((Kalend!E38)&amp;" - "&amp;(Kalend!C38)&amp;" - "&amp;(Kalend!D38))</f>
        <v>11 - TOILA VALLA LAHTISED MV - ÜKSIK</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row>
    <row r="2" spans="1:33" x14ac:dyDescent="0.2">
      <c r="A2" s="583" t="str">
        <f>"Toimumisaeg: "&amp;(Kalend!A38)&amp;" kell "&amp;(Kalend!B38)</f>
        <v>Toimumisaeg: P, 25.09.2022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row>
    <row r="3" spans="1:33" x14ac:dyDescent="0.2">
      <c r="A3" s="583" t="str">
        <f>"Toimumiskoht: "&amp;(Kalend!F38)</f>
        <v>Toimumiskoht: Voka staadion</v>
      </c>
      <c r="B3" s="573"/>
      <c r="C3" s="573"/>
      <c r="D3" s="573"/>
      <c r="E3" s="573"/>
      <c r="F3" s="573"/>
      <c r="G3" s="585"/>
      <c r="H3" s="585"/>
      <c r="I3" s="586" t="s">
        <v>270</v>
      </c>
      <c r="J3" s="587">
        <v>1</v>
      </c>
      <c r="K3" s="588" t="s">
        <v>271</v>
      </c>
      <c r="L3" s="579"/>
      <c r="M3" s="579"/>
      <c r="N3" s="579"/>
      <c r="V3" s="579"/>
      <c r="W3" s="573"/>
      <c r="X3" s="573"/>
      <c r="Y3" s="573"/>
      <c r="Z3" s="573"/>
      <c r="AA3" s="573"/>
      <c r="AB3" s="573"/>
      <c r="AC3" s="573"/>
      <c r="AE3" s="573"/>
      <c r="AF3" s="573"/>
      <c r="AG3" s="573"/>
    </row>
    <row r="4" spans="1:33" x14ac:dyDescent="0.2">
      <c r="A4" s="583" t="str">
        <f>"Korraldaja: "&amp;(Kalend!G38)</f>
        <v>Korraldaja: Johannes Neiland</v>
      </c>
      <c r="B4" s="573"/>
      <c r="C4" s="573"/>
      <c r="D4" s="573"/>
      <c r="E4" s="573"/>
      <c r="F4" s="573"/>
      <c r="G4" s="589"/>
      <c r="H4" s="589"/>
      <c r="I4" s="590" t="s">
        <v>272</v>
      </c>
      <c r="J4" s="587">
        <v>0.5</v>
      </c>
      <c r="K4" s="588" t="s">
        <v>271</v>
      </c>
      <c r="L4" s="573"/>
      <c r="M4" s="573"/>
      <c r="N4" s="573"/>
      <c r="V4" s="573"/>
      <c r="W4" s="573"/>
      <c r="X4" s="573"/>
      <c r="Y4" s="573"/>
      <c r="Z4" s="573"/>
      <c r="AA4" s="573"/>
      <c r="AB4" s="573"/>
      <c r="AC4" s="573"/>
      <c r="AE4" s="591" t="s">
        <v>273</v>
      </c>
      <c r="AG4" s="583"/>
    </row>
    <row r="5" spans="1:33" x14ac:dyDescent="0.2">
      <c r="A5" s="573"/>
      <c r="B5" s="573"/>
      <c r="C5" s="573"/>
      <c r="D5" s="573"/>
      <c r="E5" s="573"/>
      <c r="F5" s="573"/>
      <c r="G5" s="592"/>
      <c r="H5" s="592"/>
      <c r="I5" s="593" t="s">
        <v>274</v>
      </c>
      <c r="J5" s="587">
        <v>0</v>
      </c>
      <c r="K5" s="588" t="s">
        <v>271</v>
      </c>
      <c r="L5" s="573"/>
      <c r="M5" s="573"/>
      <c r="N5" s="573"/>
      <c r="V5" s="573"/>
      <c r="W5" s="573"/>
      <c r="X5" s="573"/>
      <c r="Y5" s="573"/>
      <c r="Z5" s="573"/>
      <c r="AA5" s="573"/>
      <c r="AB5" s="573"/>
      <c r="AC5" s="573"/>
      <c r="AD5" s="573"/>
      <c r="AE5" s="594" t="s">
        <v>310</v>
      </c>
      <c r="AF5" s="595" t="s">
        <v>77</v>
      </c>
      <c r="AG5" s="596"/>
    </row>
    <row r="6" spans="1:33"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594" t="s">
        <v>275</v>
      </c>
      <c r="AG6" s="595"/>
    </row>
    <row r="7" spans="1:33"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605"/>
      <c r="AF7" s="596"/>
      <c r="AG7" s="596"/>
    </row>
    <row r="8" spans="1:33" x14ac:dyDescent="0.2">
      <c r="A8" s="634">
        <v>1</v>
      </c>
      <c r="B8" s="635" t="s">
        <v>471</v>
      </c>
      <c r="C8" s="613">
        <v>13</v>
      </c>
      <c r="D8" s="614" t="s">
        <v>288</v>
      </c>
      <c r="E8" s="614">
        <v>5</v>
      </c>
      <c r="F8" s="636" t="s">
        <v>109</v>
      </c>
      <c r="G8" s="613">
        <v>13</v>
      </c>
      <c r="H8" s="614" t="s">
        <v>288</v>
      </c>
      <c r="I8" s="614">
        <v>8</v>
      </c>
      <c r="J8" s="636" t="s">
        <v>92</v>
      </c>
      <c r="K8" s="613">
        <v>3</v>
      </c>
      <c r="L8" s="614" t="s">
        <v>288</v>
      </c>
      <c r="M8" s="614">
        <v>13</v>
      </c>
      <c r="N8" s="636" t="s">
        <v>12</v>
      </c>
      <c r="O8" s="613">
        <v>13</v>
      </c>
      <c r="P8" s="614" t="s">
        <v>288</v>
      </c>
      <c r="Q8" s="614">
        <v>10</v>
      </c>
      <c r="R8" s="636" t="s">
        <v>139</v>
      </c>
      <c r="S8" s="613">
        <v>13</v>
      </c>
      <c r="T8" s="614" t="s">
        <v>288</v>
      </c>
      <c r="U8" s="614">
        <v>10</v>
      </c>
      <c r="V8" s="636" t="s">
        <v>129</v>
      </c>
      <c r="W8" s="637">
        <f t="shared" ref="W8:W21" si="0">IF(C8&gt;E8,J$3,IF(C8&lt;E8,J$5,IF(ISNUMBER(C8),J$4,0)))+IF(G8&gt;I8,J$3,IF(G8&lt;I8,J$5,IF(ISNUMBER(G8),J$4,0)))+IF(K8&gt;M8,J$3,IF(K8&lt;M8,J$5,IF(ISNUMBER(K8),J$4,0)))+IF(O8&gt;Q8,J$3,IF(O8&lt;Q8,J$5,IF(ISNUMBER(O8),J$4,0)))+IF(S8&gt;U8,J$3,IF(S8&lt;U8,J$5,IF(ISNUMBER(S8),J$4,0)))</f>
        <v>4</v>
      </c>
      <c r="X8" s="612">
        <v>28</v>
      </c>
      <c r="Y8" s="612">
        <v>132</v>
      </c>
      <c r="Z8" s="613">
        <f>C8+G8+K8+O8+S8</f>
        <v>55</v>
      </c>
      <c r="AA8" s="614" t="s">
        <v>288</v>
      </c>
      <c r="AB8" s="615">
        <f>E8+I8+M8+Q8+U8</f>
        <v>46</v>
      </c>
      <c r="AC8" s="616">
        <f>Z8-AB8</f>
        <v>9</v>
      </c>
      <c r="AD8" s="617"/>
      <c r="AE8" s="618">
        <f t="shared" ref="AE8:AE21" ca="1" si="1">SUM(AG8:AG8)</f>
        <v>242</v>
      </c>
      <c r="AF8" s="619" t="str">
        <f>$B8</f>
        <v>Olav Türk</v>
      </c>
      <c r="AG8" s="620">
        <f ca="1">IFERROR(INDEX(Reit!$I:$I,MATCH(AF8,Reit!$F:$F,0)),"")</f>
        <v>242</v>
      </c>
    </row>
    <row r="9" spans="1:33" x14ac:dyDescent="0.2">
      <c r="A9" s="634">
        <v>2</v>
      </c>
      <c r="B9" s="635" t="s">
        <v>12</v>
      </c>
      <c r="C9" s="613">
        <v>13</v>
      </c>
      <c r="D9" s="614" t="s">
        <v>288</v>
      </c>
      <c r="E9" s="614">
        <v>3</v>
      </c>
      <c r="F9" s="636" t="s">
        <v>124</v>
      </c>
      <c r="G9" s="613">
        <v>13</v>
      </c>
      <c r="H9" s="614" t="s">
        <v>288</v>
      </c>
      <c r="I9" s="614">
        <v>5</v>
      </c>
      <c r="J9" s="636" t="s">
        <v>139</v>
      </c>
      <c r="K9" s="613">
        <v>13</v>
      </c>
      <c r="L9" s="614" t="s">
        <v>288</v>
      </c>
      <c r="M9" s="614">
        <v>3</v>
      </c>
      <c r="N9" s="636" t="s">
        <v>471</v>
      </c>
      <c r="O9" s="613">
        <v>13</v>
      </c>
      <c r="P9" s="614" t="s">
        <v>288</v>
      </c>
      <c r="Q9" s="614">
        <v>9</v>
      </c>
      <c r="R9" s="636" t="s">
        <v>92</v>
      </c>
      <c r="S9" s="613">
        <v>2</v>
      </c>
      <c r="T9" s="614" t="s">
        <v>288</v>
      </c>
      <c r="U9" s="614">
        <v>13</v>
      </c>
      <c r="V9" s="636" t="s">
        <v>90</v>
      </c>
      <c r="W9" s="637">
        <f t="shared" si="0"/>
        <v>4</v>
      </c>
      <c r="X9" s="612">
        <v>26</v>
      </c>
      <c r="Y9" s="612">
        <v>138</v>
      </c>
      <c r="Z9" s="613">
        <f t="shared" ref="Z9:Z21" si="2">C9+G9+K9+O9+S9</f>
        <v>54</v>
      </c>
      <c r="AA9" s="614" t="s">
        <v>288</v>
      </c>
      <c r="AB9" s="615">
        <f t="shared" ref="AB9:AB21" si="3">E9+I9+M9+Q9+U9</f>
        <v>33</v>
      </c>
      <c r="AC9" s="616">
        <f t="shared" ref="AC9:AC21" si="4">Z9-AB9</f>
        <v>21</v>
      </c>
      <c r="AD9" s="617"/>
      <c r="AE9" s="618">
        <f t="shared" ca="1" si="1"/>
        <v>268</v>
      </c>
      <c r="AF9" s="619" t="str">
        <f t="shared" ref="AF9:AF21" si="5">$B9</f>
        <v>Ivar Viljaste</v>
      </c>
      <c r="AG9" s="620">
        <f ca="1">IFERROR(INDEX(Reit!$I:$I,MATCH(AF9,Reit!$F:$F,0)),"")</f>
        <v>268</v>
      </c>
    </row>
    <row r="10" spans="1:33" x14ac:dyDescent="0.2">
      <c r="A10" s="634">
        <v>3</v>
      </c>
      <c r="B10" s="635" t="s">
        <v>90</v>
      </c>
      <c r="C10" s="613">
        <v>13</v>
      </c>
      <c r="D10" s="614" t="s">
        <v>288</v>
      </c>
      <c r="E10" s="614">
        <v>4</v>
      </c>
      <c r="F10" s="636" t="s">
        <v>127</v>
      </c>
      <c r="G10" s="613">
        <v>13</v>
      </c>
      <c r="H10" s="614" t="s">
        <v>288</v>
      </c>
      <c r="I10" s="614">
        <v>10</v>
      </c>
      <c r="J10" s="636" t="s">
        <v>88</v>
      </c>
      <c r="K10" s="613">
        <v>11</v>
      </c>
      <c r="L10" s="614" t="s">
        <v>288</v>
      </c>
      <c r="M10" s="614">
        <v>13</v>
      </c>
      <c r="N10" s="636" t="s">
        <v>92</v>
      </c>
      <c r="O10" s="613">
        <v>13</v>
      </c>
      <c r="P10" s="614" t="s">
        <v>288</v>
      </c>
      <c r="Q10" s="614">
        <v>3</v>
      </c>
      <c r="R10" s="636" t="s">
        <v>496</v>
      </c>
      <c r="S10" s="613">
        <v>13</v>
      </c>
      <c r="T10" s="614" t="s">
        <v>288</v>
      </c>
      <c r="U10" s="614">
        <v>2</v>
      </c>
      <c r="V10" s="636" t="s">
        <v>12</v>
      </c>
      <c r="W10" s="637">
        <f t="shared" si="0"/>
        <v>4</v>
      </c>
      <c r="X10" s="612">
        <v>22</v>
      </c>
      <c r="Y10" s="612">
        <v>136</v>
      </c>
      <c r="Z10" s="613">
        <f t="shared" si="2"/>
        <v>63</v>
      </c>
      <c r="AA10" s="614" t="s">
        <v>288</v>
      </c>
      <c r="AB10" s="615">
        <f t="shared" si="3"/>
        <v>32</v>
      </c>
      <c r="AC10" s="616">
        <f t="shared" si="4"/>
        <v>31</v>
      </c>
      <c r="AD10" s="617"/>
      <c r="AE10" s="618">
        <f t="shared" ca="1" si="1"/>
        <v>262</v>
      </c>
      <c r="AF10" s="619" t="str">
        <f t="shared" si="5"/>
        <v>Kenneth Muusikus</v>
      </c>
      <c r="AG10" s="620">
        <f ca="1">IFERROR(INDEX(Reit!$I:$I,MATCH(AF10,Reit!$F:$F,0)),"")</f>
        <v>262</v>
      </c>
    </row>
    <row r="11" spans="1:33" x14ac:dyDescent="0.2">
      <c r="A11" s="634">
        <v>4</v>
      </c>
      <c r="B11" s="635" t="s">
        <v>139</v>
      </c>
      <c r="C11" s="613">
        <v>13</v>
      </c>
      <c r="D11" s="614" t="s">
        <v>288</v>
      </c>
      <c r="E11" s="614">
        <v>1</v>
      </c>
      <c r="F11" s="636" t="s">
        <v>496</v>
      </c>
      <c r="G11" s="613">
        <v>5</v>
      </c>
      <c r="H11" s="614" t="s">
        <v>288</v>
      </c>
      <c r="I11" s="614">
        <v>13</v>
      </c>
      <c r="J11" s="636" t="s">
        <v>12</v>
      </c>
      <c r="K11" s="613">
        <v>13</v>
      </c>
      <c r="L11" s="614" t="s">
        <v>288</v>
      </c>
      <c r="M11" s="614">
        <v>11</v>
      </c>
      <c r="N11" s="636" t="s">
        <v>88</v>
      </c>
      <c r="O11" s="613">
        <v>10</v>
      </c>
      <c r="P11" s="614" t="s">
        <v>288</v>
      </c>
      <c r="Q11" s="614">
        <v>13</v>
      </c>
      <c r="R11" s="636" t="s">
        <v>471</v>
      </c>
      <c r="S11" s="613">
        <v>13</v>
      </c>
      <c r="T11" s="614" t="s">
        <v>288</v>
      </c>
      <c r="U11" s="614">
        <v>12</v>
      </c>
      <c r="V11" s="636" t="s">
        <v>92</v>
      </c>
      <c r="W11" s="637">
        <f t="shared" si="0"/>
        <v>3</v>
      </c>
      <c r="X11" s="612">
        <v>28</v>
      </c>
      <c r="Y11" s="612">
        <v>142</v>
      </c>
      <c r="Z11" s="613">
        <f t="shared" si="2"/>
        <v>54</v>
      </c>
      <c r="AA11" s="614" t="s">
        <v>288</v>
      </c>
      <c r="AB11" s="615">
        <f t="shared" si="3"/>
        <v>50</v>
      </c>
      <c r="AC11" s="616">
        <f t="shared" si="4"/>
        <v>4</v>
      </c>
      <c r="AD11" s="617"/>
      <c r="AE11" s="618">
        <f t="shared" ca="1" si="1"/>
        <v>187</v>
      </c>
      <c r="AF11" s="619" t="str">
        <f t="shared" si="5"/>
        <v>Sander Rose</v>
      </c>
      <c r="AG11" s="620">
        <f ca="1">IFERROR(INDEX(Reit!$I:$I,MATCH(AF11,Reit!$F:$F,0)),"")</f>
        <v>187</v>
      </c>
    </row>
    <row r="12" spans="1:33" x14ac:dyDescent="0.2">
      <c r="A12" s="634">
        <v>5</v>
      </c>
      <c r="B12" s="635" t="s">
        <v>87</v>
      </c>
      <c r="C12" s="613">
        <v>9</v>
      </c>
      <c r="D12" s="614" t="s">
        <v>288</v>
      </c>
      <c r="E12" s="614">
        <v>13</v>
      </c>
      <c r="F12" s="636" t="s">
        <v>92</v>
      </c>
      <c r="G12" s="613">
        <v>13</v>
      </c>
      <c r="H12" s="614" t="s">
        <v>288</v>
      </c>
      <c r="I12" s="614">
        <v>6</v>
      </c>
      <c r="J12" s="636" t="s">
        <v>116</v>
      </c>
      <c r="K12" s="613">
        <v>10</v>
      </c>
      <c r="L12" s="614" t="s">
        <v>288</v>
      </c>
      <c r="M12" s="614">
        <v>13</v>
      </c>
      <c r="N12" s="636" t="s">
        <v>120</v>
      </c>
      <c r="O12" s="613">
        <v>13</v>
      </c>
      <c r="P12" s="614" t="s">
        <v>288</v>
      </c>
      <c r="Q12" s="614">
        <v>9</v>
      </c>
      <c r="R12" s="636" t="s">
        <v>88</v>
      </c>
      <c r="S12" s="613">
        <v>13</v>
      </c>
      <c r="T12" s="614" t="s">
        <v>288</v>
      </c>
      <c r="U12" s="614">
        <v>8</v>
      </c>
      <c r="V12" s="636" t="s">
        <v>496</v>
      </c>
      <c r="W12" s="637">
        <f t="shared" si="0"/>
        <v>3</v>
      </c>
      <c r="X12" s="612">
        <v>22</v>
      </c>
      <c r="Y12" s="612">
        <v>136</v>
      </c>
      <c r="Z12" s="613">
        <f t="shared" si="2"/>
        <v>58</v>
      </c>
      <c r="AA12" s="614" t="s">
        <v>288</v>
      </c>
      <c r="AB12" s="615">
        <f t="shared" si="3"/>
        <v>49</v>
      </c>
      <c r="AC12" s="616">
        <f t="shared" si="4"/>
        <v>9</v>
      </c>
      <c r="AD12" s="617"/>
      <c r="AE12" s="618">
        <f t="shared" ca="1" si="1"/>
        <v>256</v>
      </c>
      <c r="AF12" s="619" t="str">
        <f t="shared" si="5"/>
        <v>Matti Vinni</v>
      </c>
      <c r="AG12" s="620">
        <f ca="1">IFERROR(INDEX(Reit!$I:$I,MATCH(AF12,Reit!$F:$F,0)),"")</f>
        <v>256</v>
      </c>
    </row>
    <row r="13" spans="1:33" x14ac:dyDescent="0.2">
      <c r="A13" s="634">
        <v>6</v>
      </c>
      <c r="B13" s="635" t="s">
        <v>129</v>
      </c>
      <c r="C13" s="613">
        <v>11</v>
      </c>
      <c r="D13" s="614" t="s">
        <v>288</v>
      </c>
      <c r="E13" s="614">
        <v>13</v>
      </c>
      <c r="F13" s="636" t="s">
        <v>116</v>
      </c>
      <c r="G13" s="613">
        <v>13</v>
      </c>
      <c r="H13" s="614" t="s">
        <v>288</v>
      </c>
      <c r="I13" s="614">
        <v>11</v>
      </c>
      <c r="J13" s="636" t="s">
        <v>109</v>
      </c>
      <c r="K13" s="613">
        <v>13</v>
      </c>
      <c r="L13" s="614" t="s">
        <v>288</v>
      </c>
      <c r="M13" s="614">
        <v>8</v>
      </c>
      <c r="N13" s="636" t="s">
        <v>124</v>
      </c>
      <c r="O13" s="613">
        <v>13</v>
      </c>
      <c r="P13" s="614" t="s">
        <v>288</v>
      </c>
      <c r="Q13" s="614">
        <v>4</v>
      </c>
      <c r="R13" s="636" t="s">
        <v>120</v>
      </c>
      <c r="S13" s="613">
        <v>10</v>
      </c>
      <c r="T13" s="614" t="s">
        <v>288</v>
      </c>
      <c r="U13" s="614">
        <v>13</v>
      </c>
      <c r="V13" s="636" t="s">
        <v>471</v>
      </c>
      <c r="W13" s="637">
        <f t="shared" si="0"/>
        <v>3</v>
      </c>
      <c r="X13" s="612">
        <v>22</v>
      </c>
      <c r="Y13" s="612">
        <v>120</v>
      </c>
      <c r="Z13" s="613">
        <f t="shared" si="2"/>
        <v>60</v>
      </c>
      <c r="AA13" s="614" t="s">
        <v>288</v>
      </c>
      <c r="AB13" s="615">
        <f t="shared" si="3"/>
        <v>49</v>
      </c>
      <c r="AC13" s="616">
        <f t="shared" si="4"/>
        <v>11</v>
      </c>
      <c r="AD13" s="617"/>
      <c r="AE13" s="618">
        <f t="shared" ca="1" si="1"/>
        <v>144</v>
      </c>
      <c r="AF13" s="619" t="str">
        <f t="shared" si="5"/>
        <v>Vadim Tihhonjuk</v>
      </c>
      <c r="AG13" s="620">
        <f ca="1">IFERROR(INDEX(Reit!$I:$I,MATCH(AF13,Reit!$F:$F,0)),"")</f>
        <v>144</v>
      </c>
    </row>
    <row r="14" spans="1:33" x14ac:dyDescent="0.2">
      <c r="A14" s="634">
        <v>7</v>
      </c>
      <c r="B14" s="638" t="s">
        <v>120</v>
      </c>
      <c r="C14" s="613">
        <v>4</v>
      </c>
      <c r="D14" s="614" t="s">
        <v>288</v>
      </c>
      <c r="E14" s="614">
        <v>13</v>
      </c>
      <c r="F14" s="636" t="s">
        <v>88</v>
      </c>
      <c r="G14" s="613">
        <v>13</v>
      </c>
      <c r="H14" s="614" t="s">
        <v>288</v>
      </c>
      <c r="I14" s="614">
        <v>6</v>
      </c>
      <c r="J14" s="636" t="s">
        <v>127</v>
      </c>
      <c r="K14" s="613">
        <v>13</v>
      </c>
      <c r="L14" s="614" t="s">
        <v>288</v>
      </c>
      <c r="M14" s="614">
        <v>10</v>
      </c>
      <c r="N14" s="636" t="s">
        <v>87</v>
      </c>
      <c r="O14" s="613">
        <v>4</v>
      </c>
      <c r="P14" s="614" t="s">
        <v>288</v>
      </c>
      <c r="Q14" s="614">
        <v>13</v>
      </c>
      <c r="R14" s="636" t="s">
        <v>129</v>
      </c>
      <c r="S14" s="613">
        <v>13</v>
      </c>
      <c r="T14" s="614" t="s">
        <v>288</v>
      </c>
      <c r="U14" s="614">
        <v>12</v>
      </c>
      <c r="V14" s="636" t="s">
        <v>116</v>
      </c>
      <c r="W14" s="637">
        <f t="shared" si="0"/>
        <v>3</v>
      </c>
      <c r="X14" s="612">
        <v>22</v>
      </c>
      <c r="Y14" s="612">
        <v>120</v>
      </c>
      <c r="Z14" s="613">
        <f t="shared" si="2"/>
        <v>47</v>
      </c>
      <c r="AA14" s="614" t="s">
        <v>288</v>
      </c>
      <c r="AB14" s="615">
        <f t="shared" si="3"/>
        <v>54</v>
      </c>
      <c r="AC14" s="616">
        <f t="shared" si="4"/>
        <v>-7</v>
      </c>
      <c r="AD14" s="617"/>
      <c r="AE14" s="618">
        <f t="shared" ca="1" si="1"/>
        <v>136</v>
      </c>
      <c r="AF14" s="619" t="str">
        <f t="shared" si="5"/>
        <v>Jaan Saar</v>
      </c>
      <c r="AG14" s="620">
        <f ca="1">IFERROR(INDEX(Reit!$I:$I,MATCH(AF14,Reit!$F:$F,0)),"")</f>
        <v>136</v>
      </c>
    </row>
    <row r="15" spans="1:33" x14ac:dyDescent="0.2">
      <c r="A15" s="634">
        <v>8</v>
      </c>
      <c r="B15" s="638" t="s">
        <v>92</v>
      </c>
      <c r="C15" s="613">
        <v>13</v>
      </c>
      <c r="D15" s="614" t="s">
        <v>288</v>
      </c>
      <c r="E15" s="614">
        <v>9</v>
      </c>
      <c r="F15" s="636" t="s">
        <v>87</v>
      </c>
      <c r="G15" s="613">
        <v>8</v>
      </c>
      <c r="H15" s="614" t="s">
        <v>288</v>
      </c>
      <c r="I15" s="614">
        <v>13</v>
      </c>
      <c r="J15" s="636" t="s">
        <v>471</v>
      </c>
      <c r="K15" s="613">
        <v>13</v>
      </c>
      <c r="L15" s="614" t="s">
        <v>288</v>
      </c>
      <c r="M15" s="614">
        <v>11</v>
      </c>
      <c r="N15" s="636" t="s">
        <v>90</v>
      </c>
      <c r="O15" s="613">
        <v>9</v>
      </c>
      <c r="P15" s="614" t="s">
        <v>288</v>
      </c>
      <c r="Q15" s="614">
        <v>13</v>
      </c>
      <c r="R15" s="636" t="s">
        <v>12</v>
      </c>
      <c r="S15" s="613">
        <v>12</v>
      </c>
      <c r="T15" s="614" t="s">
        <v>288</v>
      </c>
      <c r="U15" s="614">
        <v>13</v>
      </c>
      <c r="V15" s="636" t="s">
        <v>139</v>
      </c>
      <c r="W15" s="637">
        <f t="shared" si="0"/>
        <v>2</v>
      </c>
      <c r="X15" s="612">
        <v>36</v>
      </c>
      <c r="Y15" s="612">
        <v>126</v>
      </c>
      <c r="Z15" s="613">
        <f t="shared" si="2"/>
        <v>55</v>
      </c>
      <c r="AA15" s="614" t="s">
        <v>288</v>
      </c>
      <c r="AB15" s="615">
        <f t="shared" si="3"/>
        <v>59</v>
      </c>
      <c r="AC15" s="616">
        <f t="shared" si="4"/>
        <v>-4</v>
      </c>
      <c r="AD15" s="617"/>
      <c r="AE15" s="618">
        <f t="shared" ca="1" si="1"/>
        <v>133</v>
      </c>
      <c r="AF15" s="619" t="str">
        <f t="shared" si="5"/>
        <v>Andres Veski</v>
      </c>
      <c r="AG15" s="620">
        <f ca="1">IFERROR(INDEX(Reit!$I:$I,MATCH(AF15,Reit!$F:$F,0)),"")</f>
        <v>133</v>
      </c>
    </row>
    <row r="16" spans="1:33" x14ac:dyDescent="0.2">
      <c r="A16" s="634">
        <v>9</v>
      </c>
      <c r="B16" s="635" t="s">
        <v>88</v>
      </c>
      <c r="C16" s="613">
        <v>13</v>
      </c>
      <c r="D16" s="614" t="s">
        <v>288</v>
      </c>
      <c r="E16" s="614">
        <v>4</v>
      </c>
      <c r="F16" s="636" t="s">
        <v>120</v>
      </c>
      <c r="G16" s="613">
        <v>10</v>
      </c>
      <c r="H16" s="614" t="s">
        <v>288</v>
      </c>
      <c r="I16" s="614">
        <v>13</v>
      </c>
      <c r="J16" s="636" t="s">
        <v>90</v>
      </c>
      <c r="K16" s="613">
        <v>11</v>
      </c>
      <c r="L16" s="614" t="s">
        <v>288</v>
      </c>
      <c r="M16" s="614">
        <v>13</v>
      </c>
      <c r="N16" s="636" t="s">
        <v>139</v>
      </c>
      <c r="O16" s="613">
        <v>9</v>
      </c>
      <c r="P16" s="614" t="s">
        <v>288</v>
      </c>
      <c r="Q16" s="614">
        <v>13</v>
      </c>
      <c r="R16" s="636" t="s">
        <v>87</v>
      </c>
      <c r="S16" s="613">
        <v>13</v>
      </c>
      <c r="T16" s="614" t="s">
        <v>288</v>
      </c>
      <c r="U16" s="614">
        <v>9</v>
      </c>
      <c r="V16" s="636" t="s">
        <v>127</v>
      </c>
      <c r="W16" s="637">
        <f t="shared" si="0"/>
        <v>2</v>
      </c>
      <c r="X16" s="612">
        <v>28</v>
      </c>
      <c r="Y16" s="612">
        <v>116</v>
      </c>
      <c r="Z16" s="613">
        <f t="shared" si="2"/>
        <v>56</v>
      </c>
      <c r="AA16" s="614" t="s">
        <v>288</v>
      </c>
      <c r="AB16" s="615">
        <f t="shared" si="3"/>
        <v>52</v>
      </c>
      <c r="AC16" s="616">
        <f t="shared" si="4"/>
        <v>4</v>
      </c>
      <c r="AD16" s="617"/>
      <c r="AE16" s="618">
        <f t="shared" ca="1" si="1"/>
        <v>232</v>
      </c>
      <c r="AF16" s="619" t="str">
        <f t="shared" si="5"/>
        <v>Oleg Rõndenkov</v>
      </c>
      <c r="AG16" s="620">
        <f ca="1">IFERROR(INDEX(Reit!$I:$I,MATCH(AF16,Reit!$F:$F,0)),"")</f>
        <v>232</v>
      </c>
    </row>
    <row r="17" spans="1:33" x14ac:dyDescent="0.2">
      <c r="A17" s="634">
        <v>10</v>
      </c>
      <c r="B17" s="635" t="s">
        <v>116</v>
      </c>
      <c r="C17" s="613">
        <v>13</v>
      </c>
      <c r="D17" s="614" t="s">
        <v>288</v>
      </c>
      <c r="E17" s="614">
        <v>11</v>
      </c>
      <c r="F17" s="636" t="s">
        <v>129</v>
      </c>
      <c r="G17" s="613">
        <v>6</v>
      </c>
      <c r="H17" s="614" t="s">
        <v>288</v>
      </c>
      <c r="I17" s="614">
        <v>13</v>
      </c>
      <c r="J17" s="636" t="s">
        <v>87</v>
      </c>
      <c r="K17" s="613">
        <v>1</v>
      </c>
      <c r="L17" s="614" t="s">
        <v>288</v>
      </c>
      <c r="M17" s="614">
        <v>13</v>
      </c>
      <c r="N17" s="636" t="s">
        <v>496</v>
      </c>
      <c r="O17" s="613">
        <v>13</v>
      </c>
      <c r="P17" s="614" t="s">
        <v>288</v>
      </c>
      <c r="Q17" s="614">
        <v>10</v>
      </c>
      <c r="R17" s="636" t="s">
        <v>109</v>
      </c>
      <c r="S17" s="613">
        <v>12</v>
      </c>
      <c r="T17" s="614" t="s">
        <v>288</v>
      </c>
      <c r="U17" s="614">
        <v>13</v>
      </c>
      <c r="V17" s="636" t="s">
        <v>120</v>
      </c>
      <c r="W17" s="637">
        <f t="shared" si="0"/>
        <v>2</v>
      </c>
      <c r="X17" s="612">
        <v>26</v>
      </c>
      <c r="Y17" s="612">
        <v>110</v>
      </c>
      <c r="Z17" s="613">
        <f t="shared" si="2"/>
        <v>45</v>
      </c>
      <c r="AA17" s="614" t="s">
        <v>288</v>
      </c>
      <c r="AB17" s="615">
        <f t="shared" si="3"/>
        <v>60</v>
      </c>
      <c r="AC17" s="616">
        <f t="shared" si="4"/>
        <v>-15</v>
      </c>
      <c r="AD17" s="617"/>
      <c r="AE17" s="618">
        <f t="shared" ca="1" si="1"/>
        <v>228</v>
      </c>
      <c r="AF17" s="619" t="str">
        <f t="shared" si="5"/>
        <v>Kaspar Mänd</v>
      </c>
      <c r="AG17" s="620">
        <f ca="1">IFERROR(INDEX(Reit!$I:$I,MATCH(AF17,Reit!$F:$F,0)),"")</f>
        <v>228</v>
      </c>
    </row>
    <row r="18" spans="1:33" x14ac:dyDescent="0.2">
      <c r="A18" s="634">
        <v>11</v>
      </c>
      <c r="B18" s="635" t="s">
        <v>496</v>
      </c>
      <c r="C18" s="613">
        <v>1</v>
      </c>
      <c r="D18" s="614" t="s">
        <v>288</v>
      </c>
      <c r="E18" s="614">
        <v>13</v>
      </c>
      <c r="F18" s="636" t="s">
        <v>139</v>
      </c>
      <c r="G18" s="613">
        <v>13</v>
      </c>
      <c r="H18" s="614" t="s">
        <v>288</v>
      </c>
      <c r="I18" s="614">
        <v>8</v>
      </c>
      <c r="J18" s="636" t="s">
        <v>124</v>
      </c>
      <c r="K18" s="613">
        <v>13</v>
      </c>
      <c r="L18" s="614" t="s">
        <v>288</v>
      </c>
      <c r="M18" s="614">
        <v>1</v>
      </c>
      <c r="N18" s="636" t="s">
        <v>116</v>
      </c>
      <c r="O18" s="613">
        <v>3</v>
      </c>
      <c r="P18" s="614" t="s">
        <v>288</v>
      </c>
      <c r="Q18" s="614">
        <v>13</v>
      </c>
      <c r="R18" s="636" t="s">
        <v>90</v>
      </c>
      <c r="S18" s="613">
        <v>8</v>
      </c>
      <c r="T18" s="614" t="s">
        <v>288</v>
      </c>
      <c r="U18" s="614">
        <v>13</v>
      </c>
      <c r="V18" s="636" t="s">
        <v>87</v>
      </c>
      <c r="W18" s="637">
        <f t="shared" si="0"/>
        <v>2</v>
      </c>
      <c r="X18" s="612">
        <v>24</v>
      </c>
      <c r="Y18" s="612">
        <v>122</v>
      </c>
      <c r="Z18" s="613">
        <f t="shared" si="2"/>
        <v>38</v>
      </c>
      <c r="AA18" s="614" t="s">
        <v>288</v>
      </c>
      <c r="AB18" s="615">
        <f t="shared" si="3"/>
        <v>48</v>
      </c>
      <c r="AC18" s="616">
        <f t="shared" si="4"/>
        <v>-10</v>
      </c>
      <c r="AD18" s="617"/>
      <c r="AE18" s="618">
        <f t="shared" ca="1" si="1"/>
        <v>168</v>
      </c>
      <c r="AF18" s="619" t="str">
        <f t="shared" si="5"/>
        <v>Sirje Maala</v>
      </c>
      <c r="AG18" s="620">
        <f ca="1">IFERROR(INDEX(Reit!$I:$I,MATCH(AF18,Reit!$F:$F,0)),"")</f>
        <v>168</v>
      </c>
    </row>
    <row r="19" spans="1:33" x14ac:dyDescent="0.2">
      <c r="A19" s="634">
        <v>12</v>
      </c>
      <c r="B19" s="635" t="s">
        <v>109</v>
      </c>
      <c r="C19" s="613">
        <v>5</v>
      </c>
      <c r="D19" s="614" t="s">
        <v>288</v>
      </c>
      <c r="E19" s="614">
        <v>13</v>
      </c>
      <c r="F19" s="636" t="s">
        <v>471</v>
      </c>
      <c r="G19" s="613">
        <v>11</v>
      </c>
      <c r="H19" s="614" t="s">
        <v>288</v>
      </c>
      <c r="I19" s="614">
        <v>13</v>
      </c>
      <c r="J19" s="636" t="s">
        <v>129</v>
      </c>
      <c r="K19" s="613">
        <v>13</v>
      </c>
      <c r="L19" s="614" t="s">
        <v>288</v>
      </c>
      <c r="M19" s="614">
        <v>10</v>
      </c>
      <c r="N19" s="636" t="s">
        <v>127</v>
      </c>
      <c r="O19" s="613">
        <v>10</v>
      </c>
      <c r="P19" s="614" t="s">
        <v>288</v>
      </c>
      <c r="Q19" s="614">
        <v>13</v>
      </c>
      <c r="R19" s="636" t="s">
        <v>116</v>
      </c>
      <c r="S19" s="613">
        <v>13</v>
      </c>
      <c r="T19" s="614" t="s">
        <v>288</v>
      </c>
      <c r="U19" s="614">
        <v>6</v>
      </c>
      <c r="V19" s="636" t="s">
        <v>124</v>
      </c>
      <c r="W19" s="637">
        <f t="shared" si="0"/>
        <v>2</v>
      </c>
      <c r="X19" s="612">
        <v>20</v>
      </c>
      <c r="Y19" s="612">
        <v>122</v>
      </c>
      <c r="Z19" s="613">
        <f t="shared" si="2"/>
        <v>52</v>
      </c>
      <c r="AA19" s="614" t="s">
        <v>288</v>
      </c>
      <c r="AB19" s="615">
        <f t="shared" si="3"/>
        <v>55</v>
      </c>
      <c r="AC19" s="616">
        <f t="shared" si="4"/>
        <v>-3</v>
      </c>
      <c r="AD19" s="573"/>
      <c r="AE19" s="618">
        <f t="shared" ca="1" si="1"/>
        <v>139</v>
      </c>
      <c r="AF19" s="619" t="str">
        <f t="shared" si="5"/>
        <v>Enn Tokman</v>
      </c>
      <c r="AG19" s="620">
        <f ca="1">IFERROR(INDEX(Reit!$I:$I,MATCH(AF19,Reit!$F:$F,0)),"")</f>
        <v>139</v>
      </c>
    </row>
    <row r="20" spans="1:33" x14ac:dyDescent="0.2">
      <c r="A20" s="634">
        <v>13</v>
      </c>
      <c r="B20" s="635" t="s">
        <v>127</v>
      </c>
      <c r="C20" s="613">
        <v>4</v>
      </c>
      <c r="D20" s="614" t="s">
        <v>288</v>
      </c>
      <c r="E20" s="614">
        <v>13</v>
      </c>
      <c r="F20" s="636" t="s">
        <v>90</v>
      </c>
      <c r="G20" s="613">
        <v>6</v>
      </c>
      <c r="H20" s="614" t="s">
        <v>288</v>
      </c>
      <c r="I20" s="614">
        <v>13</v>
      </c>
      <c r="J20" s="636" t="s">
        <v>120</v>
      </c>
      <c r="K20" s="613">
        <v>10</v>
      </c>
      <c r="L20" s="614" t="s">
        <v>288</v>
      </c>
      <c r="M20" s="614">
        <v>13</v>
      </c>
      <c r="N20" s="636" t="s">
        <v>109</v>
      </c>
      <c r="O20" s="613">
        <v>13</v>
      </c>
      <c r="P20" s="614" t="s">
        <v>288</v>
      </c>
      <c r="Q20" s="614">
        <v>9</v>
      </c>
      <c r="R20" s="636" t="s">
        <v>124</v>
      </c>
      <c r="S20" s="613">
        <v>9</v>
      </c>
      <c r="T20" s="614" t="s">
        <v>288</v>
      </c>
      <c r="U20" s="614">
        <v>13</v>
      </c>
      <c r="V20" s="636" t="s">
        <v>88</v>
      </c>
      <c r="W20" s="637">
        <f t="shared" si="0"/>
        <v>1</v>
      </c>
      <c r="X20" s="612">
        <v>22</v>
      </c>
      <c r="Y20" s="612">
        <v>116</v>
      </c>
      <c r="Z20" s="613">
        <f t="shared" si="2"/>
        <v>42</v>
      </c>
      <c r="AA20" s="614" t="s">
        <v>288</v>
      </c>
      <c r="AB20" s="615">
        <f t="shared" si="3"/>
        <v>61</v>
      </c>
      <c r="AC20" s="616">
        <f t="shared" si="4"/>
        <v>-19</v>
      </c>
      <c r="AD20" s="573"/>
      <c r="AE20" s="618">
        <f t="shared" ca="1" si="1"/>
        <v>26</v>
      </c>
      <c r="AF20" s="619" t="str">
        <f t="shared" si="5"/>
        <v>Tarmo Bombe</v>
      </c>
      <c r="AG20" s="620">
        <f ca="1">IFERROR(INDEX(Reit!$I:$I,MATCH(AF20,Reit!$F:$F,0)),"")</f>
        <v>26</v>
      </c>
    </row>
    <row r="21" spans="1:33" x14ac:dyDescent="0.2">
      <c r="A21" s="634">
        <v>14</v>
      </c>
      <c r="B21" s="635" t="s">
        <v>124</v>
      </c>
      <c r="C21" s="613">
        <v>3</v>
      </c>
      <c r="D21" s="614" t="s">
        <v>288</v>
      </c>
      <c r="E21" s="614">
        <v>13</v>
      </c>
      <c r="F21" s="636" t="s">
        <v>12</v>
      </c>
      <c r="G21" s="613">
        <v>8</v>
      </c>
      <c r="H21" s="614" t="s">
        <v>288</v>
      </c>
      <c r="I21" s="614">
        <v>13</v>
      </c>
      <c r="J21" s="636" t="s">
        <v>496</v>
      </c>
      <c r="K21" s="613">
        <v>8</v>
      </c>
      <c r="L21" s="614" t="s">
        <v>288</v>
      </c>
      <c r="M21" s="614">
        <v>13</v>
      </c>
      <c r="N21" s="636" t="s">
        <v>129</v>
      </c>
      <c r="O21" s="613">
        <v>9</v>
      </c>
      <c r="P21" s="614" t="s">
        <v>288</v>
      </c>
      <c r="Q21" s="614">
        <v>13</v>
      </c>
      <c r="R21" s="636" t="s">
        <v>127</v>
      </c>
      <c r="S21" s="613">
        <v>6</v>
      </c>
      <c r="T21" s="614" t="s">
        <v>288</v>
      </c>
      <c r="U21" s="614">
        <v>13</v>
      </c>
      <c r="V21" s="636" t="s">
        <v>109</v>
      </c>
      <c r="W21" s="637">
        <f t="shared" si="0"/>
        <v>0</v>
      </c>
      <c r="X21" s="612">
        <v>24</v>
      </c>
      <c r="Y21" s="612">
        <v>114</v>
      </c>
      <c r="Z21" s="613">
        <f t="shared" si="2"/>
        <v>34</v>
      </c>
      <c r="AA21" s="614" t="s">
        <v>288</v>
      </c>
      <c r="AB21" s="615">
        <f t="shared" si="3"/>
        <v>65</v>
      </c>
      <c r="AC21" s="616">
        <f t="shared" si="4"/>
        <v>-31</v>
      </c>
      <c r="AD21" s="573"/>
      <c r="AE21" s="618">
        <f t="shared" ca="1" si="1"/>
        <v>7</v>
      </c>
      <c r="AF21" s="619" t="str">
        <f t="shared" si="5"/>
        <v>Illar Tõnurist</v>
      </c>
      <c r="AG21" s="620">
        <f ca="1">IFERROR(INDEX(Reit!$I:$I,MATCH(AF21,Reit!$F:$F,0)),"")</f>
        <v>7</v>
      </c>
    </row>
    <row r="22" spans="1:33" hidden="1" x14ac:dyDescent="0.2"/>
    <row r="23" spans="1:33" hidden="1" x14ac:dyDescent="0.2"/>
    <row r="24" spans="1:33" hidden="1" x14ac:dyDescent="0.2"/>
    <row r="25" spans="1:33" hidden="1" x14ac:dyDescent="0.2"/>
    <row r="26" spans="1:33" hidden="1" x14ac:dyDescent="0.2"/>
    <row r="27" spans="1:33" hidden="1" x14ac:dyDescent="0.2"/>
    <row r="28" spans="1:33" hidden="1" x14ac:dyDescent="0.2"/>
    <row r="29" spans="1:33" hidden="1" x14ac:dyDescent="0.2"/>
    <row r="30" spans="1:33"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row>
    <row r="31" spans="1:33"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row>
    <row r="32" spans="1:33"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row>
    <row r="33" spans="1:33"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row>
    <row r="34" spans="1:33"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row>
    <row r="35" spans="1:33"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row>
    <row r="36" spans="1:33"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row>
    <row r="37" spans="1:33"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row>
    <row r="38" spans="1:33"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row>
    <row r="39" spans="1:33"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row>
    <row r="40" spans="1:33"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row>
    <row r="41" spans="1:33"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row>
    <row r="42" spans="1:33"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row>
    <row r="43" spans="1:33"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row>
    <row r="44" spans="1:33"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row>
    <row r="45" spans="1:33"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row>
    <row r="46" spans="1:33"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row>
    <row r="47" spans="1:33"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row>
    <row r="48" spans="1:33"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row>
    <row r="49" spans="1:33"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row>
    <row r="50" spans="1:33"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row>
    <row r="51" spans="1:33"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row>
    <row r="52" spans="1:33"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row>
    <row r="53" spans="1:33"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row>
    <row r="54" spans="1:33"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row>
    <row r="55" spans="1:33"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row>
    <row r="56" spans="1:33"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row>
    <row r="57" spans="1:33"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row>
    <row r="58" spans="1:33"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row>
    <row r="59" spans="1:33"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row>
    <row r="60" spans="1:33"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row>
    <row r="61" spans="1:33"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row>
    <row r="62" spans="1:33"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row>
    <row r="63" spans="1:33"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row>
    <row r="64" spans="1:33"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row>
    <row r="65" spans="1:33"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row>
    <row r="66" spans="1:33"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row>
    <row r="67" spans="1:33"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row>
    <row r="68" spans="1:33"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row>
    <row r="69" spans="1:33"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row>
    <row r="70" spans="1:33"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row>
    <row r="71" spans="1:33"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row>
    <row r="72" spans="1:33"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row>
    <row r="73" spans="1:33"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row>
    <row r="74" spans="1:33"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row>
    <row r="75" spans="1:33"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row>
    <row r="76" spans="1:33"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row>
    <row r="77" spans="1:33"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row>
    <row r="78" spans="1:33"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row>
    <row r="79" spans="1:33"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row>
    <row r="80" spans="1:33"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row>
    <row r="81" spans="1:33"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row>
    <row r="82" spans="1:33"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row>
    <row r="83" spans="1:33"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row>
    <row r="84" spans="1:33"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row>
    <row r="85" spans="1:33"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row>
    <row r="86" spans="1:33"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row>
    <row r="87" spans="1:33"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row>
    <row r="88" spans="1:33"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row>
    <row r="89" spans="1:33"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row>
    <row r="90" spans="1:33"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row>
    <row r="91" spans="1:33"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row>
    <row r="92" spans="1:33"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row>
    <row r="93" spans="1:33"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row>
    <row r="94" spans="1:33"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row>
    <row r="95" spans="1:33"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row>
    <row r="96" spans="1:33"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row>
    <row r="97" spans="1:33"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row>
    <row r="98" spans="1:33"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row>
    <row r="99" spans="1:33"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row>
    <row r="100" spans="1:33"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row>
    <row r="101" spans="1:33"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row>
    <row r="102" spans="1:33"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row>
    <row r="103" spans="1:33"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row>
    <row r="104" spans="1:33"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row>
    <row r="105" spans="1:33"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row>
    <row r="106" spans="1:33"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row>
    <row r="107" spans="1:33"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row>
    <row r="108" spans="1:33"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row>
    <row r="109" spans="1:33"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row>
    <row r="110" spans="1:33"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row>
    <row r="111" spans="1:33"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row>
    <row r="112" spans="1:33"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row>
    <row r="113" spans="1:33"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row>
    <row r="114" spans="1:33"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row>
    <row r="115" spans="1:33"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row>
    <row r="116" spans="1:33"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row>
    <row r="117" spans="1:33"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row>
    <row r="118" spans="1:33"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row>
    <row r="119" spans="1:33"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row>
    <row r="120" spans="1:33"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row>
    <row r="121" spans="1:33"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row>
    <row r="122" spans="1:33"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row>
    <row r="123" spans="1:33"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row>
    <row r="124" spans="1:33"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row>
    <row r="125" spans="1:33"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row>
    <row r="126" spans="1:33"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row>
    <row r="127" spans="1:33"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row>
    <row r="128" spans="1:33"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row>
    <row r="129" spans="1:33"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row>
    <row r="130" spans="1:33"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row>
    <row r="131" spans="1:33"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row>
    <row r="132" spans="1:33"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row>
    <row r="133" spans="1:33"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row>
    <row r="134" spans="1:33"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row>
    <row r="135" spans="1:33"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row>
    <row r="136" spans="1:33"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row>
    <row r="137" spans="1:33"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row>
    <row r="138" spans="1:33"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row>
    <row r="139" spans="1:33"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row>
    <row r="140" spans="1:33"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row>
    <row r="141" spans="1:33"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row>
    <row r="142" spans="1:33"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row>
    <row r="143" spans="1:33"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row>
    <row r="144" spans="1:33"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row>
    <row r="145" spans="1:33"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row>
    <row r="146" spans="1:33"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row>
    <row r="147" spans="1:33"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row>
    <row r="148" spans="1:33"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row>
    <row r="149" spans="1:33"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row>
    <row r="150" spans="1:33"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row>
    <row r="151" spans="1:33"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row>
    <row r="152" spans="1:33"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row>
    <row r="153" spans="1:33"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row>
    <row r="154" spans="1:33"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row>
    <row r="155" spans="1:33"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row>
    <row r="156" spans="1:33"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row>
    <row r="157" spans="1:33"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row>
    <row r="158" spans="1:33"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row>
    <row r="159" spans="1:33"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row>
    <row r="160" spans="1:33"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row>
    <row r="161" spans="1:33"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row>
    <row r="162" spans="1:33"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row>
    <row r="163" spans="1:33"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row>
    <row r="164" spans="1:33"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row>
    <row r="165" spans="1:33"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row>
    <row r="166" spans="1:33"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row>
    <row r="167" spans="1:33"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row>
    <row r="168" spans="1:33"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row>
    <row r="169" spans="1:33"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row>
    <row r="170" spans="1:33"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row>
    <row r="171" spans="1:33"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row>
    <row r="172" spans="1:33"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row>
    <row r="173" spans="1:33"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row>
    <row r="174" spans="1:33"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row>
    <row r="175" spans="1:33"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row>
    <row r="176" spans="1:33"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row>
    <row r="177" spans="1:33"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row>
    <row r="178" spans="1:33"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row>
    <row r="179" spans="1:33"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row>
    <row r="180" spans="1:33"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row>
    <row r="181" spans="1:33"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row>
    <row r="182" spans="1:33"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row>
    <row r="183" spans="1:33"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row>
    <row r="184" spans="1:33"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row>
    <row r="185" spans="1:33"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row>
    <row r="186" spans="1:33"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row>
    <row r="187" spans="1:33"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row>
    <row r="188" spans="1:33"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row>
    <row r="189" spans="1:33"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row>
    <row r="190" spans="1:33"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row>
    <row r="191" spans="1:33"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row>
    <row r="192" spans="1:33"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row>
    <row r="193" spans="1:33"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row>
    <row r="194" spans="1:33"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row>
    <row r="195" spans="1:33"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row>
    <row r="196" spans="1:33"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row>
    <row r="197" spans="1:33"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row>
    <row r="198" spans="1:33"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row>
    <row r="199" spans="1:33"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row>
    <row r="200" spans="1:33"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row>
    <row r="201" spans="1:33"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row>
    <row r="202" spans="1:33"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row>
    <row r="203" spans="1:33"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row>
    <row r="204" spans="1:33"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row>
    <row r="205" spans="1:33"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row>
    <row r="206" spans="1:33"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row>
    <row r="207" spans="1:33"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row>
    <row r="208" spans="1:33"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row>
    <row r="209" spans="1:33"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row>
    <row r="210" spans="1:33"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row>
    <row r="211" spans="1:33"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row>
    <row r="212" spans="1:33"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row>
    <row r="213" spans="1:33"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row>
    <row r="214" spans="1:33"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row>
    <row r="215" spans="1:33"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row>
    <row r="216" spans="1:33"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row>
    <row r="217" spans="1:33"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row>
    <row r="218" spans="1:33"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row>
    <row r="219" spans="1:33"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row>
    <row r="220" spans="1:33"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row>
    <row r="221" spans="1:33"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row>
    <row r="222" spans="1:33"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row>
    <row r="223" spans="1:33"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row>
    <row r="224" spans="1:33"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row>
    <row r="225" spans="1:33"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row>
    <row r="226" spans="1:33"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row>
    <row r="227" spans="1:33"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row>
    <row r="228" spans="1:33"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row>
    <row r="229" spans="1:33"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row>
    <row r="230" spans="1:33"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row>
    <row r="231" spans="1:33"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row>
    <row r="232" spans="1:33"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row>
    <row r="233" spans="1:33"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row>
    <row r="234" spans="1:33"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row>
    <row r="235" spans="1:33"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row>
    <row r="236" spans="1:33"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row>
    <row r="237" spans="1:33"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row>
    <row r="238" spans="1:33"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row>
    <row r="239" spans="1:33"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row>
    <row r="240" spans="1:33"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row>
    <row r="241" spans="1:33"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row>
    <row r="242" spans="1:33"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row>
    <row r="243" spans="1:33"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row>
    <row r="244" spans="1:33"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row>
    <row r="245" spans="1:33"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row>
    <row r="246" spans="1:33"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row>
    <row r="247" spans="1:33"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row>
    <row r="248" spans="1:33"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row>
    <row r="249" spans="1:33"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row>
    <row r="250" spans="1:33"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row>
    <row r="251" spans="1:33"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row>
    <row r="252" spans="1:33"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row>
    <row r="253" spans="1:33"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row>
    <row r="254" spans="1:33"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row>
    <row r="255" spans="1:33"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row>
    <row r="256" spans="1:33"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row>
    <row r="257" spans="1:33"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row>
    <row r="258" spans="1:33"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row>
    <row r="259" spans="1:33"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row>
    <row r="260" spans="1:33"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row>
    <row r="261" spans="1:33"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row>
    <row r="262" spans="1:33"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row>
    <row r="263" spans="1:33"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row>
    <row r="264" spans="1:33"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row>
    <row r="265" spans="1:33"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row>
    <row r="266" spans="1:33"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row>
    <row r="267" spans="1:33"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row>
    <row r="268" spans="1:33"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row>
    <row r="269" spans="1:33"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row>
    <row r="270" spans="1:33"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row>
    <row r="271" spans="1:33"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row>
    <row r="272" spans="1:33"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row>
    <row r="273" spans="1:33"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row>
    <row r="274" spans="1:33"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row>
    <row r="275" spans="1:33"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row>
    <row r="276" spans="1:33"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row>
    <row r="277" spans="1:33"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row>
    <row r="278" spans="1:33"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row>
    <row r="279" spans="1:33"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row>
    <row r="280" spans="1:33"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row>
    <row r="281" spans="1:33"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row>
    <row r="282" spans="1:33"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row>
    <row r="283" spans="1:33"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row>
    <row r="284" spans="1:33"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row>
    <row r="285" spans="1:33"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row>
    <row r="286" spans="1:33"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row>
    <row r="287" spans="1:33"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row>
    <row r="288" spans="1:33"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row>
    <row r="289" spans="1:33"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row>
    <row r="290" spans="1:33"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row>
    <row r="291" spans="1:33"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row>
    <row r="292" spans="1:33"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row>
    <row r="293" spans="1:33"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row>
    <row r="294" spans="1:33" hidden="1" x14ac:dyDescent="0.2"/>
    <row r="295" spans="1:33" hidden="1" x14ac:dyDescent="0.2"/>
    <row r="296" spans="1:33" hidden="1" x14ac:dyDescent="0.2"/>
    <row r="299" spans="1:33" x14ac:dyDescent="0.2">
      <c r="A299" s="573"/>
      <c r="B299" s="573"/>
      <c r="C299" s="584" t="s">
        <v>54</v>
      </c>
      <c r="F299" s="626"/>
    </row>
    <row r="300" spans="1:33" x14ac:dyDescent="0.2">
      <c r="A300" s="627">
        <v>1</v>
      </c>
      <c r="B300" s="628" t="str">
        <f t="shared" ref="B300:B313" si="6">IFERROR(INDEX(B$1:B$85,MATCH(A300,A$1:A$85,0)),"")</f>
        <v>Olav Türk</v>
      </c>
      <c r="C300" s="629">
        <v>40</v>
      </c>
      <c r="F300" s="626"/>
    </row>
    <row r="301" spans="1:33" x14ac:dyDescent="0.2">
      <c r="A301" s="627">
        <v>2</v>
      </c>
      <c r="B301" s="628" t="str">
        <f t="shared" si="6"/>
        <v>Ivar Viljaste</v>
      </c>
      <c r="C301" s="629">
        <v>34</v>
      </c>
      <c r="F301" s="626"/>
    </row>
    <row r="302" spans="1:33" x14ac:dyDescent="0.2">
      <c r="A302" s="627">
        <v>3</v>
      </c>
      <c r="B302" s="628" t="str">
        <f t="shared" si="6"/>
        <v>Kenneth Muusikus</v>
      </c>
      <c r="C302" s="629">
        <v>30</v>
      </c>
      <c r="F302" s="626"/>
    </row>
    <row r="303" spans="1:33" x14ac:dyDescent="0.2">
      <c r="A303" s="627">
        <v>4</v>
      </c>
      <c r="B303" s="628" t="str">
        <f t="shared" si="6"/>
        <v>Sander Rose</v>
      </c>
      <c r="C303" s="629">
        <v>26</v>
      </c>
      <c r="F303" s="626"/>
    </row>
    <row r="304" spans="1:33" x14ac:dyDescent="0.2">
      <c r="A304" s="627">
        <v>5</v>
      </c>
      <c r="B304" s="628" t="str">
        <f t="shared" si="6"/>
        <v>Matti Vinni</v>
      </c>
      <c r="C304" s="629">
        <v>24</v>
      </c>
      <c r="F304" s="626"/>
    </row>
    <row r="305" spans="1:6" x14ac:dyDescent="0.2">
      <c r="A305" s="627">
        <v>6</v>
      </c>
      <c r="B305" s="628" t="str">
        <f t="shared" si="6"/>
        <v>Vadim Tihhonjuk</v>
      </c>
      <c r="C305" s="629">
        <v>22</v>
      </c>
      <c r="F305" s="626"/>
    </row>
    <row r="306" spans="1:6" x14ac:dyDescent="0.2">
      <c r="A306" s="627">
        <v>7</v>
      </c>
      <c r="B306" s="628" t="str">
        <f t="shared" si="6"/>
        <v>Jaan Saar</v>
      </c>
      <c r="C306" s="629">
        <v>20</v>
      </c>
      <c r="F306" s="626"/>
    </row>
    <row r="307" spans="1:6" x14ac:dyDescent="0.2">
      <c r="A307" s="627">
        <v>8</v>
      </c>
      <c r="B307" s="628" t="str">
        <f t="shared" si="6"/>
        <v>Andres Veski</v>
      </c>
      <c r="C307" s="629">
        <v>18</v>
      </c>
      <c r="F307" s="626"/>
    </row>
    <row r="308" spans="1:6" x14ac:dyDescent="0.2">
      <c r="A308" s="627">
        <v>9</v>
      </c>
      <c r="B308" s="628" t="str">
        <f t="shared" si="6"/>
        <v>Oleg Rõndenkov</v>
      </c>
      <c r="C308" s="629">
        <v>16</v>
      </c>
      <c r="F308" s="626"/>
    </row>
    <row r="309" spans="1:6" x14ac:dyDescent="0.2">
      <c r="A309" s="627">
        <v>10</v>
      </c>
      <c r="B309" s="628" t="str">
        <f t="shared" si="6"/>
        <v>Kaspar Mänd</v>
      </c>
      <c r="C309" s="616">
        <v>14</v>
      </c>
      <c r="F309" s="626"/>
    </row>
    <row r="310" spans="1:6" x14ac:dyDescent="0.2">
      <c r="A310" s="627">
        <v>11</v>
      </c>
      <c r="B310" s="628" t="str">
        <f t="shared" si="6"/>
        <v>Sirje Maala</v>
      </c>
      <c r="C310" s="616">
        <v>12</v>
      </c>
      <c r="F310" s="626"/>
    </row>
    <row r="311" spans="1:6" x14ac:dyDescent="0.2">
      <c r="A311" s="627">
        <v>12</v>
      </c>
      <c r="B311" s="628" t="str">
        <f t="shared" si="6"/>
        <v>Enn Tokman</v>
      </c>
      <c r="C311" s="616">
        <v>10</v>
      </c>
      <c r="F311" s="626"/>
    </row>
    <row r="312" spans="1:6" x14ac:dyDescent="0.2">
      <c r="A312" s="627">
        <v>13</v>
      </c>
      <c r="B312" s="628" t="str">
        <f t="shared" si="6"/>
        <v>Tarmo Bombe</v>
      </c>
      <c r="C312" s="616">
        <v>8</v>
      </c>
      <c r="F312" s="626"/>
    </row>
    <row r="313" spans="1:6" x14ac:dyDescent="0.2">
      <c r="A313" s="627">
        <v>14</v>
      </c>
      <c r="B313" s="628" t="str">
        <f t="shared" si="6"/>
        <v>Illar Tõnurist</v>
      </c>
      <c r="C313" s="616">
        <v>6</v>
      </c>
      <c r="F313" s="626"/>
    </row>
  </sheetData>
  <conditionalFormatting sqref="C8:C21">
    <cfRule type="expression" dxfId="696" priority="15">
      <formula>IF($C8&gt;$E8,TRUE)</formula>
    </cfRule>
  </conditionalFormatting>
  <conditionalFormatting sqref="E8:E21">
    <cfRule type="expression" dxfId="695" priority="16">
      <formula>IF($C8&lt;$E8,TRUE)</formula>
    </cfRule>
  </conditionalFormatting>
  <conditionalFormatting sqref="K8:K21">
    <cfRule type="expression" dxfId="694" priority="23">
      <formula>IF($K8&gt;$M8,TRUE)</formula>
    </cfRule>
  </conditionalFormatting>
  <conditionalFormatting sqref="M8:M21">
    <cfRule type="expression" dxfId="693" priority="24">
      <formula>IF($K8&lt;$M8,TRUE)</formula>
    </cfRule>
  </conditionalFormatting>
  <conditionalFormatting sqref="O8:O21">
    <cfRule type="expression" dxfId="692" priority="27">
      <formula>IF($O8&gt;$Q8,TRUE)</formula>
    </cfRule>
  </conditionalFormatting>
  <conditionalFormatting sqref="Q8:Q21">
    <cfRule type="expression" dxfId="691" priority="28">
      <formula>IF($O8&lt;$Q8,TRUE)</formula>
    </cfRule>
  </conditionalFormatting>
  <conditionalFormatting sqref="S8:S21">
    <cfRule type="expression" dxfId="690" priority="31">
      <formula>IF($S8&gt;$U8,TRUE)</formula>
    </cfRule>
  </conditionalFormatting>
  <conditionalFormatting sqref="U8:U21">
    <cfRule type="expression" dxfId="689" priority="32">
      <formula>IF($S8&lt;$U8,TRUE)</formula>
    </cfRule>
  </conditionalFormatting>
  <conditionalFormatting sqref="G8:G21">
    <cfRule type="expression" dxfId="688" priority="19">
      <formula>IF($G8&gt;$I8,TRUE)</formula>
    </cfRule>
  </conditionalFormatting>
  <conditionalFormatting sqref="I8:I21">
    <cfRule type="expression" dxfId="687" priority="20">
      <formula>IF($G8&lt;$I8,TRUE)</formula>
    </cfRule>
  </conditionalFormatting>
  <conditionalFormatting sqref="F8:F21">
    <cfRule type="containsText" dxfId="686" priority="6" operator="containsText" text="vaba voor">
      <formula>NOT(ISERROR(SEARCH("vaba voor",F8)))</formula>
    </cfRule>
  </conditionalFormatting>
  <conditionalFormatting sqref="N8:N21">
    <cfRule type="containsText" dxfId="685" priority="4" operator="containsText" text="vaba voor">
      <formula>NOT(ISERROR(SEARCH("vaba voor",N8)))</formula>
    </cfRule>
  </conditionalFormatting>
  <conditionalFormatting sqref="R8:R21">
    <cfRule type="containsText" dxfId="684" priority="7" operator="containsText" text="vaba voor">
      <formula>NOT(ISERROR(SEARCH("vaba voor",R8)))</formula>
    </cfRule>
  </conditionalFormatting>
  <conditionalFormatting sqref="V8:V21">
    <cfRule type="containsText" dxfId="683" priority="3" operator="containsText" text="vaba voor">
      <formula>NOT(ISERROR(SEARCH("vaba voor",V8)))</formula>
    </cfRule>
  </conditionalFormatting>
  <conditionalFormatting sqref="J8:J21">
    <cfRule type="containsText" dxfId="682" priority="5" operator="containsText" text="vaba voor">
      <formula>NOT(ISERROR(SEARCH("vaba voor",J8)))</formula>
    </cfRule>
  </conditionalFormatting>
  <conditionalFormatting sqref="C8:F21">
    <cfRule type="expression" dxfId="681" priority="11">
      <formula>IF(AND(ISNUMBER($C8),$C8=$E8),TRUE)</formula>
    </cfRule>
    <cfRule type="expression" dxfId="680" priority="13">
      <formula>IF($C8&gt;$E8,TRUE)</formula>
    </cfRule>
    <cfRule type="expression" dxfId="679" priority="14">
      <formula>IF($C8&lt;$E8,TRUE)</formula>
    </cfRule>
  </conditionalFormatting>
  <conditionalFormatting sqref="G8:J21">
    <cfRule type="expression" dxfId="678" priority="12">
      <formula>IF(AND(ISNUMBER($G8),$G8=$I8),TRUE)</formula>
    </cfRule>
    <cfRule type="expression" dxfId="677" priority="17">
      <formula>IF($G8&gt;$I8,TRUE)</formula>
    </cfRule>
    <cfRule type="expression" dxfId="676" priority="18">
      <formula>IF($G8&lt;$I8,TRUE)</formula>
    </cfRule>
  </conditionalFormatting>
  <conditionalFormatting sqref="K8:N21">
    <cfRule type="expression" dxfId="675" priority="10">
      <formula>IF(AND(ISNUMBER($K8),$K8=$M8),TRUE)</formula>
    </cfRule>
    <cfRule type="expression" dxfId="674" priority="21">
      <formula>IF($K8&gt;$M8,TRUE)</formula>
    </cfRule>
    <cfRule type="expression" dxfId="673" priority="22">
      <formula>IF($K8&lt;$M8,TRUE)</formula>
    </cfRule>
  </conditionalFormatting>
  <conditionalFormatting sqref="O8:R21">
    <cfRule type="expression" dxfId="672" priority="9">
      <formula>IF(AND(ISNUMBER($O8),$O8=$Q8),TRUE)</formula>
    </cfRule>
    <cfRule type="expression" dxfId="671" priority="25">
      <formula>IF($O8&gt;$Q8,TRUE)</formula>
    </cfRule>
    <cfRule type="expression" dxfId="670" priority="26">
      <formula>IF($O8&lt;$Q8,TRUE)</formula>
    </cfRule>
  </conditionalFormatting>
  <conditionalFormatting sqref="S8:V21">
    <cfRule type="expression" dxfId="669" priority="8">
      <formula>IF(AND(ISNUMBER($S8),$S8=$U8),TRUE)</formula>
    </cfRule>
    <cfRule type="expression" dxfId="668" priority="29">
      <formula>IF($S8&gt;$U8,TRUE)</formula>
    </cfRule>
    <cfRule type="expression" dxfId="667" priority="30">
      <formula>IF($S8&lt;$U8,TRUE)</formula>
    </cfRule>
  </conditionalFormatting>
  <conditionalFormatting sqref="C8:C21 G8:G21 K8:K21 O8:O21 S8:S21">
    <cfRule type="expression" dxfId="666" priority="1">
      <formula>AND(C8=0,E8=13)</formula>
    </cfRule>
  </conditionalFormatting>
  <conditionalFormatting sqref="E8:E21 I8:I21 M8:M21 Q8:Q21 U8:U21">
    <cfRule type="expression" dxfId="665" priority="2">
      <formula>AND(E8=0,C8=13)</formula>
    </cfRule>
  </conditionalFormatting>
  <conditionalFormatting sqref="A8:A21">
    <cfRule type="duplicateValues" dxfId="664" priority="34"/>
  </conditionalFormatting>
  <conditionalFormatting sqref="AF8:AF21">
    <cfRule type="expression" dxfId="663" priority="40">
      <formula>AND(AG8="",COUNTIF(AF8,"*,*")=0)</formula>
    </cfRule>
  </conditionalFormatting>
  <conditionalFormatting sqref="A300:A313">
    <cfRule type="duplicateValues" dxfId="662" priority="2606"/>
  </conditionalFormatting>
  <conditionalFormatting sqref="B300:B313">
    <cfRule type="expression" dxfId="661" priority="2607">
      <formula>A300=3</formula>
    </cfRule>
    <cfRule type="expression" dxfId="660" priority="2608">
      <formula>A300=2</formula>
    </cfRule>
    <cfRule type="expression" dxfId="659" priority="2609">
      <formula>A300=1</formula>
    </cfRule>
    <cfRule type="containsBlanks" dxfId="658" priority="2610">
      <formula>LEN(TRIM(B300))=0</formula>
    </cfRule>
    <cfRule type="duplicateValues" dxfId="657" priority="2611"/>
  </conditionalFormatting>
  <pageMargins left="0.39370078740157483" right="0.27559055118110237" top="0.78740157480314965" bottom="0.39370078740157483" header="0.59055118110236227" footer="0"/>
  <pageSetup paperSize="9" fitToHeight="0" orientation="landscape" r:id="rId1"/>
  <headerFooter>
    <oddHeader>&amp;R&amp;9Page &amp;P of &amp;N</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BR61"/>
  <sheetViews>
    <sheetView showGridLines="0" showRowColHeaders="0" zoomScaleNormal="100" workbookViewId="0">
      <pane ySplit="6" topLeftCell="A7" activePane="bottomLeft" state="frozen"/>
      <selection activeCell="I1" sqref="I1"/>
      <selection pane="bottomLeft" activeCell="AB1" sqref="AB1"/>
    </sheetView>
  </sheetViews>
  <sheetFormatPr defaultRowHeight="12.75" x14ac:dyDescent="0.2"/>
  <cols>
    <col min="1" max="1" width="4" style="581" customWidth="1"/>
    <col min="2" max="2" width="7.42578125" style="581" hidden="1" customWidth="1"/>
    <col min="3" max="3" width="5" style="581" hidden="1" customWidth="1"/>
    <col min="4" max="4" width="9.140625" style="581" hidden="1" customWidth="1"/>
    <col min="5" max="5" width="3" style="581" hidden="1" customWidth="1"/>
    <col min="6" max="6" width="6.5703125" style="581" hidden="1" customWidth="1"/>
    <col min="7" max="7" width="3" style="581" customWidth="1"/>
    <col min="8" max="8" width="6.7109375" style="581" hidden="1" customWidth="1"/>
    <col min="9" max="9" width="3" style="581" customWidth="1"/>
    <col min="10" max="10" width="8.28515625" style="581" hidden="1" customWidth="1"/>
    <col min="11" max="11" width="3.7109375" style="581" customWidth="1"/>
    <col min="12" max="12" width="18.42578125" style="581" customWidth="1"/>
    <col min="13" max="17" width="3" style="581" hidden="1" customWidth="1"/>
    <col min="18" max="18" width="7.5703125" style="581" bestFit="1" customWidth="1"/>
    <col min="19" max="19" width="23" style="581" hidden="1" customWidth="1"/>
    <col min="20" max="20" width="28.28515625" style="581" hidden="1" customWidth="1"/>
    <col min="21" max="21" width="9" style="581" hidden="1" customWidth="1"/>
    <col min="22" max="22" width="7.5703125" style="581" hidden="1" customWidth="1"/>
    <col min="23" max="23" width="32" style="581" hidden="1" customWidth="1"/>
    <col min="24" max="24" width="11.28515625" style="581" hidden="1" customWidth="1"/>
    <col min="25" max="25" width="20.7109375" style="581" hidden="1" customWidth="1"/>
    <col min="26" max="35" width="3.7109375" style="581" customWidth="1"/>
    <col min="36" max="38" width="3.28515625" style="581" customWidth="1"/>
    <col min="39" max="44" width="9.140625" style="581"/>
    <col min="45" max="55" width="9.140625" style="581" hidden="1" customWidth="1"/>
    <col min="56" max="60" width="9.140625" style="581"/>
    <col min="61" max="70" width="9.140625" style="581" hidden="1" customWidth="1"/>
    <col min="71" max="16384" width="9.140625" style="581"/>
  </cols>
  <sheetData>
    <row r="1" spans="1:70" x14ac:dyDescent="0.2">
      <c r="A1" s="642"/>
      <c r="B1" s="648"/>
      <c r="C1" s="717"/>
      <c r="D1" s="717"/>
      <c r="E1" s="717"/>
      <c r="F1" s="717"/>
      <c r="G1" s="688"/>
      <c r="H1" s="717"/>
      <c r="I1" s="740" t="s">
        <v>452</v>
      </c>
      <c r="J1" s="717"/>
      <c r="K1" s="688"/>
      <c r="L1" s="642"/>
      <c r="M1" s="644"/>
      <c r="N1" s="644"/>
      <c r="O1" s="644"/>
      <c r="P1" s="741"/>
      <c r="Q1" s="741"/>
      <c r="R1" s="643"/>
      <c r="S1" s="644"/>
      <c r="T1" s="644"/>
      <c r="U1" s="644"/>
      <c r="V1" s="644"/>
      <c r="W1" s="644"/>
      <c r="X1" s="644"/>
      <c r="Y1" s="644"/>
      <c r="Z1" s="643"/>
      <c r="AA1" s="643"/>
      <c r="AB1" s="643"/>
      <c r="AC1" s="643"/>
      <c r="AD1" s="643"/>
      <c r="AE1" s="643"/>
      <c r="AF1" s="643" t="s">
        <v>167</v>
      </c>
      <c r="AG1" s="643"/>
      <c r="AH1" s="742" t="s">
        <v>54</v>
      </c>
      <c r="AJ1" s="646" t="s">
        <v>55</v>
      </c>
      <c r="AK1" s="646"/>
      <c r="AL1" s="641"/>
      <c r="AM1" s="642"/>
      <c r="AS1" s="582" t="s">
        <v>53</v>
      </c>
      <c r="AT1" s="648"/>
      <c r="AU1" s="648"/>
      <c r="AV1" s="648"/>
      <c r="AW1" s="648"/>
      <c r="AX1" s="648"/>
      <c r="AY1" s="648"/>
      <c r="AZ1" s="648"/>
      <c r="BA1" s="648"/>
      <c r="BB1" s="648"/>
      <c r="BC1" s="648"/>
      <c r="BI1" s="582" t="s">
        <v>53</v>
      </c>
      <c r="BJ1" s="648"/>
      <c r="BK1" s="648"/>
      <c r="BL1" s="648"/>
      <c r="BM1" s="648"/>
      <c r="BN1" s="648"/>
      <c r="BO1" s="648"/>
      <c r="BP1" s="648"/>
      <c r="BQ1" s="648"/>
      <c r="BR1" s="648"/>
    </row>
    <row r="2" spans="1:70" x14ac:dyDescent="0.2">
      <c r="A2" s="642"/>
      <c r="B2" s="642"/>
      <c r="C2" s="688"/>
      <c r="D2" s="688"/>
      <c r="E2" s="688"/>
      <c r="F2" s="688"/>
      <c r="G2" s="688"/>
      <c r="H2" s="688"/>
      <c r="I2" s="743" t="s">
        <v>451</v>
      </c>
      <c r="J2" s="688"/>
      <c r="K2" s="688"/>
      <c r="L2" s="642"/>
      <c r="M2" s="643"/>
      <c r="N2" s="643"/>
      <c r="O2" s="643"/>
      <c r="P2" s="744"/>
      <c r="Q2" s="744"/>
      <c r="R2" s="643"/>
      <c r="S2" s="643"/>
      <c r="T2" s="643"/>
      <c r="U2" s="643"/>
      <c r="V2" s="643"/>
      <c r="W2" s="643"/>
      <c r="X2" s="643"/>
      <c r="Y2" s="643"/>
      <c r="Z2" s="643"/>
      <c r="AA2" s="643"/>
      <c r="AB2" s="643"/>
      <c r="AC2" s="643"/>
      <c r="AD2" s="643"/>
      <c r="AE2" s="643"/>
      <c r="AF2" s="643"/>
      <c r="AG2" s="745"/>
      <c r="AH2" s="745"/>
      <c r="AI2" s="745"/>
      <c r="AJ2" s="648" t="s">
        <v>56</v>
      </c>
      <c r="AK2" s="648"/>
      <c r="AL2" s="642"/>
      <c r="AM2" s="642"/>
      <c r="AS2" s="642"/>
      <c r="AT2" s="642"/>
      <c r="AU2" s="642"/>
      <c r="AV2" s="642"/>
      <c r="AW2" s="642"/>
      <c r="AX2" s="642"/>
      <c r="AY2" s="642"/>
      <c r="AZ2" s="642"/>
      <c r="BA2" s="642"/>
      <c r="BB2" s="642"/>
      <c r="BC2" s="642"/>
    </row>
    <row r="3" spans="1:70" x14ac:dyDescent="0.2">
      <c r="A3" s="642"/>
      <c r="B3" s="642"/>
      <c r="C3" s="688"/>
      <c r="D3" s="688"/>
      <c r="E3" s="688"/>
      <c r="F3" s="688"/>
      <c r="G3" s="688"/>
      <c r="H3" s="688"/>
      <c r="I3" s="746"/>
      <c r="J3" s="688"/>
      <c r="K3" s="688"/>
      <c r="L3" s="642"/>
      <c r="M3" s="643"/>
      <c r="N3" s="643"/>
      <c r="O3" s="643"/>
      <c r="P3" s="744"/>
      <c r="Q3" s="744"/>
      <c r="R3" s="643"/>
      <c r="S3" s="643"/>
      <c r="T3" s="643"/>
      <c r="U3" s="643"/>
      <c r="V3" s="643"/>
      <c r="W3" s="643"/>
      <c r="X3" s="643"/>
      <c r="Y3" s="643"/>
      <c r="Z3" s="643"/>
      <c r="AA3" s="643"/>
      <c r="AB3" s="643"/>
      <c r="AC3" s="643"/>
      <c r="AD3" s="643"/>
      <c r="AE3" s="643"/>
      <c r="AF3" s="643"/>
      <c r="AG3" s="643"/>
      <c r="AH3" s="643"/>
      <c r="AI3" s="643"/>
      <c r="AJ3" s="650" t="s">
        <v>57</v>
      </c>
      <c r="AK3" s="650"/>
      <c r="AL3" s="642"/>
      <c r="AM3" s="642"/>
      <c r="AS3" s="651">
        <v>1</v>
      </c>
      <c r="AT3" s="652" t="s">
        <v>168</v>
      </c>
      <c r="AU3" s="653"/>
      <c r="AV3" s="653"/>
      <c r="AW3" s="653"/>
      <c r="AX3" s="642"/>
      <c r="AY3" s="642"/>
      <c r="AZ3" s="642"/>
      <c r="BA3" s="642"/>
      <c r="BB3" s="642"/>
      <c r="BC3" s="642"/>
    </row>
    <row r="4" spans="1:70" ht="29.25" x14ac:dyDescent="0.2">
      <c r="A4" s="654"/>
      <c r="B4" s="654"/>
      <c r="C4" s="654"/>
      <c r="D4" s="654"/>
      <c r="E4" s="654"/>
      <c r="F4" s="654"/>
      <c r="G4" s="654"/>
      <c r="H4" s="654"/>
      <c r="I4" s="654"/>
      <c r="J4" s="654"/>
      <c r="K4" s="654"/>
      <c r="L4" s="654"/>
      <c r="M4" s="654"/>
      <c r="N4" s="654"/>
      <c r="O4" s="654"/>
      <c r="P4" s="654"/>
      <c r="Q4" s="654"/>
      <c r="R4" s="654"/>
      <c r="S4" s="656" t="s">
        <v>169</v>
      </c>
      <c r="T4" s="656"/>
      <c r="U4" s="657" t="s">
        <v>170</v>
      </c>
      <c r="V4" s="656" t="s">
        <v>171</v>
      </c>
      <c r="W4" s="656" t="s">
        <v>172</v>
      </c>
      <c r="X4" s="656"/>
      <c r="Y4" s="658" t="s">
        <v>489</v>
      </c>
      <c r="Z4" s="747" t="str">
        <f>MID(Kalend!$A6,4,5)</f>
        <v>24.05</v>
      </c>
      <c r="AA4" s="747" t="str">
        <f>MID(Kalend!$A13,4,5)</f>
        <v>14.06</v>
      </c>
      <c r="AB4" s="748" t="str">
        <f>MID(Kalend!$A28,4,5)</f>
        <v>16.08</v>
      </c>
      <c r="AC4" s="747" t="str">
        <f>MID(Kalend!$A21,4,5)</f>
        <v>05.07</v>
      </c>
      <c r="AD4" s="747" t="str">
        <f>MID(Kalend!$A22,4,5)</f>
        <v>12.07</v>
      </c>
      <c r="AE4" s="747" t="str">
        <f>MID(Kalend!$A25,4,5)</f>
        <v>26.07</v>
      </c>
      <c r="AF4" s="747" t="str">
        <f>MID(Kalend!$A27,4,5)</f>
        <v>09.08</v>
      </c>
      <c r="AG4" s="747" t="str">
        <f>MID(Kalend!$A29,4,5)</f>
        <v>23.08</v>
      </c>
      <c r="AH4" s="747" t="str">
        <f>MID(Kalend!$A34,4,5)</f>
        <v>06.09</v>
      </c>
      <c r="AI4" s="747" t="str">
        <f>MID(Kalend!$A36,4,5)</f>
        <v>20.09</v>
      </c>
      <c r="AJ4" s="1446" t="s">
        <v>66</v>
      </c>
      <c r="AK4" s="1447" t="s">
        <v>67</v>
      </c>
      <c r="AL4" s="1448" t="s">
        <v>68</v>
      </c>
      <c r="AM4" s="642"/>
      <c r="AS4" s="642"/>
      <c r="AV4" s="642"/>
      <c r="AW4" s="642"/>
      <c r="AX4" s="642"/>
      <c r="AY4" s="642"/>
      <c r="AZ4" s="642"/>
      <c r="BA4" s="642"/>
      <c r="BB4" s="642"/>
      <c r="BC4" s="642"/>
    </row>
    <row r="5" spans="1:70" x14ac:dyDescent="0.2">
      <c r="A5" s="749" t="s">
        <v>20</v>
      </c>
      <c r="B5" s="750"/>
      <c r="C5" s="750"/>
      <c r="D5" s="750"/>
      <c r="E5" s="751" t="s">
        <v>20</v>
      </c>
      <c r="F5" s="750"/>
      <c r="G5" s="751" t="s">
        <v>20</v>
      </c>
      <c r="H5" s="750"/>
      <c r="I5" s="751"/>
      <c r="J5" s="750"/>
      <c r="K5" s="752" t="s">
        <v>69</v>
      </c>
      <c r="L5" s="660"/>
      <c r="M5" s="753" t="s">
        <v>20</v>
      </c>
      <c r="N5" s="753" t="s">
        <v>20</v>
      </c>
      <c r="O5" s="753" t="s">
        <v>20</v>
      </c>
      <c r="P5" s="753" t="s">
        <v>20</v>
      </c>
      <c r="Q5" s="753" t="s">
        <v>20</v>
      </c>
      <c r="R5" s="680" t="s">
        <v>70</v>
      </c>
      <c r="S5" s="663" t="s">
        <v>173</v>
      </c>
      <c r="T5" s="664"/>
      <c r="U5" s="665" t="s">
        <v>174</v>
      </c>
      <c r="V5" s="666"/>
      <c r="W5" s="666"/>
      <c r="X5" s="666"/>
      <c r="Y5" s="667" t="s">
        <v>175</v>
      </c>
      <c r="Z5" s="754" t="s">
        <v>72</v>
      </c>
      <c r="AA5" s="754" t="s">
        <v>72</v>
      </c>
      <c r="AB5" s="754" t="s">
        <v>72</v>
      </c>
      <c r="AC5" s="754" t="s">
        <v>72</v>
      </c>
      <c r="AD5" s="754" t="s">
        <v>72</v>
      </c>
      <c r="AE5" s="754" t="s">
        <v>72</v>
      </c>
      <c r="AF5" s="754" t="s">
        <v>72</v>
      </c>
      <c r="AG5" s="754" t="s">
        <v>72</v>
      </c>
      <c r="AH5" s="754" t="s">
        <v>72</v>
      </c>
      <c r="AI5" s="754" t="s">
        <v>72</v>
      </c>
      <c r="AJ5" s="1446"/>
      <c r="AK5" s="1447"/>
      <c r="AL5" s="1448"/>
      <c r="AM5" s="642"/>
      <c r="AS5" s="642"/>
      <c r="AT5" s="642"/>
      <c r="AU5" s="642"/>
      <c r="AV5" s="642"/>
      <c r="AW5" s="642"/>
      <c r="AX5" s="642"/>
      <c r="AY5" s="642"/>
      <c r="AZ5" s="642"/>
      <c r="BA5" s="642"/>
      <c r="BB5" s="642"/>
      <c r="BC5" s="642"/>
    </row>
    <row r="6" spans="1:70" x14ac:dyDescent="0.2">
      <c r="A6" s="755" t="s">
        <v>176</v>
      </c>
      <c r="B6" s="756" t="s">
        <v>176</v>
      </c>
      <c r="C6" s="757" t="s">
        <v>177</v>
      </c>
      <c r="D6" s="756" t="s">
        <v>178</v>
      </c>
      <c r="E6" s="758" t="s">
        <v>179</v>
      </c>
      <c r="F6" s="756" t="s">
        <v>180</v>
      </c>
      <c r="G6" s="759" t="s">
        <v>74</v>
      </c>
      <c r="H6" s="756" t="s">
        <v>181</v>
      </c>
      <c r="I6" s="760" t="s">
        <v>75</v>
      </c>
      <c r="J6" s="756" t="s">
        <v>182</v>
      </c>
      <c r="K6" s="761" t="s">
        <v>76</v>
      </c>
      <c r="L6" s="670" t="s">
        <v>77</v>
      </c>
      <c r="M6" s="671" t="s">
        <v>74</v>
      </c>
      <c r="N6" s="762" t="s">
        <v>179</v>
      </c>
      <c r="O6" s="672" t="s">
        <v>75</v>
      </c>
      <c r="P6" s="763" t="s">
        <v>78</v>
      </c>
      <c r="Q6" s="764" t="s">
        <v>183</v>
      </c>
      <c r="R6" s="673" t="s">
        <v>78</v>
      </c>
      <c r="S6" s="674" t="s">
        <v>184</v>
      </c>
      <c r="T6" s="674" t="s">
        <v>80</v>
      </c>
      <c r="U6" s="674" t="s">
        <v>185</v>
      </c>
      <c r="V6" s="675" t="s">
        <v>186</v>
      </c>
      <c r="W6" s="674" t="s">
        <v>83</v>
      </c>
      <c r="X6" s="674" t="s">
        <v>187</v>
      </c>
      <c r="Y6" s="674" t="s">
        <v>188</v>
      </c>
      <c r="Z6" s="765" t="str">
        <f>HYPERLINK("#V1!N1","V1")</f>
        <v>V1</v>
      </c>
      <c r="AA6" s="766" t="str">
        <f>HYPERLINK("#V2!N1","V2")</f>
        <v>V2</v>
      </c>
      <c r="AB6" s="767" t="str">
        <f>HYPERLINK("#V3!N1","V3")</f>
        <v>V3</v>
      </c>
      <c r="AC6" s="766" t="str">
        <f>HYPERLINK("#V4!N1","V4")</f>
        <v>V4</v>
      </c>
      <c r="AD6" s="766" t="str">
        <f>HYPERLINK("#V5!N1","V5")</f>
        <v>V5</v>
      </c>
      <c r="AE6" s="766" t="str">
        <f>HYPERLINK("#V6!N1","V6")</f>
        <v>V6</v>
      </c>
      <c r="AF6" s="765" t="str">
        <f>HYPERLINK("#V7!N1","V7")</f>
        <v>V7</v>
      </c>
      <c r="AG6" s="766" t="str">
        <f>HYPERLINK("#V8!N1","V8")</f>
        <v>V8</v>
      </c>
      <c r="AH6" s="766" t="str">
        <f>HYPERLINK("#V9!N1","V9")</f>
        <v>V9</v>
      </c>
      <c r="AI6" s="766" t="str">
        <f>HYPERLINK("#V10!N1","V10")</f>
        <v>V10</v>
      </c>
      <c r="AJ6" s="677"/>
      <c r="AK6" s="678"/>
      <c r="AL6" s="679"/>
      <c r="AM6" s="642"/>
      <c r="AS6" s="642"/>
      <c r="AT6" s="642"/>
      <c r="AU6" s="642"/>
      <c r="AV6" s="642"/>
      <c r="AW6" s="642"/>
      <c r="AX6" s="642"/>
      <c r="AY6" s="642"/>
      <c r="AZ6" s="642"/>
      <c r="BA6" s="642"/>
      <c r="BB6" s="642"/>
      <c r="BC6" s="642"/>
      <c r="BI6" s="581">
        <f t="shared" ref="BI6:BR6" si="0">LARGE(Z7:Z56,1)</f>
        <v>22</v>
      </c>
      <c r="BJ6" s="581">
        <f t="shared" si="0"/>
        <v>20</v>
      </c>
      <c r="BK6" s="581">
        <f t="shared" si="0"/>
        <v>20</v>
      </c>
      <c r="BL6" s="581">
        <f t="shared" si="0"/>
        <v>22</v>
      </c>
      <c r="BM6" s="581">
        <f t="shared" si="0"/>
        <v>20</v>
      </c>
      <c r="BN6" s="581">
        <f t="shared" si="0"/>
        <v>20</v>
      </c>
      <c r="BO6" s="581">
        <f t="shared" si="0"/>
        <v>26</v>
      </c>
      <c r="BP6" s="581">
        <f t="shared" si="0"/>
        <v>22</v>
      </c>
      <c r="BQ6" s="581">
        <f t="shared" si="0"/>
        <v>16</v>
      </c>
      <c r="BR6" s="581">
        <f t="shared" si="0"/>
        <v>16</v>
      </c>
    </row>
    <row r="7" spans="1:70" x14ac:dyDescent="0.2">
      <c r="A7" s="768">
        <f t="shared" ref="A7:A38" si="1">IF(R7&gt;0,IF(Q7="v",RANK(B7,B$7:B$56,1)-COUNTBLANK(Q$7:Q$56),""),"")</f>
        <v>1</v>
      </c>
      <c r="B7" s="769">
        <f t="shared" ref="B7:B38" si="2">IF((Q7="v"),U7,U7-1000)</f>
        <v>2</v>
      </c>
      <c r="C7" s="770">
        <f t="shared" ref="C7:C38" si="3">IF(R7&gt;0,IF(P7="k",RANK(D7,D$7:D$56,1)-COUNTBLANK(P$7:P$56),""),"")</f>
        <v>1</v>
      </c>
      <c r="D7" s="769">
        <f t="shared" ref="D7:D38" si="4">IF((P7="k"),U7,U7-1000)</f>
        <v>2</v>
      </c>
      <c r="E7" s="771">
        <f t="shared" ref="E7:E38" si="5">IF(R7&gt;0,IF(N7="m",RANK(F7,F$7:F$56,1)-COUNTBLANK(N$7:N$56),""),"")</f>
        <v>1</v>
      </c>
      <c r="F7" s="769">
        <f t="shared" ref="F7:F38" si="6">IF((N7="m"),U7,U7-1000)</f>
        <v>2</v>
      </c>
      <c r="G7" s="772" t="str">
        <f t="shared" ref="G7:G38" si="7">IF(R7&gt;0,IF(M7="n",RANK(H7,H$7:H$56,1)-COUNTBLANK(M$7:M$56),""),"")</f>
        <v/>
      </c>
      <c r="H7" s="769">
        <f t="shared" ref="H7:H38" si="8">IF((M7="n"),U7,U7-1000)</f>
        <v>-998</v>
      </c>
      <c r="I7" s="773" t="str">
        <f t="shared" ref="I7:I38" si="9">IF(R7&gt;0,IF(O7="j",RANK(J7,J$7:J$56,1)-COUNTBLANK(O$7:O$56),""),"")</f>
        <v/>
      </c>
      <c r="J7" s="774">
        <f t="shared" ref="J7:J38" si="10">IF((O7="j"),U7,U7-1000)</f>
        <v>-998</v>
      </c>
      <c r="K7" s="680">
        <f t="shared" ref="K7:K38" si="11">IF(R7&gt;0,RANK(U7,U$7:U$56,1),"")</f>
        <v>1</v>
      </c>
      <c r="L7" s="681" t="s">
        <v>90</v>
      </c>
      <c r="M7" s="682"/>
      <c r="N7" s="775" t="str">
        <f>IF(M7="","m","")</f>
        <v>m</v>
      </c>
      <c r="O7" s="683"/>
      <c r="P7" s="776" t="s">
        <v>190</v>
      </c>
      <c r="Q7" s="777" t="s">
        <v>189</v>
      </c>
      <c r="R7" s="673">
        <f>(IF(COUNT(Z7,AA7,AB7,AC7,AD7,AE7,AF7,AG7,AH7,AI7)&lt;9,SUM(Z7,AA7,AB7,AC7,AD7,AE7,AF7,AG7,AH7,AI7),SUM(LARGE((Z7,AA7,AB7,AC7,AD7,AE7,AF7,AG7,AH7,AI7),{1;2;3;4;5;6;7;8;9}))))</f>
        <v>140</v>
      </c>
      <c r="S7" s="684" t="str">
        <f>INDEX(ETAPP!B$1:B$32,MATCH(COUNTIF(BI7:BR7,1),ETAPP!A$1:A$32,0))&amp;INDEX(ETAPP!B$1:B$32,MATCH(COUNTIF(BI7:BR7,2),ETAPP!A$1:A$32,0))&amp;INDEX(ETAPP!B$1:B$32,MATCH(COUNTIF(BI7:BR7,3),ETAPP!A$1:A$32,0))&amp;INDEX(ETAPP!B$1:B$32,MATCH(COUNTIF(BI7:BR7,4),ETAPP!A$1:A$32,0))&amp;INDEX(ETAPP!B$1:B$32,MATCH(COUNTIF(BI7:BR7,5),ETAPP!A$1:A$32,0))&amp;INDEX(ETAPP!B$1:B$32,MATCH(COUNTIF(BI7:BR7,6),ETAPP!A$1:A$32,0))&amp;INDEX(ETAPP!B$1:B$32,MATCH(COUNTIF(BI7:BR7,7),ETAPP!A$1:A$32,0))&amp;INDEX(ETAPP!B$1:B$32,MATCH(COUNTIF(BI7:BR7,8),ETAPP!A$1:A$32,0))&amp;INDEX(ETAPP!B$1:B$32,MATCH(COUNTIF(BI7:BR7,9),ETAPP!A$1:A$32,0))&amp;INDEX(ETAPP!B$1:B$32,MATCH(COUNTIF(BI7:BR7,10),ETAPP!A$1:A$32,0))&amp;INDEX(ETAPP!B$1:B$32,MATCH(COUNTIF(BI7:BR7,11),ETAPP!A$1:A$32,0))&amp;INDEX(ETAPP!B$1:B$32,MATCH(COUNTIF(BI7:BR7,12),ETAPP!A$1:A$32,0))&amp;INDEX(ETAPP!B$1:B$32,MATCH(COUNTIF(BI7:BR7,13),ETAPP!A$1:A$32,0))&amp;INDEX(ETAPP!B$1:B$32,MATCH(COUNTIF(BI7:BR7,14),ETAPP!A$1:A$32,0))&amp;INDEX(ETAPP!B$1:B$32,MATCH(COUNTIF(BI7:BR7,15),ETAPP!A$1:A$32,0))&amp;INDEX(ETAPP!B$1:B$32,MATCH(COUNTIF(BI7:BR7,16),ETAPP!A$1:A$32,0))&amp;INDEX(ETAPP!B$1:B$32,MATCH(COUNTIF(BI7:BR7,17),ETAPP!A$1:A$32,0))&amp;INDEX(ETAPP!B$1:B$32,MATCH(COUNTIF(BI7:BR7,18),ETAPP!A$1:A$32,0))&amp;INDEX(ETAPP!B$1:B$32,MATCH(COUNTIF(BI7:BR7,19),ETAPP!A$1:A$32,0))&amp;INDEX(ETAPP!B$1:B$32,MATCH(COUNTIF(BI7:BR7,20),ETAPP!A$1:A$32,0))&amp;INDEX(ETAPP!B$1:B$32,MATCH(COUNTIF(BI7:BR7,21),ETAPP!A$1:A$32,0))</f>
        <v>AC0BAAB00000000000000</v>
      </c>
      <c r="T7" s="684" t="str">
        <f t="shared" ref="T7:T38" si="12">TEXT(R7,"000,0")&amp;"-"&amp;S7</f>
        <v>140,0-AC0BAAB00000000000000</v>
      </c>
      <c r="U7" s="684">
        <f t="shared" ref="U7:U38" si="13">COUNTIF(T$7:T$56,"&gt;="&amp;T7)</f>
        <v>2</v>
      </c>
      <c r="V7" s="684">
        <f t="shared" ref="V7:V38" si="14">COUNTIF(L$7:L$56,"&gt;="&amp;L7)</f>
        <v>31</v>
      </c>
      <c r="W7" s="684" t="str">
        <f t="shared" ref="W7:W38" si="15">TEXT(R7,"000,0")&amp;"-"&amp;S7&amp;"-"&amp;TEXT(V7,"000")</f>
        <v>140,0-AC0BAAB00000000000000-031</v>
      </c>
      <c r="X7" s="684">
        <f t="shared" ref="X7:X38" si="16">COUNTIF(W$7:W$56,"&gt;="&amp;W7)</f>
        <v>1</v>
      </c>
      <c r="Y7" s="685">
        <f t="shared" ref="Y7:Y38" si="17">RANK(X7,X$7:X$56,0)</f>
        <v>50</v>
      </c>
      <c r="Z7" s="686">
        <f>IFERROR(INDEX('V1'!C$300:C$400,MATCH("*"&amp;L7&amp;"*",'V1'!B$300:B$400,0)),"  ")</f>
        <v>22</v>
      </c>
      <c r="AA7" s="686">
        <f>IFERROR(INDEX('V2'!C$300:C$400,MATCH("*"&amp;L7&amp;"*",'V2'!B$300:B$400,0)),"  ")</f>
        <v>12</v>
      </c>
      <c r="AB7" s="686">
        <f>IFERROR(INDEX('V3'!C$300:C$400,MATCH("*"&amp;L7&amp;"*",'V3'!B$300:B$400,0)),"  ")</f>
        <v>18</v>
      </c>
      <c r="AC7" s="686">
        <f>IFERROR(INDEX('V4'!C$300:C$400,MATCH("*"&amp;L7&amp;"*",'V4'!B$300:B$400,0)),"  ")</f>
        <v>10</v>
      </c>
      <c r="AD7" s="686">
        <f>IFERROR(INDEX('V5'!C$300:C$400,MATCH("*"&amp;L7&amp;"*",'V5'!B$300:B$400,0)),"  ")</f>
        <v>14</v>
      </c>
      <c r="AE7" s="686">
        <f>IFERROR(INDEX('V6'!C$300:C$400,MATCH("*"&amp;L7&amp;"*",'V6'!B$300:B$400,0)),"  ")</f>
        <v>14</v>
      </c>
      <c r="AF7" s="686">
        <f>IFERROR(INDEX('V7'!C$300:C$400,MATCH("*"&amp;L7&amp;"*",'V7'!B$300:B$400,0)),"  ")</f>
        <v>24</v>
      </c>
      <c r="AG7" s="686">
        <f>IFERROR(INDEX('V8'!C$300:C$400,MATCH("*"&amp;L7&amp;"*",'V8'!B$300:B$400,0)),"  ")</f>
        <v>12</v>
      </c>
      <c r="AH7" s="686">
        <f>IFERROR(INDEX('V9'!C$300:C$400,MATCH("*"&amp;L7&amp;"*",'V9'!B$300:B$400,0)),"  ")</f>
        <v>14</v>
      </c>
      <c r="AI7" s="686">
        <f>IFERROR(INDEX('V10'!C$300:C$400,MATCH("*"&amp;L7&amp;"*",'V10'!B$300:B$400,0)),"  ")</f>
        <v>4</v>
      </c>
      <c r="AJ7" s="687">
        <f t="shared" ref="AJ7:AJ38" si="18">COUNTIF(Z7:AI7,"&gt;=0")</f>
        <v>10</v>
      </c>
      <c r="AK7" s="688">
        <f t="shared" ref="AK7:AK38" si="19">IFERROR(IF(Z7+1&gt;LARGE(Z$7:Z$56,3)-2,1),0)+IFERROR(IF(AA7+1&gt;LARGE(AA$7:AA$56,3)-2,1),0)+IFERROR(IF(AB7+1&gt;LARGE(AB$7:AB$56,3)-2,1),0)+IFERROR(IF(AC7+1&gt;LARGE(AC$7:AC$56,3)-2,1),0)+IFERROR(IF(AD7+1&gt;LARGE(AD$7:AD$56,3)-2,1),0)+IFERROR(IF(AE7+1&gt;LARGE(AE$7:AE$56,3)-2,1),0)+IFERROR(IF(AF7+1&gt;LARGE(AF$7:AF$56,3)-2,1),0)+IFERROR(IF(AG7+1&gt;LARGE(AG$7:AG$56,3)-2,1),0)+IFERROR(IF(AH7+1&gt;LARGE(AH$7:AH$56,3)-2,1),0)+IFERROR(IF(AI7+1&gt;LARGE(AI$7:AI$56,3)-2,1),0)</f>
        <v>4</v>
      </c>
      <c r="AL7" s="688">
        <f t="shared" ref="AL7:AL38" si="20">IF(Z7=0,0,IF(Z7=IFERROR(LARGE(Z$7:Z$56,1),0),1,0))+IF(AA7=0,0,IF(AA7=IFERROR(LARGE(AA$7:AA$56,1),0),1,0))+IF(AB7=0,0,IF(AB7=IFERROR(LARGE(AB$7:AB$56,1),0),1,0))+IF(AC7=0,0,IF(AC7=IFERROR(LARGE(AC$7:AC$56,1),0),1,0))+IF(AD7=0,0,IF(AD7=IFERROR(LARGE(AD$7:AD$56,1),0),1,0))+IF(AE7=0,0,IF(AE7=IFERROR(LARGE(AE$7:AE$56,1),0),1,0))+IF(AF7=0,0,IF(AF7=IFERROR(LARGE(AF$7:AF$56,1),0),1,0))+IF(AG7=0,0,IF(AG7=IFERROR(LARGE(AG$7:AG$56,1),0),1,0))+IF(AH7=0,0,IF(AH7=IFERROR(LARGE(AH$7:AH$56,1),0),1,0))+IF(AI7=0,0,IF(AI7=IFERROR(LARGE(AI$7:AI$56,1),0),1,0))</f>
        <v>1</v>
      </c>
      <c r="AM7" s="642"/>
      <c r="AN7" s="689"/>
      <c r="AO7" s="690"/>
      <c r="AP7" s="690"/>
      <c r="AQ7" s="690"/>
      <c r="AR7" s="690"/>
      <c r="AS7" s="689">
        <f t="shared" ref="AS7:AS38" si="21">SMALL(AT7:BC7,AS$3)</f>
        <v>4.0010000000000003</v>
      </c>
      <c r="AT7" s="690">
        <f t="shared" ref="AT7:AT38" si="22">IF(Z7="  ",0+MID(Z$6,FIND("V",Z$6)+1,256)/10000,Z7+MID(Z$6,FIND("V",Z$6)+1,256)/10000)</f>
        <v>22.0001</v>
      </c>
      <c r="AU7" s="690">
        <f t="shared" ref="AU7:AU38" si="23">IF(AA7="  ",0+MID(AA$6,FIND("V",AA$6)+1,256)/10000,AA7+MID(AA$6,FIND("V",AA$6)+1,256)/10000)</f>
        <v>12.0002</v>
      </c>
      <c r="AV7" s="690">
        <f t="shared" ref="AV7:AV38" si="24">IF(AB7="  ",0+MID(AB$6,FIND("V",AB$6)+1,256)/10000,AB7+MID(AB$6,FIND("V",AB$6)+1,256)/10000)</f>
        <v>18.000299999999999</v>
      </c>
      <c r="AW7" s="690">
        <f t="shared" ref="AW7:AW38" si="25">IF(AC7="  ",0+MID(AC$6,FIND("V",AC$6)+1,256)/10000,AC7+MID(AC$6,FIND("V",AC$6)+1,256)/10000)</f>
        <v>10.000400000000001</v>
      </c>
      <c r="AX7" s="690">
        <f t="shared" ref="AX7:AX38" si="26">IF(AD7="  ",0+MID(AD$6,FIND("V",AD$6)+1,256)/10000,AD7+MID(AD$6,FIND("V",AD$6)+1,256)/10000)</f>
        <v>14.000500000000001</v>
      </c>
      <c r="AY7" s="690">
        <f t="shared" ref="AY7:AY38" si="27">IF(AE7="  ",0+MID(AE$6,FIND("V",AE$6)+1,256)/10000,AE7+MID(AE$6,FIND("V",AE$6)+1,256)/10000)</f>
        <v>14.0006</v>
      </c>
      <c r="AZ7" s="690">
        <f t="shared" ref="AZ7:AZ38" si="28">IF(AF7="  ",0+MID(AF$6,FIND("V",AF$6)+1,256)/10000,AF7+MID(AF$6,FIND("V",AF$6)+1,256)/10000)</f>
        <v>24.000699999999998</v>
      </c>
      <c r="BA7" s="690">
        <f t="shared" ref="BA7:BA38" si="29">IF(AG7="  ",0+MID(AG$6,FIND("V",AG$6)+1,256)/10000,AG7+MID(AG$6,FIND("V",AG$6)+1,256)/10000)</f>
        <v>12.0008</v>
      </c>
      <c r="BB7" s="690">
        <f t="shared" ref="BB7:BB38" si="30">IF(AH7="  ",0+MID(AH$6,FIND("V",AH$6)+1,256)/10000,AH7+MID(AH$6,FIND("V",AH$6)+1,256)/10000)</f>
        <v>14.0009</v>
      </c>
      <c r="BC7" s="690">
        <f t="shared" ref="BC7:BC38" si="31">IF(AI7="  ",0+MID(AI$6,FIND("V",AI$6)+1,256)/10000,AI7+MID(AI$6,FIND("V",AI$6)+1,256)/10000)</f>
        <v>4.0010000000000003</v>
      </c>
      <c r="BI7" s="581">
        <f t="shared" ref="BI7:BI38" si="32">(LARGE(Z$7:Z$56,1)-Z7)/2+1</f>
        <v>1</v>
      </c>
      <c r="BJ7" s="581">
        <f t="shared" ref="BJ7:BJ38" si="33">(LARGE(AA$7:AA$56,1)-AA7)/2+1</f>
        <v>5</v>
      </c>
      <c r="BK7" s="581">
        <f t="shared" ref="BK7:BK38" si="34">(LARGE(AB$7:AB$56,1)-AB7)/2+1</f>
        <v>2</v>
      </c>
      <c r="BL7" s="581">
        <f t="shared" ref="BL7:BL38" si="35">(LARGE(AC$7:AC$56,1)-AC7)/2+1</f>
        <v>7</v>
      </c>
      <c r="BM7" s="581">
        <f t="shared" ref="BM7:BM38" si="36">(LARGE(AD$7:AD$56,1)-AD7)/2+1</f>
        <v>4</v>
      </c>
      <c r="BN7" s="581">
        <f t="shared" ref="BN7:BN38" si="37">(LARGE(AE$7:AE$56,1)-AE7)/2+1</f>
        <v>4</v>
      </c>
      <c r="BO7" s="581">
        <f t="shared" ref="BO7:BO38" si="38">(LARGE(AF$7:AF$56,1)-AF7)/2+1</f>
        <v>2</v>
      </c>
      <c r="BP7" s="581">
        <f t="shared" ref="BP7:BP38" si="39">(LARGE(AG$7:AG$56,1)-AG7)/2+1</f>
        <v>6</v>
      </c>
      <c r="BQ7" s="581">
        <f t="shared" ref="BQ7:BQ38" si="40">(LARGE(AH$7:AH$56,1)-AH7)/2+1</f>
        <v>2</v>
      </c>
      <c r="BR7" s="581">
        <f t="shared" ref="BR7:BR38" si="41">(LARGE(AI$7:AI$56,1)-AI7)/2+1</f>
        <v>7</v>
      </c>
    </row>
    <row r="8" spans="1:70" x14ac:dyDescent="0.2">
      <c r="A8" s="768">
        <f t="shared" si="1"/>
        <v>1</v>
      </c>
      <c r="B8" s="769">
        <f t="shared" si="2"/>
        <v>2</v>
      </c>
      <c r="C8" s="770" t="str">
        <f t="shared" si="3"/>
        <v/>
      </c>
      <c r="D8" s="769">
        <f t="shared" si="4"/>
        <v>-998</v>
      </c>
      <c r="E8" s="771">
        <f t="shared" si="5"/>
        <v>1</v>
      </c>
      <c r="F8" s="769">
        <f t="shared" si="6"/>
        <v>2</v>
      </c>
      <c r="G8" s="772" t="str">
        <f t="shared" si="7"/>
        <v/>
      </c>
      <c r="H8" s="769">
        <f t="shared" si="8"/>
        <v>-998</v>
      </c>
      <c r="I8" s="773" t="str">
        <f t="shared" si="9"/>
        <v/>
      </c>
      <c r="J8" s="774">
        <f t="shared" si="10"/>
        <v>-998</v>
      </c>
      <c r="K8" s="680">
        <f t="shared" si="11"/>
        <v>1</v>
      </c>
      <c r="L8" s="706" t="s">
        <v>139</v>
      </c>
      <c r="M8" s="691"/>
      <c r="N8" s="778" t="s">
        <v>191</v>
      </c>
      <c r="O8" s="692"/>
      <c r="P8" s="779"/>
      <c r="Q8" s="780" t="s">
        <v>189</v>
      </c>
      <c r="R8" s="673">
        <f>(IF(COUNT(Z8,AA8,AB8,AC8,AD8,AE8,AF8,AG8,AH8,AI8)&lt;9,SUM(Z8,AA8,AB8,AC8,AD8,AE8,AF8,AG8,AH8,AI8),SUM(LARGE((Z8,AA8,AB8,AC8,AD8,AE8,AF8,AG8,AH8,AI8),{1;2;3;4;5;6;7;8;9}))))</f>
        <v>140</v>
      </c>
      <c r="S8" s="684" t="str">
        <f>INDEX(ETAPP!B$1:B$32,MATCH(COUNTIF(BI8:BR8,1),ETAPP!A$1:A$32,0))&amp;INDEX(ETAPP!B$1:B$32,MATCH(COUNTIF(BI8:BR8,2),ETAPP!A$1:A$32,0))&amp;INDEX(ETAPP!B$1:B$32,MATCH(COUNTIF(BI8:BR8,3),ETAPP!A$1:A$32,0))&amp;INDEX(ETAPP!B$1:B$32,MATCH(COUNTIF(BI8:BR8,4),ETAPP!A$1:A$32,0))&amp;INDEX(ETAPP!B$1:B$32,MATCH(COUNTIF(BI8:BR8,5),ETAPP!A$1:A$32,0))&amp;INDEX(ETAPP!B$1:B$32,MATCH(COUNTIF(BI8:BR8,6),ETAPP!A$1:A$32,0))&amp;INDEX(ETAPP!B$1:B$32,MATCH(COUNTIF(BI8:BR8,7),ETAPP!A$1:A$32,0))&amp;INDEX(ETAPP!B$1:B$32,MATCH(COUNTIF(BI8:BR8,8),ETAPP!A$1:A$32,0))&amp;INDEX(ETAPP!B$1:B$32,MATCH(COUNTIF(BI8:BR8,9),ETAPP!A$1:A$32,0))&amp;INDEX(ETAPP!B$1:B$32,MATCH(COUNTIF(BI8:BR8,10),ETAPP!A$1:A$32,0))&amp;INDEX(ETAPP!B$1:B$32,MATCH(COUNTIF(BI8:BR8,11),ETAPP!A$1:A$32,0))&amp;INDEX(ETAPP!B$1:B$32,MATCH(COUNTIF(BI8:BR8,12),ETAPP!A$1:A$32,0))&amp;INDEX(ETAPP!B$1:B$32,MATCH(COUNTIF(BI8:BR8,13),ETAPP!A$1:A$32,0))&amp;INDEX(ETAPP!B$1:B$32,MATCH(COUNTIF(BI8:BR8,14),ETAPP!A$1:A$32,0))&amp;INDEX(ETAPP!B$1:B$32,MATCH(COUNTIF(BI8:BR8,15),ETAPP!A$1:A$32,0))&amp;INDEX(ETAPP!B$1:B$32,MATCH(COUNTIF(BI8:BR8,16),ETAPP!A$1:A$32,0))&amp;INDEX(ETAPP!B$1:B$32,MATCH(COUNTIF(BI8:BR8,17),ETAPP!A$1:A$32,0))&amp;INDEX(ETAPP!B$1:B$32,MATCH(COUNTIF(BI8:BR8,18),ETAPP!A$1:A$32,0))&amp;INDEX(ETAPP!B$1:B$32,MATCH(COUNTIF(BI8:BR8,19),ETAPP!A$1:A$32,0))&amp;INDEX(ETAPP!B$1:B$32,MATCH(COUNTIF(BI8:BR8,20),ETAPP!A$1:A$32,0))&amp;INDEX(ETAPP!B$1:B$32,MATCH(COUNTIF(BI8:BR8,21),ETAPP!A$1:A$32,0))</f>
        <v>AC0BAAB00000000000000</v>
      </c>
      <c r="T8" s="684" t="str">
        <f t="shared" si="12"/>
        <v>140,0-AC0BAAB00000000000000</v>
      </c>
      <c r="U8" s="684">
        <f t="shared" si="13"/>
        <v>2</v>
      </c>
      <c r="V8" s="684">
        <f t="shared" si="14"/>
        <v>13</v>
      </c>
      <c r="W8" s="684" t="str">
        <f t="shared" si="15"/>
        <v>140,0-AC0BAAB00000000000000-013</v>
      </c>
      <c r="X8" s="684">
        <f t="shared" si="16"/>
        <v>2</v>
      </c>
      <c r="Y8" s="685">
        <f t="shared" si="17"/>
        <v>49</v>
      </c>
      <c r="Z8" s="686">
        <f>IFERROR(INDEX('V1'!C$300:C$400,MATCH("*"&amp;L8&amp;"*",'V1'!B$300:B$400,0)),"  ")</f>
        <v>22</v>
      </c>
      <c r="AA8" s="686">
        <f>IFERROR(INDEX('V2'!C$300:C$400,MATCH("*"&amp;L8&amp;"*",'V2'!B$300:B$400,0)),"  ")</f>
        <v>12</v>
      </c>
      <c r="AB8" s="686">
        <f>IFERROR(INDEX('V3'!C$300:C$400,MATCH("*"&amp;L8&amp;"*",'V3'!B$300:B$400,0)),"  ")</f>
        <v>18</v>
      </c>
      <c r="AC8" s="686">
        <f>IFERROR(INDEX('V4'!C$300:C$400,MATCH("*"&amp;L8&amp;"*",'V4'!B$300:B$400,0)),"  ")</f>
        <v>10</v>
      </c>
      <c r="AD8" s="686">
        <f>IFERROR(INDEX('V5'!C$300:C$400,MATCH("*"&amp;L8&amp;"*",'V5'!B$300:B$400,0)),"  ")</f>
        <v>14</v>
      </c>
      <c r="AE8" s="686">
        <f>IFERROR(INDEX('V6'!C$300:C$400,MATCH("*"&amp;L8&amp;"*",'V6'!B$300:B$400,0)),"  ")</f>
        <v>14</v>
      </c>
      <c r="AF8" s="686">
        <f>IFERROR(INDEX('V7'!C$300:C$400,MATCH("*"&amp;L8&amp;"*",'V7'!B$300:B$400,0)),"  ")</f>
        <v>24</v>
      </c>
      <c r="AG8" s="686">
        <f>IFERROR(INDEX('V8'!C$300:C$400,MATCH("*"&amp;L8&amp;"*",'V8'!B$300:B$400,0)),"  ")</f>
        <v>12</v>
      </c>
      <c r="AH8" s="686">
        <f>IFERROR(INDEX('V9'!C$300:C$400,MATCH("*"&amp;L8&amp;"*",'V9'!B$300:B$400,0)),"  ")</f>
        <v>14</v>
      </c>
      <c r="AI8" s="686">
        <f>IFERROR(INDEX('V10'!C$300:C$400,MATCH("*"&amp;L8&amp;"*",'V10'!B$300:B$400,0)),"  ")</f>
        <v>4</v>
      </c>
      <c r="AJ8" s="687">
        <f t="shared" si="18"/>
        <v>10</v>
      </c>
      <c r="AK8" s="688">
        <f t="shared" si="19"/>
        <v>4</v>
      </c>
      <c r="AL8" s="688">
        <f t="shared" si="20"/>
        <v>1</v>
      </c>
      <c r="AM8" s="642"/>
      <c r="AN8" s="689"/>
      <c r="AO8" s="690"/>
      <c r="AP8" s="690"/>
      <c r="AQ8" s="690"/>
      <c r="AR8" s="690"/>
      <c r="AS8" s="689">
        <f t="shared" si="21"/>
        <v>4.0010000000000003</v>
      </c>
      <c r="AT8" s="690">
        <f t="shared" si="22"/>
        <v>22.0001</v>
      </c>
      <c r="AU8" s="690">
        <f t="shared" si="23"/>
        <v>12.0002</v>
      </c>
      <c r="AV8" s="690">
        <f t="shared" si="24"/>
        <v>18.000299999999999</v>
      </c>
      <c r="AW8" s="690">
        <f t="shared" si="25"/>
        <v>10.000400000000001</v>
      </c>
      <c r="AX8" s="690">
        <f t="shared" si="26"/>
        <v>14.000500000000001</v>
      </c>
      <c r="AY8" s="690">
        <f t="shared" si="27"/>
        <v>14.0006</v>
      </c>
      <c r="AZ8" s="690">
        <f t="shared" si="28"/>
        <v>24.000699999999998</v>
      </c>
      <c r="BA8" s="690">
        <f t="shared" si="29"/>
        <v>12.0008</v>
      </c>
      <c r="BB8" s="690">
        <f t="shared" si="30"/>
        <v>14.0009</v>
      </c>
      <c r="BC8" s="690">
        <f t="shared" si="31"/>
        <v>4.0010000000000003</v>
      </c>
      <c r="BH8" s="783"/>
      <c r="BI8" s="581">
        <f t="shared" si="32"/>
        <v>1</v>
      </c>
      <c r="BJ8" s="581">
        <f t="shared" si="33"/>
        <v>5</v>
      </c>
      <c r="BK8" s="581">
        <f t="shared" si="34"/>
        <v>2</v>
      </c>
      <c r="BL8" s="581">
        <f t="shared" si="35"/>
        <v>7</v>
      </c>
      <c r="BM8" s="581">
        <f t="shared" si="36"/>
        <v>4</v>
      </c>
      <c r="BN8" s="581">
        <f t="shared" si="37"/>
        <v>4</v>
      </c>
      <c r="BO8" s="581">
        <f t="shared" si="38"/>
        <v>2</v>
      </c>
      <c r="BP8" s="581">
        <f t="shared" si="39"/>
        <v>6</v>
      </c>
      <c r="BQ8" s="581">
        <f t="shared" si="40"/>
        <v>2</v>
      </c>
      <c r="BR8" s="581">
        <f t="shared" si="41"/>
        <v>7</v>
      </c>
    </row>
    <row r="9" spans="1:70" x14ac:dyDescent="0.2">
      <c r="A9" s="768">
        <f t="shared" si="1"/>
        <v>3</v>
      </c>
      <c r="B9" s="769">
        <f t="shared" si="2"/>
        <v>4</v>
      </c>
      <c r="C9" s="770" t="str">
        <f t="shared" si="3"/>
        <v/>
      </c>
      <c r="D9" s="769">
        <f t="shared" si="4"/>
        <v>-996</v>
      </c>
      <c r="E9" s="771" t="str">
        <f t="shared" si="5"/>
        <v/>
      </c>
      <c r="F9" s="769">
        <f t="shared" si="6"/>
        <v>-996</v>
      </c>
      <c r="G9" s="772">
        <f t="shared" si="7"/>
        <v>1</v>
      </c>
      <c r="H9" s="769">
        <f t="shared" si="8"/>
        <v>4</v>
      </c>
      <c r="I9" s="773" t="str">
        <f t="shared" si="9"/>
        <v/>
      </c>
      <c r="J9" s="774">
        <f t="shared" si="10"/>
        <v>-996</v>
      </c>
      <c r="K9" s="680">
        <f t="shared" si="11"/>
        <v>3</v>
      </c>
      <c r="L9" s="706" t="s">
        <v>107</v>
      </c>
      <c r="M9" s="691" t="s">
        <v>99</v>
      </c>
      <c r="N9" s="778"/>
      <c r="O9" s="692"/>
      <c r="P9" s="779"/>
      <c r="Q9" s="780" t="s">
        <v>189</v>
      </c>
      <c r="R9" s="673">
        <f>(IF(COUNT(Z9,AA9,AB9,AC9,AD9,AE9,AF9,AG9,AH9,AI9)&lt;9,SUM(Z9,AA9,AB9,AC9,AD9,AE9,AF9,AG9,AH9,AI9),SUM(LARGE((Z9,AA9,AB9,AC9,AD9,AE9,AF9,AG9,AH9,AI9),{1;2;3;4;5;6;7;8;9}))))</f>
        <v>122</v>
      </c>
      <c r="S9" s="684" t="str">
        <f>INDEX(ETAPP!B$1:B$32,MATCH(COUNTIF(BI9:BR9,1),ETAPP!A$1:A$32,0))&amp;INDEX(ETAPP!B$1:B$32,MATCH(COUNTIF(BI9:BR9,2),ETAPP!A$1:A$32,0))&amp;INDEX(ETAPP!B$1:B$32,MATCH(COUNTIF(BI9:BR9,3),ETAPP!A$1:A$32,0))&amp;INDEX(ETAPP!B$1:B$32,MATCH(COUNTIF(BI9:BR9,4),ETAPP!A$1:A$32,0))&amp;INDEX(ETAPP!B$1:B$32,MATCH(COUNTIF(BI9:BR9,5),ETAPP!A$1:A$32,0))&amp;INDEX(ETAPP!B$1:B$32,MATCH(COUNTIF(BI9:BR9,6),ETAPP!A$1:A$32,0))&amp;INDEX(ETAPP!B$1:B$32,MATCH(COUNTIF(BI9:BR9,7),ETAPP!A$1:A$32,0))&amp;INDEX(ETAPP!B$1:B$32,MATCH(COUNTIF(BI9:BR9,8),ETAPP!A$1:A$32,0))&amp;INDEX(ETAPP!B$1:B$32,MATCH(COUNTIF(BI9:BR9,9),ETAPP!A$1:A$32,0))&amp;INDEX(ETAPP!B$1:B$32,MATCH(COUNTIF(BI9:BR9,10),ETAPP!A$1:A$32,0))&amp;INDEX(ETAPP!B$1:B$32,MATCH(COUNTIF(BI9:BR9,11),ETAPP!A$1:A$32,0))&amp;INDEX(ETAPP!B$1:B$32,MATCH(COUNTIF(BI9:BR9,12),ETAPP!A$1:A$32,0))&amp;INDEX(ETAPP!B$1:B$32,MATCH(COUNTIF(BI9:BR9,13),ETAPP!A$1:A$32,0))&amp;INDEX(ETAPP!B$1:B$32,MATCH(COUNTIF(BI9:BR9,14),ETAPP!A$1:A$32,0))&amp;INDEX(ETAPP!B$1:B$32,MATCH(COUNTIF(BI9:BR9,15),ETAPP!A$1:A$32,0))&amp;INDEX(ETAPP!B$1:B$32,MATCH(COUNTIF(BI9:BR9,16),ETAPP!A$1:A$32,0))&amp;INDEX(ETAPP!B$1:B$32,MATCH(COUNTIF(BI9:BR9,17),ETAPP!A$1:A$32,0))&amp;INDEX(ETAPP!B$1:B$32,MATCH(COUNTIF(BI9:BR9,18),ETAPP!A$1:A$32,0))&amp;INDEX(ETAPP!B$1:B$32,MATCH(COUNTIF(BI9:BR9,19),ETAPP!A$1:A$32,0))&amp;INDEX(ETAPP!B$1:B$32,MATCH(COUNTIF(BI9:BR9,20),ETAPP!A$1:A$32,0))&amp;INDEX(ETAPP!B$1:B$32,MATCH(COUNTIF(BI9:BR9,21),ETAPP!A$1:A$32,0))</f>
        <v>AACAA00A00A0000000000</v>
      </c>
      <c r="T9" s="684" t="str">
        <f t="shared" si="12"/>
        <v>122,0-AACAA00A00A0000000000</v>
      </c>
      <c r="U9" s="684">
        <f t="shared" si="13"/>
        <v>4</v>
      </c>
      <c r="V9" s="684">
        <f t="shared" si="14"/>
        <v>18</v>
      </c>
      <c r="W9" s="684" t="str">
        <f t="shared" si="15"/>
        <v>122,0-AACAA00A00A0000000000-018</v>
      </c>
      <c r="X9" s="684">
        <f t="shared" si="16"/>
        <v>3</v>
      </c>
      <c r="Y9" s="685">
        <f t="shared" si="17"/>
        <v>48</v>
      </c>
      <c r="Z9" s="686">
        <f>IFERROR(INDEX('V1'!C$300:C$400,MATCH("*"&amp;L9&amp;"*",'V1'!B$300:B$400,0)),"  ")</f>
        <v>20</v>
      </c>
      <c r="AA9" s="686">
        <f>IFERROR(INDEX('V2'!C$300:C$400,MATCH("*"&amp;L9&amp;"*",'V2'!B$300:B$400,0)),"  ")</f>
        <v>6</v>
      </c>
      <c r="AB9" s="686">
        <f>IFERROR(INDEX('V3'!C$300:C$400,MATCH("*"&amp;L9&amp;"*",'V3'!B$300:B$400,0)),"  ")</f>
        <v>16</v>
      </c>
      <c r="AC9" s="686">
        <f>IFERROR(INDEX('V4'!C$300:C$400,MATCH("*"&amp;L9&amp;"*",'V4'!B$300:B$400,0)),"  ")</f>
        <v>2</v>
      </c>
      <c r="AD9" s="686" t="str">
        <f>IFERROR(INDEX('V5'!C$300:C$400,MATCH("*"&amp;L9&amp;"*",'V5'!B$300:B$400,0)),"  ")</f>
        <v xml:space="preserve">  </v>
      </c>
      <c r="AE9" s="686">
        <f>IFERROR(INDEX('V6'!C$300:C$400,MATCH("*"&amp;L9&amp;"*",'V6'!B$300:B$400,0)),"  ")</f>
        <v>16</v>
      </c>
      <c r="AF9" s="686">
        <f>IFERROR(INDEX('V7'!C$300:C$400,MATCH("*"&amp;L9&amp;"*",'V7'!B$300:B$400,0)),"  ")</f>
        <v>26</v>
      </c>
      <c r="AG9" s="686">
        <f>IFERROR(INDEX('V8'!C$300:C$400,MATCH("*"&amp;L9&amp;"*",'V8'!B$300:B$400,0)),"  ")</f>
        <v>18</v>
      </c>
      <c r="AH9" s="686">
        <f>IFERROR(INDEX('V9'!C$300:C$400,MATCH("*"&amp;L9&amp;"*",'V9'!B$300:B$400,0)),"  ")</f>
        <v>10</v>
      </c>
      <c r="AI9" s="686">
        <f>IFERROR(INDEX('V10'!C$300:C$400,MATCH("*"&amp;L9&amp;"*",'V10'!B$300:B$400,0)),"  ")</f>
        <v>8</v>
      </c>
      <c r="AJ9" s="687">
        <f t="shared" si="18"/>
        <v>9</v>
      </c>
      <c r="AK9" s="688">
        <f t="shared" si="19"/>
        <v>5</v>
      </c>
      <c r="AL9" s="688">
        <f t="shared" si="20"/>
        <v>1</v>
      </c>
      <c r="AM9" s="642"/>
      <c r="AN9" s="689"/>
      <c r="AO9" s="690"/>
      <c r="AP9" s="690"/>
      <c r="AQ9" s="690"/>
      <c r="AR9" s="690"/>
      <c r="AS9" s="689">
        <f t="shared" si="21"/>
        <v>5.0000000000000001E-4</v>
      </c>
      <c r="AT9" s="690">
        <f t="shared" si="22"/>
        <v>20.0001</v>
      </c>
      <c r="AU9" s="690">
        <f t="shared" si="23"/>
        <v>6.0002000000000004</v>
      </c>
      <c r="AV9" s="690">
        <f t="shared" si="24"/>
        <v>16.000299999999999</v>
      </c>
      <c r="AW9" s="690">
        <f t="shared" si="25"/>
        <v>2.0004</v>
      </c>
      <c r="AX9" s="690">
        <f t="shared" si="26"/>
        <v>5.0000000000000001E-4</v>
      </c>
      <c r="AY9" s="690">
        <f t="shared" si="27"/>
        <v>16.000599999999999</v>
      </c>
      <c r="AZ9" s="690">
        <f t="shared" si="28"/>
        <v>26.000699999999998</v>
      </c>
      <c r="BA9" s="690">
        <f t="shared" si="29"/>
        <v>18.000800000000002</v>
      </c>
      <c r="BB9" s="690">
        <f t="shared" si="30"/>
        <v>10.0009</v>
      </c>
      <c r="BC9" s="690">
        <f t="shared" si="31"/>
        <v>8.0009999999999994</v>
      </c>
      <c r="BH9" s="783"/>
      <c r="BI9" s="581">
        <f t="shared" si="32"/>
        <v>2</v>
      </c>
      <c r="BJ9" s="581">
        <f t="shared" si="33"/>
        <v>8</v>
      </c>
      <c r="BK9" s="581">
        <f t="shared" si="34"/>
        <v>3</v>
      </c>
      <c r="BL9" s="581">
        <f t="shared" si="35"/>
        <v>11</v>
      </c>
      <c r="BM9" s="581" t="e">
        <f t="shared" si="36"/>
        <v>#VALUE!</v>
      </c>
      <c r="BN9" s="581">
        <f t="shared" si="37"/>
        <v>3</v>
      </c>
      <c r="BO9" s="581">
        <f t="shared" si="38"/>
        <v>1</v>
      </c>
      <c r="BP9" s="581">
        <f t="shared" si="39"/>
        <v>3</v>
      </c>
      <c r="BQ9" s="581">
        <f t="shared" si="40"/>
        <v>4</v>
      </c>
      <c r="BR9" s="581">
        <f t="shared" si="41"/>
        <v>5</v>
      </c>
    </row>
    <row r="10" spans="1:70" x14ac:dyDescent="0.2">
      <c r="A10" s="768">
        <f t="shared" si="1"/>
        <v>3</v>
      </c>
      <c r="B10" s="769">
        <f t="shared" si="2"/>
        <v>4</v>
      </c>
      <c r="C10" s="770" t="str">
        <f t="shared" si="3"/>
        <v/>
      </c>
      <c r="D10" s="769">
        <f t="shared" si="4"/>
        <v>-996</v>
      </c>
      <c r="E10" s="771">
        <f t="shared" si="5"/>
        <v>3</v>
      </c>
      <c r="F10" s="769">
        <f t="shared" si="6"/>
        <v>4</v>
      </c>
      <c r="G10" s="772" t="str">
        <f t="shared" si="7"/>
        <v/>
      </c>
      <c r="H10" s="769">
        <f t="shared" si="8"/>
        <v>-996</v>
      </c>
      <c r="I10" s="773" t="str">
        <f t="shared" si="9"/>
        <v/>
      </c>
      <c r="J10" s="774">
        <f t="shared" si="10"/>
        <v>-996</v>
      </c>
      <c r="K10" s="680">
        <f t="shared" si="11"/>
        <v>3</v>
      </c>
      <c r="L10" s="781" t="s">
        <v>88</v>
      </c>
      <c r="M10" s="691"/>
      <c r="N10" s="778" t="str">
        <f>IF(M10="","m","")</f>
        <v>m</v>
      </c>
      <c r="O10" s="692"/>
      <c r="P10" s="779"/>
      <c r="Q10" s="780" t="s">
        <v>189</v>
      </c>
      <c r="R10" s="673">
        <f>(IF(COUNT(Z10,AA10,AB10,AC10,AD10,AE10,AF10,AG10,AH10,AI10)&lt;9,SUM(Z10,AA10,AB10,AC10,AD10,AE10,AF10,AG10,AH10,AI10),SUM(LARGE((Z10,AA10,AB10,AC10,AD10,AE10,AF10,AG10,AH10,AI10),{1;2;3;4;5;6;7;8;9}))))</f>
        <v>122</v>
      </c>
      <c r="S10" s="684" t="str">
        <f>INDEX(ETAPP!B$1:B$32,MATCH(COUNTIF(BI10:BR10,1),ETAPP!A$1:A$32,0))&amp;INDEX(ETAPP!B$1:B$32,MATCH(COUNTIF(BI10:BR10,2),ETAPP!A$1:A$32,0))&amp;INDEX(ETAPP!B$1:B$32,MATCH(COUNTIF(BI10:BR10,3),ETAPP!A$1:A$32,0))&amp;INDEX(ETAPP!B$1:B$32,MATCH(COUNTIF(BI10:BR10,4),ETAPP!A$1:A$32,0))&amp;INDEX(ETAPP!B$1:B$32,MATCH(COUNTIF(BI10:BR10,5),ETAPP!A$1:A$32,0))&amp;INDEX(ETAPP!B$1:B$32,MATCH(COUNTIF(BI10:BR10,6),ETAPP!A$1:A$32,0))&amp;INDEX(ETAPP!B$1:B$32,MATCH(COUNTIF(BI10:BR10,7),ETAPP!A$1:A$32,0))&amp;INDEX(ETAPP!B$1:B$32,MATCH(COUNTIF(BI10:BR10,8),ETAPP!A$1:A$32,0))&amp;INDEX(ETAPP!B$1:B$32,MATCH(COUNTIF(BI10:BR10,9),ETAPP!A$1:A$32,0))&amp;INDEX(ETAPP!B$1:B$32,MATCH(COUNTIF(BI10:BR10,10),ETAPP!A$1:A$32,0))&amp;INDEX(ETAPP!B$1:B$32,MATCH(COUNTIF(BI10:BR10,11),ETAPP!A$1:A$32,0))&amp;INDEX(ETAPP!B$1:B$32,MATCH(COUNTIF(BI10:BR10,12),ETAPP!A$1:A$32,0))&amp;INDEX(ETAPP!B$1:B$32,MATCH(COUNTIF(BI10:BR10,13),ETAPP!A$1:A$32,0))&amp;INDEX(ETAPP!B$1:B$32,MATCH(COUNTIF(BI10:BR10,14),ETAPP!A$1:A$32,0))&amp;INDEX(ETAPP!B$1:B$32,MATCH(COUNTIF(BI10:BR10,15),ETAPP!A$1:A$32,0))&amp;INDEX(ETAPP!B$1:B$32,MATCH(COUNTIF(BI10:BR10,16),ETAPP!A$1:A$32,0))&amp;INDEX(ETAPP!B$1:B$32,MATCH(COUNTIF(BI10:BR10,17),ETAPP!A$1:A$32,0))&amp;INDEX(ETAPP!B$1:B$32,MATCH(COUNTIF(BI10:BR10,18),ETAPP!A$1:A$32,0))&amp;INDEX(ETAPP!B$1:B$32,MATCH(COUNTIF(BI10:BR10,19),ETAPP!A$1:A$32,0))&amp;INDEX(ETAPP!B$1:B$32,MATCH(COUNTIF(BI10:BR10,20),ETAPP!A$1:A$32,0))&amp;INDEX(ETAPP!B$1:B$32,MATCH(COUNTIF(BI10:BR10,21),ETAPP!A$1:A$32,0))</f>
        <v>AACAA00A00A0000000000</v>
      </c>
      <c r="T10" s="684" t="str">
        <f t="shared" si="12"/>
        <v>122,0-AACAA00A00A0000000000</v>
      </c>
      <c r="U10" s="684">
        <f t="shared" si="13"/>
        <v>4</v>
      </c>
      <c r="V10" s="684">
        <f t="shared" si="14"/>
        <v>16</v>
      </c>
      <c r="W10" s="684" t="str">
        <f t="shared" si="15"/>
        <v>122,0-AACAA00A00A0000000000-016</v>
      </c>
      <c r="X10" s="684">
        <f t="shared" si="16"/>
        <v>4</v>
      </c>
      <c r="Y10" s="685">
        <f t="shared" si="17"/>
        <v>47</v>
      </c>
      <c r="Z10" s="686">
        <f>IFERROR(INDEX('V1'!C$300:C$400,MATCH("*"&amp;L10&amp;"*",'V1'!B$300:B$400,0)),"  ")</f>
        <v>20</v>
      </c>
      <c r="AA10" s="686">
        <f>IFERROR(INDEX('V2'!C$300:C$400,MATCH("*"&amp;L10&amp;"*",'V2'!B$300:B$400,0)),"  ")</f>
        <v>6</v>
      </c>
      <c r="AB10" s="686">
        <f>IFERROR(INDEX('V3'!C$300:C$400,MATCH("*"&amp;L10&amp;"*",'V3'!B$300:B$400,0)),"  ")</f>
        <v>16</v>
      </c>
      <c r="AC10" s="686">
        <f>IFERROR(INDEX('V4'!C$300:C$400,MATCH("*"&amp;L10&amp;"*",'V4'!B$300:B$400,0)),"  ")</f>
        <v>2</v>
      </c>
      <c r="AD10" s="686" t="str">
        <f>IFERROR(INDEX('V5'!C$300:C$400,MATCH("*"&amp;L10&amp;"*",'V5'!B$300:B$400,0)),"  ")</f>
        <v xml:space="preserve">  </v>
      </c>
      <c r="AE10" s="686">
        <f>IFERROR(INDEX('V6'!C$300:C$400,MATCH("*"&amp;L10&amp;"*",'V6'!B$300:B$400,0)),"  ")</f>
        <v>16</v>
      </c>
      <c r="AF10" s="686">
        <f>IFERROR(INDEX('V7'!C$300:C$400,MATCH("*"&amp;L10&amp;"*",'V7'!B$300:B$400,0)),"  ")</f>
        <v>26</v>
      </c>
      <c r="AG10" s="686">
        <f>IFERROR(INDEX('V8'!C$300:C$400,MATCH("*"&amp;L10&amp;"*",'V8'!B$300:B$400,0)),"  ")</f>
        <v>18</v>
      </c>
      <c r="AH10" s="686">
        <f>IFERROR(INDEX('V9'!C$300:C$400,MATCH("*"&amp;L10&amp;"*",'V9'!B$300:B$400,0)),"  ")</f>
        <v>10</v>
      </c>
      <c r="AI10" s="686">
        <f>IFERROR(INDEX('V10'!C$300:C$400,MATCH("*"&amp;L10&amp;"*",'V10'!B$300:B$400,0)),"  ")</f>
        <v>8</v>
      </c>
      <c r="AJ10" s="687">
        <f t="shared" si="18"/>
        <v>9</v>
      </c>
      <c r="AK10" s="688">
        <f t="shared" si="19"/>
        <v>5</v>
      </c>
      <c r="AL10" s="688">
        <f t="shared" si="20"/>
        <v>1</v>
      </c>
      <c r="AM10" s="642"/>
      <c r="AN10" s="689"/>
      <c r="AO10" s="690"/>
      <c r="AP10" s="690"/>
      <c r="AQ10" s="690"/>
      <c r="AR10" s="690"/>
      <c r="AS10" s="689">
        <f t="shared" si="21"/>
        <v>5.0000000000000001E-4</v>
      </c>
      <c r="AT10" s="690">
        <f t="shared" si="22"/>
        <v>20.0001</v>
      </c>
      <c r="AU10" s="690">
        <f t="shared" si="23"/>
        <v>6.0002000000000004</v>
      </c>
      <c r="AV10" s="690">
        <f t="shared" si="24"/>
        <v>16.000299999999999</v>
      </c>
      <c r="AW10" s="690">
        <f t="shared" si="25"/>
        <v>2.0004</v>
      </c>
      <c r="AX10" s="690">
        <f t="shared" si="26"/>
        <v>5.0000000000000001E-4</v>
      </c>
      <c r="AY10" s="690">
        <f t="shared" si="27"/>
        <v>16.000599999999999</v>
      </c>
      <c r="AZ10" s="690">
        <f t="shared" si="28"/>
        <v>26.000699999999998</v>
      </c>
      <c r="BA10" s="690">
        <f t="shared" si="29"/>
        <v>18.000800000000002</v>
      </c>
      <c r="BB10" s="690">
        <f t="shared" si="30"/>
        <v>10.0009</v>
      </c>
      <c r="BC10" s="690">
        <f t="shared" si="31"/>
        <v>8.0009999999999994</v>
      </c>
      <c r="BH10" s="783"/>
      <c r="BI10" s="581">
        <f t="shared" si="32"/>
        <v>2</v>
      </c>
      <c r="BJ10" s="581">
        <f t="shared" si="33"/>
        <v>8</v>
      </c>
      <c r="BK10" s="581">
        <f t="shared" si="34"/>
        <v>3</v>
      </c>
      <c r="BL10" s="581">
        <f t="shared" si="35"/>
        <v>11</v>
      </c>
      <c r="BM10" s="581" t="e">
        <f t="shared" si="36"/>
        <v>#VALUE!</v>
      </c>
      <c r="BN10" s="581">
        <f t="shared" si="37"/>
        <v>3</v>
      </c>
      <c r="BO10" s="581">
        <f t="shared" si="38"/>
        <v>1</v>
      </c>
      <c r="BP10" s="581">
        <f t="shared" si="39"/>
        <v>3</v>
      </c>
      <c r="BQ10" s="581">
        <f t="shared" si="40"/>
        <v>4</v>
      </c>
      <c r="BR10" s="581">
        <f t="shared" si="41"/>
        <v>5</v>
      </c>
    </row>
    <row r="11" spans="1:70" x14ac:dyDescent="0.2">
      <c r="A11" s="768">
        <f t="shared" si="1"/>
        <v>5</v>
      </c>
      <c r="B11" s="769">
        <f t="shared" si="2"/>
        <v>5</v>
      </c>
      <c r="C11" s="770" t="str">
        <f t="shared" si="3"/>
        <v/>
      </c>
      <c r="D11" s="769">
        <f t="shared" si="4"/>
        <v>-995</v>
      </c>
      <c r="E11" s="771">
        <f t="shared" si="5"/>
        <v>4</v>
      </c>
      <c r="F11" s="769">
        <f t="shared" si="6"/>
        <v>5</v>
      </c>
      <c r="G11" s="772" t="str">
        <f t="shared" si="7"/>
        <v/>
      </c>
      <c r="H11" s="769">
        <f t="shared" si="8"/>
        <v>-995</v>
      </c>
      <c r="I11" s="773" t="str">
        <f t="shared" si="9"/>
        <v/>
      </c>
      <c r="J11" s="774">
        <f t="shared" si="10"/>
        <v>-995</v>
      </c>
      <c r="K11" s="680">
        <f t="shared" si="11"/>
        <v>5</v>
      </c>
      <c r="L11" s="782" t="s">
        <v>216</v>
      </c>
      <c r="M11" s="691"/>
      <c r="N11" s="778" t="s">
        <v>191</v>
      </c>
      <c r="O11" s="692"/>
      <c r="P11" s="779"/>
      <c r="Q11" s="780" t="s">
        <v>189</v>
      </c>
      <c r="R11" s="673">
        <f>(IF(COUNT(Z11,AA11,AB11,AC11,AD11,AE11,AF11,AG11,AH11,AI11)&lt;9,SUM(Z11,AA11,AB11,AC11,AD11,AE11,AF11,AG11,AH11,AI11),SUM(LARGE((Z11,AA11,AB11,AC11,AD11,AE11,AF11,AG11,AH11,AI11),{1;2;3;4;5;6;7;8;9}))))</f>
        <v>108</v>
      </c>
      <c r="S11" s="684" t="str">
        <f>INDEX(ETAPP!B$1:B$32,MATCH(COUNTIF(BI11:BR11,1),ETAPP!A$1:A$32,0))&amp;INDEX(ETAPP!B$1:B$32,MATCH(COUNTIF(BI11:BR11,2),ETAPP!A$1:A$32,0))&amp;INDEX(ETAPP!B$1:B$32,MATCH(COUNTIF(BI11:BR11,3),ETAPP!A$1:A$32,0))&amp;INDEX(ETAPP!B$1:B$32,MATCH(COUNTIF(BI11:BR11,4),ETAPP!A$1:A$32,0))&amp;INDEX(ETAPP!B$1:B$32,MATCH(COUNTIF(BI11:BR11,5),ETAPP!A$1:A$32,0))&amp;INDEX(ETAPP!B$1:B$32,MATCH(COUNTIF(BI11:BR11,6),ETAPP!A$1:A$32,0))&amp;INDEX(ETAPP!B$1:B$32,MATCH(COUNTIF(BI11:BR11,7),ETAPP!A$1:A$32,0))&amp;INDEX(ETAPP!B$1:B$32,MATCH(COUNTIF(BI11:BR11,8),ETAPP!A$1:A$32,0))&amp;INDEX(ETAPP!B$1:B$32,MATCH(COUNTIF(BI11:BR11,9),ETAPP!A$1:A$32,0))&amp;INDEX(ETAPP!B$1:B$32,MATCH(COUNTIF(BI11:BR11,10),ETAPP!A$1:A$32,0))&amp;INDEX(ETAPP!B$1:B$32,MATCH(COUNTIF(BI11:BR11,11),ETAPP!A$1:A$32,0))&amp;INDEX(ETAPP!B$1:B$32,MATCH(COUNTIF(BI11:BR11,12),ETAPP!A$1:A$32,0))&amp;INDEX(ETAPP!B$1:B$32,MATCH(COUNTIF(BI11:BR11,13),ETAPP!A$1:A$32,0))&amp;INDEX(ETAPP!B$1:B$32,MATCH(COUNTIF(BI11:BR11,14),ETAPP!A$1:A$32,0))&amp;INDEX(ETAPP!B$1:B$32,MATCH(COUNTIF(BI11:BR11,15),ETAPP!A$1:A$32,0))&amp;INDEX(ETAPP!B$1:B$32,MATCH(COUNTIF(BI11:BR11,16),ETAPP!A$1:A$32,0))&amp;INDEX(ETAPP!B$1:B$32,MATCH(COUNTIF(BI11:BR11,17),ETAPP!A$1:A$32,0))&amp;INDEX(ETAPP!B$1:B$32,MATCH(COUNTIF(BI11:BR11,18),ETAPP!A$1:A$32,0))&amp;INDEX(ETAPP!B$1:B$32,MATCH(COUNTIF(BI11:BR11,19),ETAPP!A$1:A$32,0))&amp;INDEX(ETAPP!B$1:B$32,MATCH(COUNTIF(BI11:BR11,20),ETAPP!A$1:A$32,0))&amp;INDEX(ETAPP!B$1:B$32,MATCH(COUNTIF(BI11:BR11,21),ETAPP!A$1:A$32,0))</f>
        <v>CA0B00000B00000000000</v>
      </c>
      <c r="T11" s="684" t="str">
        <f t="shared" si="12"/>
        <v>108,0-CA0B00000B00000000000</v>
      </c>
      <c r="U11" s="684">
        <f t="shared" si="13"/>
        <v>5</v>
      </c>
      <c r="V11" s="684">
        <f t="shared" si="14"/>
        <v>38</v>
      </c>
      <c r="W11" s="684" t="str">
        <f t="shared" si="15"/>
        <v>108,0-CA0B00000B00000000000-038</v>
      </c>
      <c r="X11" s="684">
        <f t="shared" si="16"/>
        <v>5</v>
      </c>
      <c r="Y11" s="685">
        <f t="shared" si="17"/>
        <v>46</v>
      </c>
      <c r="Z11" s="686">
        <f>IFERROR(INDEX('V1'!C$300:C$400,MATCH("*"&amp;L11&amp;"*",'V1'!B$300:B$400,0)),"  ")</f>
        <v>4</v>
      </c>
      <c r="AA11" s="686">
        <f>IFERROR(INDEX('V2'!C$300:C$400,MATCH("*"&amp;L11&amp;"*",'V2'!B$300:B$400,0)),"  ")</f>
        <v>20</v>
      </c>
      <c r="AB11" s="686">
        <f>IFERROR(INDEX('V3'!C$300:C$400,MATCH("*"&amp;L11&amp;"*",'V3'!B$300:B$400,0)),"  ")</f>
        <v>14</v>
      </c>
      <c r="AC11" s="686">
        <f>IFERROR(INDEX('V4'!C$300:C$400,MATCH("*"&amp;L11&amp;"*",'V4'!B$300:B$400,0)),"  ")</f>
        <v>4</v>
      </c>
      <c r="AD11" s="686">
        <f>IFERROR(INDEX('V5'!C$300:C$400,MATCH("*"&amp;L11&amp;"*",'V5'!B$300:B$400,0)),"  ")</f>
        <v>20</v>
      </c>
      <c r="AE11" s="686" t="str">
        <f>IFERROR(INDEX('V6'!C$300:C$400,MATCH("*"&amp;L11&amp;"*",'V6'!B$300:B$400,0)),"  ")</f>
        <v xml:space="preserve">  </v>
      </c>
      <c r="AF11" s="686" t="str">
        <f>IFERROR(INDEX('V7'!C$300:C$400,MATCH("*"&amp;L11&amp;"*",'V7'!B$300:B$400,0)),"  ")</f>
        <v xml:space="preserve">  </v>
      </c>
      <c r="AG11" s="686">
        <f>IFERROR(INDEX('V8'!C$300:C$400,MATCH("*"&amp;L11&amp;"*",'V8'!B$300:B$400,0)),"  ")</f>
        <v>16</v>
      </c>
      <c r="AH11" s="686">
        <f>IFERROR(INDEX('V9'!C$300:C$400,MATCH("*"&amp;L11&amp;"*",'V9'!B$300:B$400,0)),"  ")</f>
        <v>16</v>
      </c>
      <c r="AI11" s="686">
        <f>IFERROR(INDEX('V10'!C$300:C$400,MATCH("*"&amp;L11&amp;"*",'V10'!B$300:B$400,0)),"  ")</f>
        <v>14</v>
      </c>
      <c r="AJ11" s="687">
        <f t="shared" si="18"/>
        <v>8</v>
      </c>
      <c r="AK11" s="688">
        <f t="shared" si="19"/>
        <v>4</v>
      </c>
      <c r="AL11" s="688">
        <f t="shared" si="20"/>
        <v>3</v>
      </c>
      <c r="AM11" s="642"/>
      <c r="AN11" s="689"/>
      <c r="AO11" s="690"/>
      <c r="AP11" s="690"/>
      <c r="AQ11" s="690"/>
      <c r="AR11" s="690"/>
      <c r="AS11" s="689">
        <f t="shared" si="21"/>
        <v>5.9999999999999995E-4</v>
      </c>
      <c r="AT11" s="690">
        <f t="shared" si="22"/>
        <v>4.0000999999999998</v>
      </c>
      <c r="AU11" s="690">
        <f t="shared" si="23"/>
        <v>20.0002</v>
      </c>
      <c r="AV11" s="690">
        <f t="shared" si="24"/>
        <v>14.000299999999999</v>
      </c>
      <c r="AW11" s="690">
        <f t="shared" si="25"/>
        <v>4.0004</v>
      </c>
      <c r="AX11" s="690">
        <f t="shared" si="26"/>
        <v>20.000499999999999</v>
      </c>
      <c r="AY11" s="690">
        <f t="shared" si="27"/>
        <v>5.9999999999999995E-4</v>
      </c>
      <c r="AZ11" s="690">
        <f t="shared" si="28"/>
        <v>6.9999999999999999E-4</v>
      </c>
      <c r="BA11" s="690">
        <f t="shared" si="29"/>
        <v>16.000800000000002</v>
      </c>
      <c r="BB11" s="690">
        <f t="shared" si="30"/>
        <v>16.000900000000001</v>
      </c>
      <c r="BC11" s="690">
        <f t="shared" si="31"/>
        <v>14.000999999999999</v>
      </c>
      <c r="BH11" s="783"/>
      <c r="BI11" s="581">
        <f t="shared" si="32"/>
        <v>10</v>
      </c>
      <c r="BJ11" s="581">
        <f t="shared" si="33"/>
        <v>1</v>
      </c>
      <c r="BK11" s="581">
        <f t="shared" si="34"/>
        <v>4</v>
      </c>
      <c r="BL11" s="581">
        <f t="shared" si="35"/>
        <v>10</v>
      </c>
      <c r="BM11" s="581">
        <f t="shared" si="36"/>
        <v>1</v>
      </c>
      <c r="BN11" s="581" t="e">
        <f t="shared" si="37"/>
        <v>#VALUE!</v>
      </c>
      <c r="BO11" s="581" t="e">
        <f t="shared" si="38"/>
        <v>#VALUE!</v>
      </c>
      <c r="BP11" s="581">
        <f t="shared" si="39"/>
        <v>4</v>
      </c>
      <c r="BQ11" s="581">
        <f t="shared" si="40"/>
        <v>1</v>
      </c>
      <c r="BR11" s="581">
        <f t="shared" si="41"/>
        <v>2</v>
      </c>
    </row>
    <row r="12" spans="1:70" x14ac:dyDescent="0.2">
      <c r="A12" s="768">
        <f t="shared" si="1"/>
        <v>6</v>
      </c>
      <c r="B12" s="769">
        <f t="shared" si="2"/>
        <v>6</v>
      </c>
      <c r="C12" s="770" t="str">
        <f t="shared" si="3"/>
        <v/>
      </c>
      <c r="D12" s="769">
        <f t="shared" si="4"/>
        <v>-994</v>
      </c>
      <c r="E12" s="771">
        <f t="shared" si="5"/>
        <v>5</v>
      </c>
      <c r="F12" s="769">
        <f t="shared" si="6"/>
        <v>6</v>
      </c>
      <c r="G12" s="772" t="str">
        <f t="shared" si="7"/>
        <v/>
      </c>
      <c r="H12" s="769">
        <f t="shared" si="8"/>
        <v>-994</v>
      </c>
      <c r="I12" s="773" t="str">
        <f t="shared" si="9"/>
        <v/>
      </c>
      <c r="J12" s="774">
        <f t="shared" si="10"/>
        <v>-994</v>
      </c>
      <c r="K12" s="680">
        <f t="shared" si="11"/>
        <v>6</v>
      </c>
      <c r="L12" s="681" t="s">
        <v>92</v>
      </c>
      <c r="M12" s="682"/>
      <c r="N12" s="775" t="str">
        <f>IF(M12="","m","")</f>
        <v>m</v>
      </c>
      <c r="O12" s="683"/>
      <c r="P12" s="776"/>
      <c r="Q12" s="777" t="s">
        <v>189</v>
      </c>
      <c r="R12" s="673">
        <f>(IF(COUNT(Z12,AA12,AB12,AC12,AD12,AE12,AF12,AG12,AH12,AI12)&lt;9,SUM(Z12,AA12,AB12,AC12,AD12,AE12,AF12,AG12,AH12,AI12),SUM(LARGE((Z12,AA12,AB12,AC12,AD12,AE12,AF12,AG12,AH12,AI12),{1;2;3;4;5;6;7;8;9}))))</f>
        <v>108</v>
      </c>
      <c r="S12" s="684" t="str">
        <f>INDEX(ETAPP!B$1:B$32,MATCH(COUNTIF(BI12:BR12,1),ETAPP!A$1:A$32,0))&amp;INDEX(ETAPP!B$1:B$32,MATCH(COUNTIF(BI12:BR12,2),ETAPP!A$1:A$32,0))&amp;INDEX(ETAPP!B$1:B$32,MATCH(COUNTIF(BI12:BR12,3),ETAPP!A$1:A$32,0))&amp;INDEX(ETAPP!B$1:B$32,MATCH(COUNTIF(BI12:BR12,4),ETAPP!A$1:A$32,0))&amp;INDEX(ETAPP!B$1:B$32,MATCH(COUNTIF(BI12:BR12,5),ETAPP!A$1:A$32,0))&amp;INDEX(ETAPP!B$1:B$32,MATCH(COUNTIF(BI12:BR12,6),ETAPP!A$1:A$32,0))&amp;INDEX(ETAPP!B$1:B$32,MATCH(COUNTIF(BI12:BR12,7),ETAPP!A$1:A$32,0))&amp;INDEX(ETAPP!B$1:B$32,MATCH(COUNTIF(BI12:BR12,8),ETAPP!A$1:A$32,0))&amp;INDEX(ETAPP!B$1:B$32,MATCH(COUNTIF(BI12:BR12,9),ETAPP!A$1:A$32,0))&amp;INDEX(ETAPP!B$1:B$32,MATCH(COUNTIF(BI12:BR12,10),ETAPP!A$1:A$32,0))&amp;INDEX(ETAPP!B$1:B$32,MATCH(COUNTIF(BI12:BR12,11),ETAPP!A$1:A$32,0))&amp;INDEX(ETAPP!B$1:B$32,MATCH(COUNTIF(BI12:BR12,12),ETAPP!A$1:A$32,0))&amp;INDEX(ETAPP!B$1:B$32,MATCH(COUNTIF(BI12:BR12,13),ETAPP!A$1:A$32,0))&amp;INDEX(ETAPP!B$1:B$32,MATCH(COUNTIF(BI12:BR12,14),ETAPP!A$1:A$32,0))&amp;INDEX(ETAPP!B$1:B$32,MATCH(COUNTIF(BI12:BR12,15),ETAPP!A$1:A$32,0))&amp;INDEX(ETAPP!B$1:B$32,MATCH(COUNTIF(BI12:BR12,16),ETAPP!A$1:A$32,0))&amp;INDEX(ETAPP!B$1:B$32,MATCH(COUNTIF(BI12:BR12,17),ETAPP!A$1:A$32,0))&amp;INDEX(ETAPP!B$1:B$32,MATCH(COUNTIF(BI12:BR12,18),ETAPP!A$1:A$32,0))&amp;INDEX(ETAPP!B$1:B$32,MATCH(COUNTIF(BI12:BR12,19),ETAPP!A$1:A$32,0))&amp;INDEX(ETAPP!B$1:B$32,MATCH(COUNTIF(BI12:BR12,20),ETAPP!A$1:A$32,0))&amp;INDEX(ETAPP!B$1:B$32,MATCH(COUNTIF(BI12:BR12,21),ETAPP!A$1:A$32,0))</f>
        <v>00ACAAC00000000000000</v>
      </c>
      <c r="T12" s="684" t="str">
        <f t="shared" si="12"/>
        <v>108,0-00ACAAC00000000000000</v>
      </c>
      <c r="U12" s="684">
        <f t="shared" si="13"/>
        <v>6</v>
      </c>
      <c r="V12" s="684">
        <f t="shared" si="14"/>
        <v>47</v>
      </c>
      <c r="W12" s="684" t="str">
        <f t="shared" si="15"/>
        <v>108,0-00ACAAC00000000000000-047</v>
      </c>
      <c r="X12" s="684">
        <f t="shared" si="16"/>
        <v>6</v>
      </c>
      <c r="Y12" s="685">
        <f t="shared" si="17"/>
        <v>45</v>
      </c>
      <c r="Z12" s="686">
        <f>IFERROR(INDEX('V1'!C$300:C$400,MATCH("*"&amp;L12&amp;"*",'V1'!B$300:B$400,0)),"  ")</f>
        <v>16</v>
      </c>
      <c r="AA12" s="686">
        <f>IFERROR(INDEX('V2'!C$300:C$400,MATCH("*"&amp;L12&amp;"*",'V2'!B$300:B$400,0)),"  ")</f>
        <v>8</v>
      </c>
      <c r="AB12" s="686" t="str">
        <f>IFERROR(INDEX('V3'!C$300:C$400,MATCH("*"&amp;L12&amp;"*",'V3'!B$300:B$400,0)),"  ")</f>
        <v xml:space="preserve">  </v>
      </c>
      <c r="AC12" s="686">
        <f>IFERROR(INDEX('V4'!C$300:C$400,MATCH("*"&amp;L12&amp;"*",'V4'!B$300:B$400,0)),"  ")</f>
        <v>16</v>
      </c>
      <c r="AD12" s="686">
        <f>IFERROR(INDEX('V5'!C$300:C$400,MATCH("*"&amp;L12&amp;"*",'V5'!B$300:B$400,0)),"  ")</f>
        <v>16</v>
      </c>
      <c r="AE12" s="686">
        <f>IFERROR(INDEX('V6'!C$300:C$400,MATCH("*"&amp;L12&amp;"*",'V6'!B$300:B$400,0)),"  ")</f>
        <v>8</v>
      </c>
      <c r="AF12" s="686">
        <f>IFERROR(INDEX('V7'!C$300:C$400,MATCH("*"&amp;L12&amp;"*",'V7'!B$300:B$400,0)),"  ")</f>
        <v>16</v>
      </c>
      <c r="AG12" s="686">
        <f>IFERROR(INDEX('V8'!C$300:C$400,MATCH("*"&amp;L12&amp;"*",'V8'!B$300:B$400,0)),"  ")</f>
        <v>10</v>
      </c>
      <c r="AH12" s="686">
        <f>IFERROR(INDEX('V9'!C$300:C$400,MATCH("*"&amp;L12&amp;"*",'V9'!B$300:B$400,0)),"  ")</f>
        <v>8</v>
      </c>
      <c r="AI12" s="686">
        <f>IFERROR(INDEX('V10'!C$300:C$400,MATCH("*"&amp;L12&amp;"*",'V10'!B$300:B$400,0)),"  ")</f>
        <v>10</v>
      </c>
      <c r="AJ12" s="687">
        <f t="shared" si="18"/>
        <v>9</v>
      </c>
      <c r="AK12" s="688">
        <f t="shared" si="19"/>
        <v>1</v>
      </c>
      <c r="AL12" s="688">
        <f t="shared" si="20"/>
        <v>0</v>
      </c>
      <c r="AM12" s="783"/>
      <c r="AN12" s="689"/>
      <c r="AO12" s="690"/>
      <c r="AP12" s="690"/>
      <c r="AQ12" s="690"/>
      <c r="AR12" s="690"/>
      <c r="AS12" s="689">
        <f t="shared" si="21"/>
        <v>2.9999999999999997E-4</v>
      </c>
      <c r="AT12" s="690">
        <f t="shared" si="22"/>
        <v>16.0001</v>
      </c>
      <c r="AU12" s="690">
        <f t="shared" si="23"/>
        <v>8.0001999999999995</v>
      </c>
      <c r="AV12" s="690">
        <f t="shared" si="24"/>
        <v>2.9999999999999997E-4</v>
      </c>
      <c r="AW12" s="690">
        <f t="shared" si="25"/>
        <v>16.000399999999999</v>
      </c>
      <c r="AX12" s="690">
        <f t="shared" si="26"/>
        <v>16.000499999999999</v>
      </c>
      <c r="AY12" s="690">
        <f t="shared" si="27"/>
        <v>8.0006000000000004</v>
      </c>
      <c r="AZ12" s="690">
        <f t="shared" si="28"/>
        <v>16.000699999999998</v>
      </c>
      <c r="BA12" s="690">
        <f t="shared" si="29"/>
        <v>10.0008</v>
      </c>
      <c r="BB12" s="690">
        <f t="shared" si="30"/>
        <v>8.0008999999999997</v>
      </c>
      <c r="BC12" s="690">
        <f t="shared" si="31"/>
        <v>10.000999999999999</v>
      </c>
      <c r="BH12" s="783"/>
      <c r="BI12" s="581">
        <f t="shared" si="32"/>
        <v>4</v>
      </c>
      <c r="BJ12" s="581">
        <f t="shared" si="33"/>
        <v>7</v>
      </c>
      <c r="BK12" s="581" t="e">
        <f t="shared" si="34"/>
        <v>#VALUE!</v>
      </c>
      <c r="BL12" s="581">
        <f t="shared" si="35"/>
        <v>4</v>
      </c>
      <c r="BM12" s="581">
        <f t="shared" si="36"/>
        <v>3</v>
      </c>
      <c r="BN12" s="581">
        <f t="shared" si="37"/>
        <v>7</v>
      </c>
      <c r="BO12" s="581">
        <f t="shared" si="38"/>
        <v>6</v>
      </c>
      <c r="BP12" s="581">
        <f t="shared" si="39"/>
        <v>7</v>
      </c>
      <c r="BQ12" s="581">
        <f t="shared" si="40"/>
        <v>5</v>
      </c>
      <c r="BR12" s="581">
        <f t="shared" si="41"/>
        <v>4</v>
      </c>
    </row>
    <row r="13" spans="1:70" x14ac:dyDescent="0.2">
      <c r="A13" s="768">
        <f t="shared" si="1"/>
        <v>7</v>
      </c>
      <c r="B13" s="769">
        <f t="shared" si="2"/>
        <v>7</v>
      </c>
      <c r="C13" s="770" t="str">
        <f t="shared" si="3"/>
        <v/>
      </c>
      <c r="D13" s="769">
        <f t="shared" si="4"/>
        <v>-993</v>
      </c>
      <c r="E13" s="771">
        <f t="shared" si="5"/>
        <v>6</v>
      </c>
      <c r="F13" s="769">
        <f t="shared" si="6"/>
        <v>7</v>
      </c>
      <c r="G13" s="772" t="str">
        <f t="shared" si="7"/>
        <v/>
      </c>
      <c r="H13" s="769">
        <f t="shared" si="8"/>
        <v>-993</v>
      </c>
      <c r="I13" s="773" t="str">
        <f t="shared" si="9"/>
        <v/>
      </c>
      <c r="J13" s="774">
        <f t="shared" si="10"/>
        <v>-993</v>
      </c>
      <c r="K13" s="680">
        <f t="shared" si="11"/>
        <v>7</v>
      </c>
      <c r="L13" s="681" t="s">
        <v>116</v>
      </c>
      <c r="M13" s="682"/>
      <c r="N13" s="775" t="s">
        <v>191</v>
      </c>
      <c r="O13" s="693"/>
      <c r="P13" s="776"/>
      <c r="Q13" s="777" t="s">
        <v>189</v>
      </c>
      <c r="R13" s="673">
        <f>(IF(COUNT(Z13,AA13,AB13,AC13,AD13,AE13,AF13,AG13,AH13,AI13)&lt;9,SUM(Z13,AA13,AB13,AC13,AD13,AE13,AF13,AG13,AH13,AI13),SUM(LARGE((Z13,AA13,AB13,AC13,AD13,AE13,AF13,AG13,AH13,AI13),{1;2;3;4;5;6;7;8;9}))))</f>
        <v>104</v>
      </c>
      <c r="S13" s="684" t="str">
        <f>INDEX(ETAPP!B$1:B$32,MATCH(COUNTIF(BI13:BR13,1),ETAPP!A$1:A$32,0))&amp;INDEX(ETAPP!B$1:B$32,MATCH(COUNTIF(BI13:BR13,2),ETAPP!A$1:A$32,0))&amp;INDEX(ETAPP!B$1:B$32,MATCH(COUNTIF(BI13:BR13,3),ETAPP!A$1:A$32,0))&amp;INDEX(ETAPP!B$1:B$32,MATCH(COUNTIF(BI13:BR13,4),ETAPP!A$1:A$32,0))&amp;INDEX(ETAPP!B$1:B$32,MATCH(COUNTIF(BI13:BR13,5),ETAPP!A$1:A$32,0))&amp;INDEX(ETAPP!B$1:B$32,MATCH(COUNTIF(BI13:BR13,6),ETAPP!A$1:A$32,0))&amp;INDEX(ETAPP!B$1:B$32,MATCH(COUNTIF(BI13:BR13,7),ETAPP!A$1:A$32,0))&amp;INDEX(ETAPP!B$1:B$32,MATCH(COUNTIF(BI13:BR13,8),ETAPP!A$1:A$32,0))&amp;INDEX(ETAPP!B$1:B$32,MATCH(COUNTIF(BI13:BR13,9),ETAPP!A$1:A$32,0))&amp;INDEX(ETAPP!B$1:B$32,MATCH(COUNTIF(BI13:BR13,10),ETAPP!A$1:A$32,0))&amp;INDEX(ETAPP!B$1:B$32,MATCH(COUNTIF(BI13:BR13,11),ETAPP!A$1:A$32,0))&amp;INDEX(ETAPP!B$1:B$32,MATCH(COUNTIF(BI13:BR13,12),ETAPP!A$1:A$32,0))&amp;INDEX(ETAPP!B$1:B$32,MATCH(COUNTIF(BI13:BR13,13),ETAPP!A$1:A$32,0))&amp;INDEX(ETAPP!B$1:B$32,MATCH(COUNTIF(BI13:BR13,14),ETAPP!A$1:A$32,0))&amp;INDEX(ETAPP!B$1:B$32,MATCH(COUNTIF(BI13:BR13,15),ETAPP!A$1:A$32,0))&amp;INDEX(ETAPP!B$1:B$32,MATCH(COUNTIF(BI13:BR13,16),ETAPP!A$1:A$32,0))&amp;INDEX(ETAPP!B$1:B$32,MATCH(COUNTIF(BI13:BR13,17),ETAPP!A$1:A$32,0))&amp;INDEX(ETAPP!B$1:B$32,MATCH(COUNTIF(BI13:BR13,18),ETAPP!A$1:A$32,0))&amp;INDEX(ETAPP!B$1:B$32,MATCH(COUNTIF(BI13:BR13,19),ETAPP!A$1:A$32,0))&amp;INDEX(ETAPP!B$1:B$32,MATCH(COUNTIF(BI13:BR13,20),ETAPP!A$1:A$32,0))&amp;INDEX(ETAPP!B$1:B$32,MATCH(COUNTIF(BI13:BR13,21),ETAPP!A$1:A$32,0))</f>
        <v>BAAB00000000000000000</v>
      </c>
      <c r="T13" s="684" t="str">
        <f t="shared" si="12"/>
        <v>104,0-BAAB00000000000000000</v>
      </c>
      <c r="U13" s="684">
        <f t="shared" si="13"/>
        <v>7</v>
      </c>
      <c r="V13" s="684">
        <f t="shared" si="14"/>
        <v>32</v>
      </c>
      <c r="W13" s="684" t="str">
        <f t="shared" si="15"/>
        <v>104,0-BAAB00000000000000000-032</v>
      </c>
      <c r="X13" s="684">
        <f t="shared" si="16"/>
        <v>7</v>
      </c>
      <c r="Y13" s="685">
        <f t="shared" si="17"/>
        <v>44</v>
      </c>
      <c r="Z13" s="686" t="str">
        <f>IFERROR(INDEX('V1'!C$300:C$400,MATCH("*"&amp;L13&amp;"*",'V1'!B$300:B$400,0)),"  ")</f>
        <v xml:space="preserve">  </v>
      </c>
      <c r="AA13" s="686" t="str">
        <f>IFERROR(INDEX('V2'!C$300:C$400,MATCH("*"&amp;L13&amp;"*",'V2'!B$300:B$400,0)),"  ")</f>
        <v xml:space="preserve">  </v>
      </c>
      <c r="AB13" s="686">
        <f>IFERROR(INDEX('V3'!C$300:C$400,MATCH("*"&amp;L13&amp;"*",'V3'!B$300:B$400,0)),"  ")</f>
        <v>14</v>
      </c>
      <c r="AC13" s="686">
        <f>IFERROR(INDEX('V4'!C$300:C$400,MATCH("*"&amp;L13&amp;"*",'V4'!B$300:B$400,0)),"  ")</f>
        <v>22</v>
      </c>
      <c r="AD13" s="686" t="str">
        <f>IFERROR(INDEX('V5'!C$300:C$400,MATCH("*"&amp;L13&amp;"*",'V5'!B$300:B$400,0)),"  ")</f>
        <v xml:space="preserve">  </v>
      </c>
      <c r="AE13" s="686" t="str">
        <f>IFERROR(INDEX('V6'!C$300:C$400,MATCH("*"&amp;L13&amp;"*",'V6'!B$300:B$400,0)),"  ")</f>
        <v xml:space="preserve">  </v>
      </c>
      <c r="AF13" s="686">
        <f>IFERROR(INDEX('V7'!C$300:C$400,MATCH("*"&amp;L13&amp;"*",'V7'!B$300:B$400,0)),"  ")</f>
        <v>22</v>
      </c>
      <c r="AG13" s="686">
        <f>IFERROR(INDEX('V8'!C$300:C$400,MATCH("*"&amp;L13&amp;"*",'V8'!B$300:B$400,0)),"  ")</f>
        <v>16</v>
      </c>
      <c r="AH13" s="686">
        <f>IFERROR(INDEX('V9'!C$300:C$400,MATCH("*"&amp;L13&amp;"*",'V9'!B$300:B$400,0)),"  ")</f>
        <v>16</v>
      </c>
      <c r="AI13" s="686">
        <f>IFERROR(INDEX('V10'!C$300:C$400,MATCH("*"&amp;L13&amp;"*",'V10'!B$300:B$400,0)),"  ")</f>
        <v>14</v>
      </c>
      <c r="AJ13" s="687">
        <f t="shared" si="18"/>
        <v>6</v>
      </c>
      <c r="AK13" s="688">
        <f t="shared" si="19"/>
        <v>3</v>
      </c>
      <c r="AL13" s="688">
        <f t="shared" si="20"/>
        <v>2</v>
      </c>
      <c r="AM13" s="642"/>
      <c r="AN13" s="689"/>
      <c r="AO13" s="690"/>
      <c r="AP13" s="690"/>
      <c r="AQ13" s="690"/>
      <c r="AR13" s="690"/>
      <c r="AS13" s="689">
        <f t="shared" si="21"/>
        <v>1E-4</v>
      </c>
      <c r="AT13" s="690">
        <f t="shared" si="22"/>
        <v>1E-4</v>
      </c>
      <c r="AU13" s="690">
        <f t="shared" si="23"/>
        <v>2.0000000000000001E-4</v>
      </c>
      <c r="AV13" s="690">
        <f t="shared" si="24"/>
        <v>14.000299999999999</v>
      </c>
      <c r="AW13" s="690">
        <f t="shared" si="25"/>
        <v>22.000399999999999</v>
      </c>
      <c r="AX13" s="690">
        <f t="shared" si="26"/>
        <v>5.0000000000000001E-4</v>
      </c>
      <c r="AY13" s="690">
        <f t="shared" si="27"/>
        <v>5.9999999999999995E-4</v>
      </c>
      <c r="AZ13" s="690">
        <f t="shared" si="28"/>
        <v>22.000699999999998</v>
      </c>
      <c r="BA13" s="690">
        <f t="shared" si="29"/>
        <v>16.000800000000002</v>
      </c>
      <c r="BB13" s="690">
        <f t="shared" si="30"/>
        <v>16.000900000000001</v>
      </c>
      <c r="BC13" s="690">
        <f t="shared" si="31"/>
        <v>14.000999999999999</v>
      </c>
      <c r="BH13" s="783"/>
      <c r="BI13" s="581" t="e">
        <f t="shared" si="32"/>
        <v>#VALUE!</v>
      </c>
      <c r="BJ13" s="581" t="e">
        <f t="shared" si="33"/>
        <v>#VALUE!</v>
      </c>
      <c r="BK13" s="581">
        <f t="shared" si="34"/>
        <v>4</v>
      </c>
      <c r="BL13" s="581">
        <f t="shared" si="35"/>
        <v>1</v>
      </c>
      <c r="BM13" s="581" t="e">
        <f t="shared" si="36"/>
        <v>#VALUE!</v>
      </c>
      <c r="BN13" s="581" t="e">
        <f t="shared" si="37"/>
        <v>#VALUE!</v>
      </c>
      <c r="BO13" s="581">
        <f t="shared" si="38"/>
        <v>3</v>
      </c>
      <c r="BP13" s="581">
        <f t="shared" si="39"/>
        <v>4</v>
      </c>
      <c r="BQ13" s="581">
        <f t="shared" si="40"/>
        <v>1</v>
      </c>
      <c r="BR13" s="581">
        <f t="shared" si="41"/>
        <v>2</v>
      </c>
    </row>
    <row r="14" spans="1:70" x14ac:dyDescent="0.2">
      <c r="A14" s="768">
        <f t="shared" si="1"/>
        <v>8</v>
      </c>
      <c r="B14" s="769">
        <f t="shared" si="2"/>
        <v>8</v>
      </c>
      <c r="C14" s="770" t="str">
        <f t="shared" si="3"/>
        <v/>
      </c>
      <c r="D14" s="769">
        <f t="shared" si="4"/>
        <v>-992</v>
      </c>
      <c r="E14" s="771" t="str">
        <f t="shared" si="5"/>
        <v/>
      </c>
      <c r="F14" s="769">
        <f t="shared" si="6"/>
        <v>-992</v>
      </c>
      <c r="G14" s="772">
        <f t="shared" si="7"/>
        <v>2</v>
      </c>
      <c r="H14" s="769">
        <f t="shared" si="8"/>
        <v>8</v>
      </c>
      <c r="I14" s="773" t="str">
        <f t="shared" si="9"/>
        <v/>
      </c>
      <c r="J14" s="774">
        <f t="shared" si="10"/>
        <v>-992</v>
      </c>
      <c r="K14" s="680">
        <f t="shared" si="11"/>
        <v>8</v>
      </c>
      <c r="L14" s="784" t="s">
        <v>98</v>
      </c>
      <c r="M14" s="682" t="s">
        <v>99</v>
      </c>
      <c r="N14" s="775" t="str">
        <f>IF(M14="","m","")</f>
        <v/>
      </c>
      <c r="O14" s="683"/>
      <c r="P14" s="776"/>
      <c r="Q14" s="777" t="s">
        <v>189</v>
      </c>
      <c r="R14" s="673">
        <f>(IF(COUNT(Z14,AA14,AB14,AC14,AD14,AE14,AF14,AG14,AH14,AI14)&lt;9,SUM(Z14,AA14,AB14,AC14,AD14,AE14,AF14,AG14,AH14,AI14),SUM(LARGE((Z14,AA14,AB14,AC14,AD14,AE14,AF14,AG14,AH14,AI14),{1;2;3;4;5;6;7;8;9}))))</f>
        <v>100</v>
      </c>
      <c r="S14" s="684" t="str">
        <f>INDEX(ETAPP!B$1:B$32,MATCH(COUNTIF(BI14:BR14,1),ETAPP!A$1:A$32,0))&amp;INDEX(ETAPP!B$1:B$32,MATCH(COUNTIF(BI14:BR14,2),ETAPP!A$1:A$32,0))&amp;INDEX(ETAPP!B$1:B$32,MATCH(COUNTIF(BI14:BR14,3),ETAPP!A$1:A$32,0))&amp;INDEX(ETAPP!B$1:B$32,MATCH(COUNTIF(BI14:BR14,4),ETAPP!A$1:A$32,0))&amp;INDEX(ETAPP!B$1:B$32,MATCH(COUNTIF(BI14:BR14,5),ETAPP!A$1:A$32,0))&amp;INDEX(ETAPP!B$1:B$32,MATCH(COUNTIF(BI14:BR14,6),ETAPP!A$1:A$32,0))&amp;INDEX(ETAPP!B$1:B$32,MATCH(COUNTIF(BI14:BR14,7),ETAPP!A$1:A$32,0))&amp;INDEX(ETAPP!B$1:B$32,MATCH(COUNTIF(BI14:BR14,8),ETAPP!A$1:A$32,0))&amp;INDEX(ETAPP!B$1:B$32,MATCH(COUNTIF(BI14:BR14,9),ETAPP!A$1:A$32,0))&amp;INDEX(ETAPP!B$1:B$32,MATCH(COUNTIF(BI14:BR14,10),ETAPP!A$1:A$32,0))&amp;INDEX(ETAPP!B$1:B$32,MATCH(COUNTIF(BI14:BR14,11),ETAPP!A$1:A$32,0))&amp;INDEX(ETAPP!B$1:B$32,MATCH(COUNTIF(BI14:BR14,12),ETAPP!A$1:A$32,0))&amp;INDEX(ETAPP!B$1:B$32,MATCH(COUNTIF(BI14:BR14,13),ETAPP!A$1:A$32,0))&amp;INDEX(ETAPP!B$1:B$32,MATCH(COUNTIF(BI14:BR14,14),ETAPP!A$1:A$32,0))&amp;INDEX(ETAPP!B$1:B$32,MATCH(COUNTIF(BI14:BR14,15),ETAPP!A$1:A$32,0))&amp;INDEX(ETAPP!B$1:B$32,MATCH(COUNTIF(BI14:BR14,16),ETAPP!A$1:A$32,0))&amp;INDEX(ETAPP!B$1:B$32,MATCH(COUNTIF(BI14:BR14,17),ETAPP!A$1:A$32,0))&amp;INDEX(ETAPP!B$1:B$32,MATCH(COUNTIF(BI14:BR14,18),ETAPP!A$1:A$32,0))&amp;INDEX(ETAPP!B$1:B$32,MATCH(COUNTIF(BI14:BR14,19),ETAPP!A$1:A$32,0))&amp;INDEX(ETAPP!B$1:B$32,MATCH(COUNTIF(BI14:BR14,20),ETAPP!A$1:A$32,0))&amp;INDEX(ETAPP!B$1:B$32,MATCH(COUNTIF(BI14:BR14,21),ETAPP!A$1:A$32,0))</f>
        <v>00AC0AC00000000000000</v>
      </c>
      <c r="T14" s="684" t="str">
        <f t="shared" si="12"/>
        <v>100,0-00AC0AC00000000000000</v>
      </c>
      <c r="U14" s="684">
        <f t="shared" si="13"/>
        <v>8</v>
      </c>
      <c r="V14" s="684">
        <f t="shared" si="14"/>
        <v>11</v>
      </c>
      <c r="W14" s="684" t="str">
        <f t="shared" si="15"/>
        <v>100,0-00AC0AC00000000000000-011</v>
      </c>
      <c r="X14" s="684">
        <f t="shared" si="16"/>
        <v>8</v>
      </c>
      <c r="Y14" s="685">
        <f t="shared" si="17"/>
        <v>43</v>
      </c>
      <c r="Z14" s="686">
        <f>IFERROR(INDEX('V1'!C$300:C$400,MATCH("*"&amp;L14&amp;"*",'V1'!B$300:B$400,0)),"  ")</f>
        <v>16</v>
      </c>
      <c r="AA14" s="686">
        <f>IFERROR(INDEX('V2'!C$300:C$400,MATCH("*"&amp;L14&amp;"*",'V2'!B$300:B$400,0)),"  ")</f>
        <v>8</v>
      </c>
      <c r="AB14" s="686" t="str">
        <f>IFERROR(INDEX('V3'!C$300:C$400,MATCH("*"&amp;L14&amp;"*",'V3'!B$300:B$400,0)),"  ")</f>
        <v xml:space="preserve">  </v>
      </c>
      <c r="AC14" s="686">
        <f>IFERROR(INDEX('V4'!C$300:C$400,MATCH("*"&amp;L14&amp;"*",'V4'!B$300:B$400,0)),"  ")</f>
        <v>16</v>
      </c>
      <c r="AD14" s="686">
        <f>IFERROR(INDEX('V5'!C$300:C$400,MATCH("*"&amp;L14&amp;"*",'V5'!B$300:B$400,0)),"  ")</f>
        <v>16</v>
      </c>
      <c r="AE14" s="686">
        <f>IFERROR(INDEX('V6'!C$300:C$400,MATCH("*"&amp;L14&amp;"*",'V6'!B$300:B$400,0)),"  ")</f>
        <v>8</v>
      </c>
      <c r="AF14" s="686">
        <f>IFERROR(INDEX('V7'!C$300:C$400,MATCH("*"&amp;L14&amp;"*",'V7'!B$300:B$400,0)),"  ")</f>
        <v>16</v>
      </c>
      <c r="AG14" s="686">
        <f>IFERROR(INDEX('V8'!C$300:C$400,MATCH("*"&amp;L14&amp;"*",'V8'!B$300:B$400,0)),"  ")</f>
        <v>10</v>
      </c>
      <c r="AH14" s="686" t="str">
        <f>IFERROR(INDEX('V9'!C$300:C$400,MATCH("*"&amp;L14&amp;"*",'V9'!B$300:B$400,0)),"  ")</f>
        <v xml:space="preserve">  </v>
      </c>
      <c r="AI14" s="686">
        <f>IFERROR(INDEX('V10'!C$300:C$400,MATCH("*"&amp;L14&amp;"*",'V10'!B$300:B$400,0)),"  ")</f>
        <v>10</v>
      </c>
      <c r="AJ14" s="687">
        <f t="shared" si="18"/>
        <v>8</v>
      </c>
      <c r="AK14" s="688">
        <f t="shared" si="19"/>
        <v>1</v>
      </c>
      <c r="AL14" s="688">
        <f t="shared" si="20"/>
        <v>0</v>
      </c>
      <c r="AM14" s="642"/>
      <c r="AN14" s="689"/>
      <c r="AO14" s="690"/>
      <c r="AP14" s="690"/>
      <c r="AQ14" s="690"/>
      <c r="AR14" s="690"/>
      <c r="AS14" s="689">
        <f t="shared" si="21"/>
        <v>2.9999999999999997E-4</v>
      </c>
      <c r="AT14" s="690">
        <f t="shared" si="22"/>
        <v>16.0001</v>
      </c>
      <c r="AU14" s="690">
        <f t="shared" si="23"/>
        <v>8.0001999999999995</v>
      </c>
      <c r="AV14" s="690">
        <f t="shared" si="24"/>
        <v>2.9999999999999997E-4</v>
      </c>
      <c r="AW14" s="690">
        <f t="shared" si="25"/>
        <v>16.000399999999999</v>
      </c>
      <c r="AX14" s="690">
        <f t="shared" si="26"/>
        <v>16.000499999999999</v>
      </c>
      <c r="AY14" s="690">
        <f t="shared" si="27"/>
        <v>8.0006000000000004</v>
      </c>
      <c r="AZ14" s="690">
        <f t="shared" si="28"/>
        <v>16.000699999999998</v>
      </c>
      <c r="BA14" s="690">
        <f t="shared" si="29"/>
        <v>10.0008</v>
      </c>
      <c r="BB14" s="690">
        <f t="shared" si="30"/>
        <v>8.9999999999999998E-4</v>
      </c>
      <c r="BC14" s="690">
        <f t="shared" si="31"/>
        <v>10.000999999999999</v>
      </c>
      <c r="BI14" s="581">
        <f t="shared" si="32"/>
        <v>4</v>
      </c>
      <c r="BJ14" s="581">
        <f t="shared" si="33"/>
        <v>7</v>
      </c>
      <c r="BK14" s="581" t="e">
        <f t="shared" si="34"/>
        <v>#VALUE!</v>
      </c>
      <c r="BL14" s="581">
        <f t="shared" si="35"/>
        <v>4</v>
      </c>
      <c r="BM14" s="581">
        <f t="shared" si="36"/>
        <v>3</v>
      </c>
      <c r="BN14" s="581">
        <f t="shared" si="37"/>
        <v>7</v>
      </c>
      <c r="BO14" s="581">
        <f t="shared" si="38"/>
        <v>6</v>
      </c>
      <c r="BP14" s="581">
        <f t="shared" si="39"/>
        <v>7</v>
      </c>
      <c r="BQ14" s="581" t="e">
        <f t="shared" si="40"/>
        <v>#VALUE!</v>
      </c>
      <c r="BR14" s="581">
        <f t="shared" si="41"/>
        <v>4</v>
      </c>
    </row>
    <row r="15" spans="1:70" x14ac:dyDescent="0.2">
      <c r="A15" s="768">
        <f t="shared" si="1"/>
        <v>9</v>
      </c>
      <c r="B15" s="769">
        <f t="shared" si="2"/>
        <v>9</v>
      </c>
      <c r="C15" s="770">
        <f t="shared" si="3"/>
        <v>2</v>
      </c>
      <c r="D15" s="769">
        <f t="shared" si="4"/>
        <v>9</v>
      </c>
      <c r="E15" s="771">
        <f t="shared" si="5"/>
        <v>7</v>
      </c>
      <c r="F15" s="769">
        <f t="shared" si="6"/>
        <v>9</v>
      </c>
      <c r="G15" s="772" t="str">
        <f t="shared" si="7"/>
        <v/>
      </c>
      <c r="H15" s="769">
        <f t="shared" si="8"/>
        <v>-991</v>
      </c>
      <c r="I15" s="773" t="str">
        <f t="shared" si="9"/>
        <v/>
      </c>
      <c r="J15" s="774">
        <f t="shared" si="10"/>
        <v>-991</v>
      </c>
      <c r="K15" s="680">
        <f t="shared" si="11"/>
        <v>9</v>
      </c>
      <c r="L15" s="681" t="s">
        <v>106</v>
      </c>
      <c r="M15" s="682"/>
      <c r="N15" s="775" t="s">
        <v>191</v>
      </c>
      <c r="O15" s="683"/>
      <c r="P15" s="776" t="s">
        <v>190</v>
      </c>
      <c r="Q15" s="777" t="s">
        <v>189</v>
      </c>
      <c r="R15" s="673">
        <f>(IF(COUNT(Z15,AA15,AB15,AC15,AD15,AE15,AF15,AG15,AH15,AI15)&lt;9,SUM(Z15,AA15,AB15,AC15,AD15,AE15,AF15,AG15,AH15,AI15),SUM(LARGE((Z15,AA15,AB15,AC15,AD15,AE15,AF15,AG15,AH15,AI15),{1;2;3;4;5;6;7;8;9}))))</f>
        <v>98</v>
      </c>
      <c r="S15" s="684" t="str">
        <f>INDEX(ETAPP!B$1:B$32,MATCH(COUNTIF(BI15:BR15,1),ETAPP!A$1:A$32,0))&amp;INDEX(ETAPP!B$1:B$32,MATCH(COUNTIF(BI15:BR15,2),ETAPP!A$1:A$32,0))&amp;INDEX(ETAPP!B$1:B$32,MATCH(COUNTIF(BI15:BR15,3),ETAPP!A$1:A$32,0))&amp;INDEX(ETAPP!B$1:B$32,MATCH(COUNTIF(BI15:BR15,4),ETAPP!A$1:A$32,0))&amp;INDEX(ETAPP!B$1:B$32,MATCH(COUNTIF(BI15:BR15,5),ETAPP!A$1:A$32,0))&amp;INDEX(ETAPP!B$1:B$32,MATCH(COUNTIF(BI15:BR15,6),ETAPP!A$1:A$32,0))&amp;INDEX(ETAPP!B$1:B$32,MATCH(COUNTIF(BI15:BR15,7),ETAPP!A$1:A$32,0))&amp;INDEX(ETAPP!B$1:B$32,MATCH(COUNTIF(BI15:BR15,8),ETAPP!A$1:A$32,0))&amp;INDEX(ETAPP!B$1:B$32,MATCH(COUNTIF(BI15:BR15,9),ETAPP!A$1:A$32,0))&amp;INDEX(ETAPP!B$1:B$32,MATCH(COUNTIF(BI15:BR15,10),ETAPP!A$1:A$32,0))&amp;INDEX(ETAPP!B$1:B$32,MATCH(COUNTIF(BI15:BR15,11),ETAPP!A$1:A$32,0))&amp;INDEX(ETAPP!B$1:B$32,MATCH(COUNTIF(BI15:BR15,12),ETAPP!A$1:A$32,0))&amp;INDEX(ETAPP!B$1:B$32,MATCH(COUNTIF(BI15:BR15,13),ETAPP!A$1:A$32,0))&amp;INDEX(ETAPP!B$1:B$32,MATCH(COUNTIF(BI15:BR15,14),ETAPP!A$1:A$32,0))&amp;INDEX(ETAPP!B$1:B$32,MATCH(COUNTIF(BI15:BR15,15),ETAPP!A$1:A$32,0))&amp;INDEX(ETAPP!B$1:B$32,MATCH(COUNTIF(BI15:BR15,16),ETAPP!A$1:A$32,0))&amp;INDEX(ETAPP!B$1:B$32,MATCH(COUNTIF(BI15:BR15,17),ETAPP!A$1:A$32,0))&amp;INDEX(ETAPP!B$1:B$32,MATCH(COUNTIF(BI15:BR15,18),ETAPP!A$1:A$32,0))&amp;INDEX(ETAPP!B$1:B$32,MATCH(COUNTIF(BI15:BR15,19),ETAPP!A$1:A$32,0))&amp;INDEX(ETAPP!B$1:B$32,MATCH(COUNTIF(BI15:BR15,20),ETAPP!A$1:A$32,0))&amp;INDEX(ETAPP!B$1:B$32,MATCH(COUNTIF(BI15:BR15,21),ETAPP!A$1:A$32,0))</f>
        <v>0AC00BA0AA0A000000000</v>
      </c>
      <c r="T15" s="684" t="str">
        <f t="shared" si="12"/>
        <v>098,0-0AC00BA0AA0A000000000</v>
      </c>
      <c r="U15" s="684">
        <f t="shared" si="13"/>
        <v>9</v>
      </c>
      <c r="V15" s="684">
        <f t="shared" si="14"/>
        <v>5</v>
      </c>
      <c r="W15" s="684" t="str">
        <f t="shared" si="15"/>
        <v>098,0-0AC00BA0AA0A000000000-005</v>
      </c>
      <c r="X15" s="684">
        <f t="shared" si="16"/>
        <v>9</v>
      </c>
      <c r="Y15" s="685">
        <f t="shared" si="17"/>
        <v>42</v>
      </c>
      <c r="Z15" s="686">
        <f>IFERROR(INDEX('V1'!C$300:C$400,MATCH("*"&amp;L15&amp;"*",'V1'!B$300:B$400,0)),"  ")</f>
        <v>10</v>
      </c>
      <c r="AA15" s="686">
        <f>IFERROR(INDEX('V2'!C$300:C$400,MATCH("*"&amp;L15&amp;"*",'V2'!B$300:B$400,0)),"  ")</f>
        <v>16</v>
      </c>
      <c r="AB15" s="686">
        <f>IFERROR(INDEX('V3'!C$300:C$400,MATCH("*"&amp;L15&amp;"*",'V3'!B$300:B$400,0)),"  ")</f>
        <v>4</v>
      </c>
      <c r="AC15" s="686">
        <f>IFERROR(INDEX('V4'!C$300:C$400,MATCH("*"&amp;L15&amp;"*",'V4'!B$300:B$400,0)),"  ")</f>
        <v>18</v>
      </c>
      <c r="AD15" s="686">
        <f>IFERROR(INDEX('V5'!C$300:C$400,MATCH("*"&amp;L15&amp;"*",'V5'!B$300:B$400,0)),"  ")</f>
        <v>18</v>
      </c>
      <c r="AE15" s="686">
        <f>IFERROR(INDEX('V6'!C$300:C$400,MATCH("*"&amp;L15&amp;"*",'V6'!B$300:B$400,0)),"  ")</f>
        <v>10</v>
      </c>
      <c r="AF15" s="686">
        <f>IFERROR(INDEX('V7'!C$300:C$400,MATCH("*"&amp;L15&amp;"*",'V7'!B$300:B$400,0)),"  ")</f>
        <v>4</v>
      </c>
      <c r="AG15" s="686">
        <f>IFERROR(INDEX('V8'!C$300:C$400,MATCH("*"&amp;L15&amp;"*",'V8'!B$300:B$400,0)),"  ")</f>
        <v>4</v>
      </c>
      <c r="AH15" s="686">
        <f>IFERROR(INDEX('V9'!C$300:C$400,MATCH("*"&amp;L15&amp;"*",'V9'!B$300:B$400,0)),"  ")</f>
        <v>12</v>
      </c>
      <c r="AI15" s="686">
        <f>IFERROR(INDEX('V10'!C$300:C$400,MATCH("*"&amp;L15&amp;"*",'V10'!B$300:B$400,0)),"  ")</f>
        <v>6</v>
      </c>
      <c r="AJ15" s="687">
        <f t="shared" si="18"/>
        <v>10</v>
      </c>
      <c r="AK15" s="688">
        <f t="shared" si="19"/>
        <v>4</v>
      </c>
      <c r="AL15" s="688">
        <f t="shared" si="20"/>
        <v>0</v>
      </c>
      <c r="AM15" s="642"/>
      <c r="AN15" s="689"/>
      <c r="AO15" s="690"/>
      <c r="AP15" s="690"/>
      <c r="AQ15" s="690"/>
      <c r="AR15" s="690"/>
      <c r="AS15" s="689">
        <f t="shared" si="21"/>
        <v>4.0003000000000002</v>
      </c>
      <c r="AT15" s="690">
        <f t="shared" si="22"/>
        <v>10.0001</v>
      </c>
      <c r="AU15" s="690">
        <f t="shared" si="23"/>
        <v>16.0002</v>
      </c>
      <c r="AV15" s="690">
        <f t="shared" si="24"/>
        <v>4.0003000000000002</v>
      </c>
      <c r="AW15" s="690">
        <f t="shared" si="25"/>
        <v>18.000399999999999</v>
      </c>
      <c r="AX15" s="690">
        <f t="shared" si="26"/>
        <v>18.000499999999999</v>
      </c>
      <c r="AY15" s="690">
        <f t="shared" si="27"/>
        <v>10.0006</v>
      </c>
      <c r="AZ15" s="690">
        <f t="shared" si="28"/>
        <v>4.0007000000000001</v>
      </c>
      <c r="BA15" s="690">
        <f t="shared" si="29"/>
        <v>4.0007999999999999</v>
      </c>
      <c r="BB15" s="690">
        <f t="shared" si="30"/>
        <v>12.0009</v>
      </c>
      <c r="BC15" s="690">
        <f t="shared" si="31"/>
        <v>6.0010000000000003</v>
      </c>
      <c r="BH15" s="783"/>
      <c r="BI15" s="581">
        <f t="shared" si="32"/>
        <v>7</v>
      </c>
      <c r="BJ15" s="581">
        <f t="shared" si="33"/>
        <v>3</v>
      </c>
      <c r="BK15" s="581">
        <f t="shared" si="34"/>
        <v>9</v>
      </c>
      <c r="BL15" s="581">
        <f t="shared" si="35"/>
        <v>3</v>
      </c>
      <c r="BM15" s="581">
        <f t="shared" si="36"/>
        <v>2</v>
      </c>
      <c r="BN15" s="581">
        <f t="shared" si="37"/>
        <v>6</v>
      </c>
      <c r="BO15" s="581">
        <f t="shared" si="38"/>
        <v>12</v>
      </c>
      <c r="BP15" s="581">
        <f t="shared" si="39"/>
        <v>10</v>
      </c>
      <c r="BQ15" s="581">
        <f t="shared" si="40"/>
        <v>3</v>
      </c>
      <c r="BR15" s="581">
        <f t="shared" si="41"/>
        <v>6</v>
      </c>
    </row>
    <row r="16" spans="1:70" x14ac:dyDescent="0.2">
      <c r="A16" s="768" t="str">
        <f t="shared" si="1"/>
        <v/>
      </c>
      <c r="B16" s="769">
        <f t="shared" si="2"/>
        <v>-990</v>
      </c>
      <c r="C16" s="770" t="str">
        <f t="shared" si="3"/>
        <v/>
      </c>
      <c r="D16" s="769">
        <f t="shared" si="4"/>
        <v>-990</v>
      </c>
      <c r="E16" s="771">
        <f t="shared" si="5"/>
        <v>8</v>
      </c>
      <c r="F16" s="769">
        <f t="shared" si="6"/>
        <v>10</v>
      </c>
      <c r="G16" s="772" t="str">
        <f t="shared" si="7"/>
        <v/>
      </c>
      <c r="H16" s="769">
        <f t="shared" si="8"/>
        <v>-990</v>
      </c>
      <c r="I16" s="773" t="str">
        <f t="shared" si="9"/>
        <v/>
      </c>
      <c r="J16" s="774">
        <f t="shared" si="10"/>
        <v>-990</v>
      </c>
      <c r="K16" s="680">
        <f t="shared" si="11"/>
        <v>10</v>
      </c>
      <c r="L16" s="681" t="s">
        <v>128</v>
      </c>
      <c r="M16" s="682"/>
      <c r="N16" s="775" t="s">
        <v>191</v>
      </c>
      <c r="O16" s="683"/>
      <c r="P16" s="776"/>
      <c r="Q16" s="777"/>
      <c r="R16" s="673">
        <f>(IF(COUNT(Z16,AA16,AB16,AC16,AD16,AE16,AF16,AG16,AH16,AI16)&lt;9,SUM(Z16,AA16,AB16,AC16,AD16,AE16,AF16,AG16,AH16,AI16),SUM(LARGE((Z16,AA16,AB16,AC16,AD16,AE16,AF16,AG16,AH16,AI16),{1;2;3;4;5;6;7;8;9}))))</f>
        <v>96</v>
      </c>
      <c r="S16" s="684" t="str">
        <f>INDEX(ETAPP!B$1:B$32,MATCH(COUNTIF(BI16:BR16,1),ETAPP!A$1:A$32,0))&amp;INDEX(ETAPP!B$1:B$32,MATCH(COUNTIF(BI16:BR16,2),ETAPP!A$1:A$32,0))&amp;INDEX(ETAPP!B$1:B$32,MATCH(COUNTIF(BI16:BR16,3),ETAPP!A$1:A$32,0))&amp;INDEX(ETAPP!B$1:B$32,MATCH(COUNTIF(BI16:BR16,4),ETAPP!A$1:A$32,0))&amp;INDEX(ETAPP!B$1:B$32,MATCH(COUNTIF(BI16:BR16,5),ETAPP!A$1:A$32,0))&amp;INDEX(ETAPP!B$1:B$32,MATCH(COUNTIF(BI16:BR16,6),ETAPP!A$1:A$32,0))&amp;INDEX(ETAPP!B$1:B$32,MATCH(COUNTIF(BI16:BR16,7),ETAPP!A$1:A$32,0))&amp;INDEX(ETAPP!B$1:B$32,MATCH(COUNTIF(BI16:BR16,8),ETAPP!A$1:A$32,0))&amp;INDEX(ETAPP!B$1:B$32,MATCH(COUNTIF(BI16:BR16,9),ETAPP!A$1:A$32,0))&amp;INDEX(ETAPP!B$1:B$32,MATCH(COUNTIF(BI16:BR16,10),ETAPP!A$1:A$32,0))&amp;INDEX(ETAPP!B$1:B$32,MATCH(COUNTIF(BI16:BR16,11),ETAPP!A$1:A$32,0))&amp;INDEX(ETAPP!B$1:B$32,MATCH(COUNTIF(BI16:BR16,12),ETAPP!A$1:A$32,0))&amp;INDEX(ETAPP!B$1:B$32,MATCH(COUNTIF(BI16:BR16,13),ETAPP!A$1:A$32,0))&amp;INDEX(ETAPP!B$1:B$32,MATCH(COUNTIF(BI16:BR16,14),ETAPP!A$1:A$32,0))&amp;INDEX(ETAPP!B$1:B$32,MATCH(COUNTIF(BI16:BR16,15),ETAPP!A$1:A$32,0))&amp;INDEX(ETAPP!B$1:B$32,MATCH(COUNTIF(BI16:BR16,16),ETAPP!A$1:A$32,0))&amp;INDEX(ETAPP!B$1:B$32,MATCH(COUNTIF(BI16:BR16,17),ETAPP!A$1:A$32,0))&amp;INDEX(ETAPP!B$1:B$32,MATCH(COUNTIF(BI16:BR16,18),ETAPP!A$1:A$32,0))&amp;INDEX(ETAPP!B$1:B$32,MATCH(COUNTIF(BI16:BR16,19),ETAPP!A$1:A$32,0))&amp;INDEX(ETAPP!B$1:B$32,MATCH(COUNTIF(BI16:BR16,20),ETAPP!A$1:A$32,0))&amp;INDEX(ETAPP!B$1:B$32,MATCH(COUNTIF(BI16:BR16,21),ETAPP!A$1:A$32,0))</f>
        <v>DA0000000000000000000</v>
      </c>
      <c r="T16" s="684" t="str">
        <f t="shared" si="12"/>
        <v>096,0-DA0000000000000000000</v>
      </c>
      <c r="U16" s="684">
        <f t="shared" si="13"/>
        <v>10</v>
      </c>
      <c r="V16" s="684">
        <f t="shared" si="14"/>
        <v>8</v>
      </c>
      <c r="W16" s="684" t="str">
        <f t="shared" si="15"/>
        <v>096,0-DA0000000000000000000-008</v>
      </c>
      <c r="X16" s="684">
        <f t="shared" si="16"/>
        <v>10</v>
      </c>
      <c r="Y16" s="685">
        <f t="shared" si="17"/>
        <v>41</v>
      </c>
      <c r="Z16" s="686" t="str">
        <f>IFERROR(INDEX('V1'!C$300:C$400,MATCH("*"&amp;L16&amp;"*",'V1'!B$300:B$400,0)),"  ")</f>
        <v xml:space="preserve">  </v>
      </c>
      <c r="AA16" s="686">
        <f>IFERROR(INDEX('V2'!C$300:C$400,MATCH("*"&amp;L16&amp;"*",'V2'!B$300:B$400,0)),"  ")</f>
        <v>20</v>
      </c>
      <c r="AB16" s="686" t="str">
        <f>IFERROR(INDEX('V3'!C$300:C$400,MATCH("*"&amp;L16&amp;"*",'V3'!B$300:B$400,0)),"  ")</f>
        <v xml:space="preserve">  </v>
      </c>
      <c r="AC16" s="686" t="str">
        <f>IFERROR(INDEX('V4'!C$300:C$400,MATCH("*"&amp;L16&amp;"*",'V4'!B$300:B$400,0)),"  ")</f>
        <v xml:space="preserve">  </v>
      </c>
      <c r="AD16" s="686">
        <f>IFERROR(INDEX('V5'!C$300:C$400,MATCH("*"&amp;L16&amp;"*",'V5'!B$300:B$400,0)),"  ")</f>
        <v>20</v>
      </c>
      <c r="AE16" s="686">
        <f>IFERROR(INDEX('V6'!C$300:C$400,MATCH("*"&amp;L16&amp;"*",'V6'!B$300:B$400,0)),"  ")</f>
        <v>20</v>
      </c>
      <c r="AF16" s="686" t="str">
        <f>IFERROR(INDEX('V7'!C$300:C$400,MATCH("*"&amp;L16&amp;"*",'V7'!B$300:B$400,0)),"  ")</f>
        <v xml:space="preserve">  </v>
      </c>
      <c r="AG16" s="686">
        <f>IFERROR(INDEX('V8'!C$300:C$400,MATCH("*"&amp;L16&amp;"*",'V8'!B$300:B$400,0)),"  ")</f>
        <v>20</v>
      </c>
      <c r="AH16" s="686" t="str">
        <f>IFERROR(INDEX('V9'!C$300:C$400,MATCH("*"&amp;L16&amp;"*",'V9'!B$300:B$400,0)),"  ")</f>
        <v xml:space="preserve">  </v>
      </c>
      <c r="AI16" s="686">
        <f>IFERROR(INDEX('V10'!C$300:C$400,MATCH("*"&amp;L16&amp;"*",'V10'!B$300:B$400,0)),"  ")</f>
        <v>16</v>
      </c>
      <c r="AJ16" s="687">
        <f t="shared" si="18"/>
        <v>5</v>
      </c>
      <c r="AK16" s="688">
        <f t="shared" si="19"/>
        <v>5</v>
      </c>
      <c r="AL16" s="688">
        <f t="shared" si="20"/>
        <v>4</v>
      </c>
      <c r="AM16" s="642"/>
      <c r="AN16" s="689"/>
      <c r="AO16" s="690"/>
      <c r="AP16" s="690"/>
      <c r="AQ16" s="690"/>
      <c r="AR16" s="690"/>
      <c r="AS16" s="689">
        <f t="shared" si="21"/>
        <v>1E-4</v>
      </c>
      <c r="AT16" s="690">
        <f t="shared" si="22"/>
        <v>1E-4</v>
      </c>
      <c r="AU16" s="690">
        <f t="shared" si="23"/>
        <v>20.0002</v>
      </c>
      <c r="AV16" s="690">
        <f t="shared" si="24"/>
        <v>2.9999999999999997E-4</v>
      </c>
      <c r="AW16" s="690">
        <f t="shared" si="25"/>
        <v>4.0000000000000002E-4</v>
      </c>
      <c r="AX16" s="690">
        <f t="shared" si="26"/>
        <v>20.000499999999999</v>
      </c>
      <c r="AY16" s="690">
        <f t="shared" si="27"/>
        <v>20.000599999999999</v>
      </c>
      <c r="AZ16" s="690">
        <f t="shared" si="28"/>
        <v>6.9999999999999999E-4</v>
      </c>
      <c r="BA16" s="690">
        <f t="shared" si="29"/>
        <v>20.000800000000002</v>
      </c>
      <c r="BB16" s="690">
        <f t="shared" si="30"/>
        <v>8.9999999999999998E-4</v>
      </c>
      <c r="BC16" s="690">
        <f t="shared" si="31"/>
        <v>16.001000000000001</v>
      </c>
      <c r="BI16" s="581" t="e">
        <f t="shared" si="32"/>
        <v>#VALUE!</v>
      </c>
      <c r="BJ16" s="581">
        <f t="shared" si="33"/>
        <v>1</v>
      </c>
      <c r="BK16" s="581" t="e">
        <f t="shared" si="34"/>
        <v>#VALUE!</v>
      </c>
      <c r="BL16" s="581" t="e">
        <f t="shared" si="35"/>
        <v>#VALUE!</v>
      </c>
      <c r="BM16" s="581">
        <f t="shared" si="36"/>
        <v>1</v>
      </c>
      <c r="BN16" s="581">
        <f t="shared" si="37"/>
        <v>1</v>
      </c>
      <c r="BO16" s="581" t="e">
        <f t="shared" si="38"/>
        <v>#VALUE!</v>
      </c>
      <c r="BP16" s="581">
        <f t="shared" si="39"/>
        <v>2</v>
      </c>
      <c r="BQ16" s="581" t="e">
        <f t="shared" si="40"/>
        <v>#VALUE!</v>
      </c>
      <c r="BR16" s="581">
        <f t="shared" si="41"/>
        <v>1</v>
      </c>
    </row>
    <row r="17" spans="1:70" x14ac:dyDescent="0.2">
      <c r="A17" s="768">
        <f t="shared" si="1"/>
        <v>10</v>
      </c>
      <c r="B17" s="769">
        <f t="shared" si="2"/>
        <v>11</v>
      </c>
      <c r="C17" s="770">
        <f t="shared" si="3"/>
        <v>3</v>
      </c>
      <c r="D17" s="769">
        <f t="shared" si="4"/>
        <v>11</v>
      </c>
      <c r="E17" s="771">
        <f t="shared" si="5"/>
        <v>9</v>
      </c>
      <c r="F17" s="769">
        <f t="shared" si="6"/>
        <v>11</v>
      </c>
      <c r="G17" s="772" t="str">
        <f t="shared" si="7"/>
        <v/>
      </c>
      <c r="H17" s="769">
        <f t="shared" si="8"/>
        <v>-989</v>
      </c>
      <c r="I17" s="773" t="str">
        <f t="shared" si="9"/>
        <v/>
      </c>
      <c r="J17" s="774">
        <f t="shared" si="10"/>
        <v>-989</v>
      </c>
      <c r="K17" s="680">
        <f t="shared" si="11"/>
        <v>11</v>
      </c>
      <c r="L17" s="785" t="s">
        <v>104</v>
      </c>
      <c r="M17" s="682"/>
      <c r="N17" s="775" t="str">
        <f>IF(M17="","m","")</f>
        <v>m</v>
      </c>
      <c r="O17" s="683"/>
      <c r="P17" s="776" t="s">
        <v>190</v>
      </c>
      <c r="Q17" s="777" t="s">
        <v>189</v>
      </c>
      <c r="R17" s="673">
        <f>(IF(COUNT(Z17,AA17,AB17,AC17,AD17,AE17,AF17,AG17,AH17,AI17)&lt;9,SUM(Z17,AA17,AB17,AC17,AD17,AE17,AF17,AG17,AH17,AI17),SUM(LARGE((Z17,AA17,AB17,AC17,AD17,AE17,AF17,AG17,AH17,AI17),{1;2;3;4;5;6;7;8;9}))))</f>
        <v>90</v>
      </c>
      <c r="S17" s="684" t="str">
        <f>INDEX(ETAPP!B$1:B$32,MATCH(COUNTIF(BI17:BR17,1),ETAPP!A$1:A$32,0))&amp;INDEX(ETAPP!B$1:B$32,MATCH(COUNTIF(BI17:BR17,2),ETAPP!A$1:A$32,0))&amp;INDEX(ETAPP!B$1:B$32,MATCH(COUNTIF(BI17:BR17,3),ETAPP!A$1:A$32,0))&amp;INDEX(ETAPP!B$1:B$32,MATCH(COUNTIF(BI17:BR17,4),ETAPP!A$1:A$32,0))&amp;INDEX(ETAPP!B$1:B$32,MATCH(COUNTIF(BI17:BR17,5),ETAPP!A$1:A$32,0))&amp;INDEX(ETAPP!B$1:B$32,MATCH(COUNTIF(BI17:BR17,6),ETAPP!A$1:A$32,0))&amp;INDEX(ETAPP!B$1:B$32,MATCH(COUNTIF(BI17:BR17,7),ETAPP!A$1:A$32,0))&amp;INDEX(ETAPP!B$1:B$32,MATCH(COUNTIF(BI17:BR17,8),ETAPP!A$1:A$32,0))&amp;INDEX(ETAPP!B$1:B$32,MATCH(COUNTIF(BI17:BR17,9),ETAPP!A$1:A$32,0))&amp;INDEX(ETAPP!B$1:B$32,MATCH(COUNTIF(BI17:BR17,10),ETAPP!A$1:A$32,0))&amp;INDEX(ETAPP!B$1:B$32,MATCH(COUNTIF(BI17:BR17,11),ETAPP!A$1:A$32,0))&amp;INDEX(ETAPP!B$1:B$32,MATCH(COUNTIF(BI17:BR17,12),ETAPP!A$1:A$32,0))&amp;INDEX(ETAPP!B$1:B$32,MATCH(COUNTIF(BI17:BR17,13),ETAPP!A$1:A$32,0))&amp;INDEX(ETAPP!B$1:B$32,MATCH(COUNTIF(BI17:BR17,14),ETAPP!A$1:A$32,0))&amp;INDEX(ETAPP!B$1:B$32,MATCH(COUNTIF(BI17:BR17,15),ETAPP!A$1:A$32,0))&amp;INDEX(ETAPP!B$1:B$32,MATCH(COUNTIF(BI17:BR17,16),ETAPP!A$1:A$32,0))&amp;INDEX(ETAPP!B$1:B$32,MATCH(COUNTIF(BI17:BR17,17),ETAPP!A$1:A$32,0))&amp;INDEX(ETAPP!B$1:B$32,MATCH(COUNTIF(BI17:BR17,18),ETAPP!A$1:A$32,0))&amp;INDEX(ETAPP!B$1:B$32,MATCH(COUNTIF(BI17:BR17,19),ETAPP!A$1:A$32,0))&amp;INDEX(ETAPP!B$1:B$32,MATCH(COUNTIF(BI17:BR17,20),ETAPP!A$1:A$32,0))&amp;INDEX(ETAPP!B$1:B$32,MATCH(COUNTIF(BI17:BR17,21),ETAPP!A$1:A$32,0))</f>
        <v>0AC00BA00000000000000</v>
      </c>
      <c r="T17" s="684" t="str">
        <f t="shared" si="12"/>
        <v>090,0-0AC00BA00000000000000</v>
      </c>
      <c r="U17" s="684">
        <f t="shared" si="13"/>
        <v>11</v>
      </c>
      <c r="V17" s="684">
        <f t="shared" si="14"/>
        <v>39</v>
      </c>
      <c r="W17" s="684" t="str">
        <f t="shared" si="15"/>
        <v>090,0-0AC00BA00000000000000-039</v>
      </c>
      <c r="X17" s="684">
        <f t="shared" si="16"/>
        <v>11</v>
      </c>
      <c r="Y17" s="685">
        <f t="shared" si="17"/>
        <v>40</v>
      </c>
      <c r="Z17" s="686">
        <f>IFERROR(INDEX('V1'!C$300:C$400,MATCH("*"&amp;L17&amp;"*",'V1'!B$300:B$400,0)),"  ")</f>
        <v>10</v>
      </c>
      <c r="AA17" s="686">
        <f>IFERROR(INDEX('V2'!C$300:C$400,MATCH("*"&amp;L17&amp;"*",'V2'!B$300:B$400,0)),"  ")</f>
        <v>16</v>
      </c>
      <c r="AB17" s="686" t="str">
        <f>IFERROR(INDEX('V3'!C$300:C$400,MATCH("*"&amp;L17&amp;"*",'V3'!B$300:B$400,0)),"  ")</f>
        <v xml:space="preserve">  </v>
      </c>
      <c r="AC17" s="686">
        <f>IFERROR(INDEX('V4'!C$300:C$400,MATCH("*"&amp;L17&amp;"*",'V4'!B$300:B$400,0)),"  ")</f>
        <v>18</v>
      </c>
      <c r="AD17" s="686">
        <f>IFERROR(INDEX('V5'!C$300:C$400,MATCH("*"&amp;L17&amp;"*",'V5'!B$300:B$400,0)),"  ")</f>
        <v>18</v>
      </c>
      <c r="AE17" s="686">
        <f>IFERROR(INDEX('V6'!C$300:C$400,MATCH("*"&amp;L17&amp;"*",'V6'!B$300:B$400,0)),"  ")</f>
        <v>10</v>
      </c>
      <c r="AF17" s="686" t="str">
        <f>IFERROR(INDEX('V7'!C$300:C$400,MATCH("*"&amp;L17&amp;"*",'V7'!B$300:B$400,0)),"  ")</f>
        <v xml:space="preserve">  </v>
      </c>
      <c r="AG17" s="686" t="str">
        <f>IFERROR(INDEX('V8'!C$300:C$400,MATCH("*"&amp;L17&amp;"*",'V8'!B$300:B$400,0)),"  ")</f>
        <v xml:space="preserve">  </v>
      </c>
      <c r="AH17" s="686">
        <f>IFERROR(INDEX('V9'!C$300:C$400,MATCH("*"&amp;L17&amp;"*",'V9'!B$300:B$400,0)),"  ")</f>
        <v>12</v>
      </c>
      <c r="AI17" s="686">
        <f>IFERROR(INDEX('V10'!C$300:C$400,MATCH("*"&amp;L17&amp;"*",'V10'!B$300:B$400,0)),"  ")</f>
        <v>6</v>
      </c>
      <c r="AJ17" s="687">
        <f t="shared" si="18"/>
        <v>7</v>
      </c>
      <c r="AK17" s="688">
        <f t="shared" si="19"/>
        <v>4</v>
      </c>
      <c r="AL17" s="688">
        <f t="shared" si="20"/>
        <v>0</v>
      </c>
      <c r="AM17" s="642"/>
      <c r="AN17" s="689"/>
      <c r="AO17" s="690"/>
      <c r="AP17" s="690"/>
      <c r="AQ17" s="690"/>
      <c r="AR17" s="690"/>
      <c r="AS17" s="689">
        <f t="shared" si="21"/>
        <v>2.9999999999999997E-4</v>
      </c>
      <c r="AT17" s="690">
        <f t="shared" si="22"/>
        <v>10.0001</v>
      </c>
      <c r="AU17" s="690">
        <f t="shared" si="23"/>
        <v>16.0002</v>
      </c>
      <c r="AV17" s="690">
        <f t="shared" si="24"/>
        <v>2.9999999999999997E-4</v>
      </c>
      <c r="AW17" s="690">
        <f t="shared" si="25"/>
        <v>18.000399999999999</v>
      </c>
      <c r="AX17" s="690">
        <f t="shared" si="26"/>
        <v>18.000499999999999</v>
      </c>
      <c r="AY17" s="690">
        <f t="shared" si="27"/>
        <v>10.0006</v>
      </c>
      <c r="AZ17" s="690">
        <f t="shared" si="28"/>
        <v>6.9999999999999999E-4</v>
      </c>
      <c r="BA17" s="690">
        <f t="shared" si="29"/>
        <v>8.0000000000000004E-4</v>
      </c>
      <c r="BB17" s="690">
        <f t="shared" si="30"/>
        <v>12.0009</v>
      </c>
      <c r="BC17" s="690">
        <f t="shared" si="31"/>
        <v>6.0010000000000003</v>
      </c>
      <c r="BH17" s="783"/>
      <c r="BI17" s="581">
        <f t="shared" si="32"/>
        <v>7</v>
      </c>
      <c r="BJ17" s="581">
        <f t="shared" si="33"/>
        <v>3</v>
      </c>
      <c r="BK17" s="581" t="e">
        <f t="shared" si="34"/>
        <v>#VALUE!</v>
      </c>
      <c r="BL17" s="581">
        <f t="shared" si="35"/>
        <v>3</v>
      </c>
      <c r="BM17" s="581">
        <f t="shared" si="36"/>
        <v>2</v>
      </c>
      <c r="BN17" s="581">
        <f t="shared" si="37"/>
        <v>6</v>
      </c>
      <c r="BO17" s="581" t="e">
        <f t="shared" si="38"/>
        <v>#VALUE!</v>
      </c>
      <c r="BP17" s="581" t="e">
        <f t="shared" si="39"/>
        <v>#VALUE!</v>
      </c>
      <c r="BQ17" s="581">
        <f t="shared" si="40"/>
        <v>3</v>
      </c>
      <c r="BR17" s="581">
        <f t="shared" si="41"/>
        <v>6</v>
      </c>
    </row>
    <row r="18" spans="1:70" x14ac:dyDescent="0.2">
      <c r="A18" s="768" t="str">
        <f t="shared" si="1"/>
        <v/>
      </c>
      <c r="B18" s="769">
        <f t="shared" si="2"/>
        <v>-988</v>
      </c>
      <c r="C18" s="770">
        <f t="shared" si="3"/>
        <v>4</v>
      </c>
      <c r="D18" s="769">
        <f t="shared" si="4"/>
        <v>12</v>
      </c>
      <c r="E18" s="771">
        <f t="shared" si="5"/>
        <v>10</v>
      </c>
      <c r="F18" s="769">
        <f t="shared" si="6"/>
        <v>12</v>
      </c>
      <c r="G18" s="772" t="str">
        <f t="shared" si="7"/>
        <v/>
      </c>
      <c r="H18" s="769">
        <f t="shared" si="8"/>
        <v>-988</v>
      </c>
      <c r="I18" s="773" t="str">
        <f t="shared" si="9"/>
        <v/>
      </c>
      <c r="J18" s="774">
        <f t="shared" si="10"/>
        <v>-988</v>
      </c>
      <c r="K18" s="680">
        <f t="shared" si="11"/>
        <v>12</v>
      </c>
      <c r="L18" s="786" t="s">
        <v>123</v>
      </c>
      <c r="M18" s="682"/>
      <c r="N18" s="775" t="str">
        <f>IF(M18="","m","")</f>
        <v>m</v>
      </c>
      <c r="O18" s="683"/>
      <c r="P18" s="776" t="s">
        <v>190</v>
      </c>
      <c r="Q18" s="777"/>
      <c r="R18" s="673">
        <f>(IF(COUNT(Z18,AA18,AB18,AC18,AD18,AE18,AF18,AG18,AH18,AI18)&lt;9,SUM(Z18,AA18,AB18,AC18,AD18,AE18,AF18,AG18,AH18,AI18),SUM(LARGE((Z18,AA18,AB18,AC18,AD18,AE18,AF18,AG18,AH18,AI18),{1;2;3;4;5;6;7;8;9}))))</f>
        <v>80</v>
      </c>
      <c r="S18" s="684" t="str">
        <f>INDEX(ETAPP!B$1:B$32,MATCH(COUNTIF(BI18:BR18,1),ETAPP!A$1:A$32,0))&amp;INDEX(ETAPP!B$1:B$32,MATCH(COUNTIF(BI18:BR18,2),ETAPP!A$1:A$32,0))&amp;INDEX(ETAPP!B$1:B$32,MATCH(COUNTIF(BI18:BR18,3),ETAPP!A$1:A$32,0))&amp;INDEX(ETAPP!B$1:B$32,MATCH(COUNTIF(BI18:BR18,4),ETAPP!A$1:A$32,0))&amp;INDEX(ETAPP!B$1:B$32,MATCH(COUNTIF(BI18:BR18,5),ETAPP!A$1:A$32,0))&amp;INDEX(ETAPP!B$1:B$32,MATCH(COUNTIF(BI18:BR18,6),ETAPP!A$1:A$32,0))&amp;INDEX(ETAPP!B$1:B$32,MATCH(COUNTIF(BI18:BR18,7),ETAPP!A$1:A$32,0))&amp;INDEX(ETAPP!B$1:B$32,MATCH(COUNTIF(BI18:BR18,8),ETAPP!A$1:A$32,0))&amp;INDEX(ETAPP!B$1:B$32,MATCH(COUNTIF(BI18:BR18,9),ETAPP!A$1:A$32,0))&amp;INDEX(ETAPP!B$1:B$32,MATCH(COUNTIF(BI18:BR18,10),ETAPP!A$1:A$32,0))&amp;INDEX(ETAPP!B$1:B$32,MATCH(COUNTIF(BI18:BR18,11),ETAPP!A$1:A$32,0))&amp;INDEX(ETAPP!B$1:B$32,MATCH(COUNTIF(BI18:BR18,12),ETAPP!A$1:A$32,0))&amp;INDEX(ETAPP!B$1:B$32,MATCH(COUNTIF(BI18:BR18,13),ETAPP!A$1:A$32,0))&amp;INDEX(ETAPP!B$1:B$32,MATCH(COUNTIF(BI18:BR18,14),ETAPP!A$1:A$32,0))&amp;INDEX(ETAPP!B$1:B$32,MATCH(COUNTIF(BI18:BR18,15),ETAPP!A$1:A$32,0))&amp;INDEX(ETAPP!B$1:B$32,MATCH(COUNTIF(BI18:BR18,16),ETAPP!A$1:A$32,0))&amp;INDEX(ETAPP!B$1:B$32,MATCH(COUNTIF(BI18:BR18,17),ETAPP!A$1:A$32,0))&amp;INDEX(ETAPP!B$1:B$32,MATCH(COUNTIF(BI18:BR18,18),ETAPP!A$1:A$32,0))&amp;INDEX(ETAPP!B$1:B$32,MATCH(COUNTIF(BI18:BR18,19),ETAPP!A$1:A$32,0))&amp;INDEX(ETAPP!B$1:B$32,MATCH(COUNTIF(BI18:BR18,20),ETAPP!A$1:A$32,0))&amp;INDEX(ETAPP!B$1:B$32,MATCH(COUNTIF(BI18:BR18,21),ETAPP!A$1:A$32,0))</f>
        <v>0AA0A0AAAB00000000000</v>
      </c>
      <c r="T18" s="684" t="str">
        <f t="shared" si="12"/>
        <v>080,0-0AA0A0AAAB00000000000</v>
      </c>
      <c r="U18" s="684">
        <f t="shared" si="13"/>
        <v>12</v>
      </c>
      <c r="V18" s="684">
        <f t="shared" si="14"/>
        <v>20</v>
      </c>
      <c r="W18" s="684" t="str">
        <f t="shared" si="15"/>
        <v>080,0-0AA0A0AAAB00000000000-020</v>
      </c>
      <c r="X18" s="684">
        <f t="shared" si="16"/>
        <v>12</v>
      </c>
      <c r="Y18" s="685">
        <f t="shared" si="17"/>
        <v>39</v>
      </c>
      <c r="Z18" s="686">
        <f>IFERROR(INDEX('V1'!C$300:C$400,MATCH("*"&amp;L18&amp;"*",'V1'!B$300:B$400,0)),"  ")</f>
        <v>18</v>
      </c>
      <c r="AA18" s="686">
        <f>IFERROR(INDEX('V2'!C$300:C$400,MATCH("*"&amp;L18&amp;"*",'V2'!B$300:B$400,0)),"  ")</f>
        <v>18</v>
      </c>
      <c r="AB18" s="686">
        <f>IFERROR(INDEX('V3'!C$300:C$400,MATCH("*"&amp;L18&amp;"*",'V3'!B$300:B$400,0)),"  ")</f>
        <v>4</v>
      </c>
      <c r="AC18" s="686">
        <f>IFERROR(INDEX('V4'!C$300:C$400,MATCH("*"&amp;L18&amp;"*",'V4'!B$300:B$400,0)),"  ")</f>
        <v>14</v>
      </c>
      <c r="AD18" s="686">
        <f>IFERROR(INDEX('V5'!C$300:C$400,MATCH("*"&amp;L18&amp;"*",'V5'!B$300:B$400,0)),"  ")</f>
        <v>2</v>
      </c>
      <c r="AE18" s="686">
        <f>IFERROR(INDEX('V6'!C$300:C$400,MATCH("*"&amp;L18&amp;"*",'V6'!B$300:B$400,0)),"  ")</f>
        <v>6</v>
      </c>
      <c r="AF18" s="686">
        <f>IFERROR(INDEX('V7'!C$300:C$400,MATCH("*"&amp;L18&amp;"*",'V7'!B$300:B$400,0)),"  ")</f>
        <v>14</v>
      </c>
      <c r="AG18" s="686">
        <f>IFERROR(INDEX('V8'!C$300:C$400,MATCH("*"&amp;L18&amp;"*",'V8'!B$300:B$400,0)),"  ")</f>
        <v>4</v>
      </c>
      <c r="AH18" s="686" t="str">
        <f>IFERROR(INDEX('V9'!C$300:C$400,MATCH("*"&amp;L18&amp;"*",'V9'!B$300:B$400,0)),"  ")</f>
        <v xml:space="preserve">  </v>
      </c>
      <c r="AI18" s="686" t="str">
        <f>IFERROR(INDEX('V10'!C$300:C$400,MATCH("*"&amp;L18&amp;"*",'V10'!B$300:B$400,0)),"  ")</f>
        <v xml:space="preserve">  </v>
      </c>
      <c r="AJ18" s="687">
        <f t="shared" si="18"/>
        <v>8</v>
      </c>
      <c r="AK18" s="688">
        <f t="shared" si="19"/>
        <v>2</v>
      </c>
      <c r="AL18" s="688">
        <f t="shared" si="20"/>
        <v>0</v>
      </c>
      <c r="AM18" s="642"/>
      <c r="AN18" s="689"/>
      <c r="AO18" s="690"/>
      <c r="AP18" s="690"/>
      <c r="AQ18" s="690"/>
      <c r="AR18" s="690"/>
      <c r="AS18" s="689">
        <f t="shared" si="21"/>
        <v>8.9999999999999998E-4</v>
      </c>
      <c r="AT18" s="690">
        <f t="shared" si="22"/>
        <v>18.0001</v>
      </c>
      <c r="AU18" s="690">
        <f t="shared" si="23"/>
        <v>18.0002</v>
      </c>
      <c r="AV18" s="690">
        <f t="shared" si="24"/>
        <v>4.0003000000000002</v>
      </c>
      <c r="AW18" s="690">
        <f t="shared" si="25"/>
        <v>14.000400000000001</v>
      </c>
      <c r="AX18" s="690">
        <f t="shared" si="26"/>
        <v>2.0005000000000002</v>
      </c>
      <c r="AY18" s="690">
        <f t="shared" si="27"/>
        <v>6.0006000000000004</v>
      </c>
      <c r="AZ18" s="690">
        <f t="shared" si="28"/>
        <v>14.0007</v>
      </c>
      <c r="BA18" s="690">
        <f t="shared" si="29"/>
        <v>4.0007999999999999</v>
      </c>
      <c r="BB18" s="690">
        <f t="shared" si="30"/>
        <v>8.9999999999999998E-4</v>
      </c>
      <c r="BC18" s="690">
        <f t="shared" si="31"/>
        <v>1E-3</v>
      </c>
      <c r="BH18" s="783"/>
      <c r="BI18" s="581">
        <f t="shared" si="32"/>
        <v>3</v>
      </c>
      <c r="BJ18" s="581">
        <f t="shared" si="33"/>
        <v>2</v>
      </c>
      <c r="BK18" s="581">
        <f t="shared" si="34"/>
        <v>9</v>
      </c>
      <c r="BL18" s="581">
        <f t="shared" si="35"/>
        <v>5</v>
      </c>
      <c r="BM18" s="581">
        <f t="shared" si="36"/>
        <v>10</v>
      </c>
      <c r="BN18" s="581">
        <f t="shared" si="37"/>
        <v>8</v>
      </c>
      <c r="BO18" s="581">
        <f t="shared" si="38"/>
        <v>7</v>
      </c>
      <c r="BP18" s="581">
        <f t="shared" si="39"/>
        <v>10</v>
      </c>
      <c r="BQ18" s="581" t="e">
        <f t="shared" si="40"/>
        <v>#VALUE!</v>
      </c>
      <c r="BR18" s="581" t="e">
        <f t="shared" si="41"/>
        <v>#VALUE!</v>
      </c>
    </row>
    <row r="19" spans="1:70" x14ac:dyDescent="0.2">
      <c r="A19" s="768" t="str">
        <f t="shared" si="1"/>
        <v/>
      </c>
      <c r="B19" s="769">
        <f t="shared" si="2"/>
        <v>-987</v>
      </c>
      <c r="C19" s="770">
        <f t="shared" si="3"/>
        <v>5</v>
      </c>
      <c r="D19" s="769">
        <f t="shared" si="4"/>
        <v>13</v>
      </c>
      <c r="E19" s="771" t="str">
        <f t="shared" si="5"/>
        <v/>
      </c>
      <c r="F19" s="769">
        <f t="shared" si="6"/>
        <v>-987</v>
      </c>
      <c r="G19" s="772" t="str">
        <f t="shared" si="7"/>
        <v/>
      </c>
      <c r="H19" s="769">
        <f t="shared" si="8"/>
        <v>-987</v>
      </c>
      <c r="I19" s="773" t="str">
        <f t="shared" si="9"/>
        <v/>
      </c>
      <c r="J19" s="774">
        <f t="shared" si="10"/>
        <v>-987</v>
      </c>
      <c r="K19" s="680">
        <f t="shared" si="11"/>
        <v>13</v>
      </c>
      <c r="L19" s="785" t="s">
        <v>471</v>
      </c>
      <c r="M19" s="682"/>
      <c r="N19" s="775"/>
      <c r="O19" s="683"/>
      <c r="P19" s="776" t="s">
        <v>190</v>
      </c>
      <c r="Q19" s="777"/>
      <c r="R19" s="673">
        <f>(IF(COUNT(Z19,AA19,AB19,AC19,AD19,AE19,AF19,AG19,AH19,AI19)&lt;9,SUM(Z19,AA19,AB19,AC19,AD19,AE19,AF19,AG19,AH19,AI19),SUM(LARGE((Z19,AA19,AB19,AC19,AD19,AE19,AF19,AG19,AH19,AI19),{1;2;3;4;5;6;7;8;9}))))</f>
        <v>76</v>
      </c>
      <c r="S19" s="684" t="str">
        <f>INDEX(ETAPP!B$1:B$32,MATCH(COUNTIF(BI19:BR19,1),ETAPP!A$1:A$32,0))&amp;INDEX(ETAPP!B$1:B$32,MATCH(COUNTIF(BI19:BR19,2),ETAPP!A$1:A$32,0))&amp;INDEX(ETAPP!B$1:B$32,MATCH(COUNTIF(BI19:BR19,3),ETAPP!A$1:A$32,0))&amp;INDEX(ETAPP!B$1:B$32,MATCH(COUNTIF(BI19:BR19,4),ETAPP!A$1:A$32,0))&amp;INDEX(ETAPP!B$1:B$32,MATCH(COUNTIF(BI19:BR19,5),ETAPP!A$1:A$32,0))&amp;INDEX(ETAPP!B$1:B$32,MATCH(COUNTIF(BI19:BR19,6),ETAPP!A$1:A$32,0))&amp;INDEX(ETAPP!B$1:B$32,MATCH(COUNTIF(BI19:BR19,7),ETAPP!A$1:A$32,0))&amp;INDEX(ETAPP!B$1:B$32,MATCH(COUNTIF(BI19:BR19,8),ETAPP!A$1:A$32,0))&amp;INDEX(ETAPP!B$1:B$32,MATCH(COUNTIF(BI19:BR19,9),ETAPP!A$1:A$32,0))&amp;INDEX(ETAPP!B$1:B$32,MATCH(COUNTIF(BI19:BR19,10),ETAPP!A$1:A$32,0))&amp;INDEX(ETAPP!B$1:B$32,MATCH(COUNTIF(BI19:BR19,11),ETAPP!A$1:A$32,0))&amp;INDEX(ETAPP!B$1:B$32,MATCH(COUNTIF(BI19:BR19,12),ETAPP!A$1:A$32,0))&amp;INDEX(ETAPP!B$1:B$32,MATCH(COUNTIF(BI19:BR19,13),ETAPP!A$1:A$32,0))&amp;INDEX(ETAPP!B$1:B$32,MATCH(COUNTIF(BI19:BR19,14),ETAPP!A$1:A$32,0))&amp;INDEX(ETAPP!B$1:B$32,MATCH(COUNTIF(BI19:BR19,15),ETAPP!A$1:A$32,0))&amp;INDEX(ETAPP!B$1:B$32,MATCH(COUNTIF(BI19:BR19,16),ETAPP!A$1:A$32,0))&amp;INDEX(ETAPP!B$1:B$32,MATCH(COUNTIF(BI19:BR19,17),ETAPP!A$1:A$32,0))&amp;INDEX(ETAPP!B$1:B$32,MATCH(COUNTIF(BI19:BR19,18),ETAPP!A$1:A$32,0))&amp;INDEX(ETAPP!B$1:B$32,MATCH(COUNTIF(BI19:BR19,19),ETAPP!A$1:A$32,0))&amp;INDEX(ETAPP!B$1:B$32,MATCH(COUNTIF(BI19:BR19,20),ETAPP!A$1:A$32,0))&amp;INDEX(ETAPP!B$1:B$32,MATCH(COUNTIF(BI19:BR19,21),ETAPP!A$1:A$32,0))</f>
        <v>B0B000000000000000000</v>
      </c>
      <c r="T19" s="684" t="str">
        <f t="shared" si="12"/>
        <v>076,0-B0B000000000000000000</v>
      </c>
      <c r="U19" s="684">
        <f t="shared" si="13"/>
        <v>13</v>
      </c>
      <c r="V19" s="684">
        <f t="shared" si="14"/>
        <v>17</v>
      </c>
      <c r="W19" s="684" t="str">
        <f t="shared" si="15"/>
        <v>076,0-B0B000000000000000000-017</v>
      </c>
      <c r="X19" s="684">
        <f t="shared" si="16"/>
        <v>13</v>
      </c>
      <c r="Y19" s="685">
        <f t="shared" si="17"/>
        <v>38</v>
      </c>
      <c r="Z19" s="686" t="str">
        <f>IFERROR(INDEX('V1'!C$300:C$400,MATCH("*"&amp;L19&amp;"*",'V1'!B$300:B$400,0)),"  ")</f>
        <v xml:space="preserve">  </v>
      </c>
      <c r="AA19" s="686" t="str">
        <f>IFERROR(INDEX('V2'!C$300:C$400,MATCH("*"&amp;L19&amp;"*",'V2'!B$300:B$400,0)),"  ")</f>
        <v xml:space="preserve">  </v>
      </c>
      <c r="AB19" s="686">
        <f>IFERROR(INDEX('V3'!C$300:C$400,MATCH("*"&amp;L19&amp;"*",'V3'!B$300:B$400,0)),"  ")</f>
        <v>20</v>
      </c>
      <c r="AC19" s="686">
        <f>IFERROR(INDEX('V4'!C$300:C$400,MATCH("*"&amp;L19&amp;"*",'V4'!B$300:B$400,0)),"  ")</f>
        <v>22</v>
      </c>
      <c r="AD19" s="686" t="str">
        <f>IFERROR(INDEX('V5'!C$300:C$400,MATCH("*"&amp;L19&amp;"*",'V5'!B$300:B$400,0)),"  ")</f>
        <v xml:space="preserve">  </v>
      </c>
      <c r="AE19" s="686" t="str">
        <f>IFERROR(INDEX('V6'!C$300:C$400,MATCH("*"&amp;L19&amp;"*",'V6'!B$300:B$400,0)),"  ")</f>
        <v xml:space="preserve">  </v>
      </c>
      <c r="AF19" s="686">
        <f>IFERROR(INDEX('V7'!C$300:C$400,MATCH("*"&amp;L19&amp;"*",'V7'!B$300:B$400,0)),"  ")</f>
        <v>22</v>
      </c>
      <c r="AG19" s="686" t="str">
        <f>IFERROR(INDEX('V8'!C$300:C$400,MATCH("*"&amp;L19&amp;"*",'V8'!B$300:B$400,0)),"  ")</f>
        <v xml:space="preserve">  </v>
      </c>
      <c r="AH19" s="686" t="str">
        <f>IFERROR(INDEX('V9'!C$300:C$400,MATCH("*"&amp;L19&amp;"*",'V9'!B$300:B$400,0)),"  ")</f>
        <v xml:space="preserve">  </v>
      </c>
      <c r="AI19" s="686">
        <f>IFERROR(INDEX('V10'!C$300:C$400,MATCH("*"&amp;L19&amp;"*",'V10'!B$300:B$400,0)),"  ")</f>
        <v>12</v>
      </c>
      <c r="AJ19" s="687">
        <f t="shared" si="18"/>
        <v>4</v>
      </c>
      <c r="AK19" s="688">
        <f t="shared" si="19"/>
        <v>3</v>
      </c>
      <c r="AL19" s="688">
        <f t="shared" si="20"/>
        <v>2</v>
      </c>
      <c r="AM19" s="642"/>
      <c r="AN19" s="689"/>
      <c r="AO19" s="690"/>
      <c r="AP19" s="690"/>
      <c r="AQ19" s="690"/>
      <c r="AR19" s="690"/>
      <c r="AS19" s="689">
        <f t="shared" si="21"/>
        <v>1E-4</v>
      </c>
      <c r="AT19" s="690">
        <f t="shared" si="22"/>
        <v>1E-4</v>
      </c>
      <c r="AU19" s="690">
        <f t="shared" si="23"/>
        <v>2.0000000000000001E-4</v>
      </c>
      <c r="AV19" s="690">
        <f t="shared" si="24"/>
        <v>20.000299999999999</v>
      </c>
      <c r="AW19" s="690">
        <f t="shared" si="25"/>
        <v>22.000399999999999</v>
      </c>
      <c r="AX19" s="690">
        <f t="shared" si="26"/>
        <v>5.0000000000000001E-4</v>
      </c>
      <c r="AY19" s="690">
        <f t="shared" si="27"/>
        <v>5.9999999999999995E-4</v>
      </c>
      <c r="AZ19" s="690">
        <f t="shared" si="28"/>
        <v>22.000699999999998</v>
      </c>
      <c r="BA19" s="690">
        <f t="shared" si="29"/>
        <v>8.0000000000000004E-4</v>
      </c>
      <c r="BB19" s="690">
        <f t="shared" si="30"/>
        <v>8.9999999999999998E-4</v>
      </c>
      <c r="BC19" s="690">
        <f t="shared" si="31"/>
        <v>12.000999999999999</v>
      </c>
      <c r="BI19" s="581" t="e">
        <f t="shared" si="32"/>
        <v>#VALUE!</v>
      </c>
      <c r="BJ19" s="581" t="e">
        <f t="shared" si="33"/>
        <v>#VALUE!</v>
      </c>
      <c r="BK19" s="581">
        <f t="shared" si="34"/>
        <v>1</v>
      </c>
      <c r="BL19" s="581">
        <f t="shared" si="35"/>
        <v>1</v>
      </c>
      <c r="BM19" s="581" t="e">
        <f t="shared" si="36"/>
        <v>#VALUE!</v>
      </c>
      <c r="BN19" s="581" t="e">
        <f t="shared" si="37"/>
        <v>#VALUE!</v>
      </c>
      <c r="BO19" s="581">
        <f t="shared" si="38"/>
        <v>3</v>
      </c>
      <c r="BP19" s="581" t="e">
        <f t="shared" si="39"/>
        <v>#VALUE!</v>
      </c>
      <c r="BQ19" s="581" t="e">
        <f t="shared" si="40"/>
        <v>#VALUE!</v>
      </c>
      <c r="BR19" s="581">
        <f t="shared" si="41"/>
        <v>3</v>
      </c>
    </row>
    <row r="20" spans="1:70" x14ac:dyDescent="0.2">
      <c r="A20" s="768">
        <f t="shared" si="1"/>
        <v>11</v>
      </c>
      <c r="B20" s="769">
        <f t="shared" si="2"/>
        <v>14</v>
      </c>
      <c r="C20" s="770" t="str">
        <f t="shared" si="3"/>
        <v/>
      </c>
      <c r="D20" s="769">
        <f t="shared" si="4"/>
        <v>-986</v>
      </c>
      <c r="E20" s="771" t="str">
        <f t="shared" si="5"/>
        <v/>
      </c>
      <c r="F20" s="769">
        <f t="shared" si="6"/>
        <v>-986</v>
      </c>
      <c r="G20" s="772">
        <f t="shared" si="7"/>
        <v>3</v>
      </c>
      <c r="H20" s="769">
        <f t="shared" si="8"/>
        <v>14</v>
      </c>
      <c r="I20" s="773" t="str">
        <f t="shared" si="9"/>
        <v/>
      </c>
      <c r="J20" s="774">
        <f t="shared" si="10"/>
        <v>-986</v>
      </c>
      <c r="K20" s="680">
        <f t="shared" si="11"/>
        <v>14</v>
      </c>
      <c r="L20" s="681" t="s">
        <v>496</v>
      </c>
      <c r="M20" s="682" t="s">
        <v>99</v>
      </c>
      <c r="N20" s="775"/>
      <c r="O20" s="683"/>
      <c r="P20" s="787"/>
      <c r="Q20" s="788" t="s">
        <v>189</v>
      </c>
      <c r="R20" s="673">
        <f>(IF(COUNT(Z20,AA20,AB20,AC20,AD20,AE20,AF20,AG20,AH20,AI20)&lt;9,SUM(Z20,AA20,AB20,AC20,AD20,AE20,AF20,AG20,AH20,AI20),SUM(LARGE((Z20,AA20,AB20,AC20,AD20,AE20,AF20,AG20,AH20,AI20),{1;2;3;4;5;6;7;8;9}))))</f>
        <v>76</v>
      </c>
      <c r="S20" s="684" t="str">
        <f>INDEX(ETAPP!B$1:B$32,MATCH(COUNTIF(BI20:BR20,1),ETAPP!A$1:A$32,0))&amp;INDEX(ETAPP!B$1:B$32,MATCH(COUNTIF(BI20:BR20,2),ETAPP!A$1:A$32,0))&amp;INDEX(ETAPP!B$1:B$32,MATCH(COUNTIF(BI20:BR20,3),ETAPP!A$1:A$32,0))&amp;INDEX(ETAPP!B$1:B$32,MATCH(COUNTIF(BI20:BR20,4),ETAPP!A$1:A$32,0))&amp;INDEX(ETAPP!B$1:B$32,MATCH(COUNTIF(BI20:BR20,5),ETAPP!A$1:A$32,0))&amp;INDEX(ETAPP!B$1:B$32,MATCH(COUNTIF(BI20:BR20,6),ETAPP!A$1:A$32,0))&amp;INDEX(ETAPP!B$1:B$32,MATCH(COUNTIF(BI20:BR20,7),ETAPP!A$1:A$32,0))&amp;INDEX(ETAPP!B$1:B$32,MATCH(COUNTIF(BI20:BR20,8),ETAPP!A$1:A$32,0))&amp;INDEX(ETAPP!B$1:B$32,MATCH(COUNTIF(BI20:BR20,9),ETAPP!A$1:A$32,0))&amp;INDEX(ETAPP!B$1:B$32,MATCH(COUNTIF(BI20:BR20,10),ETAPP!A$1:A$32,0))&amp;INDEX(ETAPP!B$1:B$32,MATCH(COUNTIF(BI20:BR20,11),ETAPP!A$1:A$32,0))&amp;INDEX(ETAPP!B$1:B$32,MATCH(COUNTIF(BI20:BR20,12),ETAPP!A$1:A$32,0))&amp;INDEX(ETAPP!B$1:B$32,MATCH(COUNTIF(BI20:BR20,13),ETAPP!A$1:A$32,0))&amp;INDEX(ETAPP!B$1:B$32,MATCH(COUNTIF(BI20:BR20,14),ETAPP!A$1:A$32,0))&amp;INDEX(ETAPP!B$1:B$32,MATCH(COUNTIF(BI20:BR20,15),ETAPP!A$1:A$32,0))&amp;INDEX(ETAPP!B$1:B$32,MATCH(COUNTIF(BI20:BR20,16),ETAPP!A$1:A$32,0))&amp;INDEX(ETAPP!B$1:B$32,MATCH(COUNTIF(BI20:BR20,17),ETAPP!A$1:A$32,0))&amp;INDEX(ETAPP!B$1:B$32,MATCH(COUNTIF(BI20:BR20,18),ETAPP!A$1:A$32,0))&amp;INDEX(ETAPP!B$1:B$32,MATCH(COUNTIF(BI20:BR20,19),ETAPP!A$1:A$32,0))&amp;INDEX(ETAPP!B$1:B$32,MATCH(COUNTIF(BI20:BR20,20),ETAPP!A$1:A$32,0))&amp;INDEX(ETAPP!B$1:B$32,MATCH(COUNTIF(BI20:BR20,21),ETAPP!A$1:A$32,0))</f>
        <v>A0A0A00CAB00000000000</v>
      </c>
      <c r="T20" s="684" t="str">
        <f t="shared" si="12"/>
        <v>076,0-A0A0A00CAB00000000000</v>
      </c>
      <c r="U20" s="684">
        <f t="shared" si="13"/>
        <v>14</v>
      </c>
      <c r="V20" s="684">
        <f t="shared" si="14"/>
        <v>12</v>
      </c>
      <c r="W20" s="684" t="str">
        <f t="shared" si="15"/>
        <v>076,0-A0A0A00CAB00000000000-012</v>
      </c>
      <c r="X20" s="684">
        <f t="shared" si="16"/>
        <v>14</v>
      </c>
      <c r="Y20" s="685">
        <f t="shared" si="17"/>
        <v>37</v>
      </c>
      <c r="Z20" s="686" t="str">
        <f>IFERROR(INDEX('V1'!C$300:C$400,MATCH("*"&amp;L20&amp;"*",'V1'!B$300:B$400,0)),"  ")</f>
        <v xml:space="preserve">  </v>
      </c>
      <c r="AA20" s="686">
        <f>IFERROR(INDEX('V2'!C$300:C$400,MATCH("*"&amp;L20&amp;"*",'V2'!B$300:B$400,0)),"  ")</f>
        <v>4</v>
      </c>
      <c r="AB20" s="686">
        <f>IFERROR(INDEX('V3'!C$300:C$400,MATCH("*"&amp;L20&amp;"*",'V3'!B$300:B$400,0)),"  ")</f>
        <v>20</v>
      </c>
      <c r="AC20" s="686">
        <f>IFERROR(INDEX('V4'!C$300:C$400,MATCH("*"&amp;L20&amp;"*",'V4'!B$300:B$400,0)),"  ")</f>
        <v>14</v>
      </c>
      <c r="AD20" s="686">
        <f>IFERROR(INDEX('V5'!C$300:C$400,MATCH("*"&amp;L20&amp;"*",'V5'!B$300:B$400,0)),"  ")</f>
        <v>2</v>
      </c>
      <c r="AE20" s="686">
        <f>IFERROR(INDEX('V6'!C$300:C$400,MATCH("*"&amp;L20&amp;"*",'V6'!B$300:B$400,0)),"  ")</f>
        <v>6</v>
      </c>
      <c r="AF20" s="686">
        <f>IFERROR(INDEX('V7'!C$300:C$400,MATCH("*"&amp;L20&amp;"*",'V7'!B$300:B$400,0)),"  ")</f>
        <v>8</v>
      </c>
      <c r="AG20" s="686">
        <f>IFERROR(INDEX('V8'!C$300:C$400,MATCH("*"&amp;L20&amp;"*",'V8'!B$300:B$400,0)),"  ")</f>
        <v>8</v>
      </c>
      <c r="AH20" s="686">
        <f>IFERROR(INDEX('V9'!C$300:C$400,MATCH("*"&amp;L20&amp;"*",'V9'!B$300:B$400,0)),"  ")</f>
        <v>2</v>
      </c>
      <c r="AI20" s="686">
        <f>IFERROR(INDEX('V10'!C$300:C$400,MATCH("*"&amp;L20&amp;"*",'V10'!B$300:B$400,0)),"  ")</f>
        <v>12</v>
      </c>
      <c r="AJ20" s="687">
        <f t="shared" si="18"/>
        <v>9</v>
      </c>
      <c r="AK20" s="688">
        <f t="shared" si="19"/>
        <v>2</v>
      </c>
      <c r="AL20" s="688">
        <f t="shared" si="20"/>
        <v>1</v>
      </c>
      <c r="AM20" s="642"/>
      <c r="AN20" s="689"/>
      <c r="AO20" s="690"/>
      <c r="AP20" s="690"/>
      <c r="AQ20" s="690"/>
      <c r="AR20" s="690"/>
      <c r="AS20" s="689">
        <f t="shared" si="21"/>
        <v>1E-4</v>
      </c>
      <c r="AT20" s="690">
        <f t="shared" si="22"/>
        <v>1E-4</v>
      </c>
      <c r="AU20" s="690">
        <f t="shared" si="23"/>
        <v>4.0002000000000004</v>
      </c>
      <c r="AV20" s="690">
        <f t="shared" si="24"/>
        <v>20.000299999999999</v>
      </c>
      <c r="AW20" s="690">
        <f t="shared" si="25"/>
        <v>14.000400000000001</v>
      </c>
      <c r="AX20" s="690">
        <f t="shared" si="26"/>
        <v>2.0005000000000002</v>
      </c>
      <c r="AY20" s="690">
        <f t="shared" si="27"/>
        <v>6.0006000000000004</v>
      </c>
      <c r="AZ20" s="690">
        <f t="shared" si="28"/>
        <v>8.0007000000000001</v>
      </c>
      <c r="BA20" s="690">
        <f t="shared" si="29"/>
        <v>8.0007999999999999</v>
      </c>
      <c r="BB20" s="690">
        <f t="shared" si="30"/>
        <v>2.0009000000000001</v>
      </c>
      <c r="BC20" s="690">
        <f t="shared" si="31"/>
        <v>12.000999999999999</v>
      </c>
      <c r="BI20" s="581" t="e">
        <f t="shared" si="32"/>
        <v>#VALUE!</v>
      </c>
      <c r="BJ20" s="581">
        <f t="shared" si="33"/>
        <v>9</v>
      </c>
      <c r="BK20" s="581">
        <f t="shared" si="34"/>
        <v>1</v>
      </c>
      <c r="BL20" s="581">
        <f t="shared" si="35"/>
        <v>5</v>
      </c>
      <c r="BM20" s="581">
        <f t="shared" si="36"/>
        <v>10</v>
      </c>
      <c r="BN20" s="581">
        <f t="shared" si="37"/>
        <v>8</v>
      </c>
      <c r="BO20" s="581">
        <f t="shared" si="38"/>
        <v>10</v>
      </c>
      <c r="BP20" s="581">
        <f t="shared" si="39"/>
        <v>8</v>
      </c>
      <c r="BQ20" s="581">
        <f t="shared" si="40"/>
        <v>8</v>
      </c>
      <c r="BR20" s="581">
        <f t="shared" si="41"/>
        <v>3</v>
      </c>
    </row>
    <row r="21" spans="1:70" x14ac:dyDescent="0.2">
      <c r="A21" s="768" t="str">
        <f t="shared" si="1"/>
        <v/>
      </c>
      <c r="B21" s="769">
        <f t="shared" si="2"/>
        <v>-985</v>
      </c>
      <c r="C21" s="770" t="str">
        <f t="shared" si="3"/>
        <v/>
      </c>
      <c r="D21" s="769">
        <f t="shared" si="4"/>
        <v>-985</v>
      </c>
      <c r="E21" s="771">
        <f t="shared" si="5"/>
        <v>11</v>
      </c>
      <c r="F21" s="769">
        <f t="shared" si="6"/>
        <v>15</v>
      </c>
      <c r="G21" s="772" t="str">
        <f t="shared" si="7"/>
        <v/>
      </c>
      <c r="H21" s="769">
        <f t="shared" si="8"/>
        <v>-985</v>
      </c>
      <c r="I21" s="773" t="str">
        <f t="shared" si="9"/>
        <v/>
      </c>
      <c r="J21" s="774">
        <f t="shared" si="10"/>
        <v>-985</v>
      </c>
      <c r="K21" s="789">
        <f t="shared" si="11"/>
        <v>15</v>
      </c>
      <c r="L21" s="790" t="s">
        <v>100</v>
      </c>
      <c r="M21" s="694"/>
      <c r="N21" s="791" t="str">
        <f t="shared" ref="N21:N26" si="42">IF(M21="","m","")</f>
        <v>m</v>
      </c>
      <c r="O21" s="695"/>
      <c r="P21" s="792"/>
      <c r="Q21" s="793"/>
      <c r="R21" s="673">
        <f>(IF(COUNT(Z21,AA21,AB21,AC21,AD21,AE21,AF21,AG21,AH21,AI21)&lt;9,SUM(Z21,AA21,AB21,AC21,AD21,AE21,AF21,AG21,AH21,AI21),SUM(LARGE((Z21,AA21,AB21,AC21,AD21,AE21,AF21,AG21,AH21,AI21),{1;2;3;4;5;6;7;8;9}))))</f>
        <v>60</v>
      </c>
      <c r="S21" s="684" t="str">
        <f>INDEX(ETAPP!B$1:B$32,MATCH(COUNTIF(BI21:BR21,1),ETAPP!A$1:A$32,0))&amp;INDEX(ETAPP!B$1:B$32,MATCH(COUNTIF(BI21:BR21,2),ETAPP!A$1:A$32,0))&amp;INDEX(ETAPP!B$1:B$32,MATCH(COUNTIF(BI21:BR21,3),ETAPP!A$1:A$32,0))&amp;INDEX(ETAPP!B$1:B$32,MATCH(COUNTIF(BI21:BR21,4),ETAPP!A$1:A$32,0))&amp;INDEX(ETAPP!B$1:B$32,MATCH(COUNTIF(BI21:BR21,5),ETAPP!A$1:A$32,0))&amp;INDEX(ETAPP!B$1:B$32,MATCH(COUNTIF(BI21:BR21,6),ETAPP!A$1:A$32,0))&amp;INDEX(ETAPP!B$1:B$32,MATCH(COUNTIF(BI21:BR21,7),ETAPP!A$1:A$32,0))&amp;INDEX(ETAPP!B$1:B$32,MATCH(COUNTIF(BI21:BR21,8),ETAPP!A$1:A$32,0))&amp;INDEX(ETAPP!B$1:B$32,MATCH(COUNTIF(BI21:BR21,9),ETAPP!A$1:A$32,0))&amp;INDEX(ETAPP!B$1:B$32,MATCH(COUNTIF(BI21:BR21,10),ETAPP!A$1:A$32,0))&amp;INDEX(ETAPP!B$1:B$32,MATCH(COUNTIF(BI21:BR21,11),ETAPP!A$1:A$32,0))&amp;INDEX(ETAPP!B$1:B$32,MATCH(COUNTIF(BI21:BR21,12),ETAPP!A$1:A$32,0))&amp;INDEX(ETAPP!B$1:B$32,MATCH(COUNTIF(BI21:BR21,13),ETAPP!A$1:A$32,0))&amp;INDEX(ETAPP!B$1:B$32,MATCH(COUNTIF(BI21:BR21,14),ETAPP!A$1:A$32,0))&amp;INDEX(ETAPP!B$1:B$32,MATCH(COUNTIF(BI21:BR21,15),ETAPP!A$1:A$32,0))&amp;INDEX(ETAPP!B$1:B$32,MATCH(COUNTIF(BI21:BR21,16),ETAPP!A$1:A$32,0))&amp;INDEX(ETAPP!B$1:B$32,MATCH(COUNTIF(BI21:BR21,17),ETAPP!A$1:A$32,0))&amp;INDEX(ETAPP!B$1:B$32,MATCH(COUNTIF(BI21:BR21,18),ETAPP!A$1:A$32,0))&amp;INDEX(ETAPP!B$1:B$32,MATCH(COUNTIF(BI21:BR21,19),ETAPP!A$1:A$32,0))&amp;INDEX(ETAPP!B$1:B$32,MATCH(COUNTIF(BI21:BR21,20),ETAPP!A$1:A$32,0))&amp;INDEX(ETAPP!B$1:B$32,MATCH(COUNTIF(BI21:BR21,21),ETAPP!A$1:A$32,0))</f>
        <v>0A00AA0AABA0000000000</v>
      </c>
      <c r="T21" s="794" t="str">
        <f t="shared" si="12"/>
        <v>060,0-0A00AA0AABA0000000000</v>
      </c>
      <c r="U21" s="794">
        <f t="shared" si="13"/>
        <v>15</v>
      </c>
      <c r="V21" s="794">
        <f t="shared" si="14"/>
        <v>7</v>
      </c>
      <c r="W21" s="794" t="str">
        <f t="shared" si="15"/>
        <v>060,0-0A00AA0AABA0000000000-007</v>
      </c>
      <c r="X21" s="794">
        <f t="shared" si="16"/>
        <v>15</v>
      </c>
      <c r="Y21" s="795">
        <f t="shared" si="17"/>
        <v>36</v>
      </c>
      <c r="Z21" s="686">
        <f>IFERROR(INDEX('V1'!C$300:C$400,MATCH("*"&amp;L21&amp;"*",'V1'!B$300:B$400,0)),"  ")</f>
        <v>8</v>
      </c>
      <c r="AA21" s="686">
        <f>IFERROR(INDEX('V2'!C$300:C$400,MATCH("*"&amp;L21&amp;"*",'V2'!B$300:B$400,0)),"  ")</f>
        <v>10</v>
      </c>
      <c r="AB21" s="686">
        <f>IFERROR(INDEX('V3'!C$300:C$400,MATCH("*"&amp;L21&amp;"*",'V3'!B$300:B$400,0)),"  ")</f>
        <v>2</v>
      </c>
      <c r="AC21" s="686">
        <f>IFERROR(INDEX('V4'!C$300:C$400,MATCH("*"&amp;L21&amp;"*",'V4'!B$300:B$400,0)),"  ")</f>
        <v>20</v>
      </c>
      <c r="AD21" s="686">
        <f>IFERROR(INDEX('V5'!C$300:C$400,MATCH("*"&amp;L21&amp;"*",'V5'!B$300:B$400,0)),"  ")</f>
        <v>4</v>
      </c>
      <c r="AE21" s="686">
        <f>IFERROR(INDEX('V6'!C$300:C$400,MATCH("*"&amp;L21&amp;"*",'V6'!B$300:B$400,0)),"  ")</f>
        <v>2</v>
      </c>
      <c r="AF21" s="686">
        <f>IFERROR(INDEX('V7'!C$300:C$400,MATCH("*"&amp;L21&amp;"*",'V7'!B$300:B$400,0)),"  ")</f>
        <v>6</v>
      </c>
      <c r="AG21" s="686" t="str">
        <f>IFERROR(INDEX('V8'!C$300:C$400,MATCH("*"&amp;L21&amp;"*",'V8'!B$300:B$400,0)),"  ")</f>
        <v xml:space="preserve">  </v>
      </c>
      <c r="AH21" s="686">
        <f>IFERROR(INDEX('V9'!C$300:C$400,MATCH("*"&amp;L21&amp;"*",'V9'!B$300:B$400,0)),"  ")</f>
        <v>8</v>
      </c>
      <c r="AI21" s="686" t="str">
        <f>IFERROR(INDEX('V10'!C$300:C$400,MATCH("*"&amp;L21&amp;"*",'V10'!B$300:B$400,0)),"  ")</f>
        <v xml:space="preserve">  </v>
      </c>
      <c r="AJ21" s="687">
        <f t="shared" si="18"/>
        <v>8</v>
      </c>
      <c r="AK21" s="688">
        <f t="shared" si="19"/>
        <v>1</v>
      </c>
      <c r="AL21" s="688">
        <f t="shared" si="20"/>
        <v>0</v>
      </c>
      <c r="AM21" s="642"/>
      <c r="AN21" s="689"/>
      <c r="AO21" s="690"/>
      <c r="AP21" s="690"/>
      <c r="AQ21" s="690"/>
      <c r="AR21" s="690"/>
      <c r="AS21" s="689">
        <f t="shared" si="21"/>
        <v>8.0000000000000004E-4</v>
      </c>
      <c r="AT21" s="690">
        <f t="shared" si="22"/>
        <v>8.0000999999999998</v>
      </c>
      <c r="AU21" s="690">
        <f t="shared" si="23"/>
        <v>10.0002</v>
      </c>
      <c r="AV21" s="690">
        <f t="shared" si="24"/>
        <v>2.0003000000000002</v>
      </c>
      <c r="AW21" s="690">
        <f t="shared" si="25"/>
        <v>20.000399999999999</v>
      </c>
      <c r="AX21" s="690">
        <f t="shared" si="26"/>
        <v>4.0004999999999997</v>
      </c>
      <c r="AY21" s="690">
        <f t="shared" si="27"/>
        <v>2.0005999999999999</v>
      </c>
      <c r="AZ21" s="690">
        <f t="shared" si="28"/>
        <v>6.0007000000000001</v>
      </c>
      <c r="BA21" s="690">
        <f t="shared" si="29"/>
        <v>8.0000000000000004E-4</v>
      </c>
      <c r="BB21" s="690">
        <f t="shared" si="30"/>
        <v>8.0008999999999997</v>
      </c>
      <c r="BC21" s="690">
        <f t="shared" si="31"/>
        <v>1E-3</v>
      </c>
      <c r="BI21" s="581">
        <f t="shared" si="32"/>
        <v>8</v>
      </c>
      <c r="BJ21" s="581">
        <f t="shared" si="33"/>
        <v>6</v>
      </c>
      <c r="BK21" s="581">
        <f t="shared" si="34"/>
        <v>10</v>
      </c>
      <c r="BL21" s="581">
        <f t="shared" si="35"/>
        <v>2</v>
      </c>
      <c r="BM21" s="581">
        <f t="shared" si="36"/>
        <v>9</v>
      </c>
      <c r="BN21" s="581">
        <f t="shared" si="37"/>
        <v>10</v>
      </c>
      <c r="BO21" s="581">
        <f t="shared" si="38"/>
        <v>11</v>
      </c>
      <c r="BP21" s="581" t="e">
        <f t="shared" si="39"/>
        <v>#VALUE!</v>
      </c>
      <c r="BQ21" s="581">
        <f t="shared" si="40"/>
        <v>5</v>
      </c>
      <c r="BR21" s="581" t="e">
        <f t="shared" si="41"/>
        <v>#VALUE!</v>
      </c>
    </row>
    <row r="22" spans="1:70" x14ac:dyDescent="0.2">
      <c r="A22" s="768">
        <f t="shared" si="1"/>
        <v>12</v>
      </c>
      <c r="B22" s="769">
        <f t="shared" si="2"/>
        <v>16</v>
      </c>
      <c r="C22" s="770">
        <f t="shared" si="3"/>
        <v>6</v>
      </c>
      <c r="D22" s="769">
        <f t="shared" si="4"/>
        <v>16</v>
      </c>
      <c r="E22" s="771">
        <f t="shared" si="5"/>
        <v>12</v>
      </c>
      <c r="F22" s="769">
        <f t="shared" si="6"/>
        <v>16</v>
      </c>
      <c r="G22" s="772" t="str">
        <f t="shared" si="7"/>
        <v/>
      </c>
      <c r="H22" s="769">
        <f t="shared" si="8"/>
        <v>-984</v>
      </c>
      <c r="I22" s="773" t="str">
        <f t="shared" si="9"/>
        <v/>
      </c>
      <c r="J22" s="774">
        <f t="shared" si="10"/>
        <v>-984</v>
      </c>
      <c r="K22" s="680">
        <f t="shared" si="11"/>
        <v>16</v>
      </c>
      <c r="L22" s="786" t="s">
        <v>120</v>
      </c>
      <c r="M22" s="682"/>
      <c r="N22" s="775" t="str">
        <f t="shared" si="42"/>
        <v>m</v>
      </c>
      <c r="O22" s="683"/>
      <c r="P22" s="776" t="s">
        <v>190</v>
      </c>
      <c r="Q22" s="777" t="s">
        <v>189</v>
      </c>
      <c r="R22" s="673">
        <f>(IF(COUNT(Z22,AA22,AB22,AC22,AD22,AE22,AF22,AG22,AH22,AI22)&lt;9,SUM(Z22,AA22,AB22,AC22,AD22,AE22,AF22,AG22,AH22,AI22),SUM(LARGE((Z22,AA22,AB22,AC22,AD22,AE22,AF22,AG22,AH22,AI22),{1;2;3;4;5;6;7;8;9}))))</f>
        <v>56</v>
      </c>
      <c r="S22" s="684" t="str">
        <f>INDEX(ETAPP!B$1:B$32,MATCH(COUNTIF(BI22:BR22,1),ETAPP!A$1:A$32,0))&amp;INDEX(ETAPP!B$1:B$32,MATCH(COUNTIF(BI22:BR22,2),ETAPP!A$1:A$32,0))&amp;INDEX(ETAPP!B$1:B$32,MATCH(COUNTIF(BI22:BR22,3),ETAPP!A$1:A$32,0))&amp;INDEX(ETAPP!B$1:B$32,MATCH(COUNTIF(BI22:BR22,4),ETAPP!A$1:A$32,0))&amp;INDEX(ETAPP!B$1:B$32,MATCH(COUNTIF(BI22:BR22,5),ETAPP!A$1:A$32,0))&amp;INDEX(ETAPP!B$1:B$32,MATCH(COUNTIF(BI22:BR22,6),ETAPP!A$1:A$32,0))&amp;INDEX(ETAPP!B$1:B$32,MATCH(COUNTIF(BI22:BR22,7),ETAPP!A$1:A$32,0))&amp;INDEX(ETAPP!B$1:B$32,MATCH(COUNTIF(BI22:BR22,8),ETAPP!A$1:A$32,0))&amp;INDEX(ETAPP!B$1:B$32,MATCH(COUNTIF(BI22:BR22,9),ETAPP!A$1:A$32,0))&amp;INDEX(ETAPP!B$1:B$32,MATCH(COUNTIF(BI22:BR22,10),ETAPP!A$1:A$32,0))&amp;INDEX(ETAPP!B$1:B$32,MATCH(COUNTIF(BI22:BR22,11),ETAPP!A$1:A$32,0))&amp;INDEX(ETAPP!B$1:B$32,MATCH(COUNTIF(BI22:BR22,12),ETAPP!A$1:A$32,0))&amp;INDEX(ETAPP!B$1:B$32,MATCH(COUNTIF(BI22:BR22,13),ETAPP!A$1:A$32,0))&amp;INDEX(ETAPP!B$1:B$32,MATCH(COUNTIF(BI22:BR22,14),ETAPP!A$1:A$32,0))&amp;INDEX(ETAPP!B$1:B$32,MATCH(COUNTIF(BI22:BR22,15),ETAPP!A$1:A$32,0))&amp;INDEX(ETAPP!B$1:B$32,MATCH(COUNTIF(BI22:BR22,16),ETAPP!A$1:A$32,0))&amp;INDEX(ETAPP!B$1:B$32,MATCH(COUNTIF(BI22:BR22,17),ETAPP!A$1:A$32,0))&amp;INDEX(ETAPP!B$1:B$32,MATCH(COUNTIF(BI22:BR22,18),ETAPP!A$1:A$32,0))&amp;INDEX(ETAPP!B$1:B$32,MATCH(COUNTIF(BI22:BR22,19),ETAPP!A$1:A$32,0))&amp;INDEX(ETAPP!B$1:B$32,MATCH(COUNTIF(BI22:BR22,20),ETAPP!A$1:A$32,0))&amp;INDEX(ETAPP!B$1:B$32,MATCH(COUNTIF(BI22:BR22,21),ETAPP!A$1:A$32,0))</f>
        <v>0A0A000D000A000000000</v>
      </c>
      <c r="T22" s="684" t="str">
        <f t="shared" si="12"/>
        <v>056,0-0A0A000D000A000000000</v>
      </c>
      <c r="U22" s="684">
        <f t="shared" si="13"/>
        <v>16</v>
      </c>
      <c r="V22" s="684">
        <f t="shared" si="14"/>
        <v>35</v>
      </c>
      <c r="W22" s="684" t="str">
        <f t="shared" si="15"/>
        <v>056,0-0A0A000D000A000000000-035</v>
      </c>
      <c r="X22" s="684">
        <f t="shared" si="16"/>
        <v>16</v>
      </c>
      <c r="Y22" s="685">
        <f t="shared" si="17"/>
        <v>35</v>
      </c>
      <c r="Z22" s="686" t="str">
        <f>IFERROR(INDEX('V1'!C$300:C$400,MATCH("*"&amp;L22&amp;"*",'V1'!B$300:B$400,0)),"  ")</f>
        <v xml:space="preserve">  </v>
      </c>
      <c r="AA22" s="686">
        <f>IFERROR(INDEX('V2'!C$300:C$400,MATCH("*"&amp;L22&amp;"*",'V2'!B$300:B$400,0)),"  ")</f>
        <v>14</v>
      </c>
      <c r="AB22" s="686" t="str">
        <f>IFERROR(INDEX('V3'!C$300:C$400,MATCH("*"&amp;L22&amp;"*",'V3'!B$300:B$400,0)),"  ")</f>
        <v xml:space="preserve">  </v>
      </c>
      <c r="AC22" s="686">
        <f>IFERROR(INDEX('V4'!C$300:C$400,MATCH("*"&amp;L22&amp;"*",'V4'!B$300:B$400,0)),"  ")</f>
        <v>8</v>
      </c>
      <c r="AD22" s="686" t="str">
        <f>IFERROR(INDEX('V5'!C$300:C$400,MATCH("*"&amp;L22&amp;"*",'V5'!B$300:B$400,0)),"  ")</f>
        <v xml:space="preserve">  </v>
      </c>
      <c r="AE22" s="686">
        <f>IFERROR(INDEX('V6'!C$300:C$400,MATCH("*"&amp;L22&amp;"*",'V6'!B$300:B$400,0)),"  ")</f>
        <v>18</v>
      </c>
      <c r="AF22" s="686">
        <f>IFERROR(INDEX('V7'!C$300:C$400,MATCH("*"&amp;L22&amp;"*",'V7'!B$300:B$400,0)),"  ")</f>
        <v>4</v>
      </c>
      <c r="AG22" s="686">
        <f>IFERROR(INDEX('V8'!C$300:C$400,MATCH("*"&amp;L22&amp;"*",'V8'!B$300:B$400,0)),"  ")</f>
        <v>8</v>
      </c>
      <c r="AH22" s="686">
        <f>IFERROR(INDEX('V9'!C$300:C$400,MATCH("*"&amp;L22&amp;"*",'V9'!B$300:B$400,0)),"  ")</f>
        <v>2</v>
      </c>
      <c r="AI22" s="686">
        <f>IFERROR(INDEX('V10'!C$300:C$400,MATCH("*"&amp;L22&amp;"*",'V10'!B$300:B$400,0)),"  ")</f>
        <v>2</v>
      </c>
      <c r="AJ22" s="687">
        <f t="shared" si="18"/>
        <v>7</v>
      </c>
      <c r="AK22" s="688">
        <f t="shared" si="19"/>
        <v>1</v>
      </c>
      <c r="AL22" s="688">
        <f t="shared" si="20"/>
        <v>0</v>
      </c>
      <c r="AM22" s="783"/>
      <c r="AN22" s="689"/>
      <c r="AO22" s="690"/>
      <c r="AP22" s="690"/>
      <c r="AQ22" s="690"/>
      <c r="AR22" s="690"/>
      <c r="AS22" s="689">
        <f t="shared" si="21"/>
        <v>1E-4</v>
      </c>
      <c r="AT22" s="690">
        <f t="shared" si="22"/>
        <v>1E-4</v>
      </c>
      <c r="AU22" s="690">
        <f t="shared" si="23"/>
        <v>14.0002</v>
      </c>
      <c r="AV22" s="690">
        <f t="shared" si="24"/>
        <v>2.9999999999999997E-4</v>
      </c>
      <c r="AW22" s="690">
        <f t="shared" si="25"/>
        <v>8.0004000000000008</v>
      </c>
      <c r="AX22" s="690">
        <f t="shared" si="26"/>
        <v>5.0000000000000001E-4</v>
      </c>
      <c r="AY22" s="690">
        <f t="shared" si="27"/>
        <v>18.000599999999999</v>
      </c>
      <c r="AZ22" s="690">
        <f t="shared" si="28"/>
        <v>4.0007000000000001</v>
      </c>
      <c r="BA22" s="690">
        <f t="shared" si="29"/>
        <v>8.0007999999999999</v>
      </c>
      <c r="BB22" s="690">
        <f t="shared" si="30"/>
        <v>2.0009000000000001</v>
      </c>
      <c r="BC22" s="690">
        <f t="shared" si="31"/>
        <v>2.0009999999999999</v>
      </c>
      <c r="BI22" s="581" t="e">
        <f t="shared" si="32"/>
        <v>#VALUE!</v>
      </c>
      <c r="BJ22" s="581">
        <f t="shared" si="33"/>
        <v>4</v>
      </c>
      <c r="BK22" s="581" t="e">
        <f t="shared" si="34"/>
        <v>#VALUE!</v>
      </c>
      <c r="BL22" s="581">
        <f t="shared" si="35"/>
        <v>8</v>
      </c>
      <c r="BM22" s="581" t="e">
        <f t="shared" si="36"/>
        <v>#VALUE!</v>
      </c>
      <c r="BN22" s="581">
        <f t="shared" si="37"/>
        <v>2</v>
      </c>
      <c r="BO22" s="581">
        <f t="shared" si="38"/>
        <v>12</v>
      </c>
      <c r="BP22" s="581">
        <f t="shared" si="39"/>
        <v>8</v>
      </c>
      <c r="BQ22" s="581">
        <f t="shared" si="40"/>
        <v>8</v>
      </c>
      <c r="BR22" s="581">
        <f t="shared" si="41"/>
        <v>8</v>
      </c>
    </row>
    <row r="23" spans="1:70" x14ac:dyDescent="0.2">
      <c r="A23" s="768">
        <f t="shared" si="1"/>
        <v>13</v>
      </c>
      <c r="B23" s="769">
        <f t="shared" si="2"/>
        <v>17</v>
      </c>
      <c r="C23" s="770" t="str">
        <f t="shared" si="3"/>
        <v/>
      </c>
      <c r="D23" s="769">
        <f t="shared" si="4"/>
        <v>-983</v>
      </c>
      <c r="E23" s="771">
        <f t="shared" si="5"/>
        <v>13</v>
      </c>
      <c r="F23" s="769">
        <f t="shared" si="6"/>
        <v>17</v>
      </c>
      <c r="G23" s="772" t="str">
        <f t="shared" si="7"/>
        <v/>
      </c>
      <c r="H23" s="769">
        <f t="shared" si="8"/>
        <v>-983</v>
      </c>
      <c r="I23" s="773" t="str">
        <f t="shared" si="9"/>
        <v/>
      </c>
      <c r="J23" s="774">
        <f t="shared" si="10"/>
        <v>-983</v>
      </c>
      <c r="K23" s="680">
        <f t="shared" si="11"/>
        <v>17</v>
      </c>
      <c r="L23" s="681" t="s">
        <v>89</v>
      </c>
      <c r="M23" s="682"/>
      <c r="N23" s="775" t="str">
        <f t="shared" si="42"/>
        <v>m</v>
      </c>
      <c r="O23" s="683"/>
      <c r="P23" s="776"/>
      <c r="Q23" s="777" t="s">
        <v>189</v>
      </c>
      <c r="R23" s="673">
        <f>(IF(COUNT(Z23,AA23,AB23,AC23,AD23,AE23,AF23,AG23,AH23,AI23)&lt;9,SUM(Z23,AA23,AB23,AC23,AD23,AE23,AF23,AG23,AH23,AI23),SUM(LARGE((Z23,AA23,AB23,AC23,AD23,AE23,AF23,AG23,AH23,AI23),{1;2;3;4;5;6;7;8;9}))))</f>
        <v>56</v>
      </c>
      <c r="S23" s="684" t="str">
        <f>INDEX(ETAPP!B$1:B$32,MATCH(COUNTIF(BI23:BR23,1),ETAPP!A$1:A$32,0))&amp;INDEX(ETAPP!B$1:B$32,MATCH(COUNTIF(BI23:BR23,2),ETAPP!A$1:A$32,0))&amp;INDEX(ETAPP!B$1:B$32,MATCH(COUNTIF(BI23:BR23,3),ETAPP!A$1:A$32,0))&amp;INDEX(ETAPP!B$1:B$32,MATCH(COUNTIF(BI23:BR23,4),ETAPP!A$1:A$32,0))&amp;INDEX(ETAPP!B$1:B$32,MATCH(COUNTIF(BI23:BR23,5),ETAPP!A$1:A$32,0))&amp;INDEX(ETAPP!B$1:B$32,MATCH(COUNTIF(BI23:BR23,6),ETAPP!A$1:A$32,0))&amp;INDEX(ETAPP!B$1:B$32,MATCH(COUNTIF(BI23:BR23,7),ETAPP!A$1:A$32,0))&amp;INDEX(ETAPP!B$1:B$32,MATCH(COUNTIF(BI23:BR23,8),ETAPP!A$1:A$32,0))&amp;INDEX(ETAPP!B$1:B$32,MATCH(COUNTIF(BI23:BR23,9),ETAPP!A$1:A$32,0))&amp;INDEX(ETAPP!B$1:B$32,MATCH(COUNTIF(BI23:BR23,10),ETAPP!A$1:A$32,0))&amp;INDEX(ETAPP!B$1:B$32,MATCH(COUNTIF(BI23:BR23,11),ETAPP!A$1:A$32,0))&amp;INDEX(ETAPP!B$1:B$32,MATCH(COUNTIF(BI23:BR23,12),ETAPP!A$1:A$32,0))&amp;INDEX(ETAPP!B$1:B$32,MATCH(COUNTIF(BI23:BR23,13),ETAPP!A$1:A$32,0))&amp;INDEX(ETAPP!B$1:B$32,MATCH(COUNTIF(BI23:BR23,14),ETAPP!A$1:A$32,0))&amp;INDEX(ETAPP!B$1:B$32,MATCH(COUNTIF(BI23:BR23,15),ETAPP!A$1:A$32,0))&amp;INDEX(ETAPP!B$1:B$32,MATCH(COUNTIF(BI23:BR23,16),ETAPP!A$1:A$32,0))&amp;INDEX(ETAPP!B$1:B$32,MATCH(COUNTIF(BI23:BR23,17),ETAPP!A$1:A$32,0))&amp;INDEX(ETAPP!B$1:B$32,MATCH(COUNTIF(BI23:BR23,18),ETAPP!A$1:A$32,0))&amp;INDEX(ETAPP!B$1:B$32,MATCH(COUNTIF(BI23:BR23,19),ETAPP!A$1:A$32,0))&amp;INDEX(ETAPP!B$1:B$32,MATCH(COUNTIF(BI23:BR23,20),ETAPP!A$1:A$32,0))&amp;INDEX(ETAPP!B$1:B$32,MATCH(COUNTIF(BI23:BR23,21),ETAPP!A$1:A$32,0))</f>
        <v>0000ABAA0000000000000</v>
      </c>
      <c r="T23" s="684" t="str">
        <f t="shared" si="12"/>
        <v>056,0-0000ABAA0000000000000</v>
      </c>
      <c r="U23" s="684">
        <f t="shared" si="13"/>
        <v>17</v>
      </c>
      <c r="V23" s="684">
        <f t="shared" si="14"/>
        <v>43</v>
      </c>
      <c r="W23" s="684" t="str">
        <f t="shared" si="15"/>
        <v>056,0-0000ABAA0000000000000-043</v>
      </c>
      <c r="X23" s="684">
        <f t="shared" si="16"/>
        <v>17</v>
      </c>
      <c r="Y23" s="685">
        <f t="shared" si="17"/>
        <v>34</v>
      </c>
      <c r="Z23" s="686">
        <f>IFERROR(INDEX('V1'!C$300:C$400,MATCH("*"&amp;L23&amp;"*",'V1'!B$300:B$400,0)),"  ")</f>
        <v>12</v>
      </c>
      <c r="AA23" s="686" t="str">
        <f>IFERROR(INDEX('V2'!C$300:C$400,MATCH("*"&amp;L23&amp;"*",'V2'!B$300:B$400,0)),"  ")</f>
        <v xml:space="preserve">  </v>
      </c>
      <c r="AB23" s="686">
        <f>IFERROR(INDEX('V3'!C$300:C$400,MATCH("*"&amp;L23&amp;"*",'V3'!B$300:B$400,0)),"  ")</f>
        <v>8</v>
      </c>
      <c r="AC23" s="686">
        <f>IFERROR(INDEX('V4'!C$300:C$400,MATCH("*"&amp;L23&amp;"*",'V4'!B$300:B$400,0)),"  ")</f>
        <v>12</v>
      </c>
      <c r="AD23" s="686">
        <f>IFERROR(INDEX('V5'!C$300:C$400,MATCH("*"&amp;L23&amp;"*",'V5'!B$300:B$400,0)),"  ")</f>
        <v>6</v>
      </c>
      <c r="AE23" s="686" t="str">
        <f>IFERROR(INDEX('V6'!C$300:C$400,MATCH("*"&amp;L23&amp;"*",'V6'!B$300:B$400,0)),"  ")</f>
        <v xml:space="preserve">  </v>
      </c>
      <c r="AF23" s="686">
        <f>IFERROR(INDEX('V7'!C$300:C$400,MATCH("*"&amp;L23&amp;"*",'V7'!B$300:B$400,0)),"  ")</f>
        <v>18</v>
      </c>
      <c r="AG23" s="686" t="str">
        <f>IFERROR(INDEX('V8'!C$300:C$400,MATCH("*"&amp;L23&amp;"*",'V8'!B$300:B$400,0)),"  ")</f>
        <v xml:space="preserve">  </v>
      </c>
      <c r="AH23" s="686" t="str">
        <f>IFERROR(INDEX('V9'!C$300:C$400,MATCH("*"&amp;L23&amp;"*",'V9'!B$300:B$400,0)),"  ")</f>
        <v xml:space="preserve">  </v>
      </c>
      <c r="AI23" s="686" t="str">
        <f>IFERROR(INDEX('V10'!C$300:C$400,MATCH("*"&amp;L23&amp;"*",'V10'!B$300:B$400,0)),"  ")</f>
        <v xml:space="preserve">  </v>
      </c>
      <c r="AJ23" s="687">
        <f t="shared" si="18"/>
        <v>5</v>
      </c>
      <c r="AK23" s="688">
        <f t="shared" si="19"/>
        <v>0</v>
      </c>
      <c r="AL23" s="688">
        <f t="shared" si="20"/>
        <v>0</v>
      </c>
      <c r="AM23" s="642"/>
      <c r="AN23" s="689"/>
      <c r="AO23" s="690"/>
      <c r="AP23" s="690"/>
      <c r="AQ23" s="690"/>
      <c r="AR23" s="690"/>
      <c r="AS23" s="689">
        <f t="shared" si="21"/>
        <v>2.0000000000000001E-4</v>
      </c>
      <c r="AT23" s="690">
        <f t="shared" si="22"/>
        <v>12.0001</v>
      </c>
      <c r="AU23" s="690">
        <f t="shared" si="23"/>
        <v>2.0000000000000001E-4</v>
      </c>
      <c r="AV23" s="690">
        <f t="shared" si="24"/>
        <v>8.0002999999999993</v>
      </c>
      <c r="AW23" s="690">
        <f t="shared" si="25"/>
        <v>12.000400000000001</v>
      </c>
      <c r="AX23" s="690">
        <f t="shared" si="26"/>
        <v>6.0004999999999997</v>
      </c>
      <c r="AY23" s="690">
        <f t="shared" si="27"/>
        <v>5.9999999999999995E-4</v>
      </c>
      <c r="AZ23" s="690">
        <f t="shared" si="28"/>
        <v>18.000699999999998</v>
      </c>
      <c r="BA23" s="690">
        <f t="shared" si="29"/>
        <v>8.0000000000000004E-4</v>
      </c>
      <c r="BB23" s="690">
        <f t="shared" si="30"/>
        <v>8.9999999999999998E-4</v>
      </c>
      <c r="BC23" s="690">
        <f t="shared" si="31"/>
        <v>1E-3</v>
      </c>
      <c r="BI23" s="581">
        <f t="shared" si="32"/>
        <v>6</v>
      </c>
      <c r="BJ23" s="581" t="e">
        <f t="shared" si="33"/>
        <v>#VALUE!</v>
      </c>
      <c r="BK23" s="581">
        <f t="shared" si="34"/>
        <v>7</v>
      </c>
      <c r="BL23" s="581">
        <f t="shared" si="35"/>
        <v>6</v>
      </c>
      <c r="BM23" s="581">
        <f t="shared" si="36"/>
        <v>8</v>
      </c>
      <c r="BN23" s="581" t="e">
        <f t="shared" si="37"/>
        <v>#VALUE!</v>
      </c>
      <c r="BO23" s="581">
        <f t="shared" si="38"/>
        <v>5</v>
      </c>
      <c r="BP23" s="581" t="e">
        <f t="shared" si="39"/>
        <v>#VALUE!</v>
      </c>
      <c r="BQ23" s="581" t="e">
        <f t="shared" si="40"/>
        <v>#VALUE!</v>
      </c>
      <c r="BR23" s="581" t="e">
        <f t="shared" si="41"/>
        <v>#VALUE!</v>
      </c>
    </row>
    <row r="24" spans="1:70" x14ac:dyDescent="0.2">
      <c r="A24" s="768">
        <f t="shared" si="1"/>
        <v>14</v>
      </c>
      <c r="B24" s="769">
        <f t="shared" si="2"/>
        <v>19</v>
      </c>
      <c r="C24" s="770" t="str">
        <f t="shared" si="3"/>
        <v/>
      </c>
      <c r="D24" s="769">
        <f t="shared" si="4"/>
        <v>-981</v>
      </c>
      <c r="E24" s="771" t="str">
        <f t="shared" si="5"/>
        <v/>
      </c>
      <c r="F24" s="769">
        <f t="shared" si="6"/>
        <v>-981</v>
      </c>
      <c r="G24" s="772">
        <f t="shared" si="7"/>
        <v>4</v>
      </c>
      <c r="H24" s="769">
        <f t="shared" si="8"/>
        <v>19</v>
      </c>
      <c r="I24" s="773" t="str">
        <f t="shared" si="9"/>
        <v/>
      </c>
      <c r="J24" s="774">
        <f t="shared" si="10"/>
        <v>-981</v>
      </c>
      <c r="K24" s="680">
        <f t="shared" si="11"/>
        <v>18</v>
      </c>
      <c r="L24" s="681" t="s">
        <v>118</v>
      </c>
      <c r="M24" s="682" t="s">
        <v>99</v>
      </c>
      <c r="N24" s="775" t="str">
        <f t="shared" si="42"/>
        <v/>
      </c>
      <c r="O24" s="683"/>
      <c r="P24" s="776"/>
      <c r="Q24" s="777" t="s">
        <v>189</v>
      </c>
      <c r="R24" s="673">
        <f>(IF(COUNT(Z24,AA24,AB24,AC24,AD24,AE24,AF24,AG24,AH24,AI24)&lt;9,SUM(Z24,AA24,AB24,AC24,AD24,AE24,AF24,AG24,AH24,AI24),SUM(LARGE((Z24,AA24,AB24,AC24,AD24,AE24,AF24,AG24,AH24,AI24),{1;2;3;4;5;6;7;8;9}))))</f>
        <v>52</v>
      </c>
      <c r="S24" s="684" t="str">
        <f>INDEX(ETAPP!B$1:B$32,MATCH(COUNTIF(BI24:BR24,1),ETAPP!A$1:A$32,0))&amp;INDEX(ETAPP!B$1:B$32,MATCH(COUNTIF(BI24:BR24,2),ETAPP!A$1:A$32,0))&amp;INDEX(ETAPP!B$1:B$32,MATCH(COUNTIF(BI24:BR24,3),ETAPP!A$1:A$32,0))&amp;INDEX(ETAPP!B$1:B$32,MATCH(COUNTIF(BI24:BR24,4),ETAPP!A$1:A$32,0))&amp;INDEX(ETAPP!B$1:B$32,MATCH(COUNTIF(BI24:BR24,5),ETAPP!A$1:A$32,0))&amp;INDEX(ETAPP!B$1:B$32,MATCH(COUNTIF(BI24:BR24,6),ETAPP!A$1:A$32,0))&amp;INDEX(ETAPP!B$1:B$32,MATCH(COUNTIF(BI24:BR24,7),ETAPP!A$1:A$32,0))&amp;INDEX(ETAPP!B$1:B$32,MATCH(COUNTIF(BI24:BR24,8),ETAPP!A$1:A$32,0))&amp;INDEX(ETAPP!B$1:B$32,MATCH(COUNTIF(BI24:BR24,9),ETAPP!A$1:A$32,0))&amp;INDEX(ETAPP!B$1:B$32,MATCH(COUNTIF(BI24:BR24,10),ETAPP!A$1:A$32,0))&amp;INDEX(ETAPP!B$1:B$32,MATCH(COUNTIF(BI24:BR24,11),ETAPP!A$1:A$32,0))&amp;INDEX(ETAPP!B$1:B$32,MATCH(COUNTIF(BI24:BR24,12),ETAPP!A$1:A$32,0))&amp;INDEX(ETAPP!B$1:B$32,MATCH(COUNTIF(BI24:BR24,13),ETAPP!A$1:A$32,0))&amp;INDEX(ETAPP!B$1:B$32,MATCH(COUNTIF(BI24:BR24,14),ETAPP!A$1:A$32,0))&amp;INDEX(ETAPP!B$1:B$32,MATCH(COUNTIF(BI24:BR24,15),ETAPP!A$1:A$32,0))&amp;INDEX(ETAPP!B$1:B$32,MATCH(COUNTIF(BI24:BR24,16),ETAPP!A$1:A$32,0))&amp;INDEX(ETAPP!B$1:B$32,MATCH(COUNTIF(BI24:BR24,17),ETAPP!A$1:A$32,0))&amp;INDEX(ETAPP!B$1:B$32,MATCH(COUNTIF(BI24:BR24,18),ETAPP!A$1:A$32,0))&amp;INDEX(ETAPP!B$1:B$32,MATCH(COUNTIF(BI24:BR24,19),ETAPP!A$1:A$32,0))&amp;INDEX(ETAPP!B$1:B$32,MATCH(COUNTIF(BI24:BR24,20),ETAPP!A$1:A$32,0))&amp;INDEX(ETAPP!B$1:B$32,MATCH(COUNTIF(BI24:BR24,21),ETAPP!A$1:A$32,0))</f>
        <v>A00A0A000000000000000</v>
      </c>
      <c r="T24" s="684" t="str">
        <f t="shared" si="12"/>
        <v>052,0-A00A0A000000000000000</v>
      </c>
      <c r="U24" s="684">
        <f t="shared" si="13"/>
        <v>19</v>
      </c>
      <c r="V24" s="684">
        <f t="shared" si="14"/>
        <v>24</v>
      </c>
      <c r="W24" s="684" t="str">
        <f t="shared" si="15"/>
        <v>052,0-A00A0A000000000000000-024</v>
      </c>
      <c r="X24" s="684">
        <f t="shared" si="16"/>
        <v>18</v>
      </c>
      <c r="Y24" s="685">
        <f t="shared" si="17"/>
        <v>33</v>
      </c>
      <c r="Z24" s="686" t="str">
        <f>IFERROR(INDEX('V1'!C$300:C$400,MATCH("*"&amp;L24&amp;"*",'V1'!B$300:B$400,0)),"  ")</f>
        <v xml:space="preserve">  </v>
      </c>
      <c r="AA24" s="686" t="str">
        <f>IFERROR(INDEX('V2'!C$300:C$400,MATCH("*"&amp;L24&amp;"*",'V2'!B$300:B$400,0)),"  ")</f>
        <v xml:space="preserve">  </v>
      </c>
      <c r="AB24" s="686" t="str">
        <f>IFERROR(INDEX('V3'!C$300:C$400,MATCH("*"&amp;L24&amp;"*",'V3'!B$300:B$400,0)),"  ")</f>
        <v xml:space="preserve">  </v>
      </c>
      <c r="AC24" s="686" t="str">
        <f>IFERROR(INDEX('V4'!C$300:C$400,MATCH("*"&amp;L24&amp;"*",'V4'!B$300:B$400,0)),"  ")</f>
        <v xml:space="preserve">  </v>
      </c>
      <c r="AD24" s="686">
        <f>IFERROR(INDEX('V5'!C$300:C$400,MATCH("*"&amp;L24&amp;"*",'V5'!B$300:B$400,0)),"  ")</f>
        <v>10</v>
      </c>
      <c r="AE24" s="686" t="str">
        <f>IFERROR(INDEX('V6'!C$300:C$400,MATCH("*"&amp;L24&amp;"*",'V6'!B$300:B$400,0)),"  ")</f>
        <v xml:space="preserve">  </v>
      </c>
      <c r="AF24" s="686">
        <f>IFERROR(INDEX('V7'!C$300:C$400,MATCH("*"&amp;L24&amp;"*",'V7'!B$300:B$400,0)),"  ")</f>
        <v>20</v>
      </c>
      <c r="AG24" s="686">
        <f>IFERROR(INDEX('V8'!C$300:C$400,MATCH("*"&amp;L24&amp;"*",'V8'!B$300:B$400,0)),"  ")</f>
        <v>22</v>
      </c>
      <c r="AH24" s="686" t="str">
        <f>IFERROR(INDEX('V9'!C$300:C$400,MATCH("*"&amp;L24&amp;"*",'V9'!B$300:B$400,0)),"  ")</f>
        <v xml:space="preserve">  </v>
      </c>
      <c r="AI24" s="686" t="str">
        <f>IFERROR(INDEX('V10'!C$300:C$400,MATCH("*"&amp;L24&amp;"*",'V10'!B$300:B$400,0)),"  ")</f>
        <v xml:space="preserve">  </v>
      </c>
      <c r="AJ24" s="687">
        <f t="shared" si="18"/>
        <v>3</v>
      </c>
      <c r="AK24" s="688">
        <f t="shared" si="19"/>
        <v>1</v>
      </c>
      <c r="AL24" s="688">
        <f t="shared" si="20"/>
        <v>1</v>
      </c>
      <c r="AM24" s="783"/>
      <c r="AN24" s="689"/>
      <c r="AO24" s="690"/>
      <c r="AP24" s="690"/>
      <c r="AQ24" s="690"/>
      <c r="AR24" s="690"/>
      <c r="AS24" s="689">
        <f t="shared" si="21"/>
        <v>1E-4</v>
      </c>
      <c r="AT24" s="690">
        <f t="shared" si="22"/>
        <v>1E-4</v>
      </c>
      <c r="AU24" s="690">
        <f t="shared" si="23"/>
        <v>2.0000000000000001E-4</v>
      </c>
      <c r="AV24" s="690">
        <f t="shared" si="24"/>
        <v>2.9999999999999997E-4</v>
      </c>
      <c r="AW24" s="690">
        <f t="shared" si="25"/>
        <v>4.0000000000000002E-4</v>
      </c>
      <c r="AX24" s="690">
        <f t="shared" si="26"/>
        <v>10.000500000000001</v>
      </c>
      <c r="AY24" s="690">
        <f t="shared" si="27"/>
        <v>5.9999999999999995E-4</v>
      </c>
      <c r="AZ24" s="690">
        <f t="shared" si="28"/>
        <v>20.000699999999998</v>
      </c>
      <c r="BA24" s="690">
        <f t="shared" si="29"/>
        <v>22.000800000000002</v>
      </c>
      <c r="BB24" s="690">
        <f t="shared" si="30"/>
        <v>8.9999999999999998E-4</v>
      </c>
      <c r="BC24" s="690">
        <f t="shared" si="31"/>
        <v>1E-3</v>
      </c>
      <c r="BI24" s="581" t="e">
        <f t="shared" si="32"/>
        <v>#VALUE!</v>
      </c>
      <c r="BJ24" s="581" t="e">
        <f t="shared" si="33"/>
        <v>#VALUE!</v>
      </c>
      <c r="BK24" s="581" t="e">
        <f t="shared" si="34"/>
        <v>#VALUE!</v>
      </c>
      <c r="BL24" s="581" t="e">
        <f t="shared" si="35"/>
        <v>#VALUE!</v>
      </c>
      <c r="BM24" s="581">
        <f t="shared" si="36"/>
        <v>6</v>
      </c>
      <c r="BN24" s="581" t="e">
        <f t="shared" si="37"/>
        <v>#VALUE!</v>
      </c>
      <c r="BO24" s="581">
        <f t="shared" si="38"/>
        <v>4</v>
      </c>
      <c r="BP24" s="581">
        <f t="shared" si="39"/>
        <v>1</v>
      </c>
      <c r="BQ24" s="581" t="e">
        <f t="shared" si="40"/>
        <v>#VALUE!</v>
      </c>
      <c r="BR24" s="581" t="e">
        <f t="shared" si="41"/>
        <v>#VALUE!</v>
      </c>
    </row>
    <row r="25" spans="1:70" x14ac:dyDescent="0.2">
      <c r="A25" s="768">
        <f t="shared" si="1"/>
        <v>14</v>
      </c>
      <c r="B25" s="769">
        <f t="shared" si="2"/>
        <v>19</v>
      </c>
      <c r="C25" s="770" t="str">
        <f t="shared" si="3"/>
        <v/>
      </c>
      <c r="D25" s="769">
        <f t="shared" si="4"/>
        <v>-981</v>
      </c>
      <c r="E25" s="771">
        <f t="shared" si="5"/>
        <v>14</v>
      </c>
      <c r="F25" s="769">
        <f t="shared" si="6"/>
        <v>19</v>
      </c>
      <c r="G25" s="772" t="str">
        <f t="shared" si="7"/>
        <v/>
      </c>
      <c r="H25" s="769">
        <f t="shared" si="8"/>
        <v>-981</v>
      </c>
      <c r="I25" s="773" t="str">
        <f t="shared" si="9"/>
        <v/>
      </c>
      <c r="J25" s="774">
        <f t="shared" si="10"/>
        <v>-981</v>
      </c>
      <c r="K25" s="680">
        <f t="shared" si="11"/>
        <v>18</v>
      </c>
      <c r="L25" s="786" t="s">
        <v>119</v>
      </c>
      <c r="M25" s="682"/>
      <c r="N25" s="775" t="str">
        <f t="shared" si="42"/>
        <v>m</v>
      </c>
      <c r="O25" s="683"/>
      <c r="P25" s="776"/>
      <c r="Q25" s="777" t="s">
        <v>189</v>
      </c>
      <c r="R25" s="673">
        <f>(IF(COUNT(Z25,AA25,AB25,AC25,AD25,AE25,AF25,AG25,AH25,AI25)&lt;9,SUM(Z25,AA25,AB25,AC25,AD25,AE25,AF25,AG25,AH25,AI25),SUM(LARGE((Z25,AA25,AB25,AC25,AD25,AE25,AF25,AG25,AH25,AI25),{1;2;3;4;5;6;7;8;9}))))</f>
        <v>52</v>
      </c>
      <c r="S25" s="684" t="str">
        <f>INDEX(ETAPP!B$1:B$32,MATCH(COUNTIF(BI25:BR25,1),ETAPP!A$1:A$32,0))&amp;INDEX(ETAPP!B$1:B$32,MATCH(COUNTIF(BI25:BR25,2),ETAPP!A$1:A$32,0))&amp;INDEX(ETAPP!B$1:B$32,MATCH(COUNTIF(BI25:BR25,3),ETAPP!A$1:A$32,0))&amp;INDEX(ETAPP!B$1:B$32,MATCH(COUNTIF(BI25:BR25,4),ETAPP!A$1:A$32,0))&amp;INDEX(ETAPP!B$1:B$32,MATCH(COUNTIF(BI25:BR25,5),ETAPP!A$1:A$32,0))&amp;INDEX(ETAPP!B$1:B$32,MATCH(COUNTIF(BI25:BR25,6),ETAPP!A$1:A$32,0))&amp;INDEX(ETAPP!B$1:B$32,MATCH(COUNTIF(BI25:BR25,7),ETAPP!A$1:A$32,0))&amp;INDEX(ETAPP!B$1:B$32,MATCH(COUNTIF(BI25:BR25,8),ETAPP!A$1:A$32,0))&amp;INDEX(ETAPP!B$1:B$32,MATCH(COUNTIF(BI25:BR25,9),ETAPP!A$1:A$32,0))&amp;INDEX(ETAPP!B$1:B$32,MATCH(COUNTIF(BI25:BR25,10),ETAPP!A$1:A$32,0))&amp;INDEX(ETAPP!B$1:B$32,MATCH(COUNTIF(BI25:BR25,11),ETAPP!A$1:A$32,0))&amp;INDEX(ETAPP!B$1:B$32,MATCH(COUNTIF(BI25:BR25,12),ETAPP!A$1:A$32,0))&amp;INDEX(ETAPP!B$1:B$32,MATCH(COUNTIF(BI25:BR25,13),ETAPP!A$1:A$32,0))&amp;INDEX(ETAPP!B$1:B$32,MATCH(COUNTIF(BI25:BR25,14),ETAPP!A$1:A$32,0))&amp;INDEX(ETAPP!B$1:B$32,MATCH(COUNTIF(BI25:BR25,15),ETAPP!A$1:A$32,0))&amp;INDEX(ETAPP!B$1:B$32,MATCH(COUNTIF(BI25:BR25,16),ETAPP!A$1:A$32,0))&amp;INDEX(ETAPP!B$1:B$32,MATCH(COUNTIF(BI25:BR25,17),ETAPP!A$1:A$32,0))&amp;INDEX(ETAPP!B$1:B$32,MATCH(COUNTIF(BI25:BR25,18),ETAPP!A$1:A$32,0))&amp;INDEX(ETAPP!B$1:B$32,MATCH(COUNTIF(BI25:BR25,19),ETAPP!A$1:A$32,0))&amp;INDEX(ETAPP!B$1:B$32,MATCH(COUNTIF(BI25:BR25,20),ETAPP!A$1:A$32,0))&amp;INDEX(ETAPP!B$1:B$32,MATCH(COUNTIF(BI25:BR25,21),ETAPP!A$1:A$32,0))</f>
        <v>A00A0A000000000000000</v>
      </c>
      <c r="T25" s="684" t="str">
        <f t="shared" si="12"/>
        <v>052,0-A00A0A000000000000000</v>
      </c>
      <c r="U25" s="684">
        <f t="shared" si="13"/>
        <v>19</v>
      </c>
      <c r="V25" s="684">
        <f t="shared" si="14"/>
        <v>2</v>
      </c>
      <c r="W25" s="684" t="str">
        <f t="shared" si="15"/>
        <v>052,0-A00A0A000000000000000-002</v>
      </c>
      <c r="X25" s="684">
        <f t="shared" si="16"/>
        <v>19</v>
      </c>
      <c r="Y25" s="685">
        <f t="shared" si="17"/>
        <v>32</v>
      </c>
      <c r="Z25" s="686" t="str">
        <f>IFERROR(INDEX('V1'!C$300:C$400,MATCH("*"&amp;L25&amp;"*",'V1'!B$300:B$400,0)),"  ")</f>
        <v xml:space="preserve">  </v>
      </c>
      <c r="AA25" s="686" t="str">
        <f>IFERROR(INDEX('V2'!C$300:C$400,MATCH("*"&amp;L25&amp;"*",'V2'!B$300:B$400,0)),"  ")</f>
        <v xml:space="preserve">  </v>
      </c>
      <c r="AB25" s="686" t="str">
        <f>IFERROR(INDEX('V3'!C$300:C$400,MATCH("*"&amp;L25&amp;"*",'V3'!B$300:B$400,0)),"  ")</f>
        <v xml:space="preserve">  </v>
      </c>
      <c r="AC25" s="686" t="str">
        <f>IFERROR(INDEX('V4'!C$300:C$400,MATCH("*"&amp;L25&amp;"*",'V4'!B$300:B$400,0)),"  ")</f>
        <v xml:space="preserve">  </v>
      </c>
      <c r="AD25" s="686">
        <f>IFERROR(INDEX('V5'!C$300:C$400,MATCH("*"&amp;L25&amp;"*",'V5'!B$300:B$400,0)),"  ")</f>
        <v>10</v>
      </c>
      <c r="AE25" s="686" t="str">
        <f>IFERROR(INDEX('V6'!C$300:C$400,MATCH("*"&amp;L25&amp;"*",'V6'!B$300:B$400,0)),"  ")</f>
        <v xml:space="preserve">  </v>
      </c>
      <c r="AF25" s="686">
        <f>IFERROR(INDEX('V7'!C$300:C$400,MATCH("*"&amp;L25&amp;"*",'V7'!B$300:B$400,0)),"  ")</f>
        <v>20</v>
      </c>
      <c r="AG25" s="686">
        <f>IFERROR(INDEX('V8'!C$300:C$400,MATCH("*"&amp;L25&amp;"*",'V8'!B$300:B$400,0)),"  ")</f>
        <v>22</v>
      </c>
      <c r="AH25" s="686" t="str">
        <f>IFERROR(INDEX('V9'!C$300:C$400,MATCH("*"&amp;L25&amp;"*",'V9'!B$300:B$400,0)),"  ")</f>
        <v xml:space="preserve">  </v>
      </c>
      <c r="AI25" s="686" t="str">
        <f>IFERROR(INDEX('V10'!C$300:C$400,MATCH("*"&amp;L25&amp;"*",'V10'!B$300:B$400,0)),"  ")</f>
        <v xml:space="preserve">  </v>
      </c>
      <c r="AJ25" s="687">
        <f t="shared" si="18"/>
        <v>3</v>
      </c>
      <c r="AK25" s="688">
        <f t="shared" si="19"/>
        <v>1</v>
      </c>
      <c r="AL25" s="688">
        <f t="shared" si="20"/>
        <v>1</v>
      </c>
      <c r="AM25" s="783"/>
      <c r="AN25" s="689"/>
      <c r="AO25" s="690"/>
      <c r="AP25" s="690"/>
      <c r="AQ25" s="690"/>
      <c r="AR25" s="690"/>
      <c r="AS25" s="689">
        <f t="shared" si="21"/>
        <v>1E-4</v>
      </c>
      <c r="AT25" s="690">
        <f t="shared" si="22"/>
        <v>1E-4</v>
      </c>
      <c r="AU25" s="690">
        <f t="shared" si="23"/>
        <v>2.0000000000000001E-4</v>
      </c>
      <c r="AV25" s="690">
        <f t="shared" si="24"/>
        <v>2.9999999999999997E-4</v>
      </c>
      <c r="AW25" s="690">
        <f t="shared" si="25"/>
        <v>4.0000000000000002E-4</v>
      </c>
      <c r="AX25" s="690">
        <f t="shared" si="26"/>
        <v>10.000500000000001</v>
      </c>
      <c r="AY25" s="690">
        <f t="shared" si="27"/>
        <v>5.9999999999999995E-4</v>
      </c>
      <c r="AZ25" s="690">
        <f t="shared" si="28"/>
        <v>20.000699999999998</v>
      </c>
      <c r="BA25" s="690">
        <f t="shared" si="29"/>
        <v>22.000800000000002</v>
      </c>
      <c r="BB25" s="690">
        <f t="shared" si="30"/>
        <v>8.9999999999999998E-4</v>
      </c>
      <c r="BC25" s="690">
        <f t="shared" si="31"/>
        <v>1E-3</v>
      </c>
      <c r="BI25" s="581" t="e">
        <f t="shared" si="32"/>
        <v>#VALUE!</v>
      </c>
      <c r="BJ25" s="581" t="e">
        <f t="shared" si="33"/>
        <v>#VALUE!</v>
      </c>
      <c r="BK25" s="581" t="e">
        <f t="shared" si="34"/>
        <v>#VALUE!</v>
      </c>
      <c r="BL25" s="581" t="e">
        <f t="shared" si="35"/>
        <v>#VALUE!</v>
      </c>
      <c r="BM25" s="581">
        <f t="shared" si="36"/>
        <v>6</v>
      </c>
      <c r="BN25" s="581" t="e">
        <f t="shared" si="37"/>
        <v>#VALUE!</v>
      </c>
      <c r="BO25" s="581">
        <f t="shared" si="38"/>
        <v>4</v>
      </c>
      <c r="BP25" s="581">
        <f t="shared" si="39"/>
        <v>1</v>
      </c>
      <c r="BQ25" s="581" t="e">
        <f t="shared" si="40"/>
        <v>#VALUE!</v>
      </c>
      <c r="BR25" s="581" t="e">
        <f t="shared" si="41"/>
        <v>#VALUE!</v>
      </c>
    </row>
    <row r="26" spans="1:70" x14ac:dyDescent="0.2">
      <c r="A26" s="768">
        <f t="shared" si="1"/>
        <v>16</v>
      </c>
      <c r="B26" s="769">
        <f t="shared" si="2"/>
        <v>20</v>
      </c>
      <c r="C26" s="770">
        <f t="shared" si="3"/>
        <v>7</v>
      </c>
      <c r="D26" s="769">
        <f t="shared" si="4"/>
        <v>20</v>
      </c>
      <c r="E26" s="771">
        <f t="shared" si="5"/>
        <v>15</v>
      </c>
      <c r="F26" s="769">
        <f t="shared" si="6"/>
        <v>20</v>
      </c>
      <c r="G26" s="772" t="str">
        <f t="shared" si="7"/>
        <v/>
      </c>
      <c r="H26" s="769">
        <f t="shared" si="8"/>
        <v>-980</v>
      </c>
      <c r="I26" s="773" t="str">
        <f t="shared" si="9"/>
        <v/>
      </c>
      <c r="J26" s="774">
        <f t="shared" si="10"/>
        <v>-980</v>
      </c>
      <c r="K26" s="680">
        <f t="shared" si="11"/>
        <v>20</v>
      </c>
      <c r="L26" s="784" t="s">
        <v>125</v>
      </c>
      <c r="M26" s="682"/>
      <c r="N26" s="775" t="str">
        <f t="shared" si="42"/>
        <v>m</v>
      </c>
      <c r="O26" s="683"/>
      <c r="P26" s="776" t="s">
        <v>190</v>
      </c>
      <c r="Q26" s="777" t="s">
        <v>189</v>
      </c>
      <c r="R26" s="673">
        <f>(IF(COUNT(Z26,AA26,AB26,AC26,AD26,AE26,AF26,AG26,AH26,AI26)&lt;9,SUM(Z26,AA26,AB26,AC26,AD26,AE26,AF26,AG26,AH26,AI26),SUM(LARGE((Z26,AA26,AB26,AC26,AD26,AE26,AF26,AG26,AH26,AI26),{1;2;3;4;5;6;7;8;9}))))</f>
        <v>50</v>
      </c>
      <c r="S26" s="684" t="str">
        <f>INDEX(ETAPP!B$1:B$32,MATCH(COUNTIF(BI26:BR26,1),ETAPP!A$1:A$32,0))&amp;INDEX(ETAPP!B$1:B$32,MATCH(COUNTIF(BI26:BR26,2),ETAPP!A$1:A$32,0))&amp;INDEX(ETAPP!B$1:B$32,MATCH(COUNTIF(BI26:BR26,3),ETAPP!A$1:A$32,0))&amp;INDEX(ETAPP!B$1:B$32,MATCH(COUNTIF(BI26:BR26,4),ETAPP!A$1:A$32,0))&amp;INDEX(ETAPP!B$1:B$32,MATCH(COUNTIF(BI26:BR26,5),ETAPP!A$1:A$32,0))&amp;INDEX(ETAPP!B$1:B$32,MATCH(COUNTIF(BI26:BR26,6),ETAPP!A$1:A$32,0))&amp;INDEX(ETAPP!B$1:B$32,MATCH(COUNTIF(BI26:BR26,7),ETAPP!A$1:A$32,0))&amp;INDEX(ETAPP!B$1:B$32,MATCH(COUNTIF(BI26:BR26,8),ETAPP!A$1:A$32,0))&amp;INDEX(ETAPP!B$1:B$32,MATCH(COUNTIF(BI26:BR26,9),ETAPP!A$1:A$32,0))&amp;INDEX(ETAPP!B$1:B$32,MATCH(COUNTIF(BI26:BR26,10),ETAPP!A$1:A$32,0))&amp;INDEX(ETAPP!B$1:B$32,MATCH(COUNTIF(BI26:BR26,11),ETAPP!A$1:A$32,0))&amp;INDEX(ETAPP!B$1:B$32,MATCH(COUNTIF(BI26:BR26,12),ETAPP!A$1:A$32,0))&amp;INDEX(ETAPP!B$1:B$32,MATCH(COUNTIF(BI26:BR26,13),ETAPP!A$1:A$32,0))&amp;INDEX(ETAPP!B$1:B$32,MATCH(COUNTIF(BI26:BR26,14),ETAPP!A$1:A$32,0))&amp;INDEX(ETAPP!B$1:B$32,MATCH(COUNTIF(BI26:BR26,15),ETAPP!A$1:A$32,0))&amp;INDEX(ETAPP!B$1:B$32,MATCH(COUNTIF(BI26:BR26,16),ETAPP!A$1:A$32,0))&amp;INDEX(ETAPP!B$1:B$32,MATCH(COUNTIF(BI26:BR26,17),ETAPP!A$1:A$32,0))&amp;INDEX(ETAPP!B$1:B$32,MATCH(COUNTIF(BI26:BR26,18),ETAPP!A$1:A$32,0))&amp;INDEX(ETAPP!B$1:B$32,MATCH(COUNTIF(BI26:BR26,19),ETAPP!A$1:A$32,0))&amp;INDEX(ETAPP!B$1:B$32,MATCH(COUNTIF(BI26:BR26,20),ETAPP!A$1:A$32,0))&amp;INDEX(ETAPP!B$1:B$32,MATCH(COUNTIF(BI26:BR26,21),ETAPP!A$1:A$32,0))</f>
        <v>0A00B000AA00000000000</v>
      </c>
      <c r="T26" s="684" t="str">
        <f t="shared" si="12"/>
        <v>050,0-0A00B000AA00000000000</v>
      </c>
      <c r="U26" s="684">
        <f t="shared" si="13"/>
        <v>20</v>
      </c>
      <c r="V26" s="684">
        <f t="shared" si="14"/>
        <v>6</v>
      </c>
      <c r="W26" s="684" t="str">
        <f t="shared" si="15"/>
        <v>050,0-0A00B000AA00000000000-006</v>
      </c>
      <c r="X26" s="684">
        <f t="shared" si="16"/>
        <v>20</v>
      </c>
      <c r="Y26" s="685">
        <f t="shared" si="17"/>
        <v>31</v>
      </c>
      <c r="Z26" s="686" t="str">
        <f>IFERROR(INDEX('V1'!C$300:C$400,MATCH("*"&amp;L26&amp;"*",'V1'!B$300:B$400,0)),"  ")</f>
        <v xml:space="preserve">  </v>
      </c>
      <c r="AA26" s="686">
        <f>IFERROR(INDEX('V2'!C$300:C$400,MATCH("*"&amp;L26&amp;"*",'V2'!B$300:B$400,0)),"  ")</f>
        <v>2</v>
      </c>
      <c r="AB26" s="686">
        <f>IFERROR(INDEX('V3'!C$300:C$400,MATCH("*"&amp;L26&amp;"*",'V3'!B$300:B$400,0)),"  ")</f>
        <v>12</v>
      </c>
      <c r="AC26" s="686" t="str">
        <f>IFERROR(INDEX('V4'!C$300:C$400,MATCH("*"&amp;L26&amp;"*",'V4'!B$300:B$400,0)),"  ")</f>
        <v xml:space="preserve">  </v>
      </c>
      <c r="AD26" s="686">
        <f>IFERROR(INDEX('V5'!C$300:C$400,MATCH("*"&amp;L26&amp;"*",'V5'!B$300:B$400,0)),"  ")</f>
        <v>12</v>
      </c>
      <c r="AE26" s="686">
        <f>IFERROR(INDEX('V6'!C$300:C$400,MATCH("*"&amp;L26&amp;"*",'V6'!B$300:B$400,0)),"  ")</f>
        <v>18</v>
      </c>
      <c r="AF26" s="686" t="str">
        <f>IFERROR(INDEX('V7'!C$300:C$400,MATCH("*"&amp;L26&amp;"*",'V7'!B$300:B$400,0)),"  ")</f>
        <v xml:space="preserve">  </v>
      </c>
      <c r="AG26" s="686">
        <f>IFERROR(INDEX('V8'!C$300:C$400,MATCH("*"&amp;L26&amp;"*",'V8'!B$300:B$400,0)),"  ")</f>
        <v>6</v>
      </c>
      <c r="AH26" s="686" t="str">
        <f>IFERROR(INDEX('V9'!C$300:C$400,MATCH("*"&amp;L26&amp;"*",'V9'!B$300:B$400,0)),"  ")</f>
        <v xml:space="preserve">  </v>
      </c>
      <c r="AI26" s="686" t="str">
        <f>IFERROR(INDEX('V10'!C$300:C$400,MATCH("*"&amp;L26&amp;"*",'V10'!B$300:B$400,0)),"  ")</f>
        <v xml:space="preserve">  </v>
      </c>
      <c r="AJ26" s="687">
        <f t="shared" si="18"/>
        <v>5</v>
      </c>
      <c r="AK26" s="688">
        <f t="shared" si="19"/>
        <v>1</v>
      </c>
      <c r="AL26" s="688">
        <f t="shared" si="20"/>
        <v>0</v>
      </c>
      <c r="AM26" s="783"/>
      <c r="AN26" s="689"/>
      <c r="AO26" s="690"/>
      <c r="AP26" s="690"/>
      <c r="AQ26" s="690"/>
      <c r="AR26" s="690"/>
      <c r="AS26" s="689">
        <f t="shared" si="21"/>
        <v>1E-4</v>
      </c>
      <c r="AT26" s="690">
        <f t="shared" si="22"/>
        <v>1E-4</v>
      </c>
      <c r="AU26" s="690">
        <f t="shared" si="23"/>
        <v>2.0002</v>
      </c>
      <c r="AV26" s="690">
        <f t="shared" si="24"/>
        <v>12.000299999999999</v>
      </c>
      <c r="AW26" s="690">
        <f t="shared" si="25"/>
        <v>4.0000000000000002E-4</v>
      </c>
      <c r="AX26" s="690">
        <f t="shared" si="26"/>
        <v>12.000500000000001</v>
      </c>
      <c r="AY26" s="690">
        <f t="shared" si="27"/>
        <v>18.000599999999999</v>
      </c>
      <c r="AZ26" s="690">
        <f t="shared" si="28"/>
        <v>6.9999999999999999E-4</v>
      </c>
      <c r="BA26" s="690">
        <f t="shared" si="29"/>
        <v>6.0007999999999999</v>
      </c>
      <c r="BB26" s="690">
        <f t="shared" si="30"/>
        <v>8.9999999999999998E-4</v>
      </c>
      <c r="BC26" s="690">
        <f t="shared" si="31"/>
        <v>1E-3</v>
      </c>
      <c r="BH26" s="783"/>
      <c r="BI26" s="581" t="e">
        <f t="shared" si="32"/>
        <v>#VALUE!</v>
      </c>
      <c r="BJ26" s="581">
        <f t="shared" si="33"/>
        <v>10</v>
      </c>
      <c r="BK26" s="581">
        <f t="shared" si="34"/>
        <v>5</v>
      </c>
      <c r="BL26" s="581" t="e">
        <f t="shared" si="35"/>
        <v>#VALUE!</v>
      </c>
      <c r="BM26" s="581">
        <f t="shared" si="36"/>
        <v>5</v>
      </c>
      <c r="BN26" s="581">
        <f t="shared" si="37"/>
        <v>2</v>
      </c>
      <c r="BO26" s="581" t="e">
        <f t="shared" si="38"/>
        <v>#VALUE!</v>
      </c>
      <c r="BP26" s="581">
        <f t="shared" si="39"/>
        <v>9</v>
      </c>
      <c r="BQ26" s="581" t="e">
        <f t="shared" si="40"/>
        <v>#VALUE!</v>
      </c>
      <c r="BR26" s="581" t="e">
        <f t="shared" si="41"/>
        <v>#VALUE!</v>
      </c>
    </row>
    <row r="27" spans="1:70" x14ac:dyDescent="0.2">
      <c r="A27" s="768">
        <f t="shared" si="1"/>
        <v>17</v>
      </c>
      <c r="B27" s="769">
        <f t="shared" si="2"/>
        <v>21</v>
      </c>
      <c r="C27" s="770" t="str">
        <f t="shared" si="3"/>
        <v/>
      </c>
      <c r="D27" s="769">
        <f t="shared" si="4"/>
        <v>-979</v>
      </c>
      <c r="E27" s="771">
        <f t="shared" si="5"/>
        <v>16</v>
      </c>
      <c r="F27" s="769">
        <f t="shared" si="6"/>
        <v>21</v>
      </c>
      <c r="G27" s="772" t="str">
        <f t="shared" si="7"/>
        <v/>
      </c>
      <c r="H27" s="769">
        <f t="shared" si="8"/>
        <v>-979</v>
      </c>
      <c r="I27" s="773" t="str">
        <f t="shared" si="9"/>
        <v/>
      </c>
      <c r="J27" s="774">
        <f t="shared" si="10"/>
        <v>-979</v>
      </c>
      <c r="K27" s="680">
        <f t="shared" si="11"/>
        <v>21</v>
      </c>
      <c r="L27" s="785" t="s">
        <v>97</v>
      </c>
      <c r="M27" s="682"/>
      <c r="N27" s="775" t="s">
        <v>191</v>
      </c>
      <c r="O27" s="683"/>
      <c r="P27" s="776"/>
      <c r="Q27" s="777" t="s">
        <v>189</v>
      </c>
      <c r="R27" s="673">
        <f>(IF(COUNT(Z27,AA27,AB27,AC27,AD27,AE27,AF27,AG27,AH27,AI27)&lt;9,SUM(Z27,AA27,AB27,AC27,AD27,AE27,AF27,AG27,AH27,AI27),SUM(LARGE((Z27,AA27,AB27,AC27,AD27,AE27,AF27,AG27,AH27,AI27),{1;2;3;4;5;6;7;8;9}))))</f>
        <v>50</v>
      </c>
      <c r="S27" s="684" t="str">
        <f>INDEX(ETAPP!B$1:B$32,MATCH(COUNTIF(BI27:BR27,1),ETAPP!A$1:A$32,0))&amp;INDEX(ETAPP!B$1:B$32,MATCH(COUNTIF(BI27:BR27,2),ETAPP!A$1:A$32,0))&amp;INDEX(ETAPP!B$1:B$32,MATCH(COUNTIF(BI27:BR27,3),ETAPP!A$1:A$32,0))&amp;INDEX(ETAPP!B$1:B$32,MATCH(COUNTIF(BI27:BR27,4),ETAPP!A$1:A$32,0))&amp;INDEX(ETAPP!B$1:B$32,MATCH(COUNTIF(BI27:BR27,5),ETAPP!A$1:A$32,0))&amp;INDEX(ETAPP!B$1:B$32,MATCH(COUNTIF(BI27:BR27,6),ETAPP!A$1:A$32,0))&amp;INDEX(ETAPP!B$1:B$32,MATCH(COUNTIF(BI27:BR27,7),ETAPP!A$1:A$32,0))&amp;INDEX(ETAPP!B$1:B$32,MATCH(COUNTIF(BI27:BR27,8),ETAPP!A$1:A$32,0))&amp;INDEX(ETAPP!B$1:B$32,MATCH(COUNTIF(BI27:BR27,9),ETAPP!A$1:A$32,0))&amp;INDEX(ETAPP!B$1:B$32,MATCH(COUNTIF(BI27:BR27,10),ETAPP!A$1:A$32,0))&amp;INDEX(ETAPP!B$1:B$32,MATCH(COUNTIF(BI27:BR27,11),ETAPP!A$1:A$32,0))&amp;INDEX(ETAPP!B$1:B$32,MATCH(COUNTIF(BI27:BR27,12),ETAPP!A$1:A$32,0))&amp;INDEX(ETAPP!B$1:B$32,MATCH(COUNTIF(BI27:BR27,13),ETAPP!A$1:A$32,0))&amp;INDEX(ETAPP!B$1:B$32,MATCH(COUNTIF(BI27:BR27,14),ETAPP!A$1:A$32,0))&amp;INDEX(ETAPP!B$1:B$32,MATCH(COUNTIF(BI27:BR27,15),ETAPP!A$1:A$32,0))&amp;INDEX(ETAPP!B$1:B$32,MATCH(COUNTIF(BI27:BR27,16),ETAPP!A$1:A$32,0))&amp;INDEX(ETAPP!B$1:B$32,MATCH(COUNTIF(BI27:BR27,17),ETAPP!A$1:A$32,0))&amp;INDEX(ETAPP!B$1:B$32,MATCH(COUNTIF(BI27:BR27,18),ETAPP!A$1:A$32,0))&amp;INDEX(ETAPP!B$1:B$32,MATCH(COUNTIF(BI27:BR27,19),ETAPP!A$1:A$32,0))&amp;INDEX(ETAPP!B$1:B$32,MATCH(COUNTIF(BI27:BR27,20),ETAPP!A$1:A$32,0))&amp;INDEX(ETAPP!B$1:B$32,MATCH(COUNTIF(BI27:BR27,21),ETAPP!A$1:A$32,0))</f>
        <v>0A00AA000A00000000000</v>
      </c>
      <c r="T27" s="684" t="str">
        <f t="shared" si="12"/>
        <v>050,0-0A00AA000A00000000000</v>
      </c>
      <c r="U27" s="684">
        <f t="shared" si="13"/>
        <v>21</v>
      </c>
      <c r="V27" s="684">
        <f t="shared" si="14"/>
        <v>48</v>
      </c>
      <c r="W27" s="684" t="str">
        <f t="shared" si="15"/>
        <v>050,0-0A00AA000A00000000000-048</v>
      </c>
      <c r="X27" s="684">
        <f t="shared" si="16"/>
        <v>21</v>
      </c>
      <c r="Y27" s="685">
        <f t="shared" si="17"/>
        <v>30</v>
      </c>
      <c r="Z27" s="686" t="str">
        <f>IFERROR(INDEX('V1'!C$300:C$400,MATCH("*"&amp;L27&amp;"*",'V1'!B$300:B$400,0)),"  ")</f>
        <v xml:space="preserve">  </v>
      </c>
      <c r="AA27" s="686">
        <f>IFERROR(INDEX('V2'!C$300:C$400,MATCH("*"&amp;L27&amp;"*",'V2'!B$300:B$400,0)),"  ")</f>
        <v>18</v>
      </c>
      <c r="AB27" s="686">
        <f>IFERROR(INDEX('V3'!C$300:C$400,MATCH("*"&amp;L27&amp;"*",'V3'!B$300:B$400,0)),"  ")</f>
        <v>10</v>
      </c>
      <c r="AC27" s="686" t="str">
        <f>IFERROR(INDEX('V4'!C$300:C$400,MATCH("*"&amp;L27&amp;"*",'V4'!B$300:B$400,0)),"  ")</f>
        <v xml:space="preserve">  </v>
      </c>
      <c r="AD27" s="686" t="str">
        <f>IFERROR(INDEX('V5'!C$300:C$400,MATCH("*"&amp;L27&amp;"*",'V5'!B$300:B$400,0)),"  ")</f>
        <v xml:space="preserve">  </v>
      </c>
      <c r="AE27" s="686" t="str">
        <f>IFERROR(INDEX('V6'!C$300:C$400,MATCH("*"&amp;L27&amp;"*",'V6'!B$300:B$400,0)),"  ")</f>
        <v xml:space="preserve">  </v>
      </c>
      <c r="AF27" s="686">
        <f>IFERROR(INDEX('V7'!C$300:C$400,MATCH("*"&amp;L27&amp;"*",'V7'!B$300:B$400,0)),"  ")</f>
        <v>8</v>
      </c>
      <c r="AG27" s="686">
        <f>IFERROR(INDEX('V8'!C$300:C$400,MATCH("*"&amp;L27&amp;"*",'V8'!B$300:B$400,0)),"  ")</f>
        <v>14</v>
      </c>
      <c r="AH27" s="686" t="str">
        <f>IFERROR(INDEX('V9'!C$300:C$400,MATCH("*"&amp;L27&amp;"*",'V9'!B$300:B$400,0)),"  ")</f>
        <v xml:space="preserve">  </v>
      </c>
      <c r="AI27" s="686" t="str">
        <f>IFERROR(INDEX('V10'!C$300:C$400,MATCH("*"&amp;L27&amp;"*",'V10'!B$300:B$400,0)),"  ")</f>
        <v xml:space="preserve">  </v>
      </c>
      <c r="AJ27" s="687">
        <f t="shared" si="18"/>
        <v>4</v>
      </c>
      <c r="AK27" s="688">
        <f t="shared" si="19"/>
        <v>1</v>
      </c>
      <c r="AL27" s="688">
        <f t="shared" si="20"/>
        <v>0</v>
      </c>
      <c r="AM27" s="642"/>
      <c r="AN27" s="689"/>
      <c r="AO27" s="690"/>
      <c r="AP27" s="690"/>
      <c r="AQ27" s="690"/>
      <c r="AR27" s="690"/>
      <c r="AS27" s="689">
        <f t="shared" si="21"/>
        <v>1E-4</v>
      </c>
      <c r="AT27" s="690">
        <f t="shared" si="22"/>
        <v>1E-4</v>
      </c>
      <c r="AU27" s="690">
        <f t="shared" si="23"/>
        <v>18.0002</v>
      </c>
      <c r="AV27" s="690">
        <f t="shared" si="24"/>
        <v>10.000299999999999</v>
      </c>
      <c r="AW27" s="690">
        <f t="shared" si="25"/>
        <v>4.0000000000000002E-4</v>
      </c>
      <c r="AX27" s="690">
        <f t="shared" si="26"/>
        <v>5.0000000000000001E-4</v>
      </c>
      <c r="AY27" s="690">
        <f t="shared" si="27"/>
        <v>5.9999999999999995E-4</v>
      </c>
      <c r="AZ27" s="690">
        <f t="shared" si="28"/>
        <v>8.0007000000000001</v>
      </c>
      <c r="BA27" s="690">
        <f t="shared" si="29"/>
        <v>14.0008</v>
      </c>
      <c r="BB27" s="690">
        <f t="shared" si="30"/>
        <v>8.9999999999999998E-4</v>
      </c>
      <c r="BC27" s="690">
        <f t="shared" si="31"/>
        <v>1E-3</v>
      </c>
      <c r="BI27" s="581" t="e">
        <f t="shared" si="32"/>
        <v>#VALUE!</v>
      </c>
      <c r="BJ27" s="581">
        <f t="shared" si="33"/>
        <v>2</v>
      </c>
      <c r="BK27" s="581">
        <f t="shared" si="34"/>
        <v>6</v>
      </c>
      <c r="BL27" s="581" t="e">
        <f t="shared" si="35"/>
        <v>#VALUE!</v>
      </c>
      <c r="BM27" s="581" t="e">
        <f t="shared" si="36"/>
        <v>#VALUE!</v>
      </c>
      <c r="BN27" s="581" t="e">
        <f t="shared" si="37"/>
        <v>#VALUE!</v>
      </c>
      <c r="BO27" s="581">
        <f t="shared" si="38"/>
        <v>10</v>
      </c>
      <c r="BP27" s="581">
        <f t="shared" si="39"/>
        <v>5</v>
      </c>
      <c r="BQ27" s="581" t="e">
        <f t="shared" si="40"/>
        <v>#VALUE!</v>
      </c>
      <c r="BR27" s="581" t="e">
        <f t="shared" si="41"/>
        <v>#VALUE!</v>
      </c>
    </row>
    <row r="28" spans="1:70" x14ac:dyDescent="0.2">
      <c r="A28" s="768">
        <f t="shared" si="1"/>
        <v>18</v>
      </c>
      <c r="B28" s="769">
        <f t="shared" si="2"/>
        <v>22</v>
      </c>
      <c r="C28" s="770">
        <f t="shared" si="3"/>
        <v>8</v>
      </c>
      <c r="D28" s="769">
        <f t="shared" si="4"/>
        <v>22</v>
      </c>
      <c r="E28" s="771" t="str">
        <f t="shared" si="5"/>
        <v/>
      </c>
      <c r="F28" s="769">
        <f t="shared" si="6"/>
        <v>-978</v>
      </c>
      <c r="G28" s="772" t="str">
        <f t="shared" si="7"/>
        <v/>
      </c>
      <c r="H28" s="769">
        <f t="shared" si="8"/>
        <v>-978</v>
      </c>
      <c r="I28" s="773">
        <f t="shared" si="9"/>
        <v>1</v>
      </c>
      <c r="J28" s="774">
        <f t="shared" si="10"/>
        <v>22</v>
      </c>
      <c r="K28" s="680">
        <f t="shared" si="11"/>
        <v>22</v>
      </c>
      <c r="L28" s="681" t="s">
        <v>472</v>
      </c>
      <c r="M28" s="682"/>
      <c r="N28" s="775"/>
      <c r="O28" s="693" t="s">
        <v>105</v>
      </c>
      <c r="P28" s="776" t="s">
        <v>190</v>
      </c>
      <c r="Q28" s="777" t="s">
        <v>189</v>
      </c>
      <c r="R28" s="673">
        <f>(IF(COUNT(Z28,AA28,AB28,AC28,AD28,AE28,AF28,AG28,AH28,AI28)&lt;9,SUM(Z28,AA28,AB28,AC28,AD28,AE28,AF28,AG28,AH28,AI28),SUM(LARGE((Z28,AA28,AB28,AC28,AD28,AE28,AF28,AG28,AH28,AI28),{1;2;3;4;5;6;7;8;9}))))</f>
        <v>48</v>
      </c>
      <c r="S28" s="684" t="str">
        <f>INDEX(ETAPP!B$1:B$32,MATCH(COUNTIF(BI28:BR28,1),ETAPP!A$1:A$32,0))&amp;INDEX(ETAPP!B$1:B$32,MATCH(COUNTIF(BI28:BR28,2),ETAPP!A$1:A$32,0))&amp;INDEX(ETAPP!B$1:B$32,MATCH(COUNTIF(BI28:BR28,3),ETAPP!A$1:A$32,0))&amp;INDEX(ETAPP!B$1:B$32,MATCH(COUNTIF(BI28:BR28,4),ETAPP!A$1:A$32,0))&amp;INDEX(ETAPP!B$1:B$32,MATCH(COUNTIF(BI28:BR28,5),ETAPP!A$1:A$32,0))&amp;INDEX(ETAPP!B$1:B$32,MATCH(COUNTIF(BI28:BR28,6),ETAPP!A$1:A$32,0))&amp;INDEX(ETAPP!B$1:B$32,MATCH(COUNTIF(BI28:BR28,7),ETAPP!A$1:A$32,0))&amp;INDEX(ETAPP!B$1:B$32,MATCH(COUNTIF(BI28:BR28,8),ETAPP!A$1:A$32,0))&amp;INDEX(ETAPP!B$1:B$32,MATCH(COUNTIF(BI28:BR28,9),ETAPP!A$1:A$32,0))&amp;INDEX(ETAPP!B$1:B$32,MATCH(COUNTIF(BI28:BR28,10),ETAPP!A$1:A$32,0))&amp;INDEX(ETAPP!B$1:B$32,MATCH(COUNTIF(BI28:BR28,11),ETAPP!A$1:A$32,0))&amp;INDEX(ETAPP!B$1:B$32,MATCH(COUNTIF(BI28:BR28,12),ETAPP!A$1:A$32,0))&amp;INDEX(ETAPP!B$1:B$32,MATCH(COUNTIF(BI28:BR28,13),ETAPP!A$1:A$32,0))&amp;INDEX(ETAPP!B$1:B$32,MATCH(COUNTIF(BI28:BR28,14),ETAPP!A$1:A$32,0))&amp;INDEX(ETAPP!B$1:B$32,MATCH(COUNTIF(BI28:BR28,15),ETAPP!A$1:A$32,0))&amp;INDEX(ETAPP!B$1:B$32,MATCH(COUNTIF(BI28:BR28,16),ETAPP!A$1:A$32,0))&amp;INDEX(ETAPP!B$1:B$32,MATCH(COUNTIF(BI28:BR28,17),ETAPP!A$1:A$32,0))&amp;INDEX(ETAPP!B$1:B$32,MATCH(COUNTIF(BI28:BR28,18),ETAPP!A$1:A$32,0))&amp;INDEX(ETAPP!B$1:B$32,MATCH(COUNTIF(BI28:BR28,19),ETAPP!A$1:A$32,0))&amp;INDEX(ETAPP!B$1:B$32,MATCH(COUNTIF(BI28:BR28,20),ETAPP!A$1:A$32,0))&amp;INDEX(ETAPP!B$1:B$32,MATCH(COUNTIF(BI28:BR28,21),ETAPP!A$1:A$32,0))</f>
        <v>AA0000A00B00000000000</v>
      </c>
      <c r="T28" s="684" t="str">
        <f t="shared" si="12"/>
        <v>048,0-AA0000A00B00000000000</v>
      </c>
      <c r="U28" s="684">
        <f t="shared" si="13"/>
        <v>22</v>
      </c>
      <c r="V28" s="684">
        <f t="shared" si="14"/>
        <v>15</v>
      </c>
      <c r="W28" s="684" t="str">
        <f t="shared" si="15"/>
        <v>048,0-AA0000A00B00000000000-015</v>
      </c>
      <c r="X28" s="684">
        <f t="shared" si="16"/>
        <v>22</v>
      </c>
      <c r="Y28" s="685">
        <f t="shared" si="17"/>
        <v>29</v>
      </c>
      <c r="Z28" s="686">
        <f>IFERROR(INDEX('V1'!C$300:C$400,MATCH("*"&amp;L28&amp;"*",'V1'!B$300:B$400,0)),"  ")</f>
        <v>4</v>
      </c>
      <c r="AA28" s="686" t="str">
        <f>IFERROR(INDEX('V2'!C$300:C$400,MATCH("*"&amp;L28&amp;"*",'V2'!B$300:B$400,0)),"  ")</f>
        <v xml:space="preserve">  </v>
      </c>
      <c r="AB28" s="686" t="str">
        <f>IFERROR(INDEX('V3'!C$300:C$400,MATCH("*"&amp;L28&amp;"*",'V3'!B$300:B$400,0)),"  ")</f>
        <v xml:space="preserve">  </v>
      </c>
      <c r="AC28" s="686">
        <f>IFERROR(INDEX('V4'!C$300:C$400,MATCH("*"&amp;L28&amp;"*",'V4'!B$300:B$400,0)),"  ")</f>
        <v>4</v>
      </c>
      <c r="AD28" s="686" t="str">
        <f>IFERROR(INDEX('V5'!C$300:C$400,MATCH("*"&amp;L28&amp;"*",'V5'!B$300:B$400,0)),"  ")</f>
        <v xml:space="preserve">  </v>
      </c>
      <c r="AE28" s="686" t="str">
        <f>IFERROR(INDEX('V6'!C$300:C$400,MATCH("*"&amp;L28&amp;"*",'V6'!B$300:B$400,0)),"  ")</f>
        <v xml:space="preserve">  </v>
      </c>
      <c r="AF28" s="686" t="str">
        <f>IFERROR(INDEX('V7'!C$300:C$400,MATCH("*"&amp;L28&amp;"*",'V7'!B$300:B$400,0)),"  ")</f>
        <v xml:space="preserve">  </v>
      </c>
      <c r="AG28" s="686">
        <f>IFERROR(INDEX('V8'!C$300:C$400,MATCH("*"&amp;L28&amp;"*",'V8'!B$300:B$400,0)),"  ")</f>
        <v>20</v>
      </c>
      <c r="AH28" s="686">
        <f>IFERROR(INDEX('V9'!C$300:C$400,MATCH("*"&amp;L28&amp;"*",'V9'!B$300:B$400,0)),"  ")</f>
        <v>4</v>
      </c>
      <c r="AI28" s="686">
        <f>IFERROR(INDEX('V10'!C$300:C$400,MATCH("*"&amp;L28&amp;"*",'V10'!B$300:B$400,0)),"  ")</f>
        <v>16</v>
      </c>
      <c r="AJ28" s="687">
        <f t="shared" si="18"/>
        <v>5</v>
      </c>
      <c r="AK28" s="688">
        <f t="shared" si="19"/>
        <v>2</v>
      </c>
      <c r="AL28" s="688">
        <f t="shared" si="20"/>
        <v>1</v>
      </c>
      <c r="AM28" s="642"/>
      <c r="AN28" s="689"/>
      <c r="AO28" s="690"/>
      <c r="AP28" s="690"/>
      <c r="AQ28" s="690"/>
      <c r="AR28" s="690"/>
      <c r="AS28" s="689">
        <f t="shared" si="21"/>
        <v>2.0000000000000001E-4</v>
      </c>
      <c r="AT28" s="690">
        <f t="shared" si="22"/>
        <v>4.0000999999999998</v>
      </c>
      <c r="AU28" s="690">
        <f t="shared" si="23"/>
        <v>2.0000000000000001E-4</v>
      </c>
      <c r="AV28" s="690">
        <f t="shared" si="24"/>
        <v>2.9999999999999997E-4</v>
      </c>
      <c r="AW28" s="690">
        <f t="shared" si="25"/>
        <v>4.0004</v>
      </c>
      <c r="AX28" s="690">
        <f t="shared" si="26"/>
        <v>5.0000000000000001E-4</v>
      </c>
      <c r="AY28" s="690">
        <f t="shared" si="27"/>
        <v>5.9999999999999995E-4</v>
      </c>
      <c r="AZ28" s="690">
        <f t="shared" si="28"/>
        <v>6.9999999999999999E-4</v>
      </c>
      <c r="BA28" s="690">
        <f t="shared" si="29"/>
        <v>20.000800000000002</v>
      </c>
      <c r="BB28" s="690">
        <f t="shared" si="30"/>
        <v>4.0008999999999997</v>
      </c>
      <c r="BC28" s="690">
        <f t="shared" si="31"/>
        <v>16.001000000000001</v>
      </c>
      <c r="BI28" s="581">
        <f t="shared" si="32"/>
        <v>10</v>
      </c>
      <c r="BJ28" s="581" t="e">
        <f t="shared" si="33"/>
        <v>#VALUE!</v>
      </c>
      <c r="BK28" s="581" t="e">
        <f t="shared" si="34"/>
        <v>#VALUE!</v>
      </c>
      <c r="BL28" s="581">
        <f t="shared" si="35"/>
        <v>10</v>
      </c>
      <c r="BM28" s="581" t="e">
        <f t="shared" si="36"/>
        <v>#VALUE!</v>
      </c>
      <c r="BN28" s="581" t="e">
        <f t="shared" si="37"/>
        <v>#VALUE!</v>
      </c>
      <c r="BO28" s="581" t="e">
        <f t="shared" si="38"/>
        <v>#VALUE!</v>
      </c>
      <c r="BP28" s="581">
        <f t="shared" si="39"/>
        <v>2</v>
      </c>
      <c r="BQ28" s="581">
        <f t="shared" si="40"/>
        <v>7</v>
      </c>
      <c r="BR28" s="581">
        <f t="shared" si="41"/>
        <v>1</v>
      </c>
    </row>
    <row r="29" spans="1:70" x14ac:dyDescent="0.2">
      <c r="A29" s="768" t="str">
        <f t="shared" si="1"/>
        <v/>
      </c>
      <c r="B29" s="769">
        <f t="shared" si="2"/>
        <v>-977</v>
      </c>
      <c r="C29" s="770" t="str">
        <f t="shared" si="3"/>
        <v/>
      </c>
      <c r="D29" s="769">
        <f t="shared" si="4"/>
        <v>-977</v>
      </c>
      <c r="E29" s="771" t="str">
        <f t="shared" si="5"/>
        <v/>
      </c>
      <c r="F29" s="769">
        <f t="shared" si="6"/>
        <v>-977</v>
      </c>
      <c r="G29" s="772" t="str">
        <f t="shared" si="7"/>
        <v/>
      </c>
      <c r="H29" s="769">
        <f t="shared" si="8"/>
        <v>-977</v>
      </c>
      <c r="I29" s="773" t="str">
        <f t="shared" si="9"/>
        <v/>
      </c>
      <c r="J29" s="774">
        <f t="shared" si="10"/>
        <v>-977</v>
      </c>
      <c r="K29" s="680">
        <f t="shared" si="11"/>
        <v>23</v>
      </c>
      <c r="L29" s="785" t="s">
        <v>129</v>
      </c>
      <c r="M29" s="682"/>
      <c r="N29" s="775"/>
      <c r="O29" s="683"/>
      <c r="P29" s="776"/>
      <c r="Q29" s="777"/>
      <c r="R29" s="673">
        <f>(IF(COUNT(Z29,AA29,AB29,AC29,AD29,AE29,AF29,AG29,AH29,AI29)&lt;9,SUM(Z29,AA29,AB29,AC29,AD29,AE29,AF29,AG29,AH29,AI29),SUM(LARGE((Z29,AA29,AB29,AC29,AD29,AE29,AF29,AG29,AH29,AI29),{1;2;3;4;5;6;7;8;9}))))</f>
        <v>48</v>
      </c>
      <c r="S29" s="684" t="str">
        <f>INDEX(ETAPP!B$1:B$32,MATCH(COUNTIF(BI29:BR29,1),ETAPP!A$1:A$32,0))&amp;INDEX(ETAPP!B$1:B$32,MATCH(COUNTIF(BI29:BR29,2),ETAPP!A$1:A$32,0))&amp;INDEX(ETAPP!B$1:B$32,MATCH(COUNTIF(BI29:BR29,3),ETAPP!A$1:A$32,0))&amp;INDEX(ETAPP!B$1:B$32,MATCH(COUNTIF(BI29:BR29,4),ETAPP!A$1:A$32,0))&amp;INDEX(ETAPP!B$1:B$32,MATCH(COUNTIF(BI29:BR29,5),ETAPP!A$1:A$32,0))&amp;INDEX(ETAPP!B$1:B$32,MATCH(COUNTIF(BI29:BR29,6),ETAPP!A$1:A$32,0))&amp;INDEX(ETAPP!B$1:B$32,MATCH(COUNTIF(BI29:BR29,7),ETAPP!A$1:A$32,0))&amp;INDEX(ETAPP!B$1:B$32,MATCH(COUNTIF(BI29:BR29,8),ETAPP!A$1:A$32,0))&amp;INDEX(ETAPP!B$1:B$32,MATCH(COUNTIF(BI29:BR29,9),ETAPP!A$1:A$32,0))&amp;INDEX(ETAPP!B$1:B$32,MATCH(COUNTIF(BI29:BR29,10),ETAPP!A$1:A$32,0))&amp;INDEX(ETAPP!B$1:B$32,MATCH(COUNTIF(BI29:BR29,11),ETAPP!A$1:A$32,0))&amp;INDEX(ETAPP!B$1:B$32,MATCH(COUNTIF(BI29:BR29,12),ETAPP!A$1:A$32,0))&amp;INDEX(ETAPP!B$1:B$32,MATCH(COUNTIF(BI29:BR29,13),ETAPP!A$1:A$32,0))&amp;INDEX(ETAPP!B$1:B$32,MATCH(COUNTIF(BI29:BR29,14),ETAPP!A$1:A$32,0))&amp;INDEX(ETAPP!B$1:B$32,MATCH(COUNTIF(BI29:BR29,15),ETAPP!A$1:A$32,0))&amp;INDEX(ETAPP!B$1:B$32,MATCH(COUNTIF(BI29:BR29,16),ETAPP!A$1:A$32,0))&amp;INDEX(ETAPP!B$1:B$32,MATCH(COUNTIF(BI29:BR29,17),ETAPP!A$1:A$32,0))&amp;INDEX(ETAPP!B$1:B$32,MATCH(COUNTIF(BI29:BR29,18),ETAPP!A$1:A$32,0))&amp;INDEX(ETAPP!B$1:B$32,MATCH(COUNTIF(BI29:BR29,19),ETAPP!A$1:A$32,0))&amp;INDEX(ETAPP!B$1:B$32,MATCH(COUNTIF(BI29:BR29,20),ETAPP!A$1:A$32,0))&amp;INDEX(ETAPP!B$1:B$32,MATCH(COUNTIF(BI29:BR29,21),ETAPP!A$1:A$32,0))</f>
        <v>0000BAA0A000A00000000</v>
      </c>
      <c r="T29" s="684" t="str">
        <f t="shared" si="12"/>
        <v>048,0-0000BAA0A000A00000000</v>
      </c>
      <c r="U29" s="684">
        <f t="shared" si="13"/>
        <v>23</v>
      </c>
      <c r="V29" s="684">
        <f t="shared" si="14"/>
        <v>4</v>
      </c>
      <c r="W29" s="684" t="str">
        <f t="shared" si="15"/>
        <v>048,0-0000BAA0A000A00000000-004</v>
      </c>
      <c r="X29" s="684">
        <f t="shared" si="16"/>
        <v>23</v>
      </c>
      <c r="Y29" s="685">
        <f t="shared" si="17"/>
        <v>28</v>
      </c>
      <c r="Z29" s="686" t="str">
        <f>IFERROR(INDEX('V1'!C$300:C$400,MATCH("*"&amp;L29&amp;"*",'V1'!B$300:B$400,0)),"  ")</f>
        <v xml:space="preserve">  </v>
      </c>
      <c r="AA29" s="686" t="str">
        <f>IFERROR(INDEX('V2'!C$300:C$400,MATCH("*"&amp;L29&amp;"*",'V2'!B$300:B$400,0)),"  ")</f>
        <v xml:space="preserve">  </v>
      </c>
      <c r="AB29" s="686" t="str">
        <f>IFERROR(INDEX('V3'!C$300:C$400,MATCH("*"&amp;L29&amp;"*",'V3'!B$300:B$400,0)),"  ")</f>
        <v xml:space="preserve">  </v>
      </c>
      <c r="AC29" s="686">
        <f>IFERROR(INDEX('V4'!C$300:C$400,MATCH("*"&amp;L29&amp;"*",'V4'!B$300:B$400,0)),"  ")</f>
        <v>6</v>
      </c>
      <c r="AD29" s="686">
        <f>IFERROR(INDEX('V5'!C$300:C$400,MATCH("*"&amp;L29&amp;"*",'V5'!B$300:B$400,0)),"  ")</f>
        <v>8</v>
      </c>
      <c r="AE29" s="686">
        <f>IFERROR(INDEX('V6'!C$300:C$400,MATCH("*"&amp;L29&amp;"*",'V6'!B$300:B$400,0)),"  ")</f>
        <v>12</v>
      </c>
      <c r="AF29" s="686">
        <f>IFERROR(INDEX('V7'!C$300:C$400,MATCH("*"&amp;L29&amp;"*",'V7'!B$300:B$400,0)),"  ")</f>
        <v>2</v>
      </c>
      <c r="AG29" s="686">
        <f>IFERROR(INDEX('V8'!C$300:C$400,MATCH("*"&amp;L29&amp;"*",'V8'!B$300:B$400,0)),"  ")</f>
        <v>14</v>
      </c>
      <c r="AH29" s="686">
        <f>IFERROR(INDEX('V9'!C$300:C$400,MATCH("*"&amp;L29&amp;"*",'V9'!B$300:B$400,0)),"  ")</f>
        <v>6</v>
      </c>
      <c r="AI29" s="686" t="str">
        <f>IFERROR(INDEX('V10'!C$300:C$400,MATCH("*"&amp;L29&amp;"*",'V10'!B$300:B$400,0)),"  ")</f>
        <v xml:space="preserve">  </v>
      </c>
      <c r="AJ29" s="687">
        <f t="shared" si="18"/>
        <v>6</v>
      </c>
      <c r="AK29" s="688">
        <f t="shared" si="19"/>
        <v>0</v>
      </c>
      <c r="AL29" s="688">
        <f t="shared" si="20"/>
        <v>0</v>
      </c>
      <c r="AM29" s="642"/>
      <c r="AN29" s="689"/>
      <c r="AO29" s="690"/>
      <c r="AP29" s="690"/>
      <c r="AQ29" s="690"/>
      <c r="AR29" s="690"/>
      <c r="AS29" s="689">
        <f t="shared" si="21"/>
        <v>1E-4</v>
      </c>
      <c r="AT29" s="690">
        <f t="shared" si="22"/>
        <v>1E-4</v>
      </c>
      <c r="AU29" s="690">
        <f t="shared" si="23"/>
        <v>2.0000000000000001E-4</v>
      </c>
      <c r="AV29" s="690">
        <f t="shared" si="24"/>
        <v>2.9999999999999997E-4</v>
      </c>
      <c r="AW29" s="690">
        <f t="shared" si="25"/>
        <v>6.0004</v>
      </c>
      <c r="AX29" s="690">
        <f t="shared" si="26"/>
        <v>8.0005000000000006</v>
      </c>
      <c r="AY29" s="690">
        <f t="shared" si="27"/>
        <v>12.0006</v>
      </c>
      <c r="AZ29" s="690">
        <f t="shared" si="28"/>
        <v>2.0007000000000001</v>
      </c>
      <c r="BA29" s="690">
        <f t="shared" si="29"/>
        <v>14.0008</v>
      </c>
      <c r="BB29" s="690">
        <f t="shared" si="30"/>
        <v>6.0008999999999997</v>
      </c>
      <c r="BC29" s="690">
        <f t="shared" si="31"/>
        <v>1E-3</v>
      </c>
      <c r="BH29" s="783"/>
      <c r="BI29" s="581" t="e">
        <f t="shared" si="32"/>
        <v>#VALUE!</v>
      </c>
      <c r="BJ29" s="581" t="e">
        <f t="shared" si="33"/>
        <v>#VALUE!</v>
      </c>
      <c r="BK29" s="581" t="e">
        <f t="shared" si="34"/>
        <v>#VALUE!</v>
      </c>
      <c r="BL29" s="581">
        <f t="shared" si="35"/>
        <v>9</v>
      </c>
      <c r="BM29" s="581">
        <f t="shared" si="36"/>
        <v>7</v>
      </c>
      <c r="BN29" s="581">
        <f t="shared" si="37"/>
        <v>5</v>
      </c>
      <c r="BO29" s="581">
        <f t="shared" si="38"/>
        <v>13</v>
      </c>
      <c r="BP29" s="581">
        <f t="shared" si="39"/>
        <v>5</v>
      </c>
      <c r="BQ29" s="581">
        <f t="shared" si="40"/>
        <v>6</v>
      </c>
      <c r="BR29" s="581" t="e">
        <f t="shared" si="41"/>
        <v>#VALUE!</v>
      </c>
    </row>
    <row r="30" spans="1:70" x14ac:dyDescent="0.2">
      <c r="A30" s="768" t="str">
        <f t="shared" si="1"/>
        <v/>
      </c>
      <c r="B30" s="769">
        <f t="shared" si="2"/>
        <v>-976</v>
      </c>
      <c r="C30" s="770" t="str">
        <f t="shared" si="3"/>
        <v/>
      </c>
      <c r="D30" s="769">
        <f t="shared" si="4"/>
        <v>-976</v>
      </c>
      <c r="E30" s="771">
        <f t="shared" si="5"/>
        <v>17</v>
      </c>
      <c r="F30" s="769">
        <f t="shared" si="6"/>
        <v>24</v>
      </c>
      <c r="G30" s="772" t="str">
        <f t="shared" si="7"/>
        <v/>
      </c>
      <c r="H30" s="769">
        <f t="shared" si="8"/>
        <v>-976</v>
      </c>
      <c r="I30" s="773" t="str">
        <f t="shared" si="9"/>
        <v/>
      </c>
      <c r="J30" s="774">
        <f t="shared" si="10"/>
        <v>-976</v>
      </c>
      <c r="K30" s="680">
        <f t="shared" si="11"/>
        <v>24</v>
      </c>
      <c r="L30" s="786" t="s">
        <v>117</v>
      </c>
      <c r="M30" s="682"/>
      <c r="N30" s="775" t="str">
        <f>IF(M30="","m","")</f>
        <v>m</v>
      </c>
      <c r="O30" s="683"/>
      <c r="P30" s="776"/>
      <c r="Q30" s="777"/>
      <c r="R30" s="673">
        <f>(IF(COUNT(Z30,AA30,AB30,AC30,AD30,AE30,AF30,AG30,AH30,AI30)&lt;9,SUM(Z30,AA30,AB30,AC30,AD30,AE30,AF30,AG30,AH30,AI30),SUM(LARGE((Z30,AA30,AB30,AC30,AD30,AE30,AF30,AG30,AH30,AI30),{1;2;3;4;5;6;7;8;9}))))</f>
        <v>44</v>
      </c>
      <c r="S30" s="684" t="str">
        <f>INDEX(ETAPP!B$1:B$32,MATCH(COUNTIF(BI30:BR30,1),ETAPP!A$1:A$32,0))&amp;INDEX(ETAPP!B$1:B$32,MATCH(COUNTIF(BI30:BR30,2),ETAPP!A$1:A$32,0))&amp;INDEX(ETAPP!B$1:B$32,MATCH(COUNTIF(BI30:BR30,3),ETAPP!A$1:A$32,0))&amp;INDEX(ETAPP!B$1:B$32,MATCH(COUNTIF(BI30:BR30,4),ETAPP!A$1:A$32,0))&amp;INDEX(ETAPP!B$1:B$32,MATCH(COUNTIF(BI30:BR30,5),ETAPP!A$1:A$32,0))&amp;INDEX(ETAPP!B$1:B$32,MATCH(COUNTIF(BI30:BR30,6),ETAPP!A$1:A$32,0))&amp;INDEX(ETAPP!B$1:B$32,MATCH(COUNTIF(BI30:BR30,7),ETAPP!A$1:A$32,0))&amp;INDEX(ETAPP!B$1:B$32,MATCH(COUNTIF(BI30:BR30,8),ETAPP!A$1:A$32,0))&amp;INDEX(ETAPP!B$1:B$32,MATCH(COUNTIF(BI30:BR30,9),ETAPP!A$1:A$32,0))&amp;INDEX(ETAPP!B$1:B$32,MATCH(COUNTIF(BI30:BR30,10),ETAPP!A$1:A$32,0))&amp;INDEX(ETAPP!B$1:B$32,MATCH(COUNTIF(BI30:BR30,11),ETAPP!A$1:A$32,0))&amp;INDEX(ETAPP!B$1:B$32,MATCH(COUNTIF(BI30:BR30,12),ETAPP!A$1:A$32,0))&amp;INDEX(ETAPP!B$1:B$32,MATCH(COUNTIF(BI30:BR30,13),ETAPP!A$1:A$32,0))&amp;INDEX(ETAPP!B$1:B$32,MATCH(COUNTIF(BI30:BR30,14),ETAPP!A$1:A$32,0))&amp;INDEX(ETAPP!B$1:B$32,MATCH(COUNTIF(BI30:BR30,15),ETAPP!A$1:A$32,0))&amp;INDEX(ETAPP!B$1:B$32,MATCH(COUNTIF(BI30:BR30,16),ETAPP!A$1:A$32,0))&amp;INDEX(ETAPP!B$1:B$32,MATCH(COUNTIF(BI30:BR30,17),ETAPP!A$1:A$32,0))&amp;INDEX(ETAPP!B$1:B$32,MATCH(COUNTIF(BI30:BR30,18),ETAPP!A$1:A$32,0))&amp;INDEX(ETAPP!B$1:B$32,MATCH(COUNTIF(BI30:BR30,19),ETAPP!A$1:A$32,0))&amp;INDEX(ETAPP!B$1:B$32,MATCH(COUNTIF(BI30:BR30,20),ETAPP!A$1:A$32,0))&amp;INDEX(ETAPP!B$1:B$32,MATCH(COUNTIF(BI30:BR30,21),ETAPP!A$1:A$32,0))</f>
        <v>0A000A0AAA00000000000</v>
      </c>
      <c r="T30" s="684" t="str">
        <f t="shared" si="12"/>
        <v>044,0-0A000A0AAA00000000000</v>
      </c>
      <c r="U30" s="684">
        <f t="shared" si="13"/>
        <v>24</v>
      </c>
      <c r="V30" s="684">
        <f t="shared" si="14"/>
        <v>27</v>
      </c>
      <c r="W30" s="684" t="str">
        <f t="shared" si="15"/>
        <v>044,0-0A000A0AAA00000000000-027</v>
      </c>
      <c r="X30" s="684">
        <f t="shared" si="16"/>
        <v>24</v>
      </c>
      <c r="Y30" s="685">
        <f t="shared" si="17"/>
        <v>27</v>
      </c>
      <c r="Z30" s="686">
        <f>IFERROR(INDEX('V1'!C$300:C$400,MATCH("*"&amp;L30&amp;"*",'V1'!B$300:B$400,0)),"  ")</f>
        <v>8</v>
      </c>
      <c r="AA30" s="686">
        <f>IFERROR(INDEX('V2'!C$300:C$400,MATCH("*"&amp;L30&amp;"*",'V2'!B$300:B$400,0)),"  ")</f>
        <v>10</v>
      </c>
      <c r="AB30" s="686" t="str">
        <f>IFERROR(INDEX('V3'!C$300:C$400,MATCH("*"&amp;L30&amp;"*",'V3'!B$300:B$400,0)),"  ")</f>
        <v xml:space="preserve">  </v>
      </c>
      <c r="AC30" s="686">
        <f>IFERROR(INDEX('V4'!C$300:C$400,MATCH("*"&amp;L30&amp;"*",'V4'!B$300:B$400,0)),"  ")</f>
        <v>20</v>
      </c>
      <c r="AD30" s="686">
        <f>IFERROR(INDEX('V5'!C$300:C$400,MATCH("*"&amp;L30&amp;"*",'V5'!B$300:B$400,0)),"  ")</f>
        <v>4</v>
      </c>
      <c r="AE30" s="686">
        <f>IFERROR(INDEX('V6'!C$300:C$400,MATCH("*"&amp;L30&amp;"*",'V6'!B$300:B$400,0)),"  ")</f>
        <v>2</v>
      </c>
      <c r="AF30" s="686" t="str">
        <f>IFERROR(INDEX('V7'!C$300:C$400,MATCH("*"&amp;L30&amp;"*",'V7'!B$300:B$400,0)),"  ")</f>
        <v xml:space="preserve">  </v>
      </c>
      <c r="AG30" s="686" t="str">
        <f>IFERROR(INDEX('V8'!C$300:C$400,MATCH("*"&amp;L30&amp;"*",'V8'!B$300:B$400,0)),"  ")</f>
        <v xml:space="preserve">  </v>
      </c>
      <c r="AH30" s="686" t="str">
        <f>IFERROR(INDEX('V9'!C$300:C$400,MATCH("*"&amp;L30&amp;"*",'V9'!B$300:B$400,0)),"  ")</f>
        <v xml:space="preserve">  </v>
      </c>
      <c r="AI30" s="686" t="str">
        <f>IFERROR(INDEX('V10'!C$300:C$400,MATCH("*"&amp;L30&amp;"*",'V10'!B$300:B$400,0)),"  ")</f>
        <v xml:space="preserve">  </v>
      </c>
      <c r="AJ30" s="687">
        <f t="shared" si="18"/>
        <v>5</v>
      </c>
      <c r="AK30" s="688">
        <f t="shared" si="19"/>
        <v>1</v>
      </c>
      <c r="AL30" s="688">
        <f t="shared" si="20"/>
        <v>0</v>
      </c>
      <c r="AM30" s="642"/>
      <c r="AN30" s="689"/>
      <c r="AO30" s="690"/>
      <c r="AP30" s="690"/>
      <c r="AQ30" s="690"/>
      <c r="AR30" s="690"/>
      <c r="AS30" s="689">
        <f t="shared" si="21"/>
        <v>2.9999999999999997E-4</v>
      </c>
      <c r="AT30" s="690">
        <f t="shared" si="22"/>
        <v>8.0000999999999998</v>
      </c>
      <c r="AU30" s="690">
        <f t="shared" si="23"/>
        <v>10.0002</v>
      </c>
      <c r="AV30" s="690">
        <f t="shared" si="24"/>
        <v>2.9999999999999997E-4</v>
      </c>
      <c r="AW30" s="690">
        <f t="shared" si="25"/>
        <v>20.000399999999999</v>
      </c>
      <c r="AX30" s="690">
        <f t="shared" si="26"/>
        <v>4.0004999999999997</v>
      </c>
      <c r="AY30" s="690">
        <f t="shared" si="27"/>
        <v>2.0005999999999999</v>
      </c>
      <c r="AZ30" s="690">
        <f t="shared" si="28"/>
        <v>6.9999999999999999E-4</v>
      </c>
      <c r="BA30" s="690">
        <f t="shared" si="29"/>
        <v>8.0000000000000004E-4</v>
      </c>
      <c r="BB30" s="690">
        <f t="shared" si="30"/>
        <v>8.9999999999999998E-4</v>
      </c>
      <c r="BC30" s="690">
        <f t="shared" si="31"/>
        <v>1E-3</v>
      </c>
      <c r="BI30" s="581">
        <f t="shared" si="32"/>
        <v>8</v>
      </c>
      <c r="BJ30" s="581">
        <f t="shared" si="33"/>
        <v>6</v>
      </c>
      <c r="BK30" s="581" t="e">
        <f t="shared" si="34"/>
        <v>#VALUE!</v>
      </c>
      <c r="BL30" s="581">
        <f t="shared" si="35"/>
        <v>2</v>
      </c>
      <c r="BM30" s="581">
        <f t="shared" si="36"/>
        <v>9</v>
      </c>
      <c r="BN30" s="581">
        <f t="shared" si="37"/>
        <v>10</v>
      </c>
      <c r="BO30" s="581" t="e">
        <f t="shared" si="38"/>
        <v>#VALUE!</v>
      </c>
      <c r="BP30" s="581" t="e">
        <f t="shared" si="39"/>
        <v>#VALUE!</v>
      </c>
      <c r="BQ30" s="581" t="e">
        <f t="shared" si="40"/>
        <v>#VALUE!</v>
      </c>
      <c r="BR30" s="581" t="e">
        <f t="shared" si="41"/>
        <v>#VALUE!</v>
      </c>
    </row>
    <row r="31" spans="1:70" x14ac:dyDescent="0.2">
      <c r="A31" s="768">
        <f t="shared" si="1"/>
        <v>19</v>
      </c>
      <c r="B31" s="769">
        <f t="shared" si="2"/>
        <v>25</v>
      </c>
      <c r="C31" s="770">
        <f t="shared" si="3"/>
        <v>9</v>
      </c>
      <c r="D31" s="769">
        <f t="shared" si="4"/>
        <v>25</v>
      </c>
      <c r="E31" s="771">
        <f t="shared" si="5"/>
        <v>18</v>
      </c>
      <c r="F31" s="769">
        <f t="shared" si="6"/>
        <v>25</v>
      </c>
      <c r="G31" s="772" t="str">
        <f t="shared" si="7"/>
        <v/>
      </c>
      <c r="H31" s="769">
        <f t="shared" si="8"/>
        <v>-975</v>
      </c>
      <c r="I31" s="773" t="str">
        <f t="shared" si="9"/>
        <v/>
      </c>
      <c r="J31" s="774">
        <f t="shared" si="10"/>
        <v>-975</v>
      </c>
      <c r="K31" s="680">
        <f t="shared" si="11"/>
        <v>25</v>
      </c>
      <c r="L31" s="786" t="s">
        <v>109</v>
      </c>
      <c r="M31" s="682"/>
      <c r="N31" s="775" t="str">
        <f>IF(M31="","m","")</f>
        <v>m</v>
      </c>
      <c r="O31" s="683"/>
      <c r="P31" s="776" t="s">
        <v>190</v>
      </c>
      <c r="Q31" s="777" t="s">
        <v>189</v>
      </c>
      <c r="R31" s="673">
        <f>(IF(COUNT(Z31,AA31,AB31,AC31,AD31,AE31,AF31,AG31,AH31,AI31)&lt;9,SUM(Z31,AA31,AB31,AC31,AD31,AE31,AF31,AG31,AH31,AI31),SUM(LARGE((Z31,AA31,AB31,AC31,AD31,AE31,AF31,AG31,AH31,AI31),{1;2;3;4;5;6;7;8;9}))))</f>
        <v>40</v>
      </c>
      <c r="S31" s="684" t="str">
        <f>INDEX(ETAPP!B$1:B$32,MATCH(COUNTIF(BI31:BR31,1),ETAPP!A$1:A$32,0))&amp;INDEX(ETAPP!B$1:B$32,MATCH(COUNTIF(BI31:BR31,2),ETAPP!A$1:A$32,0))&amp;INDEX(ETAPP!B$1:B$32,MATCH(COUNTIF(BI31:BR31,3),ETAPP!A$1:A$32,0))&amp;INDEX(ETAPP!B$1:B$32,MATCH(COUNTIF(BI31:BR31,4),ETAPP!A$1:A$32,0))&amp;INDEX(ETAPP!B$1:B$32,MATCH(COUNTIF(BI31:BR31,5),ETAPP!A$1:A$32,0))&amp;INDEX(ETAPP!B$1:B$32,MATCH(COUNTIF(BI31:BR31,6),ETAPP!A$1:A$32,0))&amp;INDEX(ETAPP!B$1:B$32,MATCH(COUNTIF(BI31:BR31,7),ETAPP!A$1:A$32,0))&amp;INDEX(ETAPP!B$1:B$32,MATCH(COUNTIF(BI31:BR31,8),ETAPP!A$1:A$32,0))&amp;INDEX(ETAPP!B$1:B$32,MATCH(COUNTIF(BI31:BR31,9),ETAPP!A$1:A$32,0))&amp;INDEX(ETAPP!B$1:B$32,MATCH(COUNTIF(BI31:BR31,10),ETAPP!A$1:A$32,0))&amp;INDEX(ETAPP!B$1:B$32,MATCH(COUNTIF(BI31:BR31,11),ETAPP!A$1:A$32,0))&amp;INDEX(ETAPP!B$1:B$32,MATCH(COUNTIF(BI31:BR31,12),ETAPP!A$1:A$32,0))&amp;INDEX(ETAPP!B$1:B$32,MATCH(COUNTIF(BI31:BR31,13),ETAPP!A$1:A$32,0))&amp;INDEX(ETAPP!B$1:B$32,MATCH(COUNTIF(BI31:BR31,14),ETAPP!A$1:A$32,0))&amp;INDEX(ETAPP!B$1:B$32,MATCH(COUNTIF(BI31:BR31,15),ETAPP!A$1:A$32,0))&amp;INDEX(ETAPP!B$1:B$32,MATCH(COUNTIF(BI31:BR31,16),ETAPP!A$1:A$32,0))&amp;INDEX(ETAPP!B$1:B$32,MATCH(COUNTIF(BI31:BR31,17),ETAPP!A$1:A$32,0))&amp;INDEX(ETAPP!B$1:B$32,MATCH(COUNTIF(BI31:BR31,18),ETAPP!A$1:A$32,0))&amp;INDEX(ETAPP!B$1:B$32,MATCH(COUNTIF(BI31:BR31,19),ETAPP!A$1:A$32,0))&amp;INDEX(ETAPP!B$1:B$32,MATCH(COUNTIF(BI31:BR31,20),ETAPP!A$1:A$32,0))&amp;INDEX(ETAPP!B$1:B$32,MATCH(COUNTIF(BI31:BR31,21),ETAPP!A$1:A$32,0))</f>
        <v>000A0AAB00A0000000000</v>
      </c>
      <c r="T31" s="684" t="str">
        <f t="shared" si="12"/>
        <v>040,0-000A0AAB00A0000000000</v>
      </c>
      <c r="U31" s="684">
        <f t="shared" si="13"/>
        <v>25</v>
      </c>
      <c r="V31" s="684">
        <f t="shared" si="14"/>
        <v>42</v>
      </c>
      <c r="W31" s="684" t="str">
        <f t="shared" si="15"/>
        <v>040,0-000A0AAB00A0000000000-042</v>
      </c>
      <c r="X31" s="684">
        <f t="shared" si="16"/>
        <v>25</v>
      </c>
      <c r="Y31" s="685">
        <f t="shared" si="17"/>
        <v>26</v>
      </c>
      <c r="Z31" s="686">
        <f>IFERROR(INDEX('V1'!C$300:C$400,MATCH("*"&amp;L31&amp;"*",'V1'!B$300:B$400,0)),"  ")</f>
        <v>2</v>
      </c>
      <c r="AA31" s="686">
        <f>IFERROR(INDEX('V2'!C$300:C$400,MATCH("*"&amp;L31&amp;"*",'V2'!B$300:B$400,0)),"  ")</f>
        <v>14</v>
      </c>
      <c r="AB31" s="686" t="str">
        <f>IFERROR(INDEX('V3'!C$300:C$400,MATCH("*"&amp;L31&amp;"*",'V3'!B$300:B$400,0)),"  ")</f>
        <v xml:space="preserve">  </v>
      </c>
      <c r="AC31" s="686">
        <f>IFERROR(INDEX('V4'!C$300:C$400,MATCH("*"&amp;L31&amp;"*",'V4'!B$300:B$400,0)),"  ")</f>
        <v>12</v>
      </c>
      <c r="AD31" s="686">
        <f>IFERROR(INDEX('V5'!C$300:C$400,MATCH("*"&amp;L31&amp;"*",'V5'!B$300:B$400,0)),"  ")</f>
        <v>6</v>
      </c>
      <c r="AE31" s="686" t="str">
        <f>IFERROR(INDEX('V6'!C$300:C$400,MATCH("*"&amp;L31&amp;"*",'V6'!B$300:B$400,0)),"  ")</f>
        <v xml:space="preserve">  </v>
      </c>
      <c r="AF31" s="686" t="str">
        <f>IFERROR(INDEX('V7'!C$300:C$400,MATCH("*"&amp;L31&amp;"*",'V7'!B$300:B$400,0)),"  ")</f>
        <v xml:space="preserve">  </v>
      </c>
      <c r="AG31" s="686" t="str">
        <f>IFERROR(INDEX('V8'!C$300:C$400,MATCH("*"&amp;L31&amp;"*",'V8'!B$300:B$400,0)),"  ")</f>
        <v xml:space="preserve">  </v>
      </c>
      <c r="AH31" s="686">
        <f>IFERROR(INDEX('V9'!C$300:C$400,MATCH("*"&amp;L31&amp;"*",'V9'!B$300:B$400,0)),"  ")</f>
        <v>4</v>
      </c>
      <c r="AI31" s="686">
        <f>IFERROR(INDEX('V10'!C$300:C$400,MATCH("*"&amp;L31&amp;"*",'V10'!B$300:B$400,0)),"  ")</f>
        <v>2</v>
      </c>
      <c r="AJ31" s="687">
        <f t="shared" si="18"/>
        <v>6</v>
      </c>
      <c r="AK31" s="688">
        <f t="shared" si="19"/>
        <v>0</v>
      </c>
      <c r="AL31" s="688">
        <f t="shared" si="20"/>
        <v>0</v>
      </c>
      <c r="AM31" s="642"/>
      <c r="AN31" s="689"/>
      <c r="AO31" s="690"/>
      <c r="AP31" s="690"/>
      <c r="AQ31" s="690"/>
      <c r="AR31" s="690"/>
      <c r="AS31" s="689">
        <f t="shared" si="21"/>
        <v>2.9999999999999997E-4</v>
      </c>
      <c r="AT31" s="690">
        <f t="shared" si="22"/>
        <v>2.0001000000000002</v>
      </c>
      <c r="AU31" s="690">
        <f t="shared" si="23"/>
        <v>14.0002</v>
      </c>
      <c r="AV31" s="690">
        <f t="shared" si="24"/>
        <v>2.9999999999999997E-4</v>
      </c>
      <c r="AW31" s="690">
        <f t="shared" si="25"/>
        <v>12.000400000000001</v>
      </c>
      <c r="AX31" s="690">
        <f t="shared" si="26"/>
        <v>6.0004999999999997</v>
      </c>
      <c r="AY31" s="690">
        <f t="shared" si="27"/>
        <v>5.9999999999999995E-4</v>
      </c>
      <c r="AZ31" s="690">
        <f t="shared" si="28"/>
        <v>6.9999999999999999E-4</v>
      </c>
      <c r="BA31" s="690">
        <f t="shared" si="29"/>
        <v>8.0000000000000004E-4</v>
      </c>
      <c r="BB31" s="690">
        <f t="shared" si="30"/>
        <v>4.0008999999999997</v>
      </c>
      <c r="BC31" s="690">
        <f t="shared" si="31"/>
        <v>2.0009999999999999</v>
      </c>
      <c r="BH31" s="783"/>
      <c r="BI31" s="581">
        <f t="shared" si="32"/>
        <v>11</v>
      </c>
      <c r="BJ31" s="581">
        <f t="shared" si="33"/>
        <v>4</v>
      </c>
      <c r="BK31" s="581" t="e">
        <f t="shared" si="34"/>
        <v>#VALUE!</v>
      </c>
      <c r="BL31" s="581">
        <f t="shared" si="35"/>
        <v>6</v>
      </c>
      <c r="BM31" s="581">
        <f t="shared" si="36"/>
        <v>8</v>
      </c>
      <c r="BN31" s="581" t="e">
        <f t="shared" si="37"/>
        <v>#VALUE!</v>
      </c>
      <c r="BO31" s="581" t="e">
        <f t="shared" si="38"/>
        <v>#VALUE!</v>
      </c>
      <c r="BP31" s="581" t="e">
        <f t="shared" si="39"/>
        <v>#VALUE!</v>
      </c>
      <c r="BQ31" s="581">
        <f t="shared" si="40"/>
        <v>7</v>
      </c>
      <c r="BR31" s="581">
        <f t="shared" si="41"/>
        <v>8</v>
      </c>
    </row>
    <row r="32" spans="1:70" x14ac:dyDescent="0.2">
      <c r="A32" s="768">
        <f t="shared" si="1"/>
        <v>20</v>
      </c>
      <c r="B32" s="769">
        <f t="shared" si="2"/>
        <v>26</v>
      </c>
      <c r="C32" s="770" t="str">
        <f t="shared" si="3"/>
        <v/>
      </c>
      <c r="D32" s="769">
        <f t="shared" si="4"/>
        <v>-974</v>
      </c>
      <c r="E32" s="771">
        <f t="shared" si="5"/>
        <v>19</v>
      </c>
      <c r="F32" s="769">
        <f t="shared" si="6"/>
        <v>26</v>
      </c>
      <c r="G32" s="772" t="str">
        <f t="shared" si="7"/>
        <v/>
      </c>
      <c r="H32" s="769">
        <f t="shared" si="8"/>
        <v>-974</v>
      </c>
      <c r="I32" s="773" t="str">
        <f t="shared" si="9"/>
        <v/>
      </c>
      <c r="J32" s="774">
        <f t="shared" si="10"/>
        <v>-974</v>
      </c>
      <c r="K32" s="680">
        <f t="shared" si="11"/>
        <v>26</v>
      </c>
      <c r="L32" s="786" t="s">
        <v>96</v>
      </c>
      <c r="M32" s="682"/>
      <c r="N32" s="775" t="str">
        <f>IF(M32="","m","")</f>
        <v>m</v>
      </c>
      <c r="O32" s="683"/>
      <c r="P32" s="776"/>
      <c r="Q32" s="777" t="s">
        <v>189</v>
      </c>
      <c r="R32" s="673">
        <f>(IF(COUNT(Z32,AA32,AB32,AC32,AD32,AE32,AF32,AG32,AH32,AI32)&lt;9,SUM(Z32,AA32,AB32,AC32,AD32,AE32,AF32,AG32,AH32,AI32),SUM(LARGE((Z32,AA32,AB32,AC32,AD32,AE32,AF32,AG32,AH32,AI32),{1;2;3;4;5;6;7;8;9}))))</f>
        <v>38</v>
      </c>
      <c r="S32" s="684" t="str">
        <f>INDEX(ETAPP!B$1:B$32,MATCH(COUNTIF(BI32:BR32,1),ETAPP!A$1:A$32,0))&amp;INDEX(ETAPP!B$1:B$32,MATCH(COUNTIF(BI32:BR32,2),ETAPP!A$1:A$32,0))&amp;INDEX(ETAPP!B$1:B$32,MATCH(COUNTIF(BI32:BR32,3),ETAPP!A$1:A$32,0))&amp;INDEX(ETAPP!B$1:B$32,MATCH(COUNTIF(BI32:BR32,4),ETAPP!A$1:A$32,0))&amp;INDEX(ETAPP!B$1:B$32,MATCH(COUNTIF(BI32:BR32,5),ETAPP!A$1:A$32,0))&amp;INDEX(ETAPP!B$1:B$32,MATCH(COUNTIF(BI32:BR32,6),ETAPP!A$1:A$32,0))&amp;INDEX(ETAPP!B$1:B$32,MATCH(COUNTIF(BI32:BR32,7),ETAPP!A$1:A$32,0))&amp;INDEX(ETAPP!B$1:B$32,MATCH(COUNTIF(BI32:BR32,8),ETAPP!A$1:A$32,0))&amp;INDEX(ETAPP!B$1:B$32,MATCH(COUNTIF(BI32:BR32,9),ETAPP!A$1:A$32,0))&amp;INDEX(ETAPP!B$1:B$32,MATCH(COUNTIF(BI32:BR32,10),ETAPP!A$1:A$32,0))&amp;INDEX(ETAPP!B$1:B$32,MATCH(COUNTIF(BI32:BR32,11),ETAPP!A$1:A$32,0))&amp;INDEX(ETAPP!B$1:B$32,MATCH(COUNTIF(BI32:BR32,12),ETAPP!A$1:A$32,0))&amp;INDEX(ETAPP!B$1:B$32,MATCH(COUNTIF(BI32:BR32,13),ETAPP!A$1:A$32,0))&amp;INDEX(ETAPP!B$1:B$32,MATCH(COUNTIF(BI32:BR32,14),ETAPP!A$1:A$32,0))&amp;INDEX(ETAPP!B$1:B$32,MATCH(COUNTIF(BI32:BR32,15),ETAPP!A$1:A$32,0))&amp;INDEX(ETAPP!B$1:B$32,MATCH(COUNTIF(BI32:BR32,16),ETAPP!A$1:A$32,0))&amp;INDEX(ETAPP!B$1:B$32,MATCH(COUNTIF(BI32:BR32,17),ETAPP!A$1:A$32,0))&amp;INDEX(ETAPP!B$1:B$32,MATCH(COUNTIF(BI32:BR32,18),ETAPP!A$1:A$32,0))&amp;INDEX(ETAPP!B$1:B$32,MATCH(COUNTIF(BI32:BR32,19),ETAPP!A$1:A$32,0))&amp;INDEX(ETAPP!B$1:B$32,MATCH(COUNTIF(BI32:BR32,20),ETAPP!A$1:A$32,0))&amp;INDEX(ETAPP!B$1:B$32,MATCH(COUNTIF(BI32:BR32,21),ETAPP!A$1:A$32,0))</f>
        <v>0000AAA00000000000000</v>
      </c>
      <c r="T32" s="684" t="str">
        <f t="shared" si="12"/>
        <v>038,0-0000AAA00000000000000</v>
      </c>
      <c r="U32" s="684">
        <f t="shared" si="13"/>
        <v>26</v>
      </c>
      <c r="V32" s="684">
        <f t="shared" si="14"/>
        <v>45</v>
      </c>
      <c r="W32" s="684" t="str">
        <f t="shared" si="15"/>
        <v>038,0-0000AAA00000000000000-045</v>
      </c>
      <c r="X32" s="684">
        <f t="shared" si="16"/>
        <v>26</v>
      </c>
      <c r="Y32" s="685">
        <f t="shared" si="17"/>
        <v>25</v>
      </c>
      <c r="Z32" s="686">
        <f>IFERROR(INDEX('V1'!C$300:C$400,MATCH("*"&amp;L32&amp;"*",'V1'!B$300:B$400,0)),"  ")</f>
        <v>12</v>
      </c>
      <c r="AA32" s="686" t="str">
        <f>IFERROR(INDEX('V2'!C$300:C$400,MATCH("*"&amp;L32&amp;"*",'V2'!B$300:B$400,0)),"  ")</f>
        <v xml:space="preserve">  </v>
      </c>
      <c r="AB32" s="686">
        <f>IFERROR(INDEX('V3'!C$300:C$400,MATCH("*"&amp;L32&amp;"*",'V3'!B$300:B$400,0)),"  ")</f>
        <v>8</v>
      </c>
      <c r="AC32" s="686" t="str">
        <f>IFERROR(INDEX('V4'!C$300:C$400,MATCH("*"&amp;L32&amp;"*",'V4'!B$300:B$400,0)),"  ")</f>
        <v xml:space="preserve">  </v>
      </c>
      <c r="AD32" s="686" t="str">
        <f>IFERROR(INDEX('V5'!C$300:C$400,MATCH("*"&amp;L32&amp;"*",'V5'!B$300:B$400,0)),"  ")</f>
        <v xml:space="preserve">  </v>
      </c>
      <c r="AE32" s="686" t="str">
        <f>IFERROR(INDEX('V6'!C$300:C$400,MATCH("*"&amp;L32&amp;"*",'V6'!B$300:B$400,0)),"  ")</f>
        <v xml:space="preserve">  </v>
      </c>
      <c r="AF32" s="686">
        <f>IFERROR(INDEX('V7'!C$300:C$400,MATCH("*"&amp;L32&amp;"*",'V7'!B$300:B$400,0)),"  ")</f>
        <v>18</v>
      </c>
      <c r="AG32" s="686" t="str">
        <f>IFERROR(INDEX('V8'!C$300:C$400,MATCH("*"&amp;L32&amp;"*",'V8'!B$300:B$400,0)),"  ")</f>
        <v xml:space="preserve">  </v>
      </c>
      <c r="AH32" s="686" t="str">
        <f>IFERROR(INDEX('V9'!C$300:C$400,MATCH("*"&amp;L32&amp;"*",'V9'!B$300:B$400,0)),"  ")</f>
        <v xml:space="preserve">  </v>
      </c>
      <c r="AI32" s="686" t="str">
        <f>IFERROR(INDEX('V10'!C$300:C$400,MATCH("*"&amp;L32&amp;"*",'V10'!B$300:B$400,0)),"  ")</f>
        <v xml:space="preserve">  </v>
      </c>
      <c r="AJ32" s="687">
        <f t="shared" si="18"/>
        <v>3</v>
      </c>
      <c r="AK32" s="688">
        <f t="shared" si="19"/>
        <v>0</v>
      </c>
      <c r="AL32" s="688">
        <f t="shared" si="20"/>
        <v>0</v>
      </c>
      <c r="AM32" s="642"/>
      <c r="AN32" s="689"/>
      <c r="AO32" s="690"/>
      <c r="AP32" s="690"/>
      <c r="AQ32" s="690"/>
      <c r="AR32" s="690"/>
      <c r="AS32" s="689">
        <f t="shared" si="21"/>
        <v>2.0000000000000001E-4</v>
      </c>
      <c r="AT32" s="690">
        <f t="shared" si="22"/>
        <v>12.0001</v>
      </c>
      <c r="AU32" s="690">
        <f t="shared" si="23"/>
        <v>2.0000000000000001E-4</v>
      </c>
      <c r="AV32" s="690">
        <f t="shared" si="24"/>
        <v>8.0002999999999993</v>
      </c>
      <c r="AW32" s="690">
        <f t="shared" si="25"/>
        <v>4.0000000000000002E-4</v>
      </c>
      <c r="AX32" s="690">
        <f t="shared" si="26"/>
        <v>5.0000000000000001E-4</v>
      </c>
      <c r="AY32" s="690">
        <f t="shared" si="27"/>
        <v>5.9999999999999995E-4</v>
      </c>
      <c r="AZ32" s="690">
        <f t="shared" si="28"/>
        <v>18.000699999999998</v>
      </c>
      <c r="BA32" s="690">
        <f t="shared" si="29"/>
        <v>8.0000000000000004E-4</v>
      </c>
      <c r="BB32" s="690">
        <f t="shared" si="30"/>
        <v>8.9999999999999998E-4</v>
      </c>
      <c r="BC32" s="690">
        <f t="shared" si="31"/>
        <v>1E-3</v>
      </c>
      <c r="BI32" s="581">
        <f t="shared" si="32"/>
        <v>6</v>
      </c>
      <c r="BJ32" s="581" t="e">
        <f t="shared" si="33"/>
        <v>#VALUE!</v>
      </c>
      <c r="BK32" s="581">
        <f t="shared" si="34"/>
        <v>7</v>
      </c>
      <c r="BL32" s="581" t="e">
        <f t="shared" si="35"/>
        <v>#VALUE!</v>
      </c>
      <c r="BM32" s="581" t="e">
        <f t="shared" si="36"/>
        <v>#VALUE!</v>
      </c>
      <c r="BN32" s="581" t="e">
        <f t="shared" si="37"/>
        <v>#VALUE!</v>
      </c>
      <c r="BO32" s="581">
        <f t="shared" si="38"/>
        <v>5</v>
      </c>
      <c r="BP32" s="581" t="e">
        <f t="shared" si="39"/>
        <v>#VALUE!</v>
      </c>
      <c r="BQ32" s="581" t="e">
        <f t="shared" si="40"/>
        <v>#VALUE!</v>
      </c>
      <c r="BR32" s="581" t="e">
        <f t="shared" si="41"/>
        <v>#VALUE!</v>
      </c>
    </row>
    <row r="33" spans="1:70" x14ac:dyDescent="0.2">
      <c r="A33" s="768" t="str">
        <f t="shared" si="1"/>
        <v/>
      </c>
      <c r="B33" s="769">
        <f t="shared" si="2"/>
        <v>-973</v>
      </c>
      <c r="C33" s="770" t="str">
        <f t="shared" si="3"/>
        <v/>
      </c>
      <c r="D33" s="769">
        <f t="shared" si="4"/>
        <v>-973</v>
      </c>
      <c r="E33" s="771" t="str">
        <f t="shared" si="5"/>
        <v/>
      </c>
      <c r="F33" s="769">
        <f t="shared" si="6"/>
        <v>-973</v>
      </c>
      <c r="G33" s="772">
        <f t="shared" si="7"/>
        <v>5</v>
      </c>
      <c r="H33" s="769">
        <f t="shared" si="8"/>
        <v>27</v>
      </c>
      <c r="I33" s="773" t="str">
        <f t="shared" si="9"/>
        <v/>
      </c>
      <c r="J33" s="774">
        <f t="shared" si="10"/>
        <v>-973</v>
      </c>
      <c r="K33" s="680">
        <f t="shared" si="11"/>
        <v>27</v>
      </c>
      <c r="L33" s="785" t="s">
        <v>528</v>
      </c>
      <c r="M33" s="682" t="s">
        <v>99</v>
      </c>
      <c r="N33" s="775"/>
      <c r="O33" s="683"/>
      <c r="P33" s="776"/>
      <c r="Q33" s="777"/>
      <c r="R33" s="673">
        <f>(IF(COUNT(Z33,AA33,AB33,AC33,AD33,AE33,AF33,AG33,AH33,AI33)&lt;9,SUM(Z33,AA33,AB33,AC33,AD33,AE33,AF33,AG33,AH33,AI33),SUM(LARGE((Z33,AA33,AB33,AC33,AD33,AE33,AF33,AG33,AH33,AI33),{1;2;3;4;5;6;7;8;9}))))</f>
        <v>34</v>
      </c>
      <c r="S33" s="684" t="str">
        <f>INDEX(ETAPP!B$1:B$32,MATCH(COUNTIF(BI33:BR33,1),ETAPP!A$1:A$32,0))&amp;INDEX(ETAPP!B$1:B$32,MATCH(COUNTIF(BI33:BR33,2),ETAPP!A$1:A$32,0))&amp;INDEX(ETAPP!B$1:B$32,MATCH(COUNTIF(BI33:BR33,3),ETAPP!A$1:A$32,0))&amp;INDEX(ETAPP!B$1:B$32,MATCH(COUNTIF(BI33:BR33,4),ETAPP!A$1:A$32,0))&amp;INDEX(ETAPP!B$1:B$32,MATCH(COUNTIF(BI33:BR33,5),ETAPP!A$1:A$32,0))&amp;INDEX(ETAPP!B$1:B$32,MATCH(COUNTIF(BI33:BR33,6),ETAPP!A$1:A$32,0))&amp;INDEX(ETAPP!B$1:B$32,MATCH(COUNTIF(BI33:BR33,7),ETAPP!A$1:A$32,0))&amp;INDEX(ETAPP!B$1:B$32,MATCH(COUNTIF(BI33:BR33,8),ETAPP!A$1:A$32,0))&amp;INDEX(ETAPP!B$1:B$32,MATCH(COUNTIF(BI33:BR33,9),ETAPP!A$1:A$32,0))&amp;INDEX(ETAPP!B$1:B$32,MATCH(COUNTIF(BI33:BR33,10),ETAPP!A$1:A$32,0))&amp;INDEX(ETAPP!B$1:B$32,MATCH(COUNTIF(BI33:BR33,11),ETAPP!A$1:A$32,0))&amp;INDEX(ETAPP!B$1:B$32,MATCH(COUNTIF(BI33:BR33,12),ETAPP!A$1:A$32,0))&amp;INDEX(ETAPP!B$1:B$32,MATCH(COUNTIF(BI33:BR33,13),ETAPP!A$1:A$32,0))&amp;INDEX(ETAPP!B$1:B$32,MATCH(COUNTIF(BI33:BR33,14),ETAPP!A$1:A$32,0))&amp;INDEX(ETAPP!B$1:B$32,MATCH(COUNTIF(BI33:BR33,15),ETAPP!A$1:A$32,0))&amp;INDEX(ETAPP!B$1:B$32,MATCH(COUNTIF(BI33:BR33,16),ETAPP!A$1:A$32,0))&amp;INDEX(ETAPP!B$1:B$32,MATCH(COUNTIF(BI33:BR33,17),ETAPP!A$1:A$32,0))&amp;INDEX(ETAPP!B$1:B$32,MATCH(COUNTIF(BI33:BR33,18),ETAPP!A$1:A$32,0))&amp;INDEX(ETAPP!B$1:B$32,MATCH(COUNTIF(BI33:BR33,19),ETAPP!A$1:A$32,0))&amp;INDEX(ETAPP!B$1:B$32,MATCH(COUNTIF(BI33:BR33,20),ETAPP!A$1:A$32,0))&amp;INDEX(ETAPP!B$1:B$32,MATCH(COUNTIF(BI33:BR33,21),ETAPP!A$1:A$32,0))</f>
        <v>0000AAA0A000A00000000</v>
      </c>
      <c r="T33" s="684" t="str">
        <f t="shared" si="12"/>
        <v>034,0-0000AAA0A000A00000000</v>
      </c>
      <c r="U33" s="684">
        <f t="shared" si="13"/>
        <v>27</v>
      </c>
      <c r="V33" s="684">
        <f t="shared" si="14"/>
        <v>29</v>
      </c>
      <c r="W33" s="684" t="str">
        <f t="shared" si="15"/>
        <v>034,0-0000AAA0A000A00000000-029</v>
      </c>
      <c r="X33" s="684">
        <f t="shared" si="16"/>
        <v>27</v>
      </c>
      <c r="Y33" s="685">
        <f t="shared" si="17"/>
        <v>24</v>
      </c>
      <c r="Z33" s="686" t="str">
        <f>IFERROR(INDEX('V1'!C$300:C$400,MATCH("*"&amp;L33&amp;"*",'V1'!B$300:B$400,0)),"  ")</f>
        <v xml:space="preserve">  </v>
      </c>
      <c r="AA33" s="686" t="str">
        <f>IFERROR(INDEX('V2'!C$300:C$400,MATCH("*"&amp;L33&amp;"*",'V2'!B$300:B$400,0)),"  ")</f>
        <v xml:space="preserve">  </v>
      </c>
      <c r="AB33" s="686" t="str">
        <f>IFERROR(INDEX('V3'!C$300:C$400,MATCH("*"&amp;L33&amp;"*",'V3'!B$300:B$400,0)),"  ")</f>
        <v xml:space="preserve">  </v>
      </c>
      <c r="AC33" s="686">
        <f>IFERROR(INDEX('V4'!C$300:C$400,MATCH("*"&amp;L33&amp;"*",'V4'!B$300:B$400,0)),"  ")</f>
        <v>6</v>
      </c>
      <c r="AD33" s="686">
        <f>IFERROR(INDEX('V5'!C$300:C$400,MATCH("*"&amp;L33&amp;"*",'V5'!B$300:B$400,0)),"  ")</f>
        <v>8</v>
      </c>
      <c r="AE33" s="686">
        <f>IFERROR(INDEX('V6'!C$300:C$400,MATCH("*"&amp;L33&amp;"*",'V6'!B$300:B$400,0)),"  ")</f>
        <v>12</v>
      </c>
      <c r="AF33" s="686">
        <f>IFERROR(INDEX('V7'!C$300:C$400,MATCH("*"&amp;L33&amp;"*",'V7'!B$300:B$400,0)),"  ")</f>
        <v>2</v>
      </c>
      <c r="AG33" s="686" t="str">
        <f>IFERROR(INDEX('V8'!C$300:C$400,MATCH("*"&amp;L33&amp;"*",'V8'!B$300:B$400,0)),"  ")</f>
        <v xml:space="preserve">  </v>
      </c>
      <c r="AH33" s="686">
        <f>IFERROR(INDEX('V9'!C$300:C$400,MATCH("*"&amp;L33&amp;"*",'V9'!B$300:B$400,0)),"  ")</f>
        <v>6</v>
      </c>
      <c r="AI33" s="686" t="str">
        <f>IFERROR(INDEX('V10'!C$300:C$400,MATCH("*"&amp;L33&amp;"*",'V10'!B$300:B$400,0)),"  ")</f>
        <v xml:space="preserve">  </v>
      </c>
      <c r="AJ33" s="687">
        <f t="shared" si="18"/>
        <v>5</v>
      </c>
      <c r="AK33" s="688">
        <f t="shared" si="19"/>
        <v>0</v>
      </c>
      <c r="AL33" s="688">
        <f t="shared" si="20"/>
        <v>0</v>
      </c>
      <c r="AM33" s="642"/>
      <c r="AN33" s="689"/>
      <c r="AO33" s="690"/>
      <c r="AP33" s="690"/>
      <c r="AQ33" s="690"/>
      <c r="AR33" s="690"/>
      <c r="AS33" s="689">
        <f t="shared" si="21"/>
        <v>1E-4</v>
      </c>
      <c r="AT33" s="690">
        <f t="shared" si="22"/>
        <v>1E-4</v>
      </c>
      <c r="AU33" s="690">
        <f t="shared" si="23"/>
        <v>2.0000000000000001E-4</v>
      </c>
      <c r="AV33" s="690">
        <f t="shared" si="24"/>
        <v>2.9999999999999997E-4</v>
      </c>
      <c r="AW33" s="690">
        <f t="shared" si="25"/>
        <v>6.0004</v>
      </c>
      <c r="AX33" s="690">
        <f t="shared" si="26"/>
        <v>8.0005000000000006</v>
      </c>
      <c r="AY33" s="690">
        <f t="shared" si="27"/>
        <v>12.0006</v>
      </c>
      <c r="AZ33" s="690">
        <f t="shared" si="28"/>
        <v>2.0007000000000001</v>
      </c>
      <c r="BA33" s="690">
        <f t="shared" si="29"/>
        <v>8.0000000000000004E-4</v>
      </c>
      <c r="BB33" s="690">
        <f t="shared" si="30"/>
        <v>6.0008999999999997</v>
      </c>
      <c r="BC33" s="690">
        <f t="shared" si="31"/>
        <v>1E-3</v>
      </c>
      <c r="BI33" s="581" t="e">
        <f t="shared" si="32"/>
        <v>#VALUE!</v>
      </c>
      <c r="BJ33" s="581" t="e">
        <f t="shared" si="33"/>
        <v>#VALUE!</v>
      </c>
      <c r="BK33" s="581" t="e">
        <f t="shared" si="34"/>
        <v>#VALUE!</v>
      </c>
      <c r="BL33" s="581">
        <f t="shared" si="35"/>
        <v>9</v>
      </c>
      <c r="BM33" s="581">
        <f t="shared" si="36"/>
        <v>7</v>
      </c>
      <c r="BN33" s="581">
        <f t="shared" si="37"/>
        <v>5</v>
      </c>
      <c r="BO33" s="581">
        <f t="shared" si="38"/>
        <v>13</v>
      </c>
      <c r="BP33" s="581" t="e">
        <f t="shared" si="39"/>
        <v>#VALUE!</v>
      </c>
      <c r="BQ33" s="581">
        <f t="shared" si="40"/>
        <v>6</v>
      </c>
      <c r="BR33" s="581" t="e">
        <f t="shared" si="41"/>
        <v>#VALUE!</v>
      </c>
    </row>
    <row r="34" spans="1:70" x14ac:dyDescent="0.2">
      <c r="A34" s="768">
        <f t="shared" si="1"/>
        <v>21</v>
      </c>
      <c r="B34" s="769">
        <f t="shared" si="2"/>
        <v>28</v>
      </c>
      <c r="C34" s="770">
        <f t="shared" si="3"/>
        <v>10</v>
      </c>
      <c r="D34" s="769">
        <f t="shared" si="4"/>
        <v>28</v>
      </c>
      <c r="E34" s="771">
        <f t="shared" si="5"/>
        <v>20</v>
      </c>
      <c r="F34" s="769">
        <f t="shared" si="6"/>
        <v>28</v>
      </c>
      <c r="G34" s="772" t="str">
        <f t="shared" si="7"/>
        <v/>
      </c>
      <c r="H34" s="769">
        <f t="shared" si="8"/>
        <v>-972</v>
      </c>
      <c r="I34" s="773" t="str">
        <f t="shared" si="9"/>
        <v/>
      </c>
      <c r="J34" s="774">
        <f t="shared" si="10"/>
        <v>-972</v>
      </c>
      <c r="K34" s="796">
        <f t="shared" si="11"/>
        <v>28</v>
      </c>
      <c r="L34" s="797" t="s">
        <v>9</v>
      </c>
      <c r="M34" s="696"/>
      <c r="N34" s="798" t="str">
        <f>IF(M34="","m","")</f>
        <v>m</v>
      </c>
      <c r="O34" s="697"/>
      <c r="P34" s="799" t="s">
        <v>190</v>
      </c>
      <c r="Q34" s="777" t="s">
        <v>189</v>
      </c>
      <c r="R34" s="673">
        <f>(IF(COUNT(Z34,AA34,AB34,AC34,AD34,AE34,AF34,AG34,AH34,AI34)&lt;9,SUM(Z34,AA34,AB34,AC34,AD34,AE34,AF34,AG34,AH34,AI34),SUM(LARGE((Z34,AA34,AB34,AC34,AD34,AE34,AF34,AG34,AH34,AI34),{1;2;3;4;5;6;7;8;9}))))</f>
        <v>30</v>
      </c>
      <c r="S34" s="684" t="str">
        <f>INDEX(ETAPP!B$1:B$32,MATCH(COUNTIF(BI34:BR34,1),ETAPP!A$1:A$32,0))&amp;INDEX(ETAPP!B$1:B$32,MATCH(COUNTIF(BI34:BR34,2),ETAPP!A$1:A$32,0))&amp;INDEX(ETAPP!B$1:B$32,MATCH(COUNTIF(BI34:BR34,3),ETAPP!A$1:A$32,0))&amp;INDEX(ETAPP!B$1:B$32,MATCH(COUNTIF(BI34:BR34,4),ETAPP!A$1:A$32,0))&amp;INDEX(ETAPP!B$1:B$32,MATCH(COUNTIF(BI34:BR34,5),ETAPP!A$1:A$32,0))&amp;INDEX(ETAPP!B$1:B$32,MATCH(COUNTIF(BI34:BR34,6),ETAPP!A$1:A$32,0))&amp;INDEX(ETAPP!B$1:B$32,MATCH(COUNTIF(BI34:BR34,7),ETAPP!A$1:A$32,0))&amp;INDEX(ETAPP!B$1:B$32,MATCH(COUNTIF(BI34:BR34,8),ETAPP!A$1:A$32,0))&amp;INDEX(ETAPP!B$1:B$32,MATCH(COUNTIF(BI34:BR34,9),ETAPP!A$1:A$32,0))&amp;INDEX(ETAPP!B$1:B$32,MATCH(COUNTIF(BI34:BR34,10),ETAPP!A$1:A$32,0))&amp;INDEX(ETAPP!B$1:B$32,MATCH(COUNTIF(BI34:BR34,11),ETAPP!A$1:A$32,0))&amp;INDEX(ETAPP!B$1:B$32,MATCH(COUNTIF(BI34:BR34,12),ETAPP!A$1:A$32,0))&amp;INDEX(ETAPP!B$1:B$32,MATCH(COUNTIF(BI34:BR34,13),ETAPP!A$1:A$32,0))&amp;INDEX(ETAPP!B$1:B$32,MATCH(COUNTIF(BI34:BR34,14),ETAPP!A$1:A$32,0))&amp;INDEX(ETAPP!B$1:B$32,MATCH(COUNTIF(BI34:BR34,15),ETAPP!A$1:A$32,0))&amp;INDEX(ETAPP!B$1:B$32,MATCH(COUNTIF(BI34:BR34,16),ETAPP!A$1:A$32,0))&amp;INDEX(ETAPP!B$1:B$32,MATCH(COUNTIF(BI34:BR34,17),ETAPP!A$1:A$32,0))&amp;INDEX(ETAPP!B$1:B$32,MATCH(COUNTIF(BI34:BR34,18),ETAPP!A$1:A$32,0))&amp;INDEX(ETAPP!B$1:B$32,MATCH(COUNTIF(BI34:BR34,19),ETAPP!A$1:A$32,0))&amp;INDEX(ETAPP!B$1:B$32,MATCH(COUNTIF(BI34:BR34,20),ETAPP!A$1:A$32,0))&amp;INDEX(ETAPP!B$1:B$32,MATCH(COUNTIF(BI34:BR34,21),ETAPP!A$1:A$32,0))</f>
        <v>0000A0AA00A0000000000</v>
      </c>
      <c r="T34" s="800" t="str">
        <f t="shared" si="12"/>
        <v>030,0-0000A0AA00A0000000000</v>
      </c>
      <c r="U34" s="800">
        <f t="shared" si="13"/>
        <v>28</v>
      </c>
      <c r="V34" s="800">
        <f t="shared" si="14"/>
        <v>33</v>
      </c>
      <c r="W34" s="800" t="str">
        <f t="shared" si="15"/>
        <v>030,0-0000A0AA00A0000000000-033</v>
      </c>
      <c r="X34" s="800">
        <f t="shared" si="16"/>
        <v>28</v>
      </c>
      <c r="Y34" s="801">
        <f t="shared" si="17"/>
        <v>23</v>
      </c>
      <c r="Z34" s="686">
        <f>IFERROR(INDEX('V1'!C$300:C$400,MATCH("*"&amp;L34&amp;"*",'V1'!B$300:B$400,0)),"  ")</f>
        <v>2</v>
      </c>
      <c r="AA34" s="686" t="str">
        <f>IFERROR(INDEX('V2'!C$300:C$400,MATCH("*"&amp;L34&amp;"*",'V2'!B$300:B$400,0)),"  ")</f>
        <v xml:space="preserve">  </v>
      </c>
      <c r="AB34" s="686" t="str">
        <f>IFERROR(INDEX('V3'!C$300:C$400,MATCH("*"&amp;L34&amp;"*",'V3'!B$300:B$400,0)),"  ")</f>
        <v xml:space="preserve">  </v>
      </c>
      <c r="AC34" s="686" t="str">
        <f>IFERROR(INDEX('V4'!C$300:C$400,MATCH("*"&amp;L34&amp;"*",'V4'!B$300:B$400,0)),"  ")</f>
        <v xml:space="preserve">  </v>
      </c>
      <c r="AD34" s="686">
        <f>IFERROR(INDEX('V5'!C$300:C$400,MATCH("*"&amp;L34&amp;"*",'V5'!B$300:B$400,0)),"  ")</f>
        <v>12</v>
      </c>
      <c r="AE34" s="686" t="str">
        <f>IFERROR(INDEX('V6'!C$300:C$400,MATCH("*"&amp;L34&amp;"*",'V6'!B$300:B$400,0)),"  ")</f>
        <v xml:space="preserve">  </v>
      </c>
      <c r="AF34" s="686">
        <f>IFERROR(INDEX('V7'!C$300:C$400,MATCH("*"&amp;L34&amp;"*",'V7'!B$300:B$400,0)),"  ")</f>
        <v>12</v>
      </c>
      <c r="AG34" s="686" t="str">
        <f>IFERROR(INDEX('V8'!C$300:C$400,MATCH("*"&amp;L34&amp;"*",'V8'!B$300:B$400,0)),"  ")</f>
        <v xml:space="preserve">  </v>
      </c>
      <c r="AH34" s="686">
        <f>IFERROR(INDEX('V9'!C$300:C$400,MATCH("*"&amp;L34&amp;"*",'V9'!B$300:B$400,0)),"  ")</f>
        <v>4</v>
      </c>
      <c r="AI34" s="686" t="str">
        <f>IFERROR(INDEX('V10'!C$300:C$400,MATCH("*"&amp;L34&amp;"*",'V10'!B$300:B$400,0)),"  ")</f>
        <v xml:space="preserve">  </v>
      </c>
      <c r="AJ34" s="687">
        <f t="shared" si="18"/>
        <v>4</v>
      </c>
      <c r="AK34" s="688">
        <f t="shared" si="19"/>
        <v>0</v>
      </c>
      <c r="AL34" s="688">
        <f t="shared" si="20"/>
        <v>0</v>
      </c>
      <c r="AM34" s="783"/>
      <c r="AN34" s="689"/>
      <c r="AO34" s="690"/>
      <c r="AP34" s="690"/>
      <c r="AQ34" s="690"/>
      <c r="AR34" s="690"/>
      <c r="AS34" s="689">
        <f t="shared" si="21"/>
        <v>2.0000000000000001E-4</v>
      </c>
      <c r="AT34" s="690">
        <f t="shared" si="22"/>
        <v>2.0001000000000002</v>
      </c>
      <c r="AU34" s="690">
        <f t="shared" si="23"/>
        <v>2.0000000000000001E-4</v>
      </c>
      <c r="AV34" s="690">
        <f t="shared" si="24"/>
        <v>2.9999999999999997E-4</v>
      </c>
      <c r="AW34" s="690">
        <f t="shared" si="25"/>
        <v>4.0000000000000002E-4</v>
      </c>
      <c r="AX34" s="690">
        <f t="shared" si="26"/>
        <v>12.000500000000001</v>
      </c>
      <c r="AY34" s="690">
        <f t="shared" si="27"/>
        <v>5.9999999999999995E-4</v>
      </c>
      <c r="AZ34" s="690">
        <f t="shared" si="28"/>
        <v>12.0007</v>
      </c>
      <c r="BA34" s="690">
        <f t="shared" si="29"/>
        <v>8.0000000000000004E-4</v>
      </c>
      <c r="BB34" s="690">
        <f t="shared" si="30"/>
        <v>4.0008999999999997</v>
      </c>
      <c r="BC34" s="690">
        <f t="shared" si="31"/>
        <v>1E-3</v>
      </c>
      <c r="BI34" s="581">
        <f t="shared" si="32"/>
        <v>11</v>
      </c>
      <c r="BJ34" s="581" t="e">
        <f t="shared" si="33"/>
        <v>#VALUE!</v>
      </c>
      <c r="BK34" s="581" t="e">
        <f t="shared" si="34"/>
        <v>#VALUE!</v>
      </c>
      <c r="BL34" s="581" t="e">
        <f t="shared" si="35"/>
        <v>#VALUE!</v>
      </c>
      <c r="BM34" s="581">
        <f t="shared" si="36"/>
        <v>5</v>
      </c>
      <c r="BN34" s="581" t="e">
        <f t="shared" si="37"/>
        <v>#VALUE!</v>
      </c>
      <c r="BO34" s="581">
        <f t="shared" si="38"/>
        <v>8</v>
      </c>
      <c r="BP34" s="581" t="e">
        <f t="shared" si="39"/>
        <v>#VALUE!</v>
      </c>
      <c r="BQ34" s="581">
        <f t="shared" si="40"/>
        <v>7</v>
      </c>
      <c r="BR34" s="581" t="e">
        <f t="shared" si="41"/>
        <v>#VALUE!</v>
      </c>
    </row>
    <row r="35" spans="1:70" x14ac:dyDescent="0.2">
      <c r="A35" s="768">
        <f t="shared" si="1"/>
        <v>22</v>
      </c>
      <c r="B35" s="769">
        <f t="shared" si="2"/>
        <v>29</v>
      </c>
      <c r="C35" s="770">
        <f t="shared" si="3"/>
        <v>11</v>
      </c>
      <c r="D35" s="769">
        <f t="shared" si="4"/>
        <v>29</v>
      </c>
      <c r="E35" s="771">
        <f t="shared" si="5"/>
        <v>21</v>
      </c>
      <c r="F35" s="769">
        <f t="shared" si="6"/>
        <v>29</v>
      </c>
      <c r="G35" s="772" t="str">
        <f t="shared" si="7"/>
        <v/>
      </c>
      <c r="H35" s="769">
        <f t="shared" si="8"/>
        <v>-971</v>
      </c>
      <c r="I35" s="773" t="str">
        <f t="shared" si="9"/>
        <v/>
      </c>
      <c r="J35" s="774">
        <f t="shared" si="10"/>
        <v>-971</v>
      </c>
      <c r="K35" s="680">
        <f t="shared" si="11"/>
        <v>29</v>
      </c>
      <c r="L35" s="785" t="s">
        <v>201</v>
      </c>
      <c r="M35" s="682"/>
      <c r="N35" s="775" t="str">
        <f>IF(M35="","m","")</f>
        <v>m</v>
      </c>
      <c r="O35" s="683"/>
      <c r="P35" s="776" t="s">
        <v>190</v>
      </c>
      <c r="Q35" s="777" t="s">
        <v>189</v>
      </c>
      <c r="R35" s="673">
        <f>(IF(COUNT(Z35,AA35,AB35,AC35,AD35,AE35,AF35,AG35,AH35,AI35)&lt;9,SUM(Z35,AA35,AB35,AC35,AD35,AE35,AF35,AG35,AH35,AI35),SUM(LARGE((Z35,AA35,AB35,AC35,AD35,AE35,AF35,AG35,AH35,AI35),{1;2;3;4;5;6;7;8;9}))))</f>
        <v>26</v>
      </c>
      <c r="S35" s="684" t="str">
        <f>INDEX(ETAPP!B$1:B$32,MATCH(COUNTIF(BI35:BR35,1),ETAPP!A$1:A$32,0))&amp;INDEX(ETAPP!B$1:B$32,MATCH(COUNTIF(BI35:BR35,2),ETAPP!A$1:A$32,0))&amp;INDEX(ETAPP!B$1:B$32,MATCH(COUNTIF(BI35:BR35,3),ETAPP!A$1:A$32,0))&amp;INDEX(ETAPP!B$1:B$32,MATCH(COUNTIF(BI35:BR35,4),ETAPP!A$1:A$32,0))&amp;INDEX(ETAPP!B$1:B$32,MATCH(COUNTIF(BI35:BR35,5),ETAPP!A$1:A$32,0))&amp;INDEX(ETAPP!B$1:B$32,MATCH(COUNTIF(BI35:BR35,6),ETAPP!A$1:A$32,0))&amp;INDEX(ETAPP!B$1:B$32,MATCH(COUNTIF(BI35:BR35,7),ETAPP!A$1:A$32,0))&amp;INDEX(ETAPP!B$1:B$32,MATCH(COUNTIF(BI35:BR35,8),ETAPP!A$1:A$32,0))&amp;INDEX(ETAPP!B$1:B$32,MATCH(COUNTIF(BI35:BR35,9),ETAPP!A$1:A$32,0))&amp;INDEX(ETAPP!B$1:B$32,MATCH(COUNTIF(BI35:BR35,10),ETAPP!A$1:A$32,0))&amp;INDEX(ETAPP!B$1:B$32,MATCH(COUNTIF(BI35:BR35,11),ETAPP!A$1:A$32,0))&amp;INDEX(ETAPP!B$1:B$32,MATCH(COUNTIF(BI35:BR35,12),ETAPP!A$1:A$32,0))&amp;INDEX(ETAPP!B$1:B$32,MATCH(COUNTIF(BI35:BR35,13),ETAPP!A$1:A$32,0))&amp;INDEX(ETAPP!B$1:B$32,MATCH(COUNTIF(BI35:BR35,14),ETAPP!A$1:A$32,0))&amp;INDEX(ETAPP!B$1:B$32,MATCH(COUNTIF(BI35:BR35,15),ETAPP!A$1:A$32,0))&amp;INDEX(ETAPP!B$1:B$32,MATCH(COUNTIF(BI35:BR35,16),ETAPP!A$1:A$32,0))&amp;INDEX(ETAPP!B$1:B$32,MATCH(COUNTIF(BI35:BR35,17),ETAPP!A$1:A$32,0))&amp;INDEX(ETAPP!B$1:B$32,MATCH(COUNTIF(BI35:BR35,18),ETAPP!A$1:A$32,0))&amp;INDEX(ETAPP!B$1:B$32,MATCH(COUNTIF(BI35:BR35,19),ETAPP!A$1:A$32,0))&amp;INDEX(ETAPP!B$1:B$32,MATCH(COUNTIF(BI35:BR35,20),ETAPP!A$1:A$32,0))&amp;INDEX(ETAPP!B$1:B$32,MATCH(COUNTIF(BI35:BR35,21),ETAPP!A$1:A$32,0))</f>
        <v>A00000000000000000000</v>
      </c>
      <c r="T35" s="684" t="str">
        <f t="shared" si="12"/>
        <v>026,0-A00000000000000000000</v>
      </c>
      <c r="U35" s="684">
        <f t="shared" si="13"/>
        <v>29</v>
      </c>
      <c r="V35" s="684">
        <f t="shared" si="14"/>
        <v>49</v>
      </c>
      <c r="W35" s="684" t="str">
        <f t="shared" si="15"/>
        <v>026,0-A00000000000000000000-049</v>
      </c>
      <c r="X35" s="684">
        <f t="shared" si="16"/>
        <v>29</v>
      </c>
      <c r="Y35" s="685">
        <f t="shared" si="17"/>
        <v>22</v>
      </c>
      <c r="Z35" s="686" t="str">
        <f>IFERROR(INDEX('V1'!C$300:C$400,MATCH("*"&amp;L35&amp;"*",'V1'!B$300:B$400,0)),"  ")</f>
        <v xml:space="preserve">  </v>
      </c>
      <c r="AA35" s="686" t="str">
        <f>IFERROR(INDEX('V2'!C$300:C$400,MATCH("*"&amp;L35&amp;"*",'V2'!B$300:B$400,0)),"  ")</f>
        <v xml:space="preserve">  </v>
      </c>
      <c r="AB35" s="686" t="str">
        <f>IFERROR(INDEX('V3'!C$300:C$400,MATCH("*"&amp;L35&amp;"*",'V3'!B$300:B$400,0)),"  ")</f>
        <v xml:space="preserve">  </v>
      </c>
      <c r="AC35" s="686" t="str">
        <f>IFERROR(INDEX('V4'!C$300:C$400,MATCH("*"&amp;L35&amp;"*",'V4'!B$300:B$400,0)),"  ")</f>
        <v xml:space="preserve">  </v>
      </c>
      <c r="AD35" s="686" t="str">
        <f>IFERROR(INDEX('V5'!C$300:C$400,MATCH("*"&amp;L35&amp;"*",'V5'!B$300:B$400,0)),"  ")</f>
        <v xml:space="preserve">  </v>
      </c>
      <c r="AE35" s="686" t="str">
        <f>IFERROR(INDEX('V6'!C$300:C$400,MATCH("*"&amp;L35&amp;"*",'V6'!B$300:B$400,0)),"  ")</f>
        <v xml:space="preserve">  </v>
      </c>
      <c r="AF35" s="686">
        <f>IFERROR(INDEX('V7'!C$300:C$400,MATCH("*"&amp;L35&amp;"*",'V7'!B$300:B$400,0)),"  ")</f>
        <v>26</v>
      </c>
      <c r="AG35" s="686" t="str">
        <f>IFERROR(INDEX('V8'!C$300:C$400,MATCH("*"&amp;L35&amp;"*",'V8'!B$300:B$400,0)),"  ")</f>
        <v xml:space="preserve">  </v>
      </c>
      <c r="AH35" s="686" t="str">
        <f>IFERROR(INDEX('V9'!C$300:C$400,MATCH("*"&amp;L35&amp;"*",'V9'!B$300:B$400,0)),"  ")</f>
        <v xml:space="preserve">  </v>
      </c>
      <c r="AI35" s="686" t="str">
        <f>IFERROR(INDEX('V10'!C$300:C$400,MATCH("*"&amp;L35&amp;"*",'V10'!B$300:B$400,0)),"  ")</f>
        <v xml:space="preserve">  </v>
      </c>
      <c r="AJ35" s="687">
        <f t="shared" si="18"/>
        <v>1</v>
      </c>
      <c r="AK35" s="688">
        <f t="shared" si="19"/>
        <v>1</v>
      </c>
      <c r="AL35" s="688">
        <f t="shared" si="20"/>
        <v>1</v>
      </c>
      <c r="AM35" s="642"/>
      <c r="AN35" s="689"/>
      <c r="AO35" s="690"/>
      <c r="AP35" s="690"/>
      <c r="AQ35" s="690"/>
      <c r="AR35" s="690"/>
      <c r="AS35" s="689">
        <f t="shared" si="21"/>
        <v>1E-4</v>
      </c>
      <c r="AT35" s="690">
        <f t="shared" si="22"/>
        <v>1E-4</v>
      </c>
      <c r="AU35" s="690">
        <f t="shared" si="23"/>
        <v>2.0000000000000001E-4</v>
      </c>
      <c r="AV35" s="690">
        <f t="shared" si="24"/>
        <v>2.9999999999999997E-4</v>
      </c>
      <c r="AW35" s="690">
        <f t="shared" si="25"/>
        <v>4.0000000000000002E-4</v>
      </c>
      <c r="AX35" s="690">
        <f t="shared" si="26"/>
        <v>5.0000000000000001E-4</v>
      </c>
      <c r="AY35" s="690">
        <f t="shared" si="27"/>
        <v>5.9999999999999995E-4</v>
      </c>
      <c r="AZ35" s="690">
        <f t="shared" si="28"/>
        <v>26.000699999999998</v>
      </c>
      <c r="BA35" s="690">
        <f t="shared" si="29"/>
        <v>8.0000000000000004E-4</v>
      </c>
      <c r="BB35" s="690">
        <f t="shared" si="30"/>
        <v>8.9999999999999998E-4</v>
      </c>
      <c r="BC35" s="690">
        <f t="shared" si="31"/>
        <v>1E-3</v>
      </c>
      <c r="BI35" s="581" t="e">
        <f t="shared" si="32"/>
        <v>#VALUE!</v>
      </c>
      <c r="BJ35" s="581" t="e">
        <f t="shared" si="33"/>
        <v>#VALUE!</v>
      </c>
      <c r="BK35" s="581" t="e">
        <f t="shared" si="34"/>
        <v>#VALUE!</v>
      </c>
      <c r="BL35" s="581" t="e">
        <f t="shared" si="35"/>
        <v>#VALUE!</v>
      </c>
      <c r="BM35" s="581" t="e">
        <f t="shared" si="36"/>
        <v>#VALUE!</v>
      </c>
      <c r="BN35" s="581" t="e">
        <f t="shared" si="37"/>
        <v>#VALUE!</v>
      </c>
      <c r="BO35" s="581">
        <f t="shared" si="38"/>
        <v>1</v>
      </c>
      <c r="BP35" s="581" t="e">
        <f t="shared" si="39"/>
        <v>#VALUE!</v>
      </c>
      <c r="BQ35" s="581" t="e">
        <f t="shared" si="40"/>
        <v>#VALUE!</v>
      </c>
      <c r="BR35" s="581" t="e">
        <f t="shared" si="41"/>
        <v>#VALUE!</v>
      </c>
    </row>
    <row r="36" spans="1:70" x14ac:dyDescent="0.2">
      <c r="A36" s="768">
        <f t="shared" si="1"/>
        <v>23</v>
      </c>
      <c r="B36" s="769">
        <f t="shared" si="2"/>
        <v>30</v>
      </c>
      <c r="C36" s="770" t="str">
        <f t="shared" si="3"/>
        <v/>
      </c>
      <c r="D36" s="769">
        <f t="shared" si="4"/>
        <v>-970</v>
      </c>
      <c r="E36" s="771" t="str">
        <f t="shared" si="5"/>
        <v/>
      </c>
      <c r="F36" s="769">
        <f t="shared" si="6"/>
        <v>-970</v>
      </c>
      <c r="G36" s="772">
        <f t="shared" si="7"/>
        <v>6</v>
      </c>
      <c r="H36" s="769">
        <f t="shared" si="8"/>
        <v>30</v>
      </c>
      <c r="I36" s="773">
        <f t="shared" si="9"/>
        <v>2</v>
      </c>
      <c r="J36" s="774">
        <f t="shared" si="10"/>
        <v>30</v>
      </c>
      <c r="K36" s="680">
        <f t="shared" si="11"/>
        <v>30</v>
      </c>
      <c r="L36" s="681" t="s">
        <v>486</v>
      </c>
      <c r="M36" s="682" t="s">
        <v>99</v>
      </c>
      <c r="N36" s="775"/>
      <c r="O36" s="693" t="s">
        <v>105</v>
      </c>
      <c r="P36" s="776"/>
      <c r="Q36" s="777" t="s">
        <v>189</v>
      </c>
      <c r="R36" s="673">
        <f>(IF(COUNT(Z36,AA36,AB36,AC36,AD36,AE36,AF36,AG36,AH36,AI36)&lt;9,SUM(Z36,AA36,AB36,AC36,AD36,AE36,AF36,AG36,AH36,AI36),SUM(LARGE((Z36,AA36,AB36,AC36,AD36,AE36,AF36,AG36,AH36,AI36),{1;2;3;4;5;6;7;8;9}))))</f>
        <v>24</v>
      </c>
      <c r="S36" s="684" t="str">
        <f>INDEX(ETAPP!B$1:B$32,MATCH(COUNTIF(BI36:BR36,1),ETAPP!A$1:A$32,0))&amp;INDEX(ETAPP!B$1:B$32,MATCH(COUNTIF(BI36:BR36,2),ETAPP!A$1:A$32,0))&amp;INDEX(ETAPP!B$1:B$32,MATCH(COUNTIF(BI36:BR36,3),ETAPP!A$1:A$32,0))&amp;INDEX(ETAPP!B$1:B$32,MATCH(COUNTIF(BI36:BR36,4),ETAPP!A$1:A$32,0))&amp;INDEX(ETAPP!B$1:B$32,MATCH(COUNTIF(BI36:BR36,5),ETAPP!A$1:A$32,0))&amp;INDEX(ETAPP!B$1:B$32,MATCH(COUNTIF(BI36:BR36,6),ETAPP!A$1:A$32,0))&amp;INDEX(ETAPP!B$1:B$32,MATCH(COUNTIF(BI36:BR36,7),ETAPP!A$1:A$32,0))&amp;INDEX(ETAPP!B$1:B$32,MATCH(COUNTIF(BI36:BR36,8),ETAPP!A$1:A$32,0))&amp;INDEX(ETAPP!B$1:B$32,MATCH(COUNTIF(BI36:BR36,9),ETAPP!A$1:A$32,0))&amp;INDEX(ETAPP!B$1:B$32,MATCH(COUNTIF(BI36:BR36,10),ETAPP!A$1:A$32,0))&amp;INDEX(ETAPP!B$1:B$32,MATCH(COUNTIF(BI36:BR36,11),ETAPP!A$1:A$32,0))&amp;INDEX(ETAPP!B$1:B$32,MATCH(COUNTIF(BI36:BR36,12),ETAPP!A$1:A$32,0))&amp;INDEX(ETAPP!B$1:B$32,MATCH(COUNTIF(BI36:BR36,13),ETAPP!A$1:A$32,0))&amp;INDEX(ETAPP!B$1:B$32,MATCH(COUNTIF(BI36:BR36,14),ETAPP!A$1:A$32,0))&amp;INDEX(ETAPP!B$1:B$32,MATCH(COUNTIF(BI36:BR36,15),ETAPP!A$1:A$32,0))&amp;INDEX(ETAPP!B$1:B$32,MATCH(COUNTIF(BI36:BR36,16),ETAPP!A$1:A$32,0))&amp;INDEX(ETAPP!B$1:B$32,MATCH(COUNTIF(BI36:BR36,17),ETAPP!A$1:A$32,0))&amp;INDEX(ETAPP!B$1:B$32,MATCH(COUNTIF(BI36:BR36,18),ETAPP!A$1:A$32,0))&amp;INDEX(ETAPP!B$1:B$32,MATCH(COUNTIF(BI36:BR36,19),ETAPP!A$1:A$32,0))&amp;INDEX(ETAPP!B$1:B$32,MATCH(COUNTIF(BI36:BR36,20),ETAPP!A$1:A$32,0))&amp;INDEX(ETAPP!B$1:B$32,MATCH(COUNTIF(BI36:BR36,21),ETAPP!A$1:A$32,0))</f>
        <v>000A00A00000000000000</v>
      </c>
      <c r="T36" s="684" t="str">
        <f t="shared" si="12"/>
        <v>024,0-000A00A00000000000000</v>
      </c>
      <c r="U36" s="684">
        <f t="shared" si="13"/>
        <v>30</v>
      </c>
      <c r="V36" s="684">
        <f t="shared" si="14"/>
        <v>50</v>
      </c>
      <c r="W36" s="684" t="str">
        <f t="shared" si="15"/>
        <v>024,0-000A00A00000000000000-050</v>
      </c>
      <c r="X36" s="684">
        <f t="shared" si="16"/>
        <v>30</v>
      </c>
      <c r="Y36" s="685">
        <f t="shared" si="17"/>
        <v>21</v>
      </c>
      <c r="Z36" s="686">
        <f>IFERROR(INDEX('V1'!C$300:C$400,MATCH("*"&amp;L36&amp;"*",'V1'!B$300:B$400,0)),"  ")</f>
        <v>16</v>
      </c>
      <c r="AA36" s="686">
        <f>IFERROR(INDEX('V2'!C$300:C$400,MATCH("*"&amp;L36&amp;"*",'V2'!B$300:B$400,0)),"  ")</f>
        <v>8</v>
      </c>
      <c r="AB36" s="686" t="str">
        <f>IFERROR(INDEX('V3'!C$300:C$400,MATCH("*"&amp;L36&amp;"*",'V3'!B$300:B$400,0)),"  ")</f>
        <v xml:space="preserve">  </v>
      </c>
      <c r="AC36" s="686" t="str">
        <f>IFERROR(INDEX('V4'!C$300:C$400,MATCH("*"&amp;L36&amp;"*",'V4'!B$300:B$400,0)),"  ")</f>
        <v xml:space="preserve">  </v>
      </c>
      <c r="AD36" s="686" t="str">
        <f>IFERROR(INDEX('V5'!C$300:C$400,MATCH("*"&amp;L36&amp;"*",'V5'!B$300:B$400,0)),"  ")</f>
        <v xml:space="preserve">  </v>
      </c>
      <c r="AE36" s="686" t="str">
        <f>IFERROR(INDEX('V6'!C$300:C$400,MATCH("*"&amp;L36&amp;"*",'V6'!B$300:B$400,0)),"  ")</f>
        <v xml:space="preserve">  </v>
      </c>
      <c r="AF36" s="686" t="str">
        <f>IFERROR(INDEX('V7'!C$300:C$400,MATCH("*"&amp;L36&amp;"*",'V7'!B$300:B$400,0)),"  ")</f>
        <v xml:space="preserve">  </v>
      </c>
      <c r="AG36" s="686" t="str">
        <f>IFERROR(INDEX('V8'!C$300:C$400,MATCH("*"&amp;L36&amp;"*",'V8'!B$300:B$400,0)),"  ")</f>
        <v xml:space="preserve">  </v>
      </c>
      <c r="AH36" s="686" t="str">
        <f>IFERROR(INDEX('V9'!C$300:C$400,MATCH("*"&amp;L36&amp;"*",'V9'!B$300:B$400,0)),"  ")</f>
        <v xml:space="preserve">  </v>
      </c>
      <c r="AI36" s="686" t="str">
        <f>IFERROR(INDEX('V10'!C$300:C$400,MATCH("*"&amp;L36&amp;"*",'V10'!B$300:B$400,0)),"  ")</f>
        <v xml:space="preserve">  </v>
      </c>
      <c r="AJ36" s="687">
        <f t="shared" si="18"/>
        <v>2</v>
      </c>
      <c r="AK36" s="688">
        <f t="shared" si="19"/>
        <v>0</v>
      </c>
      <c r="AL36" s="688">
        <f t="shared" si="20"/>
        <v>0</v>
      </c>
      <c r="AM36" s="642"/>
      <c r="AN36" s="689"/>
      <c r="AO36" s="690"/>
      <c r="AP36" s="690"/>
      <c r="AQ36" s="690"/>
      <c r="AR36" s="690"/>
      <c r="AS36" s="689">
        <f t="shared" si="21"/>
        <v>2.9999999999999997E-4</v>
      </c>
      <c r="AT36" s="690">
        <f t="shared" si="22"/>
        <v>16.0001</v>
      </c>
      <c r="AU36" s="690">
        <f t="shared" si="23"/>
        <v>8.0001999999999995</v>
      </c>
      <c r="AV36" s="690">
        <f t="shared" si="24"/>
        <v>2.9999999999999997E-4</v>
      </c>
      <c r="AW36" s="690">
        <f t="shared" si="25"/>
        <v>4.0000000000000002E-4</v>
      </c>
      <c r="AX36" s="690">
        <f t="shared" si="26"/>
        <v>5.0000000000000001E-4</v>
      </c>
      <c r="AY36" s="690">
        <f t="shared" si="27"/>
        <v>5.9999999999999995E-4</v>
      </c>
      <c r="AZ36" s="690">
        <f t="shared" si="28"/>
        <v>6.9999999999999999E-4</v>
      </c>
      <c r="BA36" s="690">
        <f t="shared" si="29"/>
        <v>8.0000000000000004E-4</v>
      </c>
      <c r="BB36" s="690">
        <f t="shared" si="30"/>
        <v>8.9999999999999998E-4</v>
      </c>
      <c r="BC36" s="690">
        <f t="shared" si="31"/>
        <v>1E-3</v>
      </c>
      <c r="BH36" s="783"/>
      <c r="BI36" s="581">
        <f t="shared" si="32"/>
        <v>4</v>
      </c>
      <c r="BJ36" s="581">
        <f t="shared" si="33"/>
        <v>7</v>
      </c>
      <c r="BK36" s="581" t="e">
        <f t="shared" si="34"/>
        <v>#VALUE!</v>
      </c>
      <c r="BL36" s="581" t="e">
        <f t="shared" si="35"/>
        <v>#VALUE!</v>
      </c>
      <c r="BM36" s="581" t="e">
        <f t="shared" si="36"/>
        <v>#VALUE!</v>
      </c>
      <c r="BN36" s="581" t="e">
        <f t="shared" si="37"/>
        <v>#VALUE!</v>
      </c>
      <c r="BO36" s="581" t="e">
        <f t="shared" si="38"/>
        <v>#VALUE!</v>
      </c>
      <c r="BP36" s="581" t="e">
        <f t="shared" si="39"/>
        <v>#VALUE!</v>
      </c>
      <c r="BQ36" s="581" t="e">
        <f t="shared" si="40"/>
        <v>#VALUE!</v>
      </c>
      <c r="BR36" s="581" t="e">
        <f t="shared" si="41"/>
        <v>#VALUE!</v>
      </c>
    </row>
    <row r="37" spans="1:70" x14ac:dyDescent="0.2">
      <c r="A37" s="768" t="str">
        <f t="shared" si="1"/>
        <v/>
      </c>
      <c r="B37" s="769">
        <f t="shared" si="2"/>
        <v>-969</v>
      </c>
      <c r="C37" s="770" t="str">
        <f t="shared" si="3"/>
        <v/>
      </c>
      <c r="D37" s="769">
        <f t="shared" si="4"/>
        <v>-969</v>
      </c>
      <c r="E37" s="771">
        <f t="shared" si="5"/>
        <v>22</v>
      </c>
      <c r="F37" s="769">
        <f t="shared" si="6"/>
        <v>31</v>
      </c>
      <c r="G37" s="772" t="str">
        <f t="shared" si="7"/>
        <v/>
      </c>
      <c r="H37" s="769">
        <f t="shared" si="8"/>
        <v>-969</v>
      </c>
      <c r="I37" s="773" t="str">
        <f t="shared" si="9"/>
        <v/>
      </c>
      <c r="J37" s="774">
        <f t="shared" si="10"/>
        <v>-969</v>
      </c>
      <c r="K37" s="680">
        <f t="shared" si="11"/>
        <v>31</v>
      </c>
      <c r="L37" s="681" t="s">
        <v>633</v>
      </c>
      <c r="M37" s="682"/>
      <c r="N37" s="775" t="s">
        <v>191</v>
      </c>
      <c r="O37" s="683"/>
      <c r="P37" s="776"/>
      <c r="Q37" s="777"/>
      <c r="R37" s="673">
        <f>(IF(COUNT(Z37,AA37,AB37,AC37,AD37,AE37,AF37,AG37,AH37,AI37)&lt;9,SUM(Z37,AA37,AB37,AC37,AD37,AE37,AF37,AG37,AH37,AI37),SUM(LARGE((Z37,AA37,AB37,AC37,AD37,AE37,AF37,AG37,AH37,AI37),{1;2;3;4;5;6;7;8;9}))))</f>
        <v>20</v>
      </c>
      <c r="S37" s="684" t="str">
        <f>INDEX(ETAPP!B$1:B$32,MATCH(COUNTIF(BI37:BR37,1),ETAPP!A$1:A$32,0))&amp;INDEX(ETAPP!B$1:B$32,MATCH(COUNTIF(BI37:BR37,2),ETAPP!A$1:A$32,0))&amp;INDEX(ETAPP!B$1:B$32,MATCH(COUNTIF(BI37:BR37,3),ETAPP!A$1:A$32,0))&amp;INDEX(ETAPP!B$1:B$32,MATCH(COUNTIF(BI37:BR37,4),ETAPP!A$1:A$32,0))&amp;INDEX(ETAPP!B$1:B$32,MATCH(COUNTIF(BI37:BR37,5),ETAPP!A$1:A$32,0))&amp;INDEX(ETAPP!B$1:B$32,MATCH(COUNTIF(BI37:BR37,6),ETAPP!A$1:A$32,0))&amp;INDEX(ETAPP!B$1:B$32,MATCH(COUNTIF(BI37:BR37,7),ETAPP!A$1:A$32,0))&amp;INDEX(ETAPP!B$1:B$32,MATCH(COUNTIF(BI37:BR37,8),ETAPP!A$1:A$32,0))&amp;INDEX(ETAPP!B$1:B$32,MATCH(COUNTIF(BI37:BR37,9),ETAPP!A$1:A$32,0))&amp;INDEX(ETAPP!B$1:B$32,MATCH(COUNTIF(BI37:BR37,10),ETAPP!A$1:A$32,0))&amp;INDEX(ETAPP!B$1:B$32,MATCH(COUNTIF(BI37:BR37,11),ETAPP!A$1:A$32,0))&amp;INDEX(ETAPP!B$1:B$32,MATCH(COUNTIF(BI37:BR37,12),ETAPP!A$1:A$32,0))&amp;INDEX(ETAPP!B$1:B$32,MATCH(COUNTIF(BI37:BR37,13),ETAPP!A$1:A$32,0))&amp;INDEX(ETAPP!B$1:B$32,MATCH(COUNTIF(BI37:BR37,14),ETAPP!A$1:A$32,0))&amp;INDEX(ETAPP!B$1:B$32,MATCH(COUNTIF(BI37:BR37,15),ETAPP!A$1:A$32,0))&amp;INDEX(ETAPP!B$1:B$32,MATCH(COUNTIF(BI37:BR37,16),ETAPP!A$1:A$32,0))&amp;INDEX(ETAPP!B$1:B$32,MATCH(COUNTIF(BI37:BR37,17),ETAPP!A$1:A$32,0))&amp;INDEX(ETAPP!B$1:B$32,MATCH(COUNTIF(BI37:BR37,18),ETAPP!A$1:A$32,0))&amp;INDEX(ETAPP!B$1:B$32,MATCH(COUNTIF(BI37:BR37,19),ETAPP!A$1:A$32,0))&amp;INDEX(ETAPP!B$1:B$32,MATCH(COUNTIF(BI37:BR37,20),ETAPP!A$1:A$32,0))&amp;INDEX(ETAPP!B$1:B$32,MATCH(COUNTIF(BI37:BR37,21),ETAPP!A$1:A$32,0))</f>
        <v>A00000000000000000000</v>
      </c>
      <c r="T37" s="684" t="str">
        <f t="shared" si="12"/>
        <v>020,0-A00000000000000000000</v>
      </c>
      <c r="U37" s="684">
        <f t="shared" si="13"/>
        <v>31</v>
      </c>
      <c r="V37" s="684">
        <f t="shared" si="14"/>
        <v>10</v>
      </c>
      <c r="W37" s="684" t="str">
        <f t="shared" si="15"/>
        <v>020,0-A00000000000000000000-010</v>
      </c>
      <c r="X37" s="684">
        <f t="shared" si="16"/>
        <v>31</v>
      </c>
      <c r="Y37" s="685">
        <f t="shared" si="17"/>
        <v>20</v>
      </c>
      <c r="Z37" s="686" t="str">
        <f>IFERROR(INDEX('V1'!C$300:C$400,MATCH("*"&amp;L37&amp;"*",'V1'!B$300:B$400,0)),"  ")</f>
        <v xml:space="preserve">  </v>
      </c>
      <c r="AA37" s="686" t="str">
        <f>IFERROR(INDEX('V2'!C$300:C$400,MATCH("*"&amp;L37&amp;"*",'V2'!B$300:B$400,0)),"  ")</f>
        <v xml:space="preserve">  </v>
      </c>
      <c r="AB37" s="686" t="str">
        <f>IFERROR(INDEX('V3'!C$300:C$400,MATCH("*"&amp;L37&amp;"*",'V3'!B$300:B$400,0)),"  ")</f>
        <v xml:space="preserve">  </v>
      </c>
      <c r="AC37" s="686" t="str">
        <f>IFERROR(INDEX('V4'!C$300:C$400,MATCH("*"&amp;L37&amp;"*",'V4'!B$300:B$400,0)),"  ")</f>
        <v xml:space="preserve">  </v>
      </c>
      <c r="AD37" s="686" t="str">
        <f>IFERROR(INDEX('V5'!C$300:C$400,MATCH("*"&amp;L37&amp;"*",'V5'!B$300:B$400,0)),"  ")</f>
        <v xml:space="preserve">  </v>
      </c>
      <c r="AE37" s="686">
        <f>IFERROR(INDEX('V6'!C$300:C$400,MATCH("*"&amp;L37&amp;"*",'V6'!B$300:B$400,0)),"  ")</f>
        <v>20</v>
      </c>
      <c r="AF37" s="686" t="str">
        <f>IFERROR(INDEX('V7'!C$300:C$400,MATCH("*"&amp;L37&amp;"*",'V7'!B$300:B$400,0)),"  ")</f>
        <v xml:space="preserve">  </v>
      </c>
      <c r="AG37" s="686" t="str">
        <f>IFERROR(INDEX('V8'!C$300:C$400,MATCH("*"&amp;L37&amp;"*",'V8'!B$300:B$400,0)),"  ")</f>
        <v xml:space="preserve">  </v>
      </c>
      <c r="AH37" s="686" t="str">
        <f>IFERROR(INDEX('V9'!C$300:C$400,MATCH("*"&amp;L37&amp;"*",'V9'!B$300:B$400,0)),"  ")</f>
        <v xml:space="preserve">  </v>
      </c>
      <c r="AI37" s="686" t="str">
        <f>IFERROR(INDEX('V10'!C$300:C$400,MATCH("*"&amp;L37&amp;"*",'V10'!B$300:B$400,0)),"  ")</f>
        <v xml:space="preserve">  </v>
      </c>
      <c r="AJ37" s="687">
        <f t="shared" si="18"/>
        <v>1</v>
      </c>
      <c r="AK37" s="688">
        <f t="shared" si="19"/>
        <v>1</v>
      </c>
      <c r="AL37" s="688">
        <f t="shared" si="20"/>
        <v>1</v>
      </c>
      <c r="AM37" s="783"/>
      <c r="AN37" s="689"/>
      <c r="AO37" s="690"/>
      <c r="AP37" s="690"/>
      <c r="AQ37" s="690"/>
      <c r="AR37" s="690"/>
      <c r="AS37" s="689">
        <f t="shared" si="21"/>
        <v>1E-4</v>
      </c>
      <c r="AT37" s="690">
        <f t="shared" si="22"/>
        <v>1E-4</v>
      </c>
      <c r="AU37" s="690">
        <f t="shared" si="23"/>
        <v>2.0000000000000001E-4</v>
      </c>
      <c r="AV37" s="690">
        <f t="shared" si="24"/>
        <v>2.9999999999999997E-4</v>
      </c>
      <c r="AW37" s="690">
        <f t="shared" si="25"/>
        <v>4.0000000000000002E-4</v>
      </c>
      <c r="AX37" s="690">
        <f t="shared" si="26"/>
        <v>5.0000000000000001E-4</v>
      </c>
      <c r="AY37" s="690">
        <f t="shared" si="27"/>
        <v>20.000599999999999</v>
      </c>
      <c r="AZ37" s="690">
        <f t="shared" si="28"/>
        <v>6.9999999999999999E-4</v>
      </c>
      <c r="BA37" s="690">
        <f t="shared" si="29"/>
        <v>8.0000000000000004E-4</v>
      </c>
      <c r="BB37" s="690">
        <f t="shared" si="30"/>
        <v>8.9999999999999998E-4</v>
      </c>
      <c r="BC37" s="690">
        <f t="shared" si="31"/>
        <v>1E-3</v>
      </c>
      <c r="BI37" s="581" t="e">
        <f t="shared" si="32"/>
        <v>#VALUE!</v>
      </c>
      <c r="BJ37" s="581" t="e">
        <f t="shared" si="33"/>
        <v>#VALUE!</v>
      </c>
      <c r="BK37" s="581" t="e">
        <f t="shared" si="34"/>
        <v>#VALUE!</v>
      </c>
      <c r="BL37" s="581" t="e">
        <f t="shared" si="35"/>
        <v>#VALUE!</v>
      </c>
      <c r="BM37" s="581" t="e">
        <f t="shared" si="36"/>
        <v>#VALUE!</v>
      </c>
      <c r="BN37" s="581">
        <f t="shared" si="37"/>
        <v>1</v>
      </c>
      <c r="BO37" s="581" t="e">
        <f t="shared" si="38"/>
        <v>#VALUE!</v>
      </c>
      <c r="BP37" s="581" t="e">
        <f t="shared" si="39"/>
        <v>#VALUE!</v>
      </c>
      <c r="BQ37" s="581" t="e">
        <f t="shared" si="40"/>
        <v>#VALUE!</v>
      </c>
      <c r="BR37" s="581" t="e">
        <f t="shared" si="41"/>
        <v>#VALUE!</v>
      </c>
    </row>
    <row r="38" spans="1:70" x14ac:dyDescent="0.2">
      <c r="A38" s="768">
        <f t="shared" si="1"/>
        <v>24</v>
      </c>
      <c r="B38" s="769">
        <f t="shared" si="2"/>
        <v>32</v>
      </c>
      <c r="C38" s="770">
        <f t="shared" si="3"/>
        <v>12</v>
      </c>
      <c r="D38" s="769">
        <f t="shared" si="4"/>
        <v>32</v>
      </c>
      <c r="E38" s="771">
        <f t="shared" si="5"/>
        <v>23</v>
      </c>
      <c r="F38" s="769">
        <f t="shared" si="6"/>
        <v>32</v>
      </c>
      <c r="G38" s="772" t="str">
        <f t="shared" si="7"/>
        <v/>
      </c>
      <c r="H38" s="769">
        <f t="shared" si="8"/>
        <v>-968</v>
      </c>
      <c r="I38" s="773">
        <f t="shared" si="9"/>
        <v>3</v>
      </c>
      <c r="J38" s="774">
        <f t="shared" si="10"/>
        <v>32</v>
      </c>
      <c r="K38" s="680">
        <f t="shared" si="11"/>
        <v>32</v>
      </c>
      <c r="L38" s="681" t="s">
        <v>234</v>
      </c>
      <c r="M38" s="682"/>
      <c r="N38" s="775" t="s">
        <v>191</v>
      </c>
      <c r="O38" s="693" t="s">
        <v>105</v>
      </c>
      <c r="P38" s="776" t="s">
        <v>190</v>
      </c>
      <c r="Q38" s="777" t="s">
        <v>189</v>
      </c>
      <c r="R38" s="673">
        <f>(IF(COUNT(Z38,AA38,AB38,AC38,AD38,AE38,AF38,AG38,AH38,AI38)&lt;9,SUM(Z38,AA38,AB38,AC38,AD38,AE38,AF38,AG38,AH38,AI38),SUM(LARGE((Z38,AA38,AB38,AC38,AD38,AE38,AF38,AG38,AH38,AI38),{1;2;3;4;5;6;7;8;9}))))</f>
        <v>20</v>
      </c>
      <c r="S38" s="684" t="str">
        <f>INDEX(ETAPP!B$1:B$32,MATCH(COUNTIF(BI38:BR38,1),ETAPP!A$1:A$32,0))&amp;INDEX(ETAPP!B$1:B$32,MATCH(COUNTIF(BI38:BR38,2),ETAPP!A$1:A$32,0))&amp;INDEX(ETAPP!B$1:B$32,MATCH(COUNTIF(BI38:BR38,3),ETAPP!A$1:A$32,0))&amp;INDEX(ETAPP!B$1:B$32,MATCH(COUNTIF(BI38:BR38,4),ETAPP!A$1:A$32,0))&amp;INDEX(ETAPP!B$1:B$32,MATCH(COUNTIF(BI38:BR38,5),ETAPP!A$1:A$32,0))&amp;INDEX(ETAPP!B$1:B$32,MATCH(COUNTIF(BI38:BR38,6),ETAPP!A$1:A$32,0))&amp;INDEX(ETAPP!B$1:B$32,MATCH(COUNTIF(BI38:BR38,7),ETAPP!A$1:A$32,0))&amp;INDEX(ETAPP!B$1:B$32,MATCH(COUNTIF(BI38:BR38,8),ETAPP!A$1:A$32,0))&amp;INDEX(ETAPP!B$1:B$32,MATCH(COUNTIF(BI38:BR38,9),ETAPP!A$1:A$32,0))&amp;INDEX(ETAPP!B$1:B$32,MATCH(COUNTIF(BI38:BR38,10),ETAPP!A$1:A$32,0))&amp;INDEX(ETAPP!B$1:B$32,MATCH(COUNTIF(BI38:BR38,11),ETAPP!A$1:A$32,0))&amp;INDEX(ETAPP!B$1:B$32,MATCH(COUNTIF(BI38:BR38,12),ETAPP!A$1:A$32,0))&amp;INDEX(ETAPP!B$1:B$32,MATCH(COUNTIF(BI38:BR38,13),ETAPP!A$1:A$32,0))&amp;INDEX(ETAPP!B$1:B$32,MATCH(COUNTIF(BI38:BR38,14),ETAPP!A$1:A$32,0))&amp;INDEX(ETAPP!B$1:B$32,MATCH(COUNTIF(BI38:BR38,15),ETAPP!A$1:A$32,0))&amp;INDEX(ETAPP!B$1:B$32,MATCH(COUNTIF(BI38:BR38,16),ETAPP!A$1:A$32,0))&amp;INDEX(ETAPP!B$1:B$32,MATCH(COUNTIF(BI38:BR38,17),ETAPP!A$1:A$32,0))&amp;INDEX(ETAPP!B$1:B$32,MATCH(COUNTIF(BI38:BR38,18),ETAPP!A$1:A$32,0))&amp;INDEX(ETAPP!B$1:B$32,MATCH(COUNTIF(BI38:BR38,19),ETAPP!A$1:A$32,0))&amp;INDEX(ETAPP!B$1:B$32,MATCH(COUNTIF(BI38:BR38,20),ETAPP!A$1:A$32,0))&amp;INDEX(ETAPP!B$1:B$32,MATCH(COUNTIF(BI38:BR38,21),ETAPP!A$1:A$32,0))</f>
        <v>0000A000AA00000000000</v>
      </c>
      <c r="T38" s="684" t="str">
        <f t="shared" si="12"/>
        <v>020,0-0000A000AA00000000000</v>
      </c>
      <c r="U38" s="684">
        <f t="shared" si="13"/>
        <v>32</v>
      </c>
      <c r="V38" s="684">
        <f t="shared" si="14"/>
        <v>14</v>
      </c>
      <c r="W38" s="684" t="str">
        <f t="shared" si="15"/>
        <v>020,0-0000A000AA00000000000-014</v>
      </c>
      <c r="X38" s="684">
        <f t="shared" si="16"/>
        <v>32</v>
      </c>
      <c r="Y38" s="685">
        <f t="shared" si="17"/>
        <v>19</v>
      </c>
      <c r="Z38" s="686" t="str">
        <f>IFERROR(INDEX('V1'!C$300:C$400,MATCH("*"&amp;L38&amp;"*",'V1'!B$300:B$400,0)),"  ")</f>
        <v xml:space="preserve">  </v>
      </c>
      <c r="AA38" s="686">
        <f>IFERROR(INDEX('V2'!C$300:C$400,MATCH("*"&amp;L38&amp;"*",'V2'!B$300:B$400,0)),"  ")</f>
        <v>2</v>
      </c>
      <c r="AB38" s="686">
        <f>IFERROR(INDEX('V3'!C$300:C$400,MATCH("*"&amp;L38&amp;"*",'V3'!B$300:B$400,0)),"  ")</f>
        <v>12</v>
      </c>
      <c r="AC38" s="686" t="str">
        <f>IFERROR(INDEX('V4'!C$300:C$400,MATCH("*"&amp;L38&amp;"*",'V4'!B$300:B$400,0)),"  ")</f>
        <v xml:space="preserve">  </v>
      </c>
      <c r="AD38" s="686" t="str">
        <f>IFERROR(INDEX('V5'!C$300:C$400,MATCH("*"&amp;L38&amp;"*",'V5'!B$300:B$400,0)),"  ")</f>
        <v xml:space="preserve">  </v>
      </c>
      <c r="AE38" s="686" t="str">
        <f>IFERROR(INDEX('V6'!C$300:C$400,MATCH("*"&amp;L38&amp;"*",'V6'!B$300:B$400,0)),"  ")</f>
        <v xml:space="preserve">  </v>
      </c>
      <c r="AF38" s="686" t="str">
        <f>IFERROR(INDEX('V7'!C$300:C$400,MATCH("*"&amp;L38&amp;"*",'V7'!B$300:B$400,0)),"  ")</f>
        <v xml:space="preserve">  </v>
      </c>
      <c r="AG38" s="686">
        <f>IFERROR(INDEX('V8'!C$300:C$400,MATCH("*"&amp;L38&amp;"*",'V8'!B$300:B$400,0)),"  ")</f>
        <v>6</v>
      </c>
      <c r="AH38" s="686" t="str">
        <f>IFERROR(INDEX('V9'!C$300:C$400,MATCH("*"&amp;L38&amp;"*",'V9'!B$300:B$400,0)),"  ")</f>
        <v xml:space="preserve">  </v>
      </c>
      <c r="AI38" s="686" t="str">
        <f>IFERROR(INDEX('V10'!C$300:C$400,MATCH("*"&amp;L38&amp;"*",'V10'!B$300:B$400,0)),"  ")</f>
        <v xml:space="preserve">  </v>
      </c>
      <c r="AJ38" s="687">
        <f t="shared" si="18"/>
        <v>3</v>
      </c>
      <c r="AK38" s="688">
        <f t="shared" si="19"/>
        <v>0</v>
      </c>
      <c r="AL38" s="688">
        <f t="shared" si="20"/>
        <v>0</v>
      </c>
      <c r="AM38" s="642"/>
      <c r="AN38" s="689"/>
      <c r="AO38" s="690"/>
      <c r="AP38" s="690"/>
      <c r="AQ38" s="690"/>
      <c r="AR38" s="690"/>
      <c r="AS38" s="689">
        <f t="shared" si="21"/>
        <v>1E-4</v>
      </c>
      <c r="AT38" s="690">
        <f t="shared" si="22"/>
        <v>1E-4</v>
      </c>
      <c r="AU38" s="690">
        <f t="shared" si="23"/>
        <v>2.0002</v>
      </c>
      <c r="AV38" s="690">
        <f t="shared" si="24"/>
        <v>12.000299999999999</v>
      </c>
      <c r="AW38" s="690">
        <f t="shared" si="25"/>
        <v>4.0000000000000002E-4</v>
      </c>
      <c r="AX38" s="690">
        <f t="shared" si="26"/>
        <v>5.0000000000000001E-4</v>
      </c>
      <c r="AY38" s="690">
        <f t="shared" si="27"/>
        <v>5.9999999999999995E-4</v>
      </c>
      <c r="AZ38" s="690">
        <f t="shared" si="28"/>
        <v>6.9999999999999999E-4</v>
      </c>
      <c r="BA38" s="690">
        <f t="shared" si="29"/>
        <v>6.0007999999999999</v>
      </c>
      <c r="BB38" s="690">
        <f t="shared" si="30"/>
        <v>8.9999999999999998E-4</v>
      </c>
      <c r="BC38" s="690">
        <f t="shared" si="31"/>
        <v>1E-3</v>
      </c>
      <c r="BI38" s="581" t="e">
        <f t="shared" si="32"/>
        <v>#VALUE!</v>
      </c>
      <c r="BJ38" s="581">
        <f t="shared" si="33"/>
        <v>10</v>
      </c>
      <c r="BK38" s="581">
        <f t="shared" si="34"/>
        <v>5</v>
      </c>
      <c r="BL38" s="581" t="e">
        <f t="shared" si="35"/>
        <v>#VALUE!</v>
      </c>
      <c r="BM38" s="581" t="e">
        <f t="shared" si="36"/>
        <v>#VALUE!</v>
      </c>
      <c r="BN38" s="581" t="e">
        <f t="shared" si="37"/>
        <v>#VALUE!</v>
      </c>
      <c r="BO38" s="581" t="e">
        <f t="shared" si="38"/>
        <v>#VALUE!</v>
      </c>
      <c r="BP38" s="581">
        <f t="shared" si="39"/>
        <v>9</v>
      </c>
      <c r="BQ38" s="581" t="e">
        <f t="shared" si="40"/>
        <v>#VALUE!</v>
      </c>
      <c r="BR38" s="581" t="e">
        <f t="shared" si="41"/>
        <v>#VALUE!</v>
      </c>
    </row>
    <row r="39" spans="1:70" x14ac:dyDescent="0.2">
      <c r="A39" s="768" t="str">
        <f t="shared" ref="A39:A56" si="43">IF(R39&gt;0,IF(Q39="v",RANK(B39,B$7:B$56,1)-COUNTBLANK(Q$7:Q$56),""),"")</f>
        <v/>
      </c>
      <c r="B39" s="769">
        <f t="shared" ref="B39:B56" si="44">IF((Q39="v"),U39,U39-1000)</f>
        <v>-967</v>
      </c>
      <c r="C39" s="770" t="str">
        <f t="shared" ref="C39:C56" si="45">IF(R39&gt;0,IF(P39="k",RANK(D39,D$7:D$56,1)-COUNTBLANK(P$7:P$56),""),"")</f>
        <v/>
      </c>
      <c r="D39" s="769">
        <f t="shared" ref="D39:D56" si="46">IF((P39="k"),U39,U39-1000)</f>
        <v>-967</v>
      </c>
      <c r="E39" s="771">
        <f t="shared" ref="E39:E56" si="47">IF(R39&gt;0,IF(N39="m",RANK(F39,F$7:F$56,1)-COUNTBLANK(N$7:N$56),""),"")</f>
        <v>24</v>
      </c>
      <c r="F39" s="769">
        <f t="shared" ref="F39:F56" si="48">IF((N39="m"),U39,U39-1000)</f>
        <v>33</v>
      </c>
      <c r="G39" s="772" t="str">
        <f t="shared" ref="G39:G56" si="49">IF(R39&gt;0,IF(M39="n",RANK(H39,H$7:H$56,1)-COUNTBLANK(M$7:M$56),""),"")</f>
        <v/>
      </c>
      <c r="H39" s="769">
        <f t="shared" ref="H39:H56" si="50">IF((M39="n"),U39,U39-1000)</f>
        <v>-967</v>
      </c>
      <c r="I39" s="773" t="str">
        <f t="shared" ref="I39:I56" si="51">IF(R39&gt;0,IF(O39="j",RANK(J39,J$7:J$56,1)-COUNTBLANK(O$7:O$56),""),"")</f>
        <v/>
      </c>
      <c r="J39" s="774">
        <f t="shared" ref="J39:J56" si="52">IF((O39="j"),U39,U39-1000)</f>
        <v>-967</v>
      </c>
      <c r="K39" s="680">
        <f t="shared" ref="K39:K56" si="53">IF(R39&gt;0,RANK(U39,U$7:U$56,1),"")</f>
        <v>33</v>
      </c>
      <c r="L39" s="785" t="s">
        <v>12</v>
      </c>
      <c r="M39" s="682"/>
      <c r="N39" s="775" t="s">
        <v>191</v>
      </c>
      <c r="O39" s="683"/>
      <c r="P39" s="776"/>
      <c r="Q39" s="777"/>
      <c r="R39" s="673">
        <f>(IF(COUNT(Z39,AA39,AB39,AC39,AD39,AE39,AF39,AG39,AH39,AI39)&lt;9,SUM(Z39,AA39,AB39,AC39,AD39,AE39,AF39,AG39,AH39,AI39),SUM(LARGE((Z39,AA39,AB39,AC39,AD39,AE39,AF39,AG39,AH39,AI39),{1;2;3;4;5;6;7;8;9}))))</f>
        <v>18</v>
      </c>
      <c r="S39" s="684" t="str">
        <f>INDEX(ETAPP!B$1:B$32,MATCH(COUNTIF(BI39:BR39,1),ETAPP!A$1:A$32,0))&amp;INDEX(ETAPP!B$1:B$32,MATCH(COUNTIF(BI39:BR39,2),ETAPP!A$1:A$32,0))&amp;INDEX(ETAPP!B$1:B$32,MATCH(COUNTIF(BI39:BR39,3),ETAPP!A$1:A$32,0))&amp;INDEX(ETAPP!B$1:B$32,MATCH(COUNTIF(BI39:BR39,4),ETAPP!A$1:A$32,0))&amp;INDEX(ETAPP!B$1:B$32,MATCH(COUNTIF(BI39:BR39,5),ETAPP!A$1:A$32,0))&amp;INDEX(ETAPP!B$1:B$32,MATCH(COUNTIF(BI39:BR39,6),ETAPP!A$1:A$32,0))&amp;INDEX(ETAPP!B$1:B$32,MATCH(COUNTIF(BI39:BR39,7),ETAPP!A$1:A$32,0))&amp;INDEX(ETAPP!B$1:B$32,MATCH(COUNTIF(BI39:BR39,8),ETAPP!A$1:A$32,0))&amp;INDEX(ETAPP!B$1:B$32,MATCH(COUNTIF(BI39:BR39,9),ETAPP!A$1:A$32,0))&amp;INDEX(ETAPP!B$1:B$32,MATCH(COUNTIF(BI39:BR39,10),ETAPP!A$1:A$32,0))&amp;INDEX(ETAPP!B$1:B$32,MATCH(COUNTIF(BI39:BR39,11),ETAPP!A$1:A$32,0))&amp;INDEX(ETAPP!B$1:B$32,MATCH(COUNTIF(BI39:BR39,12),ETAPP!A$1:A$32,0))&amp;INDEX(ETAPP!B$1:B$32,MATCH(COUNTIF(BI39:BR39,13),ETAPP!A$1:A$32,0))&amp;INDEX(ETAPP!B$1:B$32,MATCH(COUNTIF(BI39:BR39,14),ETAPP!A$1:A$32,0))&amp;INDEX(ETAPP!B$1:B$32,MATCH(COUNTIF(BI39:BR39,15),ETAPP!A$1:A$32,0))&amp;INDEX(ETAPP!B$1:B$32,MATCH(COUNTIF(BI39:BR39,16),ETAPP!A$1:A$32,0))&amp;INDEX(ETAPP!B$1:B$32,MATCH(COUNTIF(BI39:BR39,17),ETAPP!A$1:A$32,0))&amp;INDEX(ETAPP!B$1:B$32,MATCH(COUNTIF(BI39:BR39,18),ETAPP!A$1:A$32,0))&amp;INDEX(ETAPP!B$1:B$32,MATCH(COUNTIF(BI39:BR39,19),ETAPP!A$1:A$32,0))&amp;INDEX(ETAPP!B$1:B$32,MATCH(COUNTIF(BI39:BR39,20),ETAPP!A$1:A$32,0))&amp;INDEX(ETAPP!B$1:B$32,MATCH(COUNTIF(BI39:BR39,21),ETAPP!A$1:A$32,0))</f>
        <v>00A000000000000000000</v>
      </c>
      <c r="T39" s="684" t="str">
        <f t="shared" ref="T39:T56" si="54">TEXT(R39,"000,0")&amp;"-"&amp;S39</f>
        <v>018,0-00A000000000000000000</v>
      </c>
      <c r="U39" s="684">
        <f t="shared" ref="U39:U56" si="55">COUNTIF(T$7:T$56,"&gt;="&amp;T39)</f>
        <v>33</v>
      </c>
      <c r="V39" s="684">
        <f t="shared" ref="V39:V56" si="56">COUNTIF(L$7:L$56,"&gt;="&amp;L39)</f>
        <v>36</v>
      </c>
      <c r="W39" s="684" t="str">
        <f t="shared" ref="W39:W56" si="57">TEXT(R39,"000,0")&amp;"-"&amp;S39&amp;"-"&amp;TEXT(V39,"000")</f>
        <v>018,0-00A000000000000000000-036</v>
      </c>
      <c r="X39" s="684">
        <f t="shared" ref="X39:X56" si="58">COUNTIF(W$7:W$56,"&gt;="&amp;W39)</f>
        <v>33</v>
      </c>
      <c r="Y39" s="685">
        <f t="shared" ref="Y39:Y56" si="59">RANK(X39,X$7:X$56,0)</f>
        <v>18</v>
      </c>
      <c r="Z39" s="686">
        <f>IFERROR(INDEX('V1'!C$300:C$400,MATCH("*"&amp;L39&amp;"*",'V1'!B$300:B$400,0)),"  ")</f>
        <v>18</v>
      </c>
      <c r="AA39" s="686" t="str">
        <f>IFERROR(INDEX('V2'!C$300:C$400,MATCH("*"&amp;L39&amp;"*",'V2'!B$300:B$400,0)),"  ")</f>
        <v xml:space="preserve">  </v>
      </c>
      <c r="AB39" s="686" t="str">
        <f>IFERROR(INDEX('V3'!C$300:C$400,MATCH("*"&amp;L39&amp;"*",'V3'!B$300:B$400,0)),"  ")</f>
        <v xml:space="preserve">  </v>
      </c>
      <c r="AC39" s="686" t="str">
        <f>IFERROR(INDEX('V4'!C$300:C$400,MATCH("*"&amp;L39&amp;"*",'V4'!B$300:B$400,0)),"  ")</f>
        <v xml:space="preserve">  </v>
      </c>
      <c r="AD39" s="686" t="str">
        <f>IFERROR(INDEX('V5'!C$300:C$400,MATCH("*"&amp;L39&amp;"*",'V5'!B$300:B$400,0)),"  ")</f>
        <v xml:space="preserve">  </v>
      </c>
      <c r="AE39" s="686" t="str">
        <f>IFERROR(INDEX('V6'!C$300:C$400,MATCH("*"&amp;L39&amp;"*",'V6'!B$300:B$400,0)),"  ")</f>
        <v xml:space="preserve">  </v>
      </c>
      <c r="AF39" s="686" t="str">
        <f>IFERROR(INDEX('V7'!C$300:C$400,MATCH("*"&amp;L39&amp;"*",'V7'!B$300:B$400,0)),"  ")</f>
        <v xml:space="preserve">  </v>
      </c>
      <c r="AG39" s="686" t="str">
        <f>IFERROR(INDEX('V8'!C$300:C$400,MATCH("*"&amp;L39&amp;"*",'V8'!B$300:B$400,0)),"  ")</f>
        <v xml:space="preserve">  </v>
      </c>
      <c r="AH39" s="686" t="str">
        <f>IFERROR(INDEX('V9'!C$300:C$400,MATCH("*"&amp;L39&amp;"*",'V9'!B$300:B$400,0)),"  ")</f>
        <v xml:space="preserve">  </v>
      </c>
      <c r="AI39" s="686" t="str">
        <f>IFERROR(INDEX('V10'!C$300:C$400,MATCH("*"&amp;L39&amp;"*",'V10'!B$300:B$400,0)),"  ")</f>
        <v xml:space="preserve">  </v>
      </c>
      <c r="AJ39" s="687">
        <f t="shared" ref="AJ39:AJ56" si="60">COUNTIF(Z39:AI39,"&gt;=0")</f>
        <v>1</v>
      </c>
      <c r="AK39" s="688">
        <f t="shared" ref="AK39:AK56" si="61">IFERROR(IF(Z39+1&gt;LARGE(Z$7:Z$56,3)-2,1),0)+IFERROR(IF(AA39+1&gt;LARGE(AA$7:AA$56,3)-2,1),0)+IFERROR(IF(AB39+1&gt;LARGE(AB$7:AB$56,3)-2,1),0)+IFERROR(IF(AC39+1&gt;LARGE(AC$7:AC$56,3)-2,1),0)+IFERROR(IF(AD39+1&gt;LARGE(AD$7:AD$56,3)-2,1),0)+IFERROR(IF(AE39+1&gt;LARGE(AE$7:AE$56,3)-2,1),0)+IFERROR(IF(AF39+1&gt;LARGE(AF$7:AF$56,3)-2,1),0)+IFERROR(IF(AG39+1&gt;LARGE(AG$7:AG$56,3)-2,1),0)+IFERROR(IF(AH39+1&gt;LARGE(AH$7:AH$56,3)-2,1),0)+IFERROR(IF(AI39+1&gt;LARGE(AI$7:AI$56,3)-2,1),0)</f>
        <v>1</v>
      </c>
      <c r="AL39" s="688">
        <f t="shared" ref="AL39:AL56" si="62">IF(Z39=0,0,IF(Z39=IFERROR(LARGE(Z$7:Z$56,1),0),1,0))+IF(AA39=0,0,IF(AA39=IFERROR(LARGE(AA$7:AA$56,1),0),1,0))+IF(AB39=0,0,IF(AB39=IFERROR(LARGE(AB$7:AB$56,1),0),1,0))+IF(AC39=0,0,IF(AC39=IFERROR(LARGE(AC$7:AC$56,1),0),1,0))+IF(AD39=0,0,IF(AD39=IFERROR(LARGE(AD$7:AD$56,1),0),1,0))+IF(AE39=0,0,IF(AE39=IFERROR(LARGE(AE$7:AE$56,1),0),1,0))+IF(AF39=0,0,IF(AF39=IFERROR(LARGE(AF$7:AF$56,1),0),1,0))+IF(AG39=0,0,IF(AG39=IFERROR(LARGE(AG$7:AG$56,1),0),1,0))+IF(AH39=0,0,IF(AH39=IFERROR(LARGE(AH$7:AH$56,1),0),1,0))+IF(AI39=0,0,IF(AI39=IFERROR(LARGE(AI$7:AI$56,1),0),1,0))</f>
        <v>0</v>
      </c>
      <c r="AM39" s="642"/>
      <c r="AN39" s="689"/>
      <c r="AO39" s="690"/>
      <c r="AP39" s="690"/>
      <c r="AQ39" s="690"/>
      <c r="AR39" s="690"/>
      <c r="AS39" s="689">
        <f t="shared" ref="AS39:AS56" si="63">SMALL(AT39:BC39,AS$3)</f>
        <v>2.0000000000000001E-4</v>
      </c>
      <c r="AT39" s="690">
        <f t="shared" ref="AT39:AT56" si="64">IF(Z39="  ",0+MID(Z$6,FIND("V",Z$6)+1,256)/10000,Z39+MID(Z$6,FIND("V",Z$6)+1,256)/10000)</f>
        <v>18.0001</v>
      </c>
      <c r="AU39" s="690">
        <f t="shared" ref="AU39:AU56" si="65">IF(AA39="  ",0+MID(AA$6,FIND("V",AA$6)+1,256)/10000,AA39+MID(AA$6,FIND("V",AA$6)+1,256)/10000)</f>
        <v>2.0000000000000001E-4</v>
      </c>
      <c r="AV39" s="690">
        <f t="shared" ref="AV39:AV56" si="66">IF(AB39="  ",0+MID(AB$6,FIND("V",AB$6)+1,256)/10000,AB39+MID(AB$6,FIND("V",AB$6)+1,256)/10000)</f>
        <v>2.9999999999999997E-4</v>
      </c>
      <c r="AW39" s="690">
        <f t="shared" ref="AW39:AW56" si="67">IF(AC39="  ",0+MID(AC$6,FIND("V",AC$6)+1,256)/10000,AC39+MID(AC$6,FIND("V",AC$6)+1,256)/10000)</f>
        <v>4.0000000000000002E-4</v>
      </c>
      <c r="AX39" s="690">
        <f t="shared" ref="AX39:AX56" si="68">IF(AD39="  ",0+MID(AD$6,FIND("V",AD$6)+1,256)/10000,AD39+MID(AD$6,FIND("V",AD$6)+1,256)/10000)</f>
        <v>5.0000000000000001E-4</v>
      </c>
      <c r="AY39" s="690">
        <f t="shared" ref="AY39:AY56" si="69">IF(AE39="  ",0+MID(AE$6,FIND("V",AE$6)+1,256)/10000,AE39+MID(AE$6,FIND("V",AE$6)+1,256)/10000)</f>
        <v>5.9999999999999995E-4</v>
      </c>
      <c r="AZ39" s="690">
        <f t="shared" ref="AZ39:AZ56" si="70">IF(AF39="  ",0+MID(AF$6,FIND("V",AF$6)+1,256)/10000,AF39+MID(AF$6,FIND("V",AF$6)+1,256)/10000)</f>
        <v>6.9999999999999999E-4</v>
      </c>
      <c r="BA39" s="690">
        <f t="shared" ref="BA39:BA56" si="71">IF(AG39="  ",0+MID(AG$6,FIND("V",AG$6)+1,256)/10000,AG39+MID(AG$6,FIND("V",AG$6)+1,256)/10000)</f>
        <v>8.0000000000000004E-4</v>
      </c>
      <c r="BB39" s="690">
        <f t="shared" ref="BB39:BB56" si="72">IF(AH39="  ",0+MID(AH$6,FIND("V",AH$6)+1,256)/10000,AH39+MID(AH$6,FIND("V",AH$6)+1,256)/10000)</f>
        <v>8.9999999999999998E-4</v>
      </c>
      <c r="BC39" s="690">
        <f t="shared" ref="BC39:BC56" si="73">IF(AI39="  ",0+MID(AI$6,FIND("V",AI$6)+1,256)/10000,AI39+MID(AI$6,FIND("V",AI$6)+1,256)/10000)</f>
        <v>1E-3</v>
      </c>
      <c r="BH39" s="783"/>
      <c r="BI39" s="581">
        <f t="shared" ref="BI39:BI56" si="74">(LARGE(Z$7:Z$56,1)-Z39)/2+1</f>
        <v>3</v>
      </c>
      <c r="BJ39" s="581" t="e">
        <f t="shared" ref="BJ39:BJ56" si="75">(LARGE(AA$7:AA$56,1)-AA39)/2+1</f>
        <v>#VALUE!</v>
      </c>
      <c r="BK39" s="581" t="e">
        <f t="shared" ref="BK39:BK56" si="76">(LARGE(AB$7:AB$56,1)-AB39)/2+1</f>
        <v>#VALUE!</v>
      </c>
      <c r="BL39" s="581" t="e">
        <f t="shared" ref="BL39:BL56" si="77">(LARGE(AC$7:AC$56,1)-AC39)/2+1</f>
        <v>#VALUE!</v>
      </c>
      <c r="BM39" s="581" t="e">
        <f t="shared" ref="BM39:BM56" si="78">(LARGE(AD$7:AD$56,1)-AD39)/2+1</f>
        <v>#VALUE!</v>
      </c>
      <c r="BN39" s="581" t="e">
        <f t="shared" ref="BN39:BN56" si="79">(LARGE(AE$7:AE$56,1)-AE39)/2+1</f>
        <v>#VALUE!</v>
      </c>
      <c r="BO39" s="581" t="e">
        <f t="shared" ref="BO39:BO56" si="80">(LARGE(AF$7:AF$56,1)-AF39)/2+1</f>
        <v>#VALUE!</v>
      </c>
      <c r="BP39" s="581" t="e">
        <f t="shared" ref="BP39:BP56" si="81">(LARGE(AG$7:AG$56,1)-AG39)/2+1</f>
        <v>#VALUE!</v>
      </c>
      <c r="BQ39" s="581" t="e">
        <f t="shared" ref="BQ39:BQ56" si="82">(LARGE(AH$7:AH$56,1)-AH39)/2+1</f>
        <v>#VALUE!</v>
      </c>
      <c r="BR39" s="581" t="e">
        <f t="shared" ref="BR39:BR56" si="83">(LARGE(AI$7:AI$56,1)-AI39)/2+1</f>
        <v>#VALUE!</v>
      </c>
    </row>
    <row r="40" spans="1:70" x14ac:dyDescent="0.2">
      <c r="A40" s="768" t="str">
        <f t="shared" si="43"/>
        <v/>
      </c>
      <c r="B40" s="769">
        <f t="shared" si="44"/>
        <v>-966</v>
      </c>
      <c r="C40" s="770" t="str">
        <f t="shared" si="45"/>
        <v/>
      </c>
      <c r="D40" s="769">
        <f t="shared" si="46"/>
        <v>-966</v>
      </c>
      <c r="E40" s="771" t="str">
        <f t="shared" si="47"/>
        <v/>
      </c>
      <c r="F40" s="769">
        <f t="shared" si="48"/>
        <v>-966</v>
      </c>
      <c r="G40" s="772">
        <f t="shared" si="49"/>
        <v>7</v>
      </c>
      <c r="H40" s="769">
        <f t="shared" si="50"/>
        <v>34</v>
      </c>
      <c r="I40" s="773" t="str">
        <f t="shared" si="51"/>
        <v/>
      </c>
      <c r="J40" s="774">
        <f t="shared" si="52"/>
        <v>-966</v>
      </c>
      <c r="K40" s="680">
        <f t="shared" si="53"/>
        <v>34</v>
      </c>
      <c r="L40" s="681" t="s">
        <v>539</v>
      </c>
      <c r="M40" s="682" t="s">
        <v>99</v>
      </c>
      <c r="N40" s="775"/>
      <c r="O40" s="683"/>
      <c r="P40" s="802"/>
      <c r="Q40" s="777"/>
      <c r="R40" s="673">
        <f>(IF(COUNT(Z40,AA40,AB40,AC40,AD40,AE40,AF40,AG40,AH40,AI40)&lt;9,SUM(Z40,AA40,AB40,AC40,AD40,AE40,AF40,AG40,AH40,AI40),SUM(LARGE((Z40,AA40,AB40,AC40,AD40,AE40,AF40,AG40,AH40,AI40),{1;2;3;4;5;6;7;8;9}))))</f>
        <v>18</v>
      </c>
      <c r="S40" s="684" t="str">
        <f>INDEX(ETAPP!B$1:B$32,MATCH(COUNTIF(BI40:BR40,1),ETAPP!A$1:A$32,0))&amp;INDEX(ETAPP!B$1:B$32,MATCH(COUNTIF(BI40:BR40,2),ETAPP!A$1:A$32,0))&amp;INDEX(ETAPP!B$1:B$32,MATCH(COUNTIF(BI40:BR40,3),ETAPP!A$1:A$32,0))&amp;INDEX(ETAPP!B$1:B$32,MATCH(COUNTIF(BI40:BR40,4),ETAPP!A$1:A$32,0))&amp;INDEX(ETAPP!B$1:B$32,MATCH(COUNTIF(BI40:BR40,5),ETAPP!A$1:A$32,0))&amp;INDEX(ETAPP!B$1:B$32,MATCH(COUNTIF(BI40:BR40,6),ETAPP!A$1:A$32,0))&amp;INDEX(ETAPP!B$1:B$32,MATCH(COUNTIF(BI40:BR40,7),ETAPP!A$1:A$32,0))&amp;INDEX(ETAPP!B$1:B$32,MATCH(COUNTIF(BI40:BR40,8),ETAPP!A$1:A$32,0))&amp;INDEX(ETAPP!B$1:B$32,MATCH(COUNTIF(BI40:BR40,9),ETAPP!A$1:A$32,0))&amp;INDEX(ETAPP!B$1:B$32,MATCH(COUNTIF(BI40:BR40,10),ETAPP!A$1:A$32,0))&amp;INDEX(ETAPP!B$1:B$32,MATCH(COUNTIF(BI40:BR40,11),ETAPP!A$1:A$32,0))&amp;INDEX(ETAPP!B$1:B$32,MATCH(COUNTIF(BI40:BR40,12),ETAPP!A$1:A$32,0))&amp;INDEX(ETAPP!B$1:B$32,MATCH(COUNTIF(BI40:BR40,13),ETAPP!A$1:A$32,0))&amp;INDEX(ETAPP!B$1:B$32,MATCH(COUNTIF(BI40:BR40,14),ETAPP!A$1:A$32,0))&amp;INDEX(ETAPP!B$1:B$32,MATCH(COUNTIF(BI40:BR40,15),ETAPP!A$1:A$32,0))&amp;INDEX(ETAPP!B$1:B$32,MATCH(COUNTIF(BI40:BR40,16),ETAPP!A$1:A$32,0))&amp;INDEX(ETAPP!B$1:B$32,MATCH(COUNTIF(BI40:BR40,17),ETAPP!A$1:A$32,0))&amp;INDEX(ETAPP!B$1:B$32,MATCH(COUNTIF(BI40:BR40,18),ETAPP!A$1:A$32,0))&amp;INDEX(ETAPP!B$1:B$32,MATCH(COUNTIF(BI40:BR40,19),ETAPP!A$1:A$32,0))&amp;INDEX(ETAPP!B$1:B$32,MATCH(COUNTIF(BI40:BR40,20),ETAPP!A$1:A$32,0))&amp;INDEX(ETAPP!B$1:B$32,MATCH(COUNTIF(BI40:BR40,21),ETAPP!A$1:A$32,0))</f>
        <v>0000000AA0A0000000000</v>
      </c>
      <c r="T40" s="684" t="str">
        <f t="shared" si="54"/>
        <v>018,0-0000000AA0A0000000000</v>
      </c>
      <c r="U40" s="684">
        <f t="shared" si="55"/>
        <v>34</v>
      </c>
      <c r="V40" s="684">
        <f t="shared" si="56"/>
        <v>25</v>
      </c>
      <c r="W40" s="684" t="str">
        <f t="shared" si="57"/>
        <v>018,0-0000000AA0A0000000000-025</v>
      </c>
      <c r="X40" s="684">
        <f t="shared" si="58"/>
        <v>34</v>
      </c>
      <c r="Y40" s="685">
        <f t="shared" si="59"/>
        <v>17</v>
      </c>
      <c r="Z40" s="686" t="str">
        <f>IFERROR(INDEX('V1'!C$300:C$400,MATCH("*"&amp;L40&amp;"*",'V1'!B$300:B$400,0)),"  ")</f>
        <v xml:space="preserve">  </v>
      </c>
      <c r="AA40" s="686" t="str">
        <f>IFERROR(INDEX('V2'!C$300:C$400,MATCH("*"&amp;L40&amp;"*",'V2'!B$300:B$400,0)),"  ")</f>
        <v xml:space="preserve">  </v>
      </c>
      <c r="AB40" s="686">
        <f>IFERROR(INDEX('V3'!C$300:C$400,MATCH("*"&amp;L40&amp;"*",'V3'!B$300:B$400,0)),"  ")</f>
        <v>6</v>
      </c>
      <c r="AC40" s="686" t="str">
        <f>IFERROR(INDEX('V4'!C$300:C$400,MATCH("*"&amp;L40&amp;"*",'V4'!B$300:B$400,0)),"  ")</f>
        <v xml:space="preserve">  </v>
      </c>
      <c r="AD40" s="686" t="str">
        <f>IFERROR(INDEX('V5'!C$300:C$400,MATCH("*"&amp;L40&amp;"*",'V5'!B$300:B$400,0)),"  ")</f>
        <v xml:space="preserve">  </v>
      </c>
      <c r="AE40" s="686" t="str">
        <f>IFERROR(INDEX('V6'!C$300:C$400,MATCH("*"&amp;L40&amp;"*",'V6'!B$300:B$400,0)),"  ")</f>
        <v xml:space="preserve">  </v>
      </c>
      <c r="AF40" s="686">
        <f>IFERROR(INDEX('V7'!C$300:C$400,MATCH("*"&amp;L40&amp;"*",'V7'!B$300:B$400,0)),"  ")</f>
        <v>10</v>
      </c>
      <c r="AG40" s="686">
        <f>IFERROR(INDEX('V8'!C$300:C$400,MATCH("*"&amp;L40&amp;"*",'V8'!B$300:B$400,0)),"  ")</f>
        <v>2</v>
      </c>
      <c r="AH40" s="686" t="str">
        <f>IFERROR(INDEX('V9'!C$300:C$400,MATCH("*"&amp;L40&amp;"*",'V9'!B$300:B$400,0)),"  ")</f>
        <v xml:space="preserve">  </v>
      </c>
      <c r="AI40" s="686" t="str">
        <f>IFERROR(INDEX('V10'!C$300:C$400,MATCH("*"&amp;L40&amp;"*",'V10'!B$300:B$400,0)),"  ")</f>
        <v xml:space="preserve">  </v>
      </c>
      <c r="AJ40" s="687">
        <f t="shared" si="60"/>
        <v>3</v>
      </c>
      <c r="AK40" s="688">
        <f t="shared" si="61"/>
        <v>0</v>
      </c>
      <c r="AL40" s="688">
        <f t="shared" si="62"/>
        <v>0</v>
      </c>
      <c r="AM40" s="642"/>
      <c r="AN40" s="689"/>
      <c r="AO40" s="690"/>
      <c r="AP40" s="690"/>
      <c r="AQ40" s="690"/>
      <c r="AR40" s="690"/>
      <c r="AS40" s="689">
        <f t="shared" si="63"/>
        <v>1E-4</v>
      </c>
      <c r="AT40" s="690">
        <f t="shared" si="64"/>
        <v>1E-4</v>
      </c>
      <c r="AU40" s="690">
        <f t="shared" si="65"/>
        <v>2.0000000000000001E-4</v>
      </c>
      <c r="AV40" s="690">
        <f t="shared" si="66"/>
        <v>6.0003000000000002</v>
      </c>
      <c r="AW40" s="690">
        <f t="shared" si="67"/>
        <v>4.0000000000000002E-4</v>
      </c>
      <c r="AX40" s="690">
        <f t="shared" si="68"/>
        <v>5.0000000000000001E-4</v>
      </c>
      <c r="AY40" s="690">
        <f t="shared" si="69"/>
        <v>5.9999999999999995E-4</v>
      </c>
      <c r="AZ40" s="690">
        <f t="shared" si="70"/>
        <v>10.0007</v>
      </c>
      <c r="BA40" s="690">
        <f t="shared" si="71"/>
        <v>2.0007999999999999</v>
      </c>
      <c r="BB40" s="690">
        <f t="shared" si="72"/>
        <v>8.9999999999999998E-4</v>
      </c>
      <c r="BC40" s="690">
        <f t="shared" si="73"/>
        <v>1E-3</v>
      </c>
      <c r="BI40" s="581" t="e">
        <f t="shared" si="74"/>
        <v>#VALUE!</v>
      </c>
      <c r="BJ40" s="581" t="e">
        <f t="shared" si="75"/>
        <v>#VALUE!</v>
      </c>
      <c r="BK40" s="581">
        <f t="shared" si="76"/>
        <v>8</v>
      </c>
      <c r="BL40" s="581" t="e">
        <f t="shared" si="77"/>
        <v>#VALUE!</v>
      </c>
      <c r="BM40" s="581" t="e">
        <f t="shared" si="78"/>
        <v>#VALUE!</v>
      </c>
      <c r="BN40" s="581" t="e">
        <f t="shared" si="79"/>
        <v>#VALUE!</v>
      </c>
      <c r="BO40" s="581">
        <f t="shared" si="80"/>
        <v>9</v>
      </c>
      <c r="BP40" s="581">
        <f t="shared" si="81"/>
        <v>11</v>
      </c>
      <c r="BQ40" s="581" t="e">
        <f t="shared" si="82"/>
        <v>#VALUE!</v>
      </c>
      <c r="BR40" s="581" t="e">
        <f t="shared" si="83"/>
        <v>#VALUE!</v>
      </c>
    </row>
    <row r="41" spans="1:70" x14ac:dyDescent="0.2">
      <c r="A41" s="768" t="str">
        <f t="shared" si="43"/>
        <v/>
      </c>
      <c r="B41" s="769">
        <f t="shared" si="44"/>
        <v>-965</v>
      </c>
      <c r="C41" s="770" t="str">
        <f t="shared" si="45"/>
        <v/>
      </c>
      <c r="D41" s="769">
        <f t="shared" si="46"/>
        <v>-965</v>
      </c>
      <c r="E41" s="771">
        <f t="shared" si="47"/>
        <v>25</v>
      </c>
      <c r="F41" s="769">
        <f t="shared" si="48"/>
        <v>35</v>
      </c>
      <c r="G41" s="772" t="str">
        <f t="shared" si="49"/>
        <v/>
      </c>
      <c r="H41" s="769">
        <f t="shared" si="50"/>
        <v>-965</v>
      </c>
      <c r="I41" s="773" t="str">
        <f t="shared" si="51"/>
        <v/>
      </c>
      <c r="J41" s="774">
        <f t="shared" si="52"/>
        <v>-965</v>
      </c>
      <c r="K41" s="680">
        <f t="shared" si="53"/>
        <v>35</v>
      </c>
      <c r="L41" s="681" t="s">
        <v>136</v>
      </c>
      <c r="M41" s="682"/>
      <c r="N41" s="775" t="s">
        <v>191</v>
      </c>
      <c r="O41" s="683"/>
      <c r="P41" s="802"/>
      <c r="Q41" s="777"/>
      <c r="R41" s="673">
        <f>(IF(COUNT(Z41,AA41,AB41,AC41,AD41,AE41,AF41,AG41,AH41,AI41)&lt;9,SUM(Z41,AA41,AB41,AC41,AD41,AE41,AF41,AG41,AH41,AI41),SUM(LARGE((Z41,AA41,AB41,AC41,AD41,AE41,AF41,AG41,AH41,AI41),{1;2;3;4;5;6;7;8;9}))))</f>
        <v>16</v>
      </c>
      <c r="S41" s="684" t="str">
        <f>INDEX(ETAPP!B$1:B$32,MATCH(COUNTIF(BI41:BR41,1),ETAPP!A$1:A$32,0))&amp;INDEX(ETAPP!B$1:B$32,MATCH(COUNTIF(BI41:BR41,2),ETAPP!A$1:A$32,0))&amp;INDEX(ETAPP!B$1:B$32,MATCH(COUNTIF(BI41:BR41,3),ETAPP!A$1:A$32,0))&amp;INDEX(ETAPP!B$1:B$32,MATCH(COUNTIF(BI41:BR41,4),ETAPP!A$1:A$32,0))&amp;INDEX(ETAPP!B$1:B$32,MATCH(COUNTIF(BI41:BR41,5),ETAPP!A$1:A$32,0))&amp;INDEX(ETAPP!B$1:B$32,MATCH(COUNTIF(BI41:BR41,6),ETAPP!A$1:A$32,0))&amp;INDEX(ETAPP!B$1:B$32,MATCH(COUNTIF(BI41:BR41,7),ETAPP!A$1:A$32,0))&amp;INDEX(ETAPP!B$1:B$32,MATCH(COUNTIF(BI41:BR41,8),ETAPP!A$1:A$32,0))&amp;INDEX(ETAPP!B$1:B$32,MATCH(COUNTIF(BI41:BR41,9),ETAPP!A$1:A$32,0))&amp;INDEX(ETAPP!B$1:B$32,MATCH(COUNTIF(BI41:BR41,10),ETAPP!A$1:A$32,0))&amp;INDEX(ETAPP!B$1:B$32,MATCH(COUNTIF(BI41:BR41,11),ETAPP!A$1:A$32,0))&amp;INDEX(ETAPP!B$1:B$32,MATCH(COUNTIF(BI41:BR41,12),ETAPP!A$1:A$32,0))&amp;INDEX(ETAPP!B$1:B$32,MATCH(COUNTIF(BI41:BR41,13),ETAPP!A$1:A$32,0))&amp;INDEX(ETAPP!B$1:B$32,MATCH(COUNTIF(BI41:BR41,14),ETAPP!A$1:A$32,0))&amp;INDEX(ETAPP!B$1:B$32,MATCH(COUNTIF(BI41:BR41,15),ETAPP!A$1:A$32,0))&amp;INDEX(ETAPP!B$1:B$32,MATCH(COUNTIF(BI41:BR41,16),ETAPP!A$1:A$32,0))&amp;INDEX(ETAPP!B$1:B$32,MATCH(COUNTIF(BI41:BR41,17),ETAPP!A$1:A$32,0))&amp;INDEX(ETAPP!B$1:B$32,MATCH(COUNTIF(BI41:BR41,18),ETAPP!A$1:A$32,0))&amp;INDEX(ETAPP!B$1:B$32,MATCH(COUNTIF(BI41:BR41,19),ETAPP!A$1:A$32,0))&amp;INDEX(ETAPP!B$1:B$32,MATCH(COUNTIF(BI41:BR41,20),ETAPP!A$1:A$32,0))&amp;INDEX(ETAPP!B$1:B$32,MATCH(COUNTIF(BI41:BR41,21),ETAPP!A$1:A$32,0))</f>
        <v>0000000AA000000000000</v>
      </c>
      <c r="T41" s="684" t="str">
        <f t="shared" si="54"/>
        <v>016,0-0000000AA000000000000</v>
      </c>
      <c r="U41" s="684">
        <f t="shared" si="55"/>
        <v>35</v>
      </c>
      <c r="V41" s="684">
        <f t="shared" si="56"/>
        <v>22</v>
      </c>
      <c r="W41" s="684" t="str">
        <f t="shared" si="57"/>
        <v>016,0-0000000AA000000000000-022</v>
      </c>
      <c r="X41" s="684">
        <f t="shared" si="58"/>
        <v>35</v>
      </c>
      <c r="Y41" s="685">
        <f t="shared" si="59"/>
        <v>16</v>
      </c>
      <c r="Z41" s="686" t="str">
        <f>IFERROR(INDEX('V1'!C$300:C$400,MATCH("*"&amp;L41&amp;"*",'V1'!B$300:B$400,0)),"  ")</f>
        <v xml:space="preserve">  </v>
      </c>
      <c r="AA41" s="686" t="str">
        <f>IFERROR(INDEX('V2'!C$300:C$400,MATCH("*"&amp;L41&amp;"*",'V2'!B$300:B$400,0)),"  ")</f>
        <v xml:space="preserve">  </v>
      </c>
      <c r="AB41" s="686">
        <f>IFERROR(INDEX('V3'!C$300:C$400,MATCH("*"&amp;L41&amp;"*",'V3'!B$300:B$400,0)),"  ")</f>
        <v>6</v>
      </c>
      <c r="AC41" s="686" t="str">
        <f>IFERROR(INDEX('V4'!C$300:C$400,MATCH("*"&amp;L41&amp;"*",'V4'!B$300:B$400,0)),"  ")</f>
        <v xml:space="preserve">  </v>
      </c>
      <c r="AD41" s="686" t="str">
        <f>IFERROR(INDEX('V5'!C$300:C$400,MATCH("*"&amp;L41&amp;"*",'V5'!B$300:B$400,0)),"  ")</f>
        <v xml:space="preserve">  </v>
      </c>
      <c r="AE41" s="686" t="str">
        <f>IFERROR(INDEX('V6'!C$300:C$400,MATCH("*"&amp;L41&amp;"*",'V6'!B$300:B$400,0)),"  ")</f>
        <v xml:space="preserve">  </v>
      </c>
      <c r="AF41" s="686">
        <f>IFERROR(INDEX('V7'!C$300:C$400,MATCH("*"&amp;L41&amp;"*",'V7'!B$300:B$400,0)),"  ")</f>
        <v>10</v>
      </c>
      <c r="AG41" s="686" t="str">
        <f>IFERROR(INDEX('V8'!C$300:C$400,MATCH("*"&amp;L41&amp;"*",'V8'!B$300:B$400,0)),"  ")</f>
        <v xml:space="preserve">  </v>
      </c>
      <c r="AH41" s="686" t="str">
        <f>IFERROR(INDEX('V9'!C$300:C$400,MATCH("*"&amp;L41&amp;"*",'V9'!B$300:B$400,0)),"  ")</f>
        <v xml:space="preserve">  </v>
      </c>
      <c r="AI41" s="686" t="str">
        <f>IFERROR(INDEX('V10'!C$300:C$400,MATCH("*"&amp;L41&amp;"*",'V10'!B$300:B$400,0)),"  ")</f>
        <v xml:space="preserve">  </v>
      </c>
      <c r="AJ41" s="687">
        <f t="shared" si="60"/>
        <v>2</v>
      </c>
      <c r="AK41" s="688">
        <f t="shared" si="61"/>
        <v>0</v>
      </c>
      <c r="AL41" s="688">
        <f t="shared" si="62"/>
        <v>0</v>
      </c>
      <c r="AM41" s="642"/>
      <c r="AN41" s="689"/>
      <c r="AO41" s="690"/>
      <c r="AP41" s="690"/>
      <c r="AQ41" s="690"/>
      <c r="AR41" s="690"/>
      <c r="AS41" s="689">
        <f t="shared" si="63"/>
        <v>1E-4</v>
      </c>
      <c r="AT41" s="690">
        <f t="shared" si="64"/>
        <v>1E-4</v>
      </c>
      <c r="AU41" s="690">
        <f t="shared" si="65"/>
        <v>2.0000000000000001E-4</v>
      </c>
      <c r="AV41" s="690">
        <f t="shared" si="66"/>
        <v>6.0003000000000002</v>
      </c>
      <c r="AW41" s="690">
        <f t="shared" si="67"/>
        <v>4.0000000000000002E-4</v>
      </c>
      <c r="AX41" s="690">
        <f t="shared" si="68"/>
        <v>5.0000000000000001E-4</v>
      </c>
      <c r="AY41" s="690">
        <f t="shared" si="69"/>
        <v>5.9999999999999995E-4</v>
      </c>
      <c r="AZ41" s="690">
        <f t="shared" si="70"/>
        <v>10.0007</v>
      </c>
      <c r="BA41" s="690">
        <f t="shared" si="71"/>
        <v>8.0000000000000004E-4</v>
      </c>
      <c r="BB41" s="690">
        <f t="shared" si="72"/>
        <v>8.9999999999999998E-4</v>
      </c>
      <c r="BC41" s="690">
        <f t="shared" si="73"/>
        <v>1E-3</v>
      </c>
      <c r="BI41" s="581" t="e">
        <f t="shared" si="74"/>
        <v>#VALUE!</v>
      </c>
      <c r="BJ41" s="581" t="e">
        <f t="shared" si="75"/>
        <v>#VALUE!</v>
      </c>
      <c r="BK41" s="581">
        <f t="shared" si="76"/>
        <v>8</v>
      </c>
      <c r="BL41" s="581" t="e">
        <f t="shared" si="77"/>
        <v>#VALUE!</v>
      </c>
      <c r="BM41" s="581" t="e">
        <f t="shared" si="78"/>
        <v>#VALUE!</v>
      </c>
      <c r="BN41" s="581" t="e">
        <f t="shared" si="79"/>
        <v>#VALUE!</v>
      </c>
      <c r="BO41" s="581">
        <f t="shared" si="80"/>
        <v>9</v>
      </c>
      <c r="BP41" s="581" t="e">
        <f t="shared" si="81"/>
        <v>#VALUE!</v>
      </c>
      <c r="BQ41" s="581" t="e">
        <f t="shared" si="82"/>
        <v>#VALUE!</v>
      </c>
      <c r="BR41" s="581" t="e">
        <f t="shared" si="83"/>
        <v>#VALUE!</v>
      </c>
    </row>
    <row r="42" spans="1:70" x14ac:dyDescent="0.2">
      <c r="A42" s="768" t="str">
        <f t="shared" si="43"/>
        <v/>
      </c>
      <c r="B42" s="769">
        <f t="shared" si="44"/>
        <v>-963</v>
      </c>
      <c r="C42" s="770" t="str">
        <f t="shared" si="45"/>
        <v/>
      </c>
      <c r="D42" s="769">
        <f t="shared" si="46"/>
        <v>-963</v>
      </c>
      <c r="E42" s="771" t="str">
        <f t="shared" si="47"/>
        <v/>
      </c>
      <c r="F42" s="769">
        <f t="shared" si="48"/>
        <v>-963</v>
      </c>
      <c r="G42" s="772">
        <f t="shared" si="49"/>
        <v>8</v>
      </c>
      <c r="H42" s="769">
        <f t="shared" si="50"/>
        <v>37</v>
      </c>
      <c r="I42" s="773" t="str">
        <f t="shared" si="51"/>
        <v/>
      </c>
      <c r="J42" s="774">
        <f t="shared" si="52"/>
        <v>-963</v>
      </c>
      <c r="K42" s="680">
        <f t="shared" si="53"/>
        <v>36</v>
      </c>
      <c r="L42" s="786" t="s">
        <v>150</v>
      </c>
      <c r="M42" s="682" t="s">
        <v>99</v>
      </c>
      <c r="N42" s="775" t="str">
        <f>IF(M42="","m","")</f>
        <v/>
      </c>
      <c r="O42" s="683"/>
      <c r="P42" s="776"/>
      <c r="Q42" s="777"/>
      <c r="R42" s="673">
        <f>(IF(COUNT(Z42,AA42,AB42,AC42,AD42,AE42,AF42,AG42,AH42,AI42)&lt;9,SUM(Z42,AA42,AB42,AC42,AD42,AE42,AF42,AG42,AH42,AI42),SUM(LARGE((Z42,AA42,AB42,AC42,AD42,AE42,AF42,AG42,AH42,AI42),{1;2;3;4;5;6;7;8;9}))))</f>
        <v>14</v>
      </c>
      <c r="S42" s="684" t="str">
        <f>INDEX(ETAPP!B$1:B$32,MATCH(COUNTIF(BI42:BR42,1),ETAPP!A$1:A$32,0))&amp;INDEX(ETAPP!B$1:B$32,MATCH(COUNTIF(BI42:BR42,2),ETAPP!A$1:A$32,0))&amp;INDEX(ETAPP!B$1:B$32,MATCH(COUNTIF(BI42:BR42,3),ETAPP!A$1:A$32,0))&amp;INDEX(ETAPP!B$1:B$32,MATCH(COUNTIF(BI42:BR42,4),ETAPP!A$1:A$32,0))&amp;INDEX(ETAPP!B$1:B$32,MATCH(COUNTIF(BI42:BR42,5),ETAPP!A$1:A$32,0))&amp;INDEX(ETAPP!B$1:B$32,MATCH(COUNTIF(BI42:BR42,6),ETAPP!A$1:A$32,0))&amp;INDEX(ETAPP!B$1:B$32,MATCH(COUNTIF(BI42:BR42,7),ETAPP!A$1:A$32,0))&amp;INDEX(ETAPP!B$1:B$32,MATCH(COUNTIF(BI42:BR42,8),ETAPP!A$1:A$32,0))&amp;INDEX(ETAPP!B$1:B$32,MATCH(COUNTIF(BI42:BR42,9),ETAPP!A$1:A$32,0))&amp;INDEX(ETAPP!B$1:B$32,MATCH(COUNTIF(BI42:BR42,10),ETAPP!A$1:A$32,0))&amp;INDEX(ETAPP!B$1:B$32,MATCH(COUNTIF(BI42:BR42,11),ETAPP!A$1:A$32,0))&amp;INDEX(ETAPP!B$1:B$32,MATCH(COUNTIF(BI42:BR42,12),ETAPP!A$1:A$32,0))&amp;INDEX(ETAPP!B$1:B$32,MATCH(COUNTIF(BI42:BR42,13),ETAPP!A$1:A$32,0))&amp;INDEX(ETAPP!B$1:B$32,MATCH(COUNTIF(BI42:BR42,14),ETAPP!A$1:A$32,0))&amp;INDEX(ETAPP!B$1:B$32,MATCH(COUNTIF(BI42:BR42,15),ETAPP!A$1:A$32,0))&amp;INDEX(ETAPP!B$1:B$32,MATCH(COUNTIF(BI42:BR42,16),ETAPP!A$1:A$32,0))&amp;INDEX(ETAPP!B$1:B$32,MATCH(COUNTIF(BI42:BR42,17),ETAPP!A$1:A$32,0))&amp;INDEX(ETAPP!B$1:B$32,MATCH(COUNTIF(BI42:BR42,18),ETAPP!A$1:A$32,0))&amp;INDEX(ETAPP!B$1:B$32,MATCH(COUNTIF(BI42:BR42,19),ETAPP!A$1:A$32,0))&amp;INDEX(ETAPP!B$1:B$32,MATCH(COUNTIF(BI42:BR42,20),ETAPP!A$1:A$32,0))&amp;INDEX(ETAPP!B$1:B$32,MATCH(COUNTIF(BI42:BR42,21),ETAPP!A$1:A$32,0))</f>
        <v>0000A0000000000000000</v>
      </c>
      <c r="T42" s="684" t="str">
        <f t="shared" si="54"/>
        <v>014,0-0000A0000000000000000</v>
      </c>
      <c r="U42" s="684">
        <f t="shared" si="55"/>
        <v>37</v>
      </c>
      <c r="V42" s="684">
        <f t="shared" si="56"/>
        <v>40</v>
      </c>
      <c r="W42" s="684" t="str">
        <f t="shared" si="57"/>
        <v>014,0-0000A0000000000000000-040</v>
      </c>
      <c r="X42" s="684">
        <f t="shared" si="58"/>
        <v>36</v>
      </c>
      <c r="Y42" s="685">
        <f t="shared" si="59"/>
        <v>15</v>
      </c>
      <c r="Z42" s="686">
        <f>IFERROR(INDEX('V1'!C$300:C$400,MATCH("*"&amp;L42&amp;"*",'V1'!B$300:B$400,0)),"  ")</f>
        <v>14</v>
      </c>
      <c r="AA42" s="686" t="str">
        <f>IFERROR(INDEX('V2'!C$300:C$400,MATCH("*"&amp;L42&amp;"*",'V2'!B$300:B$400,0)),"  ")</f>
        <v xml:space="preserve">  </v>
      </c>
      <c r="AB42" s="686" t="str">
        <f>IFERROR(INDEX('V3'!C$300:C$400,MATCH("*"&amp;L42&amp;"*",'V3'!B$300:B$400,0)),"  ")</f>
        <v xml:space="preserve">  </v>
      </c>
      <c r="AC42" s="686" t="str">
        <f>IFERROR(INDEX('V4'!C$300:C$400,MATCH("*"&amp;L42&amp;"*",'V4'!B$300:B$400,0)),"  ")</f>
        <v xml:space="preserve">  </v>
      </c>
      <c r="AD42" s="686" t="str">
        <f>IFERROR(INDEX('V5'!C$300:C$400,MATCH("*"&amp;L42&amp;"*",'V5'!B$300:B$400,0)),"  ")</f>
        <v xml:space="preserve">  </v>
      </c>
      <c r="AE42" s="686" t="str">
        <f>IFERROR(INDEX('V6'!C$300:C$400,MATCH("*"&amp;L42&amp;"*",'V6'!B$300:B$400,0)),"  ")</f>
        <v xml:space="preserve">  </v>
      </c>
      <c r="AF42" s="686" t="str">
        <f>IFERROR(INDEX('V7'!C$300:C$400,MATCH("*"&amp;L42&amp;"*",'V7'!B$300:B$400,0)),"  ")</f>
        <v xml:space="preserve">  </v>
      </c>
      <c r="AG42" s="686" t="str">
        <f>IFERROR(INDEX('V8'!C$300:C$400,MATCH("*"&amp;L42&amp;"*",'V8'!B$300:B$400,0)),"  ")</f>
        <v xml:space="preserve">  </v>
      </c>
      <c r="AH42" s="686" t="str">
        <f>IFERROR(INDEX('V9'!C$300:C$400,MATCH("*"&amp;L42&amp;"*",'V9'!B$300:B$400,0)),"  ")</f>
        <v xml:space="preserve">  </v>
      </c>
      <c r="AI42" s="686" t="str">
        <f>IFERROR(INDEX('V10'!C$300:C$400,MATCH("*"&amp;L42&amp;"*",'V10'!B$300:B$400,0)),"  ")</f>
        <v xml:space="preserve">  </v>
      </c>
      <c r="AJ42" s="687">
        <f t="shared" si="60"/>
        <v>1</v>
      </c>
      <c r="AK42" s="688">
        <f t="shared" si="61"/>
        <v>0</v>
      </c>
      <c r="AL42" s="688">
        <f t="shared" si="62"/>
        <v>0</v>
      </c>
      <c r="AM42" s="642"/>
      <c r="AN42" s="689"/>
      <c r="AO42" s="690"/>
      <c r="AP42" s="690"/>
      <c r="AQ42" s="690"/>
      <c r="AR42" s="690"/>
      <c r="AS42" s="689">
        <f t="shared" si="63"/>
        <v>2.0000000000000001E-4</v>
      </c>
      <c r="AT42" s="690">
        <f t="shared" si="64"/>
        <v>14.0001</v>
      </c>
      <c r="AU42" s="690">
        <f t="shared" si="65"/>
        <v>2.0000000000000001E-4</v>
      </c>
      <c r="AV42" s="690">
        <f t="shared" si="66"/>
        <v>2.9999999999999997E-4</v>
      </c>
      <c r="AW42" s="690">
        <f t="shared" si="67"/>
        <v>4.0000000000000002E-4</v>
      </c>
      <c r="AX42" s="690">
        <f t="shared" si="68"/>
        <v>5.0000000000000001E-4</v>
      </c>
      <c r="AY42" s="690">
        <f t="shared" si="69"/>
        <v>5.9999999999999995E-4</v>
      </c>
      <c r="AZ42" s="690">
        <f t="shared" si="70"/>
        <v>6.9999999999999999E-4</v>
      </c>
      <c r="BA42" s="690">
        <f t="shared" si="71"/>
        <v>8.0000000000000004E-4</v>
      </c>
      <c r="BB42" s="690">
        <f t="shared" si="72"/>
        <v>8.9999999999999998E-4</v>
      </c>
      <c r="BC42" s="690">
        <f t="shared" si="73"/>
        <v>1E-3</v>
      </c>
      <c r="BH42" s="783"/>
      <c r="BI42" s="581">
        <f t="shared" si="74"/>
        <v>5</v>
      </c>
      <c r="BJ42" s="581" t="e">
        <f t="shared" si="75"/>
        <v>#VALUE!</v>
      </c>
      <c r="BK42" s="581" t="e">
        <f t="shared" si="76"/>
        <v>#VALUE!</v>
      </c>
      <c r="BL42" s="581" t="e">
        <f t="shared" si="77"/>
        <v>#VALUE!</v>
      </c>
      <c r="BM42" s="581" t="e">
        <f t="shared" si="78"/>
        <v>#VALUE!</v>
      </c>
      <c r="BN42" s="581" t="e">
        <f t="shared" si="79"/>
        <v>#VALUE!</v>
      </c>
      <c r="BO42" s="581" t="e">
        <f t="shared" si="80"/>
        <v>#VALUE!</v>
      </c>
      <c r="BP42" s="581" t="e">
        <f t="shared" si="81"/>
        <v>#VALUE!</v>
      </c>
      <c r="BQ42" s="581" t="e">
        <f t="shared" si="82"/>
        <v>#VALUE!</v>
      </c>
      <c r="BR42" s="581" t="e">
        <f t="shared" si="83"/>
        <v>#VALUE!</v>
      </c>
    </row>
    <row r="43" spans="1:70" x14ac:dyDescent="0.2">
      <c r="A43" s="768">
        <f t="shared" si="43"/>
        <v>25</v>
      </c>
      <c r="B43" s="769">
        <f t="shared" si="44"/>
        <v>37</v>
      </c>
      <c r="C43" s="770" t="str">
        <f t="shared" si="45"/>
        <v/>
      </c>
      <c r="D43" s="769">
        <f t="shared" si="46"/>
        <v>-963</v>
      </c>
      <c r="E43" s="771">
        <f t="shared" si="47"/>
        <v>26</v>
      </c>
      <c r="F43" s="769">
        <f t="shared" si="48"/>
        <v>37</v>
      </c>
      <c r="G43" s="772" t="str">
        <f t="shared" si="49"/>
        <v/>
      </c>
      <c r="H43" s="769">
        <f t="shared" si="50"/>
        <v>-963</v>
      </c>
      <c r="I43" s="773" t="str">
        <f t="shared" si="51"/>
        <v/>
      </c>
      <c r="J43" s="774">
        <f t="shared" si="52"/>
        <v>-963</v>
      </c>
      <c r="K43" s="680">
        <f t="shared" si="53"/>
        <v>36</v>
      </c>
      <c r="L43" s="785" t="s">
        <v>135</v>
      </c>
      <c r="M43" s="682"/>
      <c r="N43" s="775" t="str">
        <f>IF(M43="","m","")</f>
        <v>m</v>
      </c>
      <c r="O43" s="683"/>
      <c r="P43" s="776"/>
      <c r="Q43" s="777" t="s">
        <v>189</v>
      </c>
      <c r="R43" s="673">
        <f>(IF(COUNT(Z43,AA43,AB43,AC43,AD43,AE43,AF43,AG43,AH43,AI43)&lt;9,SUM(Z43,AA43,AB43,AC43,AD43,AE43,AF43,AG43,AH43,AI43),SUM(LARGE((Z43,AA43,AB43,AC43,AD43,AE43,AF43,AG43,AH43,AI43),{1;2;3;4;5;6;7;8;9}))))</f>
        <v>14</v>
      </c>
      <c r="S43" s="684" t="str">
        <f>INDEX(ETAPP!B$1:B$32,MATCH(COUNTIF(BI43:BR43,1),ETAPP!A$1:A$32,0))&amp;INDEX(ETAPP!B$1:B$32,MATCH(COUNTIF(BI43:BR43,2),ETAPP!A$1:A$32,0))&amp;INDEX(ETAPP!B$1:B$32,MATCH(COUNTIF(BI43:BR43,3),ETAPP!A$1:A$32,0))&amp;INDEX(ETAPP!B$1:B$32,MATCH(COUNTIF(BI43:BR43,4),ETAPP!A$1:A$32,0))&amp;INDEX(ETAPP!B$1:B$32,MATCH(COUNTIF(BI43:BR43,5),ETAPP!A$1:A$32,0))&amp;INDEX(ETAPP!B$1:B$32,MATCH(COUNTIF(BI43:BR43,6),ETAPP!A$1:A$32,0))&amp;INDEX(ETAPP!B$1:B$32,MATCH(COUNTIF(BI43:BR43,7),ETAPP!A$1:A$32,0))&amp;INDEX(ETAPP!B$1:B$32,MATCH(COUNTIF(BI43:BR43,8),ETAPP!A$1:A$32,0))&amp;INDEX(ETAPP!B$1:B$32,MATCH(COUNTIF(BI43:BR43,9),ETAPP!A$1:A$32,0))&amp;INDEX(ETAPP!B$1:B$32,MATCH(COUNTIF(BI43:BR43,10),ETAPP!A$1:A$32,0))&amp;INDEX(ETAPP!B$1:B$32,MATCH(COUNTIF(BI43:BR43,11),ETAPP!A$1:A$32,0))&amp;INDEX(ETAPP!B$1:B$32,MATCH(COUNTIF(BI43:BR43,12),ETAPP!A$1:A$32,0))&amp;INDEX(ETAPP!B$1:B$32,MATCH(COUNTIF(BI43:BR43,13),ETAPP!A$1:A$32,0))&amp;INDEX(ETAPP!B$1:B$32,MATCH(COUNTIF(BI43:BR43,14),ETAPP!A$1:A$32,0))&amp;INDEX(ETAPP!B$1:B$32,MATCH(COUNTIF(BI43:BR43,15),ETAPP!A$1:A$32,0))&amp;INDEX(ETAPP!B$1:B$32,MATCH(COUNTIF(BI43:BR43,16),ETAPP!A$1:A$32,0))&amp;INDEX(ETAPP!B$1:B$32,MATCH(COUNTIF(BI43:BR43,17),ETAPP!A$1:A$32,0))&amp;INDEX(ETAPP!B$1:B$32,MATCH(COUNTIF(BI43:BR43,18),ETAPP!A$1:A$32,0))&amp;INDEX(ETAPP!B$1:B$32,MATCH(COUNTIF(BI43:BR43,19),ETAPP!A$1:A$32,0))&amp;INDEX(ETAPP!B$1:B$32,MATCH(COUNTIF(BI43:BR43,20),ETAPP!A$1:A$32,0))&amp;INDEX(ETAPP!B$1:B$32,MATCH(COUNTIF(BI43:BR43,21),ETAPP!A$1:A$32,0))</f>
        <v>0000A0000000000000000</v>
      </c>
      <c r="T43" s="684" t="str">
        <f t="shared" si="54"/>
        <v>014,0-0000A0000000000000000</v>
      </c>
      <c r="U43" s="684">
        <f t="shared" si="55"/>
        <v>37</v>
      </c>
      <c r="V43" s="684">
        <f t="shared" si="56"/>
        <v>3</v>
      </c>
      <c r="W43" s="684" t="str">
        <f t="shared" si="57"/>
        <v>014,0-0000A0000000000000000-003</v>
      </c>
      <c r="X43" s="684">
        <f t="shared" si="58"/>
        <v>37</v>
      </c>
      <c r="Y43" s="685">
        <f t="shared" si="59"/>
        <v>14</v>
      </c>
      <c r="Z43" s="686">
        <f>IFERROR(INDEX('V1'!C$300:C$400,MATCH("*"&amp;L43&amp;"*",'V1'!B$300:B$400,0)),"  ")</f>
        <v>14</v>
      </c>
      <c r="AA43" s="686" t="str">
        <f>IFERROR(INDEX('V2'!C$300:C$400,MATCH("*"&amp;L43&amp;"*",'V2'!B$300:B$400,0)),"  ")</f>
        <v xml:space="preserve">  </v>
      </c>
      <c r="AB43" s="686" t="str">
        <f>IFERROR(INDEX('V3'!C$300:C$400,MATCH("*"&amp;L43&amp;"*",'V3'!B$300:B$400,0)),"  ")</f>
        <v xml:space="preserve">  </v>
      </c>
      <c r="AC43" s="686" t="str">
        <f>IFERROR(INDEX('V4'!C$300:C$400,MATCH("*"&amp;L43&amp;"*",'V4'!B$300:B$400,0)),"  ")</f>
        <v xml:space="preserve">  </v>
      </c>
      <c r="AD43" s="686" t="str">
        <f>IFERROR(INDEX('V5'!C$300:C$400,MATCH("*"&amp;L43&amp;"*",'V5'!B$300:B$400,0)),"  ")</f>
        <v xml:space="preserve">  </v>
      </c>
      <c r="AE43" s="686" t="str">
        <f>IFERROR(INDEX('V6'!C$300:C$400,MATCH("*"&amp;L43&amp;"*",'V6'!B$300:B$400,0)),"  ")</f>
        <v xml:space="preserve">  </v>
      </c>
      <c r="AF43" s="686" t="str">
        <f>IFERROR(INDEX('V7'!C$300:C$400,MATCH("*"&amp;L43&amp;"*",'V7'!B$300:B$400,0)),"  ")</f>
        <v xml:space="preserve">  </v>
      </c>
      <c r="AG43" s="686" t="str">
        <f>IFERROR(INDEX('V8'!C$300:C$400,MATCH("*"&amp;L43&amp;"*",'V8'!B$300:B$400,0)),"  ")</f>
        <v xml:space="preserve">  </v>
      </c>
      <c r="AH43" s="686" t="str">
        <f>IFERROR(INDEX('V9'!C$300:C$400,MATCH("*"&amp;L43&amp;"*",'V9'!B$300:B$400,0)),"  ")</f>
        <v xml:space="preserve">  </v>
      </c>
      <c r="AI43" s="686" t="str">
        <f>IFERROR(INDEX('V10'!C$300:C$400,MATCH("*"&amp;L43&amp;"*",'V10'!B$300:B$400,0)),"  ")</f>
        <v xml:space="preserve">  </v>
      </c>
      <c r="AJ43" s="687">
        <f t="shared" si="60"/>
        <v>1</v>
      </c>
      <c r="AK43" s="688">
        <f t="shared" si="61"/>
        <v>0</v>
      </c>
      <c r="AL43" s="688">
        <f t="shared" si="62"/>
        <v>0</v>
      </c>
      <c r="AM43" s="642"/>
      <c r="AN43" s="689"/>
      <c r="AO43" s="690"/>
      <c r="AP43" s="690"/>
      <c r="AQ43" s="690"/>
      <c r="AR43" s="690"/>
      <c r="AS43" s="689">
        <f t="shared" si="63"/>
        <v>2.0000000000000001E-4</v>
      </c>
      <c r="AT43" s="690">
        <f t="shared" si="64"/>
        <v>14.0001</v>
      </c>
      <c r="AU43" s="690">
        <f t="shared" si="65"/>
        <v>2.0000000000000001E-4</v>
      </c>
      <c r="AV43" s="690">
        <f t="shared" si="66"/>
        <v>2.9999999999999997E-4</v>
      </c>
      <c r="AW43" s="690">
        <f t="shared" si="67"/>
        <v>4.0000000000000002E-4</v>
      </c>
      <c r="AX43" s="690">
        <f t="shared" si="68"/>
        <v>5.0000000000000001E-4</v>
      </c>
      <c r="AY43" s="690">
        <f t="shared" si="69"/>
        <v>5.9999999999999995E-4</v>
      </c>
      <c r="AZ43" s="690">
        <f t="shared" si="70"/>
        <v>6.9999999999999999E-4</v>
      </c>
      <c r="BA43" s="690">
        <f t="shared" si="71"/>
        <v>8.0000000000000004E-4</v>
      </c>
      <c r="BB43" s="690">
        <f t="shared" si="72"/>
        <v>8.9999999999999998E-4</v>
      </c>
      <c r="BC43" s="690">
        <f t="shared" si="73"/>
        <v>1E-3</v>
      </c>
      <c r="BI43" s="581">
        <f t="shared" si="74"/>
        <v>5</v>
      </c>
      <c r="BJ43" s="581" t="e">
        <f t="shared" si="75"/>
        <v>#VALUE!</v>
      </c>
      <c r="BK43" s="581" t="e">
        <f t="shared" si="76"/>
        <v>#VALUE!</v>
      </c>
      <c r="BL43" s="581" t="e">
        <f t="shared" si="77"/>
        <v>#VALUE!</v>
      </c>
      <c r="BM43" s="581" t="e">
        <f t="shared" si="78"/>
        <v>#VALUE!</v>
      </c>
      <c r="BN43" s="581" t="e">
        <f t="shared" si="79"/>
        <v>#VALUE!</v>
      </c>
      <c r="BO43" s="581" t="e">
        <f t="shared" si="80"/>
        <v>#VALUE!</v>
      </c>
      <c r="BP43" s="581" t="e">
        <f t="shared" si="81"/>
        <v>#VALUE!</v>
      </c>
      <c r="BQ43" s="581" t="e">
        <f t="shared" si="82"/>
        <v>#VALUE!</v>
      </c>
      <c r="BR43" s="581" t="e">
        <f t="shared" si="83"/>
        <v>#VALUE!</v>
      </c>
    </row>
    <row r="44" spans="1:70" x14ac:dyDescent="0.2">
      <c r="A44" s="768" t="str">
        <f t="shared" si="43"/>
        <v/>
      </c>
      <c r="B44" s="769">
        <f t="shared" si="44"/>
        <v>-962</v>
      </c>
      <c r="C44" s="770" t="str">
        <f t="shared" si="45"/>
        <v/>
      </c>
      <c r="D44" s="769">
        <f t="shared" si="46"/>
        <v>-962</v>
      </c>
      <c r="E44" s="771">
        <f t="shared" si="47"/>
        <v>27</v>
      </c>
      <c r="F44" s="769">
        <f t="shared" si="48"/>
        <v>38</v>
      </c>
      <c r="G44" s="772" t="str">
        <f t="shared" si="49"/>
        <v/>
      </c>
      <c r="H44" s="769">
        <f t="shared" si="50"/>
        <v>-962</v>
      </c>
      <c r="I44" s="773" t="str">
        <f t="shared" si="51"/>
        <v/>
      </c>
      <c r="J44" s="774">
        <f t="shared" si="52"/>
        <v>-962</v>
      </c>
      <c r="K44" s="680">
        <f t="shared" si="53"/>
        <v>38</v>
      </c>
      <c r="L44" s="681" t="s">
        <v>642</v>
      </c>
      <c r="M44" s="682"/>
      <c r="N44" s="775" t="s">
        <v>191</v>
      </c>
      <c r="O44" s="683"/>
      <c r="P44" s="802"/>
      <c r="Q44" s="777"/>
      <c r="R44" s="673">
        <f>(IF(COUNT(Z44,AA44,AB44,AC44,AD44,AE44,AF44,AG44,AH44,AI44)&lt;9,SUM(Z44,AA44,AB44,AC44,AD44,AE44,AF44,AG44,AH44,AI44),SUM(LARGE((Z44,AA44,AB44,AC44,AD44,AE44,AF44,AG44,AH44,AI44),{1;2;3;4;5;6;7;8;9}))))</f>
        <v>14</v>
      </c>
      <c r="S44" s="684" t="str">
        <f>INDEX(ETAPP!B$1:B$32,MATCH(COUNTIF(BI44:BR44,1),ETAPP!A$1:A$32,0))&amp;INDEX(ETAPP!B$1:B$32,MATCH(COUNTIF(BI44:BR44,2),ETAPP!A$1:A$32,0))&amp;INDEX(ETAPP!B$1:B$32,MATCH(COUNTIF(BI44:BR44,3),ETAPP!A$1:A$32,0))&amp;INDEX(ETAPP!B$1:B$32,MATCH(COUNTIF(BI44:BR44,4),ETAPP!A$1:A$32,0))&amp;INDEX(ETAPP!B$1:B$32,MATCH(COUNTIF(BI44:BR44,5),ETAPP!A$1:A$32,0))&amp;INDEX(ETAPP!B$1:B$32,MATCH(COUNTIF(BI44:BR44,6),ETAPP!A$1:A$32,0))&amp;INDEX(ETAPP!B$1:B$32,MATCH(COUNTIF(BI44:BR44,7),ETAPP!A$1:A$32,0))&amp;INDEX(ETAPP!B$1:B$32,MATCH(COUNTIF(BI44:BR44,8),ETAPP!A$1:A$32,0))&amp;INDEX(ETAPP!B$1:B$32,MATCH(COUNTIF(BI44:BR44,9),ETAPP!A$1:A$32,0))&amp;INDEX(ETAPP!B$1:B$32,MATCH(COUNTIF(BI44:BR44,10),ETAPP!A$1:A$32,0))&amp;INDEX(ETAPP!B$1:B$32,MATCH(COUNTIF(BI44:BR44,11),ETAPP!A$1:A$32,0))&amp;INDEX(ETAPP!B$1:B$32,MATCH(COUNTIF(BI44:BR44,12),ETAPP!A$1:A$32,0))&amp;INDEX(ETAPP!B$1:B$32,MATCH(COUNTIF(BI44:BR44,13),ETAPP!A$1:A$32,0))&amp;INDEX(ETAPP!B$1:B$32,MATCH(COUNTIF(BI44:BR44,14),ETAPP!A$1:A$32,0))&amp;INDEX(ETAPP!B$1:B$32,MATCH(COUNTIF(BI44:BR44,15),ETAPP!A$1:A$32,0))&amp;INDEX(ETAPP!B$1:B$32,MATCH(COUNTIF(BI44:BR44,16),ETAPP!A$1:A$32,0))&amp;INDEX(ETAPP!B$1:B$32,MATCH(COUNTIF(BI44:BR44,17),ETAPP!A$1:A$32,0))&amp;INDEX(ETAPP!B$1:B$32,MATCH(COUNTIF(BI44:BR44,18),ETAPP!A$1:A$32,0))&amp;INDEX(ETAPP!B$1:B$32,MATCH(COUNTIF(BI44:BR44,19),ETAPP!A$1:A$32,0))&amp;INDEX(ETAPP!B$1:B$32,MATCH(COUNTIF(BI44:BR44,20),ETAPP!A$1:A$32,0))&amp;INDEX(ETAPP!B$1:B$32,MATCH(COUNTIF(BI44:BR44,21),ETAPP!A$1:A$32,0))</f>
        <v>000000A00000000000000</v>
      </c>
      <c r="T44" s="684" t="str">
        <f t="shared" si="54"/>
        <v>014,0-000000A00000000000000</v>
      </c>
      <c r="U44" s="684">
        <f t="shared" si="55"/>
        <v>38</v>
      </c>
      <c r="V44" s="684">
        <f t="shared" si="56"/>
        <v>28</v>
      </c>
      <c r="W44" s="684" t="str">
        <f t="shared" si="57"/>
        <v>014,0-000000A00000000000000-028</v>
      </c>
      <c r="X44" s="684">
        <f t="shared" si="58"/>
        <v>38</v>
      </c>
      <c r="Y44" s="685">
        <f t="shared" si="59"/>
        <v>13</v>
      </c>
      <c r="Z44" s="686" t="str">
        <f>IFERROR(INDEX('V1'!C$300:C$400,MATCH("*"&amp;L44&amp;"*",'V1'!B$300:B$400,0)),"  ")</f>
        <v xml:space="preserve">  </v>
      </c>
      <c r="AA44" s="686" t="str">
        <f>IFERROR(INDEX('V2'!C$300:C$400,MATCH("*"&amp;L44&amp;"*",'V2'!B$300:B$400,0)),"  ")</f>
        <v xml:space="preserve">  </v>
      </c>
      <c r="AB44" s="686" t="str">
        <f>IFERROR(INDEX('V3'!C$300:C$400,MATCH("*"&amp;L44&amp;"*",'V3'!B$300:B$400,0)),"  ")</f>
        <v xml:space="preserve">  </v>
      </c>
      <c r="AC44" s="686" t="str">
        <f>IFERROR(INDEX('V4'!C$300:C$400,MATCH("*"&amp;L44&amp;"*",'V4'!B$300:B$400,0)),"  ")</f>
        <v xml:space="preserve">  </v>
      </c>
      <c r="AD44" s="686" t="str">
        <f>IFERROR(INDEX('V5'!C$300:C$400,MATCH("*"&amp;L44&amp;"*",'V5'!B$300:B$400,0)),"  ")</f>
        <v xml:space="preserve">  </v>
      </c>
      <c r="AE44" s="686" t="str">
        <f>IFERROR(INDEX('V6'!C$300:C$400,MATCH("*"&amp;L44&amp;"*",'V6'!B$300:B$400,0)),"  ")</f>
        <v xml:space="preserve">  </v>
      </c>
      <c r="AF44" s="686">
        <f>IFERROR(INDEX('V7'!C$300:C$400,MATCH("*"&amp;L44&amp;"*",'V7'!B$300:B$400,0)),"  ")</f>
        <v>14</v>
      </c>
      <c r="AG44" s="686" t="str">
        <f>IFERROR(INDEX('V8'!C$300:C$400,MATCH("*"&amp;L44&amp;"*",'V8'!B$300:B$400,0)),"  ")</f>
        <v xml:space="preserve">  </v>
      </c>
      <c r="AH44" s="686" t="str">
        <f>IFERROR(INDEX('V9'!C$300:C$400,MATCH("*"&amp;L44&amp;"*",'V9'!B$300:B$400,0)),"  ")</f>
        <v xml:space="preserve">  </v>
      </c>
      <c r="AI44" s="686" t="str">
        <f>IFERROR(INDEX('V10'!C$300:C$400,MATCH("*"&amp;L44&amp;"*",'V10'!B$300:B$400,0)),"  ")</f>
        <v xml:space="preserve">  </v>
      </c>
      <c r="AJ44" s="687">
        <f t="shared" si="60"/>
        <v>1</v>
      </c>
      <c r="AK44" s="688">
        <f t="shared" si="61"/>
        <v>0</v>
      </c>
      <c r="AL44" s="688">
        <f t="shared" si="62"/>
        <v>0</v>
      </c>
      <c r="AM44" s="642"/>
      <c r="AN44" s="689"/>
      <c r="AO44" s="690"/>
      <c r="AP44" s="690"/>
      <c r="AQ44" s="690"/>
      <c r="AR44" s="690"/>
      <c r="AS44" s="689">
        <f t="shared" si="63"/>
        <v>1E-4</v>
      </c>
      <c r="AT44" s="690">
        <f t="shared" si="64"/>
        <v>1E-4</v>
      </c>
      <c r="AU44" s="690">
        <f t="shared" si="65"/>
        <v>2.0000000000000001E-4</v>
      </c>
      <c r="AV44" s="690">
        <f t="shared" si="66"/>
        <v>2.9999999999999997E-4</v>
      </c>
      <c r="AW44" s="690">
        <f t="shared" si="67"/>
        <v>4.0000000000000002E-4</v>
      </c>
      <c r="AX44" s="690">
        <f t="shared" si="68"/>
        <v>5.0000000000000001E-4</v>
      </c>
      <c r="AY44" s="690">
        <f t="shared" si="69"/>
        <v>5.9999999999999995E-4</v>
      </c>
      <c r="AZ44" s="690">
        <f t="shared" si="70"/>
        <v>14.0007</v>
      </c>
      <c r="BA44" s="690">
        <f t="shared" si="71"/>
        <v>8.0000000000000004E-4</v>
      </c>
      <c r="BB44" s="690">
        <f t="shared" si="72"/>
        <v>8.9999999999999998E-4</v>
      </c>
      <c r="BC44" s="690">
        <f t="shared" si="73"/>
        <v>1E-3</v>
      </c>
      <c r="BI44" s="581" t="e">
        <f t="shared" si="74"/>
        <v>#VALUE!</v>
      </c>
      <c r="BJ44" s="581" t="e">
        <f t="shared" si="75"/>
        <v>#VALUE!</v>
      </c>
      <c r="BK44" s="581" t="e">
        <f t="shared" si="76"/>
        <v>#VALUE!</v>
      </c>
      <c r="BL44" s="581" t="e">
        <f t="shared" si="77"/>
        <v>#VALUE!</v>
      </c>
      <c r="BM44" s="581" t="e">
        <f t="shared" si="78"/>
        <v>#VALUE!</v>
      </c>
      <c r="BN44" s="581" t="e">
        <f t="shared" si="79"/>
        <v>#VALUE!</v>
      </c>
      <c r="BO44" s="581">
        <f t="shared" si="80"/>
        <v>7</v>
      </c>
      <c r="BP44" s="581" t="e">
        <f t="shared" si="81"/>
        <v>#VALUE!</v>
      </c>
      <c r="BQ44" s="581" t="e">
        <f t="shared" si="82"/>
        <v>#VALUE!</v>
      </c>
      <c r="BR44" s="581" t="e">
        <f t="shared" si="83"/>
        <v>#VALUE!</v>
      </c>
    </row>
    <row r="45" spans="1:70" x14ac:dyDescent="0.2">
      <c r="A45" s="768" t="str">
        <f t="shared" si="43"/>
        <v/>
      </c>
      <c r="B45" s="769">
        <f t="shared" si="44"/>
        <v>-961</v>
      </c>
      <c r="C45" s="770" t="str">
        <f t="shared" si="45"/>
        <v/>
      </c>
      <c r="D45" s="769">
        <f t="shared" si="46"/>
        <v>-961</v>
      </c>
      <c r="E45" s="771" t="str">
        <f t="shared" si="47"/>
        <v/>
      </c>
      <c r="F45" s="769">
        <f t="shared" si="48"/>
        <v>-961</v>
      </c>
      <c r="G45" s="772">
        <f t="shared" si="49"/>
        <v>9</v>
      </c>
      <c r="H45" s="769">
        <f t="shared" si="50"/>
        <v>39</v>
      </c>
      <c r="I45" s="773" t="str">
        <f t="shared" si="51"/>
        <v/>
      </c>
      <c r="J45" s="774">
        <f t="shared" si="52"/>
        <v>-961</v>
      </c>
      <c r="K45" s="680">
        <f t="shared" si="53"/>
        <v>39</v>
      </c>
      <c r="L45" s="784" t="s">
        <v>155</v>
      </c>
      <c r="M45" s="682" t="s">
        <v>99</v>
      </c>
      <c r="N45" s="775" t="str">
        <f>IF(M45="","m","")</f>
        <v/>
      </c>
      <c r="O45" s="683"/>
      <c r="P45" s="776"/>
      <c r="Q45" s="777"/>
      <c r="R45" s="673">
        <f>(IF(COUNT(Z45,AA45,AB45,AC45,AD45,AE45,AF45,AG45,AH45,AI45)&lt;9,SUM(Z45,AA45,AB45,AC45,AD45,AE45,AF45,AG45,AH45,AI45),SUM(LARGE((Z45,AA45,AB45,AC45,AD45,AE45,AF45,AG45,AH45,AI45),{1;2;3;4;5;6;7;8;9}))))</f>
        <v>12</v>
      </c>
      <c r="S45" s="684" t="str">
        <f>INDEX(ETAPP!B$1:B$32,MATCH(COUNTIF(BI45:BR45,1),ETAPP!A$1:A$32,0))&amp;INDEX(ETAPP!B$1:B$32,MATCH(COUNTIF(BI45:BR45,2),ETAPP!A$1:A$32,0))&amp;INDEX(ETAPP!B$1:B$32,MATCH(COUNTIF(BI45:BR45,3),ETAPP!A$1:A$32,0))&amp;INDEX(ETAPP!B$1:B$32,MATCH(COUNTIF(BI45:BR45,4),ETAPP!A$1:A$32,0))&amp;INDEX(ETAPP!B$1:B$32,MATCH(COUNTIF(BI45:BR45,5),ETAPP!A$1:A$32,0))&amp;INDEX(ETAPP!B$1:B$32,MATCH(COUNTIF(BI45:BR45,6),ETAPP!A$1:A$32,0))&amp;INDEX(ETAPP!B$1:B$32,MATCH(COUNTIF(BI45:BR45,7),ETAPP!A$1:A$32,0))&amp;INDEX(ETAPP!B$1:B$32,MATCH(COUNTIF(BI45:BR45,8),ETAPP!A$1:A$32,0))&amp;INDEX(ETAPP!B$1:B$32,MATCH(COUNTIF(BI45:BR45,9),ETAPP!A$1:A$32,0))&amp;INDEX(ETAPP!B$1:B$32,MATCH(COUNTIF(BI45:BR45,10),ETAPP!A$1:A$32,0))&amp;INDEX(ETAPP!B$1:B$32,MATCH(COUNTIF(BI45:BR45,11),ETAPP!A$1:A$32,0))&amp;INDEX(ETAPP!B$1:B$32,MATCH(COUNTIF(BI45:BR45,12),ETAPP!A$1:A$32,0))&amp;INDEX(ETAPP!B$1:B$32,MATCH(COUNTIF(BI45:BR45,13),ETAPP!A$1:A$32,0))&amp;INDEX(ETAPP!B$1:B$32,MATCH(COUNTIF(BI45:BR45,14),ETAPP!A$1:A$32,0))&amp;INDEX(ETAPP!B$1:B$32,MATCH(COUNTIF(BI45:BR45,15),ETAPP!A$1:A$32,0))&amp;INDEX(ETAPP!B$1:B$32,MATCH(COUNTIF(BI45:BR45,16),ETAPP!A$1:A$32,0))&amp;INDEX(ETAPP!B$1:B$32,MATCH(COUNTIF(BI45:BR45,17),ETAPP!A$1:A$32,0))&amp;INDEX(ETAPP!B$1:B$32,MATCH(COUNTIF(BI45:BR45,18),ETAPP!A$1:A$32,0))&amp;INDEX(ETAPP!B$1:B$32,MATCH(COUNTIF(BI45:BR45,19),ETAPP!A$1:A$32,0))&amp;INDEX(ETAPP!B$1:B$32,MATCH(COUNTIF(BI45:BR45,20),ETAPP!A$1:A$32,0))&amp;INDEX(ETAPP!B$1:B$32,MATCH(COUNTIF(BI45:BR45,21),ETAPP!A$1:A$32,0))</f>
        <v>0000000A0000000000000</v>
      </c>
      <c r="T45" s="684" t="str">
        <f t="shared" si="54"/>
        <v>012,0-0000000A0000000000000</v>
      </c>
      <c r="U45" s="684">
        <f t="shared" si="55"/>
        <v>39</v>
      </c>
      <c r="V45" s="684">
        <f t="shared" si="56"/>
        <v>21</v>
      </c>
      <c r="W45" s="684" t="str">
        <f t="shared" si="57"/>
        <v>012,0-0000000A0000000000000-021</v>
      </c>
      <c r="X45" s="684">
        <f t="shared" si="58"/>
        <v>39</v>
      </c>
      <c r="Y45" s="685">
        <f t="shared" si="59"/>
        <v>12</v>
      </c>
      <c r="Z45" s="686" t="str">
        <f>IFERROR(INDEX('V1'!C$300:C$400,MATCH("*"&amp;L45&amp;"*",'V1'!B$300:B$400,0)),"  ")</f>
        <v xml:space="preserve">  </v>
      </c>
      <c r="AA45" s="686" t="str">
        <f>IFERROR(INDEX('V2'!C$300:C$400,MATCH("*"&amp;L45&amp;"*",'V2'!B$300:B$400,0)),"  ")</f>
        <v xml:space="preserve">  </v>
      </c>
      <c r="AB45" s="686" t="str">
        <f>IFERROR(INDEX('V3'!C$300:C$400,MATCH("*"&amp;L45&amp;"*",'V3'!B$300:B$400,0)),"  ")</f>
        <v xml:space="preserve">  </v>
      </c>
      <c r="AC45" s="686" t="str">
        <f>IFERROR(INDEX('V4'!C$300:C$400,MATCH("*"&amp;L45&amp;"*",'V4'!B$300:B$400,0)),"  ")</f>
        <v xml:space="preserve">  </v>
      </c>
      <c r="AD45" s="686" t="str">
        <f>IFERROR(INDEX('V5'!C$300:C$400,MATCH("*"&amp;L45&amp;"*",'V5'!B$300:B$400,0)),"  ")</f>
        <v xml:space="preserve">  </v>
      </c>
      <c r="AE45" s="686" t="str">
        <f>IFERROR(INDEX('V6'!C$300:C$400,MATCH("*"&amp;L45&amp;"*",'V6'!B$300:B$400,0)),"  ")</f>
        <v xml:space="preserve">  </v>
      </c>
      <c r="AF45" s="686">
        <f>IFERROR(INDEX('V7'!C$300:C$400,MATCH("*"&amp;L45&amp;"*",'V7'!B$300:B$400,0)),"  ")</f>
        <v>12</v>
      </c>
      <c r="AG45" s="686" t="str">
        <f>IFERROR(INDEX('V8'!C$300:C$400,MATCH("*"&amp;L45&amp;"*",'V8'!B$300:B$400,0)),"  ")</f>
        <v xml:space="preserve">  </v>
      </c>
      <c r="AH45" s="686" t="str">
        <f>IFERROR(INDEX('V9'!C$300:C$400,MATCH("*"&amp;L45&amp;"*",'V9'!B$300:B$400,0)),"  ")</f>
        <v xml:space="preserve">  </v>
      </c>
      <c r="AI45" s="686" t="str">
        <f>IFERROR(INDEX('V10'!C$300:C$400,MATCH("*"&amp;L45&amp;"*",'V10'!B$300:B$400,0)),"  ")</f>
        <v xml:space="preserve">  </v>
      </c>
      <c r="AJ45" s="687">
        <f t="shared" si="60"/>
        <v>1</v>
      </c>
      <c r="AK45" s="688">
        <f t="shared" si="61"/>
        <v>0</v>
      </c>
      <c r="AL45" s="688">
        <f t="shared" si="62"/>
        <v>0</v>
      </c>
      <c r="AM45" s="642"/>
      <c r="AN45" s="689"/>
      <c r="AO45" s="690"/>
      <c r="AP45" s="690"/>
      <c r="AQ45" s="690"/>
      <c r="AR45" s="690"/>
      <c r="AS45" s="689">
        <f t="shared" si="63"/>
        <v>1E-4</v>
      </c>
      <c r="AT45" s="690">
        <f t="shared" si="64"/>
        <v>1E-4</v>
      </c>
      <c r="AU45" s="690">
        <f t="shared" si="65"/>
        <v>2.0000000000000001E-4</v>
      </c>
      <c r="AV45" s="690">
        <f t="shared" si="66"/>
        <v>2.9999999999999997E-4</v>
      </c>
      <c r="AW45" s="690">
        <f t="shared" si="67"/>
        <v>4.0000000000000002E-4</v>
      </c>
      <c r="AX45" s="690">
        <f t="shared" si="68"/>
        <v>5.0000000000000001E-4</v>
      </c>
      <c r="AY45" s="690">
        <f t="shared" si="69"/>
        <v>5.9999999999999995E-4</v>
      </c>
      <c r="AZ45" s="690">
        <f t="shared" si="70"/>
        <v>12.0007</v>
      </c>
      <c r="BA45" s="690">
        <f t="shared" si="71"/>
        <v>8.0000000000000004E-4</v>
      </c>
      <c r="BB45" s="690">
        <f t="shared" si="72"/>
        <v>8.9999999999999998E-4</v>
      </c>
      <c r="BC45" s="690">
        <f t="shared" si="73"/>
        <v>1E-3</v>
      </c>
      <c r="BI45" s="581" t="e">
        <f t="shared" si="74"/>
        <v>#VALUE!</v>
      </c>
      <c r="BJ45" s="581" t="e">
        <f t="shared" si="75"/>
        <v>#VALUE!</v>
      </c>
      <c r="BK45" s="581" t="e">
        <f t="shared" si="76"/>
        <v>#VALUE!</v>
      </c>
      <c r="BL45" s="581" t="e">
        <f t="shared" si="77"/>
        <v>#VALUE!</v>
      </c>
      <c r="BM45" s="581" t="e">
        <f t="shared" si="78"/>
        <v>#VALUE!</v>
      </c>
      <c r="BN45" s="581" t="e">
        <f t="shared" si="79"/>
        <v>#VALUE!</v>
      </c>
      <c r="BO45" s="581">
        <f t="shared" si="80"/>
        <v>8</v>
      </c>
      <c r="BP45" s="581" t="e">
        <f t="shared" si="81"/>
        <v>#VALUE!</v>
      </c>
      <c r="BQ45" s="581" t="e">
        <f t="shared" si="82"/>
        <v>#VALUE!</v>
      </c>
      <c r="BR45" s="581" t="e">
        <f t="shared" si="83"/>
        <v>#VALUE!</v>
      </c>
    </row>
    <row r="46" spans="1:70" x14ac:dyDescent="0.2">
      <c r="A46" s="768">
        <f t="shared" si="43"/>
        <v>26</v>
      </c>
      <c r="B46" s="769">
        <f t="shared" si="44"/>
        <v>40</v>
      </c>
      <c r="C46" s="770">
        <f t="shared" si="45"/>
        <v>13</v>
      </c>
      <c r="D46" s="769">
        <f t="shared" si="46"/>
        <v>40</v>
      </c>
      <c r="E46" s="771">
        <f t="shared" si="47"/>
        <v>28</v>
      </c>
      <c r="F46" s="769">
        <f t="shared" si="48"/>
        <v>40</v>
      </c>
      <c r="G46" s="772" t="str">
        <f t="shared" si="49"/>
        <v/>
      </c>
      <c r="H46" s="769">
        <f t="shared" si="50"/>
        <v>-960</v>
      </c>
      <c r="I46" s="773" t="str">
        <f t="shared" si="51"/>
        <v/>
      </c>
      <c r="J46" s="774">
        <f t="shared" si="52"/>
        <v>-960</v>
      </c>
      <c r="K46" s="680">
        <f t="shared" si="53"/>
        <v>40</v>
      </c>
      <c r="L46" s="784" t="s">
        <v>127</v>
      </c>
      <c r="M46" s="682"/>
      <c r="N46" s="775" t="str">
        <f>IF(M46="","m","")</f>
        <v>m</v>
      </c>
      <c r="O46" s="683"/>
      <c r="P46" s="776" t="s">
        <v>190</v>
      </c>
      <c r="Q46" s="777" t="s">
        <v>189</v>
      </c>
      <c r="R46" s="673">
        <f>(IF(COUNT(Z46,AA46,AB46,AC46,AD46,AE46,AF46,AG46,AH46,AI46)&lt;9,SUM(Z46,AA46,AB46,AC46,AD46,AE46,AF46,AG46,AH46,AI46),SUM(LARGE((Z46,AA46,AB46,AC46,AD46,AE46,AF46,AG46,AH46,AI46),{1;2;3;4;5;6;7;8;9}))))</f>
        <v>10</v>
      </c>
      <c r="S46" s="684" t="str">
        <f>INDEX(ETAPP!B$1:B$32,MATCH(COUNTIF(BI46:BR46,1),ETAPP!A$1:A$32,0))&amp;INDEX(ETAPP!B$1:B$32,MATCH(COUNTIF(BI46:BR46,2),ETAPP!A$1:A$32,0))&amp;INDEX(ETAPP!B$1:B$32,MATCH(COUNTIF(BI46:BR46,3),ETAPP!A$1:A$32,0))&amp;INDEX(ETAPP!B$1:B$32,MATCH(COUNTIF(BI46:BR46,4),ETAPP!A$1:A$32,0))&amp;INDEX(ETAPP!B$1:B$32,MATCH(COUNTIF(BI46:BR46,5),ETAPP!A$1:A$32,0))&amp;INDEX(ETAPP!B$1:B$32,MATCH(COUNTIF(BI46:BR46,6),ETAPP!A$1:A$32,0))&amp;INDEX(ETAPP!B$1:B$32,MATCH(COUNTIF(BI46:BR46,7),ETAPP!A$1:A$32,0))&amp;INDEX(ETAPP!B$1:B$32,MATCH(COUNTIF(BI46:BR46,8),ETAPP!A$1:A$32,0))&amp;INDEX(ETAPP!B$1:B$32,MATCH(COUNTIF(BI46:BR46,9),ETAPP!A$1:A$32,0))&amp;INDEX(ETAPP!B$1:B$32,MATCH(COUNTIF(BI46:BR46,10),ETAPP!A$1:A$32,0))&amp;INDEX(ETAPP!B$1:B$32,MATCH(COUNTIF(BI46:BR46,11),ETAPP!A$1:A$32,0))&amp;INDEX(ETAPP!B$1:B$32,MATCH(COUNTIF(BI46:BR46,12),ETAPP!A$1:A$32,0))&amp;INDEX(ETAPP!B$1:B$32,MATCH(COUNTIF(BI46:BR46,13),ETAPP!A$1:A$32,0))&amp;INDEX(ETAPP!B$1:B$32,MATCH(COUNTIF(BI46:BR46,14),ETAPP!A$1:A$32,0))&amp;INDEX(ETAPP!B$1:B$32,MATCH(COUNTIF(BI46:BR46,15),ETAPP!A$1:A$32,0))&amp;INDEX(ETAPP!B$1:B$32,MATCH(COUNTIF(BI46:BR46,16),ETAPP!A$1:A$32,0))&amp;INDEX(ETAPP!B$1:B$32,MATCH(COUNTIF(BI46:BR46,17),ETAPP!A$1:A$32,0))&amp;INDEX(ETAPP!B$1:B$32,MATCH(COUNTIF(BI46:BR46,18),ETAPP!A$1:A$32,0))&amp;INDEX(ETAPP!B$1:B$32,MATCH(COUNTIF(BI46:BR46,19),ETAPP!A$1:A$32,0))&amp;INDEX(ETAPP!B$1:B$32,MATCH(COUNTIF(BI46:BR46,20),ETAPP!A$1:A$32,0))&amp;INDEX(ETAPP!B$1:B$32,MATCH(COUNTIF(BI46:BR46,21),ETAPP!A$1:A$32,0))</f>
        <v>00000A000000000000000</v>
      </c>
      <c r="T46" s="684" t="str">
        <f t="shared" si="54"/>
        <v>010,0-00000A000000000000000</v>
      </c>
      <c r="U46" s="684">
        <f t="shared" si="55"/>
        <v>40</v>
      </c>
      <c r="V46" s="684">
        <f t="shared" si="56"/>
        <v>9</v>
      </c>
      <c r="W46" s="684" t="str">
        <f t="shared" si="57"/>
        <v>010,0-00000A000000000000000-009</v>
      </c>
      <c r="X46" s="684">
        <f t="shared" si="58"/>
        <v>40</v>
      </c>
      <c r="Y46" s="685">
        <f t="shared" si="59"/>
        <v>11</v>
      </c>
      <c r="Z46" s="686" t="str">
        <f>IFERROR(INDEX('V1'!C$300:C$400,MATCH("*"&amp;L46&amp;"*",'V1'!B$300:B$400,0)),"  ")</f>
        <v xml:space="preserve">  </v>
      </c>
      <c r="AA46" s="686" t="str">
        <f>IFERROR(INDEX('V2'!C$300:C$400,MATCH("*"&amp;L46&amp;"*",'V2'!B$300:B$400,0)),"  ")</f>
        <v xml:space="preserve">  </v>
      </c>
      <c r="AB46" s="686">
        <f>IFERROR(INDEX('V3'!C$300:C$400,MATCH("*"&amp;L46&amp;"*",'V3'!B$300:B$400,0)),"  ")</f>
        <v>10</v>
      </c>
      <c r="AC46" s="686" t="str">
        <f>IFERROR(INDEX('V4'!C$300:C$400,MATCH("*"&amp;L46&amp;"*",'V4'!B$300:B$400,0)),"  ")</f>
        <v xml:space="preserve">  </v>
      </c>
      <c r="AD46" s="686" t="str">
        <f>IFERROR(INDEX('V5'!C$300:C$400,MATCH("*"&amp;L46&amp;"*",'V5'!B$300:B$400,0)),"  ")</f>
        <v xml:space="preserve">  </v>
      </c>
      <c r="AE46" s="686" t="str">
        <f>IFERROR(INDEX('V6'!C$300:C$400,MATCH("*"&amp;L46&amp;"*",'V6'!B$300:B$400,0)),"  ")</f>
        <v xml:space="preserve">  </v>
      </c>
      <c r="AF46" s="686" t="str">
        <f>IFERROR(INDEX('V7'!C$300:C$400,MATCH("*"&amp;L46&amp;"*",'V7'!B$300:B$400,0)),"  ")</f>
        <v xml:space="preserve">  </v>
      </c>
      <c r="AG46" s="686" t="str">
        <f>IFERROR(INDEX('V8'!C$300:C$400,MATCH("*"&amp;L46&amp;"*",'V8'!B$300:B$400,0)),"  ")</f>
        <v xml:space="preserve">  </v>
      </c>
      <c r="AH46" s="686" t="str">
        <f>IFERROR(INDEX('V9'!C$300:C$400,MATCH("*"&amp;L46&amp;"*",'V9'!B$300:B$400,0)),"  ")</f>
        <v xml:space="preserve">  </v>
      </c>
      <c r="AI46" s="686" t="str">
        <f>IFERROR(INDEX('V10'!C$300:C$400,MATCH("*"&amp;L46&amp;"*",'V10'!B$300:B$400,0)),"  ")</f>
        <v xml:space="preserve">  </v>
      </c>
      <c r="AJ46" s="687">
        <f t="shared" si="60"/>
        <v>1</v>
      </c>
      <c r="AK46" s="688">
        <f t="shared" si="61"/>
        <v>0</v>
      </c>
      <c r="AL46" s="688">
        <f t="shared" si="62"/>
        <v>0</v>
      </c>
      <c r="AM46" s="642"/>
      <c r="AN46" s="689"/>
      <c r="AO46" s="690"/>
      <c r="AP46" s="690"/>
      <c r="AQ46" s="690"/>
      <c r="AR46" s="690"/>
      <c r="AS46" s="689">
        <f t="shared" si="63"/>
        <v>1E-4</v>
      </c>
      <c r="AT46" s="690">
        <f t="shared" si="64"/>
        <v>1E-4</v>
      </c>
      <c r="AU46" s="690">
        <f t="shared" si="65"/>
        <v>2.0000000000000001E-4</v>
      </c>
      <c r="AV46" s="690">
        <f t="shared" si="66"/>
        <v>10.000299999999999</v>
      </c>
      <c r="AW46" s="690">
        <f t="shared" si="67"/>
        <v>4.0000000000000002E-4</v>
      </c>
      <c r="AX46" s="690">
        <f t="shared" si="68"/>
        <v>5.0000000000000001E-4</v>
      </c>
      <c r="AY46" s="690">
        <f t="shared" si="69"/>
        <v>5.9999999999999995E-4</v>
      </c>
      <c r="AZ46" s="690">
        <f t="shared" si="70"/>
        <v>6.9999999999999999E-4</v>
      </c>
      <c r="BA46" s="690">
        <f t="shared" si="71"/>
        <v>8.0000000000000004E-4</v>
      </c>
      <c r="BB46" s="690">
        <f t="shared" si="72"/>
        <v>8.9999999999999998E-4</v>
      </c>
      <c r="BC46" s="690">
        <f t="shared" si="73"/>
        <v>1E-3</v>
      </c>
      <c r="BI46" s="581" t="e">
        <f t="shared" si="74"/>
        <v>#VALUE!</v>
      </c>
      <c r="BJ46" s="581" t="e">
        <f t="shared" si="75"/>
        <v>#VALUE!</v>
      </c>
      <c r="BK46" s="581">
        <f t="shared" si="76"/>
        <v>6</v>
      </c>
      <c r="BL46" s="581" t="e">
        <f t="shared" si="77"/>
        <v>#VALUE!</v>
      </c>
      <c r="BM46" s="581" t="e">
        <f t="shared" si="78"/>
        <v>#VALUE!</v>
      </c>
      <c r="BN46" s="581" t="e">
        <f t="shared" si="79"/>
        <v>#VALUE!</v>
      </c>
      <c r="BO46" s="581" t="e">
        <f t="shared" si="80"/>
        <v>#VALUE!</v>
      </c>
      <c r="BP46" s="581" t="e">
        <f t="shared" si="81"/>
        <v>#VALUE!</v>
      </c>
      <c r="BQ46" s="581" t="e">
        <f t="shared" si="82"/>
        <v>#VALUE!</v>
      </c>
      <c r="BR46" s="581" t="e">
        <f t="shared" si="83"/>
        <v>#VALUE!</v>
      </c>
    </row>
    <row r="47" spans="1:70" x14ac:dyDescent="0.2">
      <c r="A47" s="768" t="str">
        <f t="shared" si="43"/>
        <v/>
      </c>
      <c r="B47" s="769">
        <f t="shared" si="44"/>
        <v>-959</v>
      </c>
      <c r="C47" s="770" t="str">
        <f t="shared" si="45"/>
        <v/>
      </c>
      <c r="D47" s="769">
        <f t="shared" si="46"/>
        <v>-959</v>
      </c>
      <c r="E47" s="771" t="str">
        <f t="shared" si="47"/>
        <v/>
      </c>
      <c r="F47" s="769">
        <f t="shared" si="48"/>
        <v>-959</v>
      </c>
      <c r="G47" s="772">
        <f t="shared" si="49"/>
        <v>10</v>
      </c>
      <c r="H47" s="769">
        <f t="shared" si="50"/>
        <v>41</v>
      </c>
      <c r="I47" s="773" t="str">
        <f t="shared" si="51"/>
        <v/>
      </c>
      <c r="J47" s="774">
        <f t="shared" si="52"/>
        <v>-959</v>
      </c>
      <c r="K47" s="680">
        <f t="shared" si="53"/>
        <v>41</v>
      </c>
      <c r="L47" s="785" t="s">
        <v>540</v>
      </c>
      <c r="M47" s="682" t="s">
        <v>99</v>
      </c>
      <c r="N47" s="775"/>
      <c r="O47" s="683"/>
      <c r="P47" s="776"/>
      <c r="Q47" s="777"/>
      <c r="R47" s="673">
        <f>(IF(COUNT(Z47,AA47,AB47,AC47,AD47,AE47,AF47,AG47,AH47,AI47)&lt;9,SUM(Z47,AA47,AB47,AC47,AD47,AE47,AF47,AG47,AH47,AI47),SUM(LARGE((Z47,AA47,AB47,AC47,AD47,AE47,AF47,AG47,AH47,AI47),{1;2;3;4;5;6;7;8;9}))))</f>
        <v>8</v>
      </c>
      <c r="S47" s="684" t="str">
        <f>INDEX(ETAPP!B$1:B$32,MATCH(COUNTIF(BI47:BR47,1),ETAPP!A$1:A$32,0))&amp;INDEX(ETAPP!B$1:B$32,MATCH(COUNTIF(BI47:BR47,2),ETAPP!A$1:A$32,0))&amp;INDEX(ETAPP!B$1:B$32,MATCH(COUNTIF(BI47:BR47,3),ETAPP!A$1:A$32,0))&amp;INDEX(ETAPP!B$1:B$32,MATCH(COUNTIF(BI47:BR47,4),ETAPP!A$1:A$32,0))&amp;INDEX(ETAPP!B$1:B$32,MATCH(COUNTIF(BI47:BR47,5),ETAPP!A$1:A$32,0))&amp;INDEX(ETAPP!B$1:B$32,MATCH(COUNTIF(BI47:BR47,6),ETAPP!A$1:A$32,0))&amp;INDEX(ETAPP!B$1:B$32,MATCH(COUNTIF(BI47:BR47,7),ETAPP!A$1:A$32,0))&amp;INDEX(ETAPP!B$1:B$32,MATCH(COUNTIF(BI47:BR47,8),ETAPP!A$1:A$32,0))&amp;INDEX(ETAPP!B$1:B$32,MATCH(COUNTIF(BI47:BR47,9),ETAPP!A$1:A$32,0))&amp;INDEX(ETAPP!B$1:B$32,MATCH(COUNTIF(BI47:BR47,10),ETAPP!A$1:A$32,0))&amp;INDEX(ETAPP!B$1:B$32,MATCH(COUNTIF(BI47:BR47,11),ETAPP!A$1:A$32,0))&amp;INDEX(ETAPP!B$1:B$32,MATCH(COUNTIF(BI47:BR47,12),ETAPP!A$1:A$32,0))&amp;INDEX(ETAPP!B$1:B$32,MATCH(COUNTIF(BI47:BR47,13),ETAPP!A$1:A$32,0))&amp;INDEX(ETAPP!B$1:B$32,MATCH(COUNTIF(BI47:BR47,14),ETAPP!A$1:A$32,0))&amp;INDEX(ETAPP!B$1:B$32,MATCH(COUNTIF(BI47:BR47,15),ETAPP!A$1:A$32,0))&amp;INDEX(ETAPP!B$1:B$32,MATCH(COUNTIF(BI47:BR47,16),ETAPP!A$1:A$32,0))&amp;INDEX(ETAPP!B$1:B$32,MATCH(COUNTIF(BI47:BR47,17),ETAPP!A$1:A$32,0))&amp;INDEX(ETAPP!B$1:B$32,MATCH(COUNTIF(BI47:BR47,18),ETAPP!A$1:A$32,0))&amp;INDEX(ETAPP!B$1:B$32,MATCH(COUNTIF(BI47:BR47,19),ETAPP!A$1:A$32,0))&amp;INDEX(ETAPP!B$1:B$32,MATCH(COUNTIF(BI47:BR47,20),ETAPP!A$1:A$32,0))&amp;INDEX(ETAPP!B$1:B$32,MATCH(COUNTIF(BI47:BR47,21),ETAPP!A$1:A$32,0))</f>
        <v>0000000A0000000000000</v>
      </c>
      <c r="T47" s="684" t="str">
        <f t="shared" si="54"/>
        <v>008,0-0000000A0000000000000</v>
      </c>
      <c r="U47" s="684">
        <f t="shared" si="55"/>
        <v>41</v>
      </c>
      <c r="V47" s="684">
        <f t="shared" si="56"/>
        <v>41</v>
      </c>
      <c r="W47" s="684" t="str">
        <f t="shared" si="57"/>
        <v>008,0-0000000A0000000000000-041</v>
      </c>
      <c r="X47" s="684">
        <f t="shared" si="58"/>
        <v>41</v>
      </c>
      <c r="Y47" s="685">
        <f t="shared" si="59"/>
        <v>10</v>
      </c>
      <c r="Z47" s="686" t="str">
        <f>IFERROR(INDEX('V1'!C$300:C$400,MATCH("*"&amp;L47&amp;"*",'V1'!B$300:B$400,0)),"  ")</f>
        <v xml:space="preserve">  </v>
      </c>
      <c r="AA47" s="686" t="str">
        <f>IFERROR(INDEX('V2'!C$300:C$400,MATCH("*"&amp;L47&amp;"*",'V2'!B$300:B$400,0)),"  ")</f>
        <v xml:space="preserve">  </v>
      </c>
      <c r="AB47" s="686" t="str">
        <f>IFERROR(INDEX('V3'!C$300:C$400,MATCH("*"&amp;L47&amp;"*",'V3'!B$300:B$400,0)),"  ")</f>
        <v xml:space="preserve">  </v>
      </c>
      <c r="AC47" s="686">
        <f>IFERROR(INDEX('V4'!C$300:C$400,MATCH("*"&amp;L47&amp;"*",'V4'!B$300:B$400,0)),"  ")</f>
        <v>8</v>
      </c>
      <c r="AD47" s="686" t="str">
        <f>IFERROR(INDEX('V5'!C$300:C$400,MATCH("*"&amp;L47&amp;"*",'V5'!B$300:B$400,0)),"  ")</f>
        <v xml:space="preserve">  </v>
      </c>
      <c r="AE47" s="686" t="str">
        <f>IFERROR(INDEX('V6'!C$300:C$400,MATCH("*"&amp;L47&amp;"*",'V6'!B$300:B$400,0)),"  ")</f>
        <v xml:space="preserve">  </v>
      </c>
      <c r="AF47" s="686" t="str">
        <f>IFERROR(INDEX('V7'!C$300:C$400,MATCH("*"&amp;L47&amp;"*",'V7'!B$300:B$400,0)),"  ")</f>
        <v xml:space="preserve">  </v>
      </c>
      <c r="AG47" s="686" t="str">
        <f>IFERROR(INDEX('V8'!C$300:C$400,MATCH("*"&amp;L47&amp;"*",'V8'!B$300:B$400,0)),"  ")</f>
        <v xml:space="preserve">  </v>
      </c>
      <c r="AH47" s="686" t="str">
        <f>IFERROR(INDEX('V9'!C$300:C$400,MATCH("*"&amp;L47&amp;"*",'V9'!B$300:B$400,0)),"  ")</f>
        <v xml:space="preserve">  </v>
      </c>
      <c r="AI47" s="686" t="str">
        <f>IFERROR(INDEX('V10'!C$300:C$400,MATCH("*"&amp;L47&amp;"*",'V10'!B$300:B$400,0)),"  ")</f>
        <v xml:space="preserve">  </v>
      </c>
      <c r="AJ47" s="687">
        <f t="shared" si="60"/>
        <v>1</v>
      </c>
      <c r="AK47" s="688">
        <f t="shared" si="61"/>
        <v>0</v>
      </c>
      <c r="AL47" s="688">
        <f t="shared" si="62"/>
        <v>0</v>
      </c>
      <c r="AM47" s="642"/>
      <c r="AN47" s="689"/>
      <c r="AO47" s="690"/>
      <c r="AP47" s="690"/>
      <c r="AQ47" s="690"/>
      <c r="AR47" s="690"/>
      <c r="AS47" s="689">
        <f t="shared" si="63"/>
        <v>1E-4</v>
      </c>
      <c r="AT47" s="690">
        <f t="shared" si="64"/>
        <v>1E-4</v>
      </c>
      <c r="AU47" s="690">
        <f t="shared" si="65"/>
        <v>2.0000000000000001E-4</v>
      </c>
      <c r="AV47" s="690">
        <f t="shared" si="66"/>
        <v>2.9999999999999997E-4</v>
      </c>
      <c r="AW47" s="690">
        <f t="shared" si="67"/>
        <v>8.0004000000000008</v>
      </c>
      <c r="AX47" s="690">
        <f t="shared" si="68"/>
        <v>5.0000000000000001E-4</v>
      </c>
      <c r="AY47" s="690">
        <f t="shared" si="69"/>
        <v>5.9999999999999995E-4</v>
      </c>
      <c r="AZ47" s="690">
        <f t="shared" si="70"/>
        <v>6.9999999999999999E-4</v>
      </c>
      <c r="BA47" s="690">
        <f t="shared" si="71"/>
        <v>8.0000000000000004E-4</v>
      </c>
      <c r="BB47" s="690">
        <f t="shared" si="72"/>
        <v>8.9999999999999998E-4</v>
      </c>
      <c r="BC47" s="690">
        <f t="shared" si="73"/>
        <v>1E-3</v>
      </c>
      <c r="BI47" s="581" t="e">
        <f t="shared" si="74"/>
        <v>#VALUE!</v>
      </c>
      <c r="BJ47" s="581" t="e">
        <f t="shared" si="75"/>
        <v>#VALUE!</v>
      </c>
      <c r="BK47" s="581" t="e">
        <f t="shared" si="76"/>
        <v>#VALUE!</v>
      </c>
      <c r="BL47" s="581">
        <f t="shared" si="77"/>
        <v>8</v>
      </c>
      <c r="BM47" s="581" t="e">
        <f t="shared" si="78"/>
        <v>#VALUE!</v>
      </c>
      <c r="BN47" s="581" t="e">
        <f t="shared" si="79"/>
        <v>#VALUE!</v>
      </c>
      <c r="BO47" s="581" t="e">
        <f t="shared" si="80"/>
        <v>#VALUE!</v>
      </c>
      <c r="BP47" s="581" t="e">
        <f t="shared" si="81"/>
        <v>#VALUE!</v>
      </c>
      <c r="BQ47" s="581" t="e">
        <f t="shared" si="82"/>
        <v>#VALUE!</v>
      </c>
      <c r="BR47" s="581" t="e">
        <f t="shared" si="83"/>
        <v>#VALUE!</v>
      </c>
    </row>
    <row r="48" spans="1:70" x14ac:dyDescent="0.2">
      <c r="A48" s="768" t="str">
        <f t="shared" si="43"/>
        <v/>
      </c>
      <c r="B48" s="769">
        <f t="shared" si="44"/>
        <v>-958</v>
      </c>
      <c r="C48" s="770" t="str">
        <f t="shared" si="45"/>
        <v/>
      </c>
      <c r="D48" s="769">
        <f t="shared" si="46"/>
        <v>-958</v>
      </c>
      <c r="E48" s="771">
        <f t="shared" si="47"/>
        <v>29</v>
      </c>
      <c r="F48" s="769">
        <f t="shared" si="48"/>
        <v>42</v>
      </c>
      <c r="G48" s="772" t="str">
        <f t="shared" si="49"/>
        <v/>
      </c>
      <c r="H48" s="769">
        <f t="shared" si="50"/>
        <v>-958</v>
      </c>
      <c r="I48" s="773" t="str">
        <f t="shared" si="51"/>
        <v/>
      </c>
      <c r="J48" s="774">
        <f t="shared" si="52"/>
        <v>-958</v>
      </c>
      <c r="K48" s="680">
        <f t="shared" si="53"/>
        <v>42</v>
      </c>
      <c r="L48" s="785" t="s">
        <v>102</v>
      </c>
      <c r="M48" s="682"/>
      <c r="N48" s="775" t="str">
        <f>IF(M48="","m","")</f>
        <v>m</v>
      </c>
      <c r="O48" s="683"/>
      <c r="P48" s="776"/>
      <c r="Q48" s="777"/>
      <c r="R48" s="673">
        <f>(IF(COUNT(Z48,AA48,AB48,AC48,AD48,AE48,AF48,AG48,AH48,AI48)&lt;9,SUM(Z48,AA48,AB48,AC48,AD48,AE48,AF48,AG48,AH48,AI48),SUM(LARGE((Z48,AA48,AB48,AC48,AD48,AE48,AF48,AG48,AH48,AI48),{1;2;3;4;5;6;7;8;9}))))</f>
        <v>8</v>
      </c>
      <c r="S48" s="684" t="str">
        <f>INDEX(ETAPP!B$1:B$32,MATCH(COUNTIF(BI48:BR48,1),ETAPP!A$1:A$32,0))&amp;INDEX(ETAPP!B$1:B$32,MATCH(COUNTIF(BI48:BR48,2),ETAPP!A$1:A$32,0))&amp;INDEX(ETAPP!B$1:B$32,MATCH(COUNTIF(BI48:BR48,3),ETAPP!A$1:A$32,0))&amp;INDEX(ETAPP!B$1:B$32,MATCH(COUNTIF(BI48:BR48,4),ETAPP!A$1:A$32,0))&amp;INDEX(ETAPP!B$1:B$32,MATCH(COUNTIF(BI48:BR48,5),ETAPP!A$1:A$32,0))&amp;INDEX(ETAPP!B$1:B$32,MATCH(COUNTIF(BI48:BR48,6),ETAPP!A$1:A$32,0))&amp;INDEX(ETAPP!B$1:B$32,MATCH(COUNTIF(BI48:BR48,7),ETAPP!A$1:A$32,0))&amp;INDEX(ETAPP!B$1:B$32,MATCH(COUNTIF(BI48:BR48,8),ETAPP!A$1:A$32,0))&amp;INDEX(ETAPP!B$1:B$32,MATCH(COUNTIF(BI48:BR48,9),ETAPP!A$1:A$32,0))&amp;INDEX(ETAPP!B$1:B$32,MATCH(COUNTIF(BI48:BR48,10),ETAPP!A$1:A$32,0))&amp;INDEX(ETAPP!B$1:B$32,MATCH(COUNTIF(BI48:BR48,11),ETAPP!A$1:A$32,0))&amp;INDEX(ETAPP!B$1:B$32,MATCH(COUNTIF(BI48:BR48,12),ETAPP!A$1:A$32,0))&amp;INDEX(ETAPP!B$1:B$32,MATCH(COUNTIF(BI48:BR48,13),ETAPP!A$1:A$32,0))&amp;INDEX(ETAPP!B$1:B$32,MATCH(COUNTIF(BI48:BR48,14),ETAPP!A$1:A$32,0))&amp;INDEX(ETAPP!B$1:B$32,MATCH(COUNTIF(BI48:BR48,15),ETAPP!A$1:A$32,0))&amp;INDEX(ETAPP!B$1:B$32,MATCH(COUNTIF(BI48:BR48,16),ETAPP!A$1:A$32,0))&amp;INDEX(ETAPP!B$1:B$32,MATCH(COUNTIF(BI48:BR48,17),ETAPP!A$1:A$32,0))&amp;INDEX(ETAPP!B$1:B$32,MATCH(COUNTIF(BI48:BR48,18),ETAPP!A$1:A$32,0))&amp;INDEX(ETAPP!B$1:B$32,MATCH(COUNTIF(BI48:BR48,19),ETAPP!A$1:A$32,0))&amp;INDEX(ETAPP!B$1:B$32,MATCH(COUNTIF(BI48:BR48,20),ETAPP!A$1:A$32,0))&amp;INDEX(ETAPP!B$1:B$32,MATCH(COUNTIF(BI48:BR48,21),ETAPP!A$1:A$32,0))</f>
        <v>000000000AA0000000000</v>
      </c>
      <c r="T48" s="684" t="str">
        <f t="shared" si="54"/>
        <v>008,0-000000000AA0000000000</v>
      </c>
      <c r="U48" s="684">
        <f t="shared" si="55"/>
        <v>42</v>
      </c>
      <c r="V48" s="684">
        <f t="shared" si="56"/>
        <v>1</v>
      </c>
      <c r="W48" s="684" t="str">
        <f t="shared" si="57"/>
        <v>008,0-000000000AA0000000000-001</v>
      </c>
      <c r="X48" s="684">
        <f t="shared" si="58"/>
        <v>42</v>
      </c>
      <c r="Y48" s="685">
        <f t="shared" si="59"/>
        <v>9</v>
      </c>
      <c r="Z48" s="686" t="str">
        <f>IFERROR(INDEX('V1'!C$300:C$400,MATCH("*"&amp;L48&amp;"*",'V1'!B$300:B$400,0)),"  ")</f>
        <v xml:space="preserve">  </v>
      </c>
      <c r="AA48" s="686" t="str">
        <f>IFERROR(INDEX('V2'!C$300:C$400,MATCH("*"&amp;L48&amp;"*",'V2'!B$300:B$400,0)),"  ")</f>
        <v xml:space="preserve">  </v>
      </c>
      <c r="AB48" s="686">
        <f>IFERROR(INDEX('V3'!C$300:C$400,MATCH("*"&amp;L48&amp;"*",'V3'!B$300:B$400,0)),"  ")</f>
        <v>2</v>
      </c>
      <c r="AC48" s="686" t="str">
        <f>IFERROR(INDEX('V4'!C$300:C$400,MATCH("*"&amp;L48&amp;"*",'V4'!B$300:B$400,0)),"  ")</f>
        <v xml:space="preserve">  </v>
      </c>
      <c r="AD48" s="686" t="str">
        <f>IFERROR(INDEX('V5'!C$300:C$400,MATCH("*"&amp;L48&amp;"*",'V5'!B$300:B$400,0)),"  ")</f>
        <v xml:space="preserve">  </v>
      </c>
      <c r="AE48" s="686" t="str">
        <f>IFERROR(INDEX('V6'!C$300:C$400,MATCH("*"&amp;L48&amp;"*",'V6'!B$300:B$400,0)),"  ")</f>
        <v xml:space="preserve">  </v>
      </c>
      <c r="AF48" s="686">
        <f>IFERROR(INDEX('V7'!C$300:C$400,MATCH("*"&amp;L48&amp;"*",'V7'!B$300:B$400,0)),"  ")</f>
        <v>6</v>
      </c>
      <c r="AG48" s="686" t="str">
        <f>IFERROR(INDEX('V8'!C$300:C$400,MATCH("*"&amp;L48&amp;"*",'V8'!B$300:B$400,0)),"  ")</f>
        <v xml:space="preserve">  </v>
      </c>
      <c r="AH48" s="686" t="str">
        <f>IFERROR(INDEX('V9'!C$300:C$400,MATCH("*"&amp;L48&amp;"*",'V9'!B$300:B$400,0)),"  ")</f>
        <v xml:space="preserve">  </v>
      </c>
      <c r="AI48" s="686" t="str">
        <f>IFERROR(INDEX('V10'!C$300:C$400,MATCH("*"&amp;L48&amp;"*",'V10'!B$300:B$400,0)),"  ")</f>
        <v xml:space="preserve">  </v>
      </c>
      <c r="AJ48" s="687">
        <f t="shared" si="60"/>
        <v>2</v>
      </c>
      <c r="AK48" s="688">
        <f t="shared" si="61"/>
        <v>0</v>
      </c>
      <c r="AL48" s="688">
        <f t="shared" si="62"/>
        <v>0</v>
      </c>
      <c r="AM48" s="642"/>
      <c r="AN48" s="689"/>
      <c r="AO48" s="690"/>
      <c r="AP48" s="690"/>
      <c r="AQ48" s="690"/>
      <c r="AR48" s="690"/>
      <c r="AS48" s="689">
        <f t="shared" si="63"/>
        <v>1E-4</v>
      </c>
      <c r="AT48" s="690">
        <f t="shared" si="64"/>
        <v>1E-4</v>
      </c>
      <c r="AU48" s="690">
        <f t="shared" si="65"/>
        <v>2.0000000000000001E-4</v>
      </c>
      <c r="AV48" s="690">
        <f t="shared" si="66"/>
        <v>2.0003000000000002</v>
      </c>
      <c r="AW48" s="690">
        <f t="shared" si="67"/>
        <v>4.0000000000000002E-4</v>
      </c>
      <c r="AX48" s="690">
        <f t="shared" si="68"/>
        <v>5.0000000000000001E-4</v>
      </c>
      <c r="AY48" s="690">
        <f t="shared" si="69"/>
        <v>5.9999999999999995E-4</v>
      </c>
      <c r="AZ48" s="690">
        <f t="shared" si="70"/>
        <v>6.0007000000000001</v>
      </c>
      <c r="BA48" s="690">
        <f t="shared" si="71"/>
        <v>8.0000000000000004E-4</v>
      </c>
      <c r="BB48" s="690">
        <f t="shared" si="72"/>
        <v>8.9999999999999998E-4</v>
      </c>
      <c r="BC48" s="690">
        <f t="shared" si="73"/>
        <v>1E-3</v>
      </c>
      <c r="BH48" s="783"/>
      <c r="BI48" s="581" t="e">
        <f t="shared" si="74"/>
        <v>#VALUE!</v>
      </c>
      <c r="BJ48" s="581" t="e">
        <f t="shared" si="75"/>
        <v>#VALUE!</v>
      </c>
      <c r="BK48" s="581">
        <f t="shared" si="76"/>
        <v>10</v>
      </c>
      <c r="BL48" s="581" t="e">
        <f t="shared" si="77"/>
        <v>#VALUE!</v>
      </c>
      <c r="BM48" s="581" t="e">
        <f t="shared" si="78"/>
        <v>#VALUE!</v>
      </c>
      <c r="BN48" s="581" t="e">
        <f t="shared" si="79"/>
        <v>#VALUE!</v>
      </c>
      <c r="BO48" s="581">
        <f t="shared" si="80"/>
        <v>11</v>
      </c>
      <c r="BP48" s="581" t="e">
        <f t="shared" si="81"/>
        <v>#VALUE!</v>
      </c>
      <c r="BQ48" s="581" t="e">
        <f t="shared" si="82"/>
        <v>#VALUE!</v>
      </c>
      <c r="BR48" s="581" t="e">
        <f t="shared" si="83"/>
        <v>#VALUE!</v>
      </c>
    </row>
    <row r="49" spans="1:70" x14ac:dyDescent="0.2">
      <c r="A49" s="768">
        <f t="shared" si="43"/>
        <v>27</v>
      </c>
      <c r="B49" s="769">
        <f t="shared" si="44"/>
        <v>44</v>
      </c>
      <c r="C49" s="770" t="str">
        <f t="shared" si="45"/>
        <v/>
      </c>
      <c r="D49" s="769">
        <f t="shared" si="46"/>
        <v>-956</v>
      </c>
      <c r="E49" s="771" t="str">
        <f t="shared" si="47"/>
        <v/>
      </c>
      <c r="F49" s="769">
        <f t="shared" si="48"/>
        <v>-956</v>
      </c>
      <c r="G49" s="772">
        <f t="shared" si="49"/>
        <v>11</v>
      </c>
      <c r="H49" s="769">
        <f t="shared" si="50"/>
        <v>44</v>
      </c>
      <c r="I49" s="773">
        <f t="shared" si="51"/>
        <v>4</v>
      </c>
      <c r="J49" s="774">
        <f t="shared" si="52"/>
        <v>44</v>
      </c>
      <c r="K49" s="680">
        <f t="shared" si="53"/>
        <v>43</v>
      </c>
      <c r="L49" s="681" t="s">
        <v>487</v>
      </c>
      <c r="M49" s="682" t="s">
        <v>99</v>
      </c>
      <c r="N49" s="775"/>
      <c r="O49" s="693" t="s">
        <v>105</v>
      </c>
      <c r="P49" s="776"/>
      <c r="Q49" s="777" t="s">
        <v>189</v>
      </c>
      <c r="R49" s="673">
        <f>(IF(COUNT(Z49,AA49,AB49,AC49,AD49,AE49,AF49,AG49,AH49,AI49)&lt;9,SUM(Z49,AA49,AB49,AC49,AD49,AE49,AF49,AG49,AH49,AI49),SUM(LARGE((Z49,AA49,AB49,AC49,AD49,AE49,AF49,AG49,AH49,AI49),{1;2;3;4;5;6;7;8;9}))))</f>
        <v>6</v>
      </c>
      <c r="S49" s="684" t="str">
        <f>INDEX(ETAPP!B$1:B$32,MATCH(COUNTIF(BI49:BR49,1),ETAPP!A$1:A$32,0))&amp;INDEX(ETAPP!B$1:B$32,MATCH(COUNTIF(BI49:BR49,2),ETAPP!A$1:A$32,0))&amp;INDEX(ETAPP!B$1:B$32,MATCH(COUNTIF(BI49:BR49,3),ETAPP!A$1:A$32,0))&amp;INDEX(ETAPP!B$1:B$32,MATCH(COUNTIF(BI49:BR49,4),ETAPP!A$1:A$32,0))&amp;INDEX(ETAPP!B$1:B$32,MATCH(COUNTIF(BI49:BR49,5),ETAPP!A$1:A$32,0))&amp;INDEX(ETAPP!B$1:B$32,MATCH(COUNTIF(BI49:BR49,6),ETAPP!A$1:A$32,0))&amp;INDEX(ETAPP!B$1:B$32,MATCH(COUNTIF(BI49:BR49,7),ETAPP!A$1:A$32,0))&amp;INDEX(ETAPP!B$1:B$32,MATCH(COUNTIF(BI49:BR49,8),ETAPP!A$1:A$32,0))&amp;INDEX(ETAPP!B$1:B$32,MATCH(COUNTIF(BI49:BR49,9),ETAPP!A$1:A$32,0))&amp;INDEX(ETAPP!B$1:B$32,MATCH(COUNTIF(BI49:BR49,10),ETAPP!A$1:A$32,0))&amp;INDEX(ETAPP!B$1:B$32,MATCH(COUNTIF(BI49:BR49,11),ETAPP!A$1:A$32,0))&amp;INDEX(ETAPP!B$1:B$32,MATCH(COUNTIF(BI49:BR49,12),ETAPP!A$1:A$32,0))&amp;INDEX(ETAPP!B$1:B$32,MATCH(COUNTIF(BI49:BR49,13),ETAPP!A$1:A$32,0))&amp;INDEX(ETAPP!B$1:B$32,MATCH(COUNTIF(BI49:BR49,14),ETAPP!A$1:A$32,0))&amp;INDEX(ETAPP!B$1:B$32,MATCH(COUNTIF(BI49:BR49,15),ETAPP!A$1:A$32,0))&amp;INDEX(ETAPP!B$1:B$32,MATCH(COUNTIF(BI49:BR49,16),ETAPP!A$1:A$32,0))&amp;INDEX(ETAPP!B$1:B$32,MATCH(COUNTIF(BI49:BR49,17),ETAPP!A$1:A$32,0))&amp;INDEX(ETAPP!B$1:B$32,MATCH(COUNTIF(BI49:BR49,18),ETAPP!A$1:A$32,0))&amp;INDEX(ETAPP!B$1:B$32,MATCH(COUNTIF(BI49:BR49,19),ETAPP!A$1:A$32,0))&amp;INDEX(ETAPP!B$1:B$32,MATCH(COUNTIF(BI49:BR49,20),ETAPP!A$1:A$32,0))&amp;INDEX(ETAPP!B$1:B$32,MATCH(COUNTIF(BI49:BR49,21),ETAPP!A$1:A$32,0))</f>
        <v>00000000A000000000000</v>
      </c>
      <c r="T49" s="684" t="str">
        <f t="shared" si="54"/>
        <v>006,0-00000000A000000000000</v>
      </c>
      <c r="U49" s="684">
        <f t="shared" si="55"/>
        <v>44</v>
      </c>
      <c r="V49" s="684">
        <f t="shared" si="56"/>
        <v>44</v>
      </c>
      <c r="W49" s="684" t="str">
        <f t="shared" si="57"/>
        <v>006,0-00000000A000000000000-044</v>
      </c>
      <c r="X49" s="684">
        <f t="shared" si="58"/>
        <v>43</v>
      </c>
      <c r="Y49" s="685">
        <f t="shared" si="59"/>
        <v>8</v>
      </c>
      <c r="Z49" s="686">
        <f>IFERROR(INDEX('V1'!C$300:C$400,MATCH("*"&amp;L49&amp;"*",'V1'!B$300:B$400,0)),"  ")</f>
        <v>6</v>
      </c>
      <c r="AA49" s="686" t="str">
        <f>IFERROR(INDEX('V2'!C$300:C$400,MATCH("*"&amp;L49&amp;"*",'V2'!B$300:B$400,0)),"  ")</f>
        <v xml:space="preserve">  </v>
      </c>
      <c r="AB49" s="686" t="str">
        <f>IFERROR(INDEX('V3'!C$300:C$400,MATCH("*"&amp;L49&amp;"*",'V3'!B$300:B$400,0)),"  ")</f>
        <v xml:space="preserve">  </v>
      </c>
      <c r="AC49" s="686" t="str">
        <f>IFERROR(INDEX('V4'!C$300:C$400,MATCH("*"&amp;L49&amp;"*",'V4'!B$300:B$400,0)),"  ")</f>
        <v xml:space="preserve">  </v>
      </c>
      <c r="AD49" s="686" t="str">
        <f>IFERROR(INDEX('V5'!C$300:C$400,MATCH("*"&amp;L49&amp;"*",'V5'!B$300:B$400,0)),"  ")</f>
        <v xml:space="preserve">  </v>
      </c>
      <c r="AE49" s="686" t="str">
        <f>IFERROR(INDEX('V6'!C$300:C$400,MATCH("*"&amp;L49&amp;"*",'V6'!B$300:B$400,0)),"  ")</f>
        <v xml:space="preserve">  </v>
      </c>
      <c r="AF49" s="686" t="str">
        <f>IFERROR(INDEX('V7'!C$300:C$400,MATCH("*"&amp;L49&amp;"*",'V7'!B$300:B$400,0)),"  ")</f>
        <v xml:space="preserve">  </v>
      </c>
      <c r="AG49" s="686" t="str">
        <f>IFERROR(INDEX('V8'!C$300:C$400,MATCH("*"&amp;L49&amp;"*",'V8'!B$300:B$400,0)),"  ")</f>
        <v xml:space="preserve">  </v>
      </c>
      <c r="AH49" s="686" t="str">
        <f>IFERROR(INDEX('V9'!C$300:C$400,MATCH("*"&amp;L49&amp;"*",'V9'!B$300:B$400,0)),"  ")</f>
        <v xml:space="preserve">  </v>
      </c>
      <c r="AI49" s="686" t="str">
        <f>IFERROR(INDEX('V10'!C$300:C$400,MATCH("*"&amp;L49&amp;"*",'V10'!B$300:B$400,0)),"  ")</f>
        <v xml:space="preserve">  </v>
      </c>
      <c r="AJ49" s="687">
        <f t="shared" si="60"/>
        <v>1</v>
      </c>
      <c r="AK49" s="688">
        <f t="shared" si="61"/>
        <v>0</v>
      </c>
      <c r="AL49" s="688">
        <f t="shared" si="62"/>
        <v>0</v>
      </c>
      <c r="AM49" s="642"/>
      <c r="AN49" s="689"/>
      <c r="AO49" s="690"/>
      <c r="AP49" s="690"/>
      <c r="AQ49" s="690"/>
      <c r="AR49" s="690"/>
      <c r="AS49" s="689">
        <f t="shared" si="63"/>
        <v>2.0000000000000001E-4</v>
      </c>
      <c r="AT49" s="690">
        <f t="shared" si="64"/>
        <v>6.0000999999999998</v>
      </c>
      <c r="AU49" s="690">
        <f t="shared" si="65"/>
        <v>2.0000000000000001E-4</v>
      </c>
      <c r="AV49" s="690">
        <f t="shared" si="66"/>
        <v>2.9999999999999997E-4</v>
      </c>
      <c r="AW49" s="690">
        <f t="shared" si="67"/>
        <v>4.0000000000000002E-4</v>
      </c>
      <c r="AX49" s="690">
        <f t="shared" si="68"/>
        <v>5.0000000000000001E-4</v>
      </c>
      <c r="AY49" s="690">
        <f t="shared" si="69"/>
        <v>5.9999999999999995E-4</v>
      </c>
      <c r="AZ49" s="690">
        <f t="shared" si="70"/>
        <v>6.9999999999999999E-4</v>
      </c>
      <c r="BA49" s="690">
        <f t="shared" si="71"/>
        <v>8.0000000000000004E-4</v>
      </c>
      <c r="BB49" s="690">
        <f t="shared" si="72"/>
        <v>8.9999999999999998E-4</v>
      </c>
      <c r="BC49" s="690">
        <f t="shared" si="73"/>
        <v>1E-3</v>
      </c>
      <c r="BH49" s="783"/>
      <c r="BI49" s="581">
        <f t="shared" si="74"/>
        <v>9</v>
      </c>
      <c r="BJ49" s="581" t="e">
        <f t="shared" si="75"/>
        <v>#VALUE!</v>
      </c>
      <c r="BK49" s="581" t="e">
        <f t="shared" si="76"/>
        <v>#VALUE!</v>
      </c>
      <c r="BL49" s="581" t="e">
        <f t="shared" si="77"/>
        <v>#VALUE!</v>
      </c>
      <c r="BM49" s="581" t="e">
        <f t="shared" si="78"/>
        <v>#VALUE!</v>
      </c>
      <c r="BN49" s="581" t="e">
        <f t="shared" si="79"/>
        <v>#VALUE!</v>
      </c>
      <c r="BO49" s="581" t="e">
        <f t="shared" si="80"/>
        <v>#VALUE!</v>
      </c>
      <c r="BP49" s="581" t="e">
        <f t="shared" si="81"/>
        <v>#VALUE!</v>
      </c>
      <c r="BQ49" s="581" t="e">
        <f t="shared" si="82"/>
        <v>#VALUE!</v>
      </c>
      <c r="BR49" s="581" t="e">
        <f t="shared" si="83"/>
        <v>#VALUE!</v>
      </c>
    </row>
    <row r="50" spans="1:70" x14ac:dyDescent="0.2">
      <c r="A50" s="768">
        <f t="shared" si="43"/>
        <v>27</v>
      </c>
      <c r="B50" s="769">
        <f t="shared" si="44"/>
        <v>44</v>
      </c>
      <c r="C50" s="770" t="str">
        <f t="shared" si="45"/>
        <v/>
      </c>
      <c r="D50" s="769">
        <f t="shared" si="46"/>
        <v>-956</v>
      </c>
      <c r="E50" s="771">
        <f t="shared" si="47"/>
        <v>30</v>
      </c>
      <c r="F50" s="769">
        <f t="shared" si="48"/>
        <v>44</v>
      </c>
      <c r="G50" s="772" t="str">
        <f t="shared" si="49"/>
        <v/>
      </c>
      <c r="H50" s="769">
        <f t="shared" si="50"/>
        <v>-956</v>
      </c>
      <c r="I50" s="773">
        <f t="shared" si="51"/>
        <v>4</v>
      </c>
      <c r="J50" s="774">
        <f t="shared" si="52"/>
        <v>44</v>
      </c>
      <c r="K50" s="680">
        <f t="shared" si="53"/>
        <v>43</v>
      </c>
      <c r="L50" s="681" t="s">
        <v>488</v>
      </c>
      <c r="M50" s="682"/>
      <c r="N50" s="775" t="s">
        <v>191</v>
      </c>
      <c r="O50" s="693" t="s">
        <v>105</v>
      </c>
      <c r="P50" s="776"/>
      <c r="Q50" s="777" t="s">
        <v>189</v>
      </c>
      <c r="R50" s="673">
        <f>(IF(COUNT(Z50,AA50,AB50,AC50,AD50,AE50,AF50,AG50,AH50,AI50)&lt;9,SUM(Z50,AA50,AB50,AC50,AD50,AE50,AF50,AG50,AH50,AI50),SUM(LARGE((Z50,AA50,AB50,AC50,AD50,AE50,AF50,AG50,AH50,AI50),{1;2;3;4;5;6;7;8;9}))))</f>
        <v>6</v>
      </c>
      <c r="S50" s="684" t="str">
        <f>INDEX(ETAPP!B$1:B$32,MATCH(COUNTIF(BI50:BR50,1),ETAPP!A$1:A$32,0))&amp;INDEX(ETAPP!B$1:B$32,MATCH(COUNTIF(BI50:BR50,2),ETAPP!A$1:A$32,0))&amp;INDEX(ETAPP!B$1:B$32,MATCH(COUNTIF(BI50:BR50,3),ETAPP!A$1:A$32,0))&amp;INDEX(ETAPP!B$1:B$32,MATCH(COUNTIF(BI50:BR50,4),ETAPP!A$1:A$32,0))&amp;INDEX(ETAPP!B$1:B$32,MATCH(COUNTIF(BI50:BR50,5),ETAPP!A$1:A$32,0))&amp;INDEX(ETAPP!B$1:B$32,MATCH(COUNTIF(BI50:BR50,6),ETAPP!A$1:A$32,0))&amp;INDEX(ETAPP!B$1:B$32,MATCH(COUNTIF(BI50:BR50,7),ETAPP!A$1:A$32,0))&amp;INDEX(ETAPP!B$1:B$32,MATCH(COUNTIF(BI50:BR50,8),ETAPP!A$1:A$32,0))&amp;INDEX(ETAPP!B$1:B$32,MATCH(COUNTIF(BI50:BR50,9),ETAPP!A$1:A$32,0))&amp;INDEX(ETAPP!B$1:B$32,MATCH(COUNTIF(BI50:BR50,10),ETAPP!A$1:A$32,0))&amp;INDEX(ETAPP!B$1:B$32,MATCH(COUNTIF(BI50:BR50,11),ETAPP!A$1:A$32,0))&amp;INDEX(ETAPP!B$1:B$32,MATCH(COUNTIF(BI50:BR50,12),ETAPP!A$1:A$32,0))&amp;INDEX(ETAPP!B$1:B$32,MATCH(COUNTIF(BI50:BR50,13),ETAPP!A$1:A$32,0))&amp;INDEX(ETAPP!B$1:B$32,MATCH(COUNTIF(BI50:BR50,14),ETAPP!A$1:A$32,0))&amp;INDEX(ETAPP!B$1:B$32,MATCH(COUNTIF(BI50:BR50,15),ETAPP!A$1:A$32,0))&amp;INDEX(ETAPP!B$1:B$32,MATCH(COUNTIF(BI50:BR50,16),ETAPP!A$1:A$32,0))&amp;INDEX(ETAPP!B$1:B$32,MATCH(COUNTIF(BI50:BR50,17),ETAPP!A$1:A$32,0))&amp;INDEX(ETAPP!B$1:B$32,MATCH(COUNTIF(BI50:BR50,18),ETAPP!A$1:A$32,0))&amp;INDEX(ETAPP!B$1:B$32,MATCH(COUNTIF(BI50:BR50,19),ETAPP!A$1:A$32,0))&amp;INDEX(ETAPP!B$1:B$32,MATCH(COUNTIF(BI50:BR50,20),ETAPP!A$1:A$32,0))&amp;INDEX(ETAPP!B$1:B$32,MATCH(COUNTIF(BI50:BR50,21),ETAPP!A$1:A$32,0))</f>
        <v>00000000A000000000000</v>
      </c>
      <c r="T50" s="684" t="str">
        <f t="shared" si="54"/>
        <v>006,0-00000000A000000000000</v>
      </c>
      <c r="U50" s="684">
        <f t="shared" si="55"/>
        <v>44</v>
      </c>
      <c r="V50" s="684">
        <f t="shared" si="56"/>
        <v>23</v>
      </c>
      <c r="W50" s="684" t="str">
        <f t="shared" si="57"/>
        <v>006,0-00000000A000000000000-023</v>
      </c>
      <c r="X50" s="684">
        <f t="shared" si="58"/>
        <v>44</v>
      </c>
      <c r="Y50" s="685">
        <f t="shared" si="59"/>
        <v>7</v>
      </c>
      <c r="Z50" s="686">
        <f>IFERROR(INDEX('V1'!C$300:C$400,MATCH("*"&amp;L50&amp;"*",'V1'!B$300:B$400,0)),"  ")</f>
        <v>6</v>
      </c>
      <c r="AA50" s="686" t="str">
        <f>IFERROR(INDEX('V2'!C$300:C$400,MATCH("*"&amp;L50&amp;"*",'V2'!B$300:B$400,0)),"  ")</f>
        <v xml:space="preserve">  </v>
      </c>
      <c r="AB50" s="686" t="str">
        <f>IFERROR(INDEX('V3'!C$300:C$400,MATCH("*"&amp;L50&amp;"*",'V3'!B$300:B$400,0)),"  ")</f>
        <v xml:space="preserve">  </v>
      </c>
      <c r="AC50" s="686" t="str">
        <f>IFERROR(INDEX('V4'!C$300:C$400,MATCH("*"&amp;L50&amp;"*",'V4'!B$300:B$400,0)),"  ")</f>
        <v xml:space="preserve">  </v>
      </c>
      <c r="AD50" s="686" t="str">
        <f>IFERROR(INDEX('V5'!C$300:C$400,MATCH("*"&amp;L50&amp;"*",'V5'!B$300:B$400,0)),"  ")</f>
        <v xml:space="preserve">  </v>
      </c>
      <c r="AE50" s="686" t="str">
        <f>IFERROR(INDEX('V6'!C$300:C$400,MATCH("*"&amp;L50&amp;"*",'V6'!B$300:B$400,0)),"  ")</f>
        <v xml:space="preserve">  </v>
      </c>
      <c r="AF50" s="686" t="str">
        <f>IFERROR(INDEX('V7'!C$300:C$400,MATCH("*"&amp;L50&amp;"*",'V7'!B$300:B$400,0)),"  ")</f>
        <v xml:space="preserve">  </v>
      </c>
      <c r="AG50" s="686" t="str">
        <f>IFERROR(INDEX('V8'!C$300:C$400,MATCH("*"&amp;L50&amp;"*",'V8'!B$300:B$400,0)),"  ")</f>
        <v xml:space="preserve">  </v>
      </c>
      <c r="AH50" s="686" t="str">
        <f>IFERROR(INDEX('V9'!C$300:C$400,MATCH("*"&amp;L50&amp;"*",'V9'!B$300:B$400,0)),"  ")</f>
        <v xml:space="preserve">  </v>
      </c>
      <c r="AI50" s="686" t="str">
        <f>IFERROR(INDEX('V10'!C$300:C$400,MATCH("*"&amp;L50&amp;"*",'V10'!B$300:B$400,0)),"  ")</f>
        <v xml:space="preserve">  </v>
      </c>
      <c r="AJ50" s="687">
        <f t="shared" si="60"/>
        <v>1</v>
      </c>
      <c r="AK50" s="688">
        <f t="shared" si="61"/>
        <v>0</v>
      </c>
      <c r="AL50" s="688">
        <f t="shared" si="62"/>
        <v>0</v>
      </c>
      <c r="AM50" s="642"/>
      <c r="AN50" s="689"/>
      <c r="AO50" s="690"/>
      <c r="AP50" s="690"/>
      <c r="AQ50" s="690"/>
      <c r="AR50" s="690"/>
      <c r="AS50" s="689">
        <f t="shared" si="63"/>
        <v>2.0000000000000001E-4</v>
      </c>
      <c r="AT50" s="690">
        <f t="shared" si="64"/>
        <v>6.0000999999999998</v>
      </c>
      <c r="AU50" s="690">
        <f t="shared" si="65"/>
        <v>2.0000000000000001E-4</v>
      </c>
      <c r="AV50" s="690">
        <f t="shared" si="66"/>
        <v>2.9999999999999997E-4</v>
      </c>
      <c r="AW50" s="690">
        <f t="shared" si="67"/>
        <v>4.0000000000000002E-4</v>
      </c>
      <c r="AX50" s="690">
        <f t="shared" si="68"/>
        <v>5.0000000000000001E-4</v>
      </c>
      <c r="AY50" s="690">
        <f t="shared" si="69"/>
        <v>5.9999999999999995E-4</v>
      </c>
      <c r="AZ50" s="690">
        <f t="shared" si="70"/>
        <v>6.9999999999999999E-4</v>
      </c>
      <c r="BA50" s="690">
        <f t="shared" si="71"/>
        <v>8.0000000000000004E-4</v>
      </c>
      <c r="BB50" s="690">
        <f t="shared" si="72"/>
        <v>8.9999999999999998E-4</v>
      </c>
      <c r="BC50" s="690">
        <f t="shared" si="73"/>
        <v>1E-3</v>
      </c>
      <c r="BI50" s="581">
        <f t="shared" si="74"/>
        <v>9</v>
      </c>
      <c r="BJ50" s="581" t="e">
        <f t="shared" si="75"/>
        <v>#VALUE!</v>
      </c>
      <c r="BK50" s="581" t="e">
        <f t="shared" si="76"/>
        <v>#VALUE!</v>
      </c>
      <c r="BL50" s="581" t="e">
        <f t="shared" si="77"/>
        <v>#VALUE!</v>
      </c>
      <c r="BM50" s="581" t="e">
        <f t="shared" si="78"/>
        <v>#VALUE!</v>
      </c>
      <c r="BN50" s="581" t="e">
        <f t="shared" si="79"/>
        <v>#VALUE!</v>
      </c>
      <c r="BO50" s="581" t="e">
        <f t="shared" si="80"/>
        <v>#VALUE!</v>
      </c>
      <c r="BP50" s="581" t="e">
        <f t="shared" si="81"/>
        <v>#VALUE!</v>
      </c>
      <c r="BQ50" s="581" t="e">
        <f t="shared" si="82"/>
        <v>#VALUE!</v>
      </c>
      <c r="BR50" s="581" t="e">
        <f t="shared" si="83"/>
        <v>#VALUE!</v>
      </c>
    </row>
    <row r="51" spans="1:70" x14ac:dyDescent="0.2">
      <c r="A51" s="768">
        <f t="shared" si="43"/>
        <v>29</v>
      </c>
      <c r="B51" s="769">
        <f t="shared" si="44"/>
        <v>47</v>
      </c>
      <c r="C51" s="770">
        <f t="shared" si="45"/>
        <v>14</v>
      </c>
      <c r="D51" s="769">
        <f t="shared" si="46"/>
        <v>47</v>
      </c>
      <c r="E51" s="771">
        <f t="shared" si="47"/>
        <v>31</v>
      </c>
      <c r="F51" s="769">
        <f t="shared" si="48"/>
        <v>47</v>
      </c>
      <c r="G51" s="772" t="str">
        <f t="shared" si="49"/>
        <v/>
      </c>
      <c r="H51" s="769">
        <f t="shared" si="50"/>
        <v>-953</v>
      </c>
      <c r="I51" s="773" t="str">
        <f t="shared" si="51"/>
        <v/>
      </c>
      <c r="J51" s="774">
        <f t="shared" si="52"/>
        <v>-953</v>
      </c>
      <c r="K51" s="680">
        <f t="shared" si="53"/>
        <v>45</v>
      </c>
      <c r="L51" s="786" t="s">
        <v>124</v>
      </c>
      <c r="M51" s="682"/>
      <c r="N51" s="775" t="str">
        <f>IF(M51="","m","")</f>
        <v>m</v>
      </c>
      <c r="O51" s="683"/>
      <c r="P51" s="776" t="s">
        <v>190</v>
      </c>
      <c r="Q51" s="777" t="s">
        <v>189</v>
      </c>
      <c r="R51" s="673">
        <f>(IF(COUNT(Z51,AA51,AB51,AC51,AD51,AE51,AF51,AG51,AH51,AI51)&lt;9,SUM(Z51,AA51,AB51,AC51,AD51,AE51,AF51,AG51,AH51,AI51),SUM(LARGE((Z51,AA51,AB51,AC51,AD51,AE51,AF51,AG51,AH51,AI51),{1;2;3;4;5;6;7;8;9}))))</f>
        <v>4</v>
      </c>
      <c r="S51" s="684" t="str">
        <f>INDEX(ETAPP!B$1:B$32,MATCH(COUNTIF(BI51:BR51,1),ETAPP!A$1:A$32,0))&amp;INDEX(ETAPP!B$1:B$32,MATCH(COUNTIF(BI51:BR51,2),ETAPP!A$1:A$32,0))&amp;INDEX(ETAPP!B$1:B$32,MATCH(COUNTIF(BI51:BR51,3),ETAPP!A$1:A$32,0))&amp;INDEX(ETAPP!B$1:B$32,MATCH(COUNTIF(BI51:BR51,4),ETAPP!A$1:A$32,0))&amp;INDEX(ETAPP!B$1:B$32,MATCH(COUNTIF(BI51:BR51,5),ETAPP!A$1:A$32,0))&amp;INDEX(ETAPP!B$1:B$32,MATCH(COUNTIF(BI51:BR51,6),ETAPP!A$1:A$32,0))&amp;INDEX(ETAPP!B$1:B$32,MATCH(COUNTIF(BI51:BR51,7),ETAPP!A$1:A$32,0))&amp;INDEX(ETAPP!B$1:B$32,MATCH(COUNTIF(BI51:BR51,8),ETAPP!A$1:A$32,0))&amp;INDEX(ETAPP!B$1:B$32,MATCH(COUNTIF(BI51:BR51,9),ETAPP!A$1:A$32,0))&amp;INDEX(ETAPP!B$1:B$32,MATCH(COUNTIF(BI51:BR51,10),ETAPP!A$1:A$32,0))&amp;INDEX(ETAPP!B$1:B$32,MATCH(COUNTIF(BI51:BR51,11),ETAPP!A$1:A$32,0))&amp;INDEX(ETAPP!B$1:B$32,MATCH(COUNTIF(BI51:BR51,12),ETAPP!A$1:A$32,0))&amp;INDEX(ETAPP!B$1:B$32,MATCH(COUNTIF(BI51:BR51,13),ETAPP!A$1:A$32,0))&amp;INDEX(ETAPP!B$1:B$32,MATCH(COUNTIF(BI51:BR51,14),ETAPP!A$1:A$32,0))&amp;INDEX(ETAPP!B$1:B$32,MATCH(COUNTIF(BI51:BR51,15),ETAPP!A$1:A$32,0))&amp;INDEX(ETAPP!B$1:B$32,MATCH(COUNTIF(BI51:BR51,16),ETAPP!A$1:A$32,0))&amp;INDEX(ETAPP!B$1:B$32,MATCH(COUNTIF(BI51:BR51,17),ETAPP!A$1:A$32,0))&amp;INDEX(ETAPP!B$1:B$32,MATCH(COUNTIF(BI51:BR51,18),ETAPP!A$1:A$32,0))&amp;INDEX(ETAPP!B$1:B$32,MATCH(COUNTIF(BI51:BR51,19),ETAPP!A$1:A$32,0))&amp;INDEX(ETAPP!B$1:B$32,MATCH(COUNTIF(BI51:BR51,20),ETAPP!A$1:A$32,0))&amp;INDEX(ETAPP!B$1:B$32,MATCH(COUNTIF(BI51:BR51,21),ETAPP!A$1:A$32,0))</f>
        <v>00000000A000000000000</v>
      </c>
      <c r="T51" s="684" t="str">
        <f t="shared" si="54"/>
        <v>004,0-00000000A000000000000</v>
      </c>
      <c r="U51" s="684">
        <f t="shared" si="55"/>
        <v>47</v>
      </c>
      <c r="V51" s="684">
        <f t="shared" si="56"/>
        <v>37</v>
      </c>
      <c r="W51" s="684" t="str">
        <f t="shared" si="57"/>
        <v>004,0-00000000A000000000000-037</v>
      </c>
      <c r="X51" s="684">
        <f t="shared" si="58"/>
        <v>45</v>
      </c>
      <c r="Y51" s="685">
        <f t="shared" si="59"/>
        <v>6</v>
      </c>
      <c r="Z51" s="686" t="str">
        <f>IFERROR(INDEX('V1'!C$300:C$400,MATCH("*"&amp;L51&amp;"*",'V1'!B$300:B$400,0)),"  ")</f>
        <v xml:space="preserve">  </v>
      </c>
      <c r="AA51" s="686">
        <f>IFERROR(INDEX('V2'!C$300:C$400,MATCH("*"&amp;L51&amp;"*",'V2'!B$300:B$400,0)),"  ")</f>
        <v>4</v>
      </c>
      <c r="AB51" s="686" t="str">
        <f>IFERROR(INDEX('V3'!C$300:C$400,MATCH("*"&amp;L51&amp;"*",'V3'!B$300:B$400,0)),"  ")</f>
        <v xml:space="preserve">  </v>
      </c>
      <c r="AC51" s="686" t="str">
        <f>IFERROR(INDEX('V4'!C$300:C$400,MATCH("*"&amp;L51&amp;"*",'V4'!B$300:B$400,0)),"  ")</f>
        <v xml:space="preserve">  </v>
      </c>
      <c r="AD51" s="686" t="str">
        <f>IFERROR(INDEX('V5'!C$300:C$400,MATCH("*"&amp;L51&amp;"*",'V5'!B$300:B$400,0)),"  ")</f>
        <v xml:space="preserve">  </v>
      </c>
      <c r="AE51" s="686" t="str">
        <f>IFERROR(INDEX('V6'!C$300:C$400,MATCH("*"&amp;L51&amp;"*",'V6'!B$300:B$400,0)),"  ")</f>
        <v xml:space="preserve">  </v>
      </c>
      <c r="AF51" s="686" t="str">
        <f>IFERROR(INDEX('V7'!C$300:C$400,MATCH("*"&amp;L51&amp;"*",'V7'!B$300:B$400,0)),"  ")</f>
        <v xml:space="preserve">  </v>
      </c>
      <c r="AG51" s="686" t="str">
        <f>IFERROR(INDEX('V8'!C$300:C$400,MATCH("*"&amp;L51&amp;"*",'V8'!B$300:B$400,0)),"  ")</f>
        <v xml:space="preserve">  </v>
      </c>
      <c r="AH51" s="686" t="str">
        <f>IFERROR(INDEX('V9'!C$300:C$400,MATCH("*"&amp;L51&amp;"*",'V9'!B$300:B$400,0)),"  ")</f>
        <v xml:space="preserve">  </v>
      </c>
      <c r="AI51" s="686" t="str">
        <f>IFERROR(INDEX('V10'!C$300:C$400,MATCH("*"&amp;L51&amp;"*",'V10'!B$300:B$400,0)),"  ")</f>
        <v xml:space="preserve">  </v>
      </c>
      <c r="AJ51" s="687">
        <f t="shared" si="60"/>
        <v>1</v>
      </c>
      <c r="AK51" s="688">
        <f t="shared" si="61"/>
        <v>0</v>
      </c>
      <c r="AL51" s="688">
        <f t="shared" si="62"/>
        <v>0</v>
      </c>
      <c r="AM51" s="783"/>
      <c r="AN51" s="689"/>
      <c r="AO51" s="690"/>
      <c r="AP51" s="690"/>
      <c r="AQ51" s="690"/>
      <c r="AR51" s="690"/>
      <c r="AS51" s="689">
        <f t="shared" si="63"/>
        <v>1E-4</v>
      </c>
      <c r="AT51" s="690">
        <f t="shared" si="64"/>
        <v>1E-4</v>
      </c>
      <c r="AU51" s="690">
        <f t="shared" si="65"/>
        <v>4.0002000000000004</v>
      </c>
      <c r="AV51" s="690">
        <f t="shared" si="66"/>
        <v>2.9999999999999997E-4</v>
      </c>
      <c r="AW51" s="690">
        <f t="shared" si="67"/>
        <v>4.0000000000000002E-4</v>
      </c>
      <c r="AX51" s="690">
        <f t="shared" si="68"/>
        <v>5.0000000000000001E-4</v>
      </c>
      <c r="AY51" s="690">
        <f t="shared" si="69"/>
        <v>5.9999999999999995E-4</v>
      </c>
      <c r="AZ51" s="690">
        <f t="shared" si="70"/>
        <v>6.9999999999999999E-4</v>
      </c>
      <c r="BA51" s="690">
        <f t="shared" si="71"/>
        <v>8.0000000000000004E-4</v>
      </c>
      <c r="BB51" s="690">
        <f t="shared" si="72"/>
        <v>8.9999999999999998E-4</v>
      </c>
      <c r="BC51" s="690">
        <f t="shared" si="73"/>
        <v>1E-3</v>
      </c>
      <c r="BI51" s="581" t="e">
        <f t="shared" si="74"/>
        <v>#VALUE!</v>
      </c>
      <c r="BJ51" s="581">
        <f t="shared" si="75"/>
        <v>9</v>
      </c>
      <c r="BK51" s="581" t="e">
        <f t="shared" si="76"/>
        <v>#VALUE!</v>
      </c>
      <c r="BL51" s="581" t="e">
        <f t="shared" si="77"/>
        <v>#VALUE!</v>
      </c>
      <c r="BM51" s="581" t="e">
        <f t="shared" si="78"/>
        <v>#VALUE!</v>
      </c>
      <c r="BN51" s="581" t="e">
        <f t="shared" si="79"/>
        <v>#VALUE!</v>
      </c>
      <c r="BO51" s="581" t="e">
        <f t="shared" si="80"/>
        <v>#VALUE!</v>
      </c>
      <c r="BP51" s="581" t="e">
        <f t="shared" si="81"/>
        <v>#VALUE!</v>
      </c>
      <c r="BQ51" s="581" t="e">
        <f t="shared" si="82"/>
        <v>#VALUE!</v>
      </c>
      <c r="BR51" s="581" t="e">
        <f t="shared" si="83"/>
        <v>#VALUE!</v>
      </c>
    </row>
    <row r="52" spans="1:70" x14ac:dyDescent="0.2">
      <c r="A52" s="768">
        <f t="shared" si="43"/>
        <v>29</v>
      </c>
      <c r="B52" s="769">
        <f t="shared" si="44"/>
        <v>47</v>
      </c>
      <c r="C52" s="770">
        <f t="shared" si="45"/>
        <v>14</v>
      </c>
      <c r="D52" s="769">
        <f t="shared" si="46"/>
        <v>47</v>
      </c>
      <c r="E52" s="771" t="str">
        <f t="shared" si="47"/>
        <v/>
      </c>
      <c r="F52" s="769">
        <f t="shared" si="48"/>
        <v>-953</v>
      </c>
      <c r="G52" s="772">
        <f t="shared" si="49"/>
        <v>12</v>
      </c>
      <c r="H52" s="769">
        <f t="shared" si="50"/>
        <v>47</v>
      </c>
      <c r="I52" s="773" t="str">
        <f t="shared" si="51"/>
        <v/>
      </c>
      <c r="J52" s="774">
        <f t="shared" si="52"/>
        <v>-953</v>
      </c>
      <c r="K52" s="680">
        <f t="shared" si="53"/>
        <v>45</v>
      </c>
      <c r="L52" s="784" t="s">
        <v>219</v>
      </c>
      <c r="M52" s="682" t="s">
        <v>99</v>
      </c>
      <c r="N52" s="775" t="str">
        <f>IF(M52="","m","")</f>
        <v/>
      </c>
      <c r="O52" s="683"/>
      <c r="P52" s="776" t="s">
        <v>190</v>
      </c>
      <c r="Q52" s="777" t="s">
        <v>189</v>
      </c>
      <c r="R52" s="673">
        <f>(IF(COUNT(Z52,AA52,AB52,AC52,AD52,AE52,AF52,AG52,AH52,AI52)&lt;9,SUM(Z52,AA52,AB52,AC52,AD52,AE52,AF52,AG52,AH52,AI52),SUM(LARGE((Z52,AA52,AB52,AC52,AD52,AE52,AF52,AG52,AH52,AI52),{1;2;3;4;5;6;7;8;9}))))</f>
        <v>4</v>
      </c>
      <c r="S52" s="684" t="str">
        <f>INDEX(ETAPP!B$1:B$32,MATCH(COUNTIF(BI52:BR52,1),ETAPP!A$1:A$32,0))&amp;INDEX(ETAPP!B$1:B$32,MATCH(COUNTIF(BI52:BR52,2),ETAPP!A$1:A$32,0))&amp;INDEX(ETAPP!B$1:B$32,MATCH(COUNTIF(BI52:BR52,3),ETAPP!A$1:A$32,0))&amp;INDEX(ETAPP!B$1:B$32,MATCH(COUNTIF(BI52:BR52,4),ETAPP!A$1:A$32,0))&amp;INDEX(ETAPP!B$1:B$32,MATCH(COUNTIF(BI52:BR52,5),ETAPP!A$1:A$32,0))&amp;INDEX(ETAPP!B$1:B$32,MATCH(COUNTIF(BI52:BR52,6),ETAPP!A$1:A$32,0))&amp;INDEX(ETAPP!B$1:B$32,MATCH(COUNTIF(BI52:BR52,7),ETAPP!A$1:A$32,0))&amp;INDEX(ETAPP!B$1:B$32,MATCH(COUNTIF(BI52:BR52,8),ETAPP!A$1:A$32,0))&amp;INDEX(ETAPP!B$1:B$32,MATCH(COUNTIF(BI52:BR52,9),ETAPP!A$1:A$32,0))&amp;INDEX(ETAPP!B$1:B$32,MATCH(COUNTIF(BI52:BR52,10),ETAPP!A$1:A$32,0))&amp;INDEX(ETAPP!B$1:B$32,MATCH(COUNTIF(BI52:BR52,11),ETAPP!A$1:A$32,0))&amp;INDEX(ETAPP!B$1:B$32,MATCH(COUNTIF(BI52:BR52,12),ETAPP!A$1:A$32,0))&amp;INDEX(ETAPP!B$1:B$32,MATCH(COUNTIF(BI52:BR52,13),ETAPP!A$1:A$32,0))&amp;INDEX(ETAPP!B$1:B$32,MATCH(COUNTIF(BI52:BR52,14),ETAPP!A$1:A$32,0))&amp;INDEX(ETAPP!B$1:B$32,MATCH(COUNTIF(BI52:BR52,15),ETAPP!A$1:A$32,0))&amp;INDEX(ETAPP!B$1:B$32,MATCH(COUNTIF(BI52:BR52,16),ETAPP!A$1:A$32,0))&amp;INDEX(ETAPP!B$1:B$32,MATCH(COUNTIF(BI52:BR52,17),ETAPP!A$1:A$32,0))&amp;INDEX(ETAPP!B$1:B$32,MATCH(COUNTIF(BI52:BR52,18),ETAPP!A$1:A$32,0))&amp;INDEX(ETAPP!B$1:B$32,MATCH(COUNTIF(BI52:BR52,19),ETAPP!A$1:A$32,0))&amp;INDEX(ETAPP!B$1:B$32,MATCH(COUNTIF(BI52:BR52,20),ETAPP!A$1:A$32,0))&amp;INDEX(ETAPP!B$1:B$32,MATCH(COUNTIF(BI52:BR52,21),ETAPP!A$1:A$32,0))</f>
        <v>00000000A000000000000</v>
      </c>
      <c r="T52" s="684" t="str">
        <f t="shared" si="54"/>
        <v>004,0-00000000A000000000000</v>
      </c>
      <c r="U52" s="684">
        <f t="shared" si="55"/>
        <v>47</v>
      </c>
      <c r="V52" s="684">
        <f t="shared" si="56"/>
        <v>34</v>
      </c>
      <c r="W52" s="684" t="str">
        <f t="shared" si="57"/>
        <v>004,0-00000000A000000000000-034</v>
      </c>
      <c r="X52" s="684">
        <f t="shared" si="58"/>
        <v>46</v>
      </c>
      <c r="Y52" s="685">
        <f t="shared" si="59"/>
        <v>5</v>
      </c>
      <c r="Z52" s="686" t="str">
        <f>IFERROR(INDEX('V1'!C$300:C$400,MATCH("*"&amp;L52&amp;"*",'V1'!B$300:B$400,0)),"  ")</f>
        <v xml:space="preserve">  </v>
      </c>
      <c r="AA52" s="686" t="str">
        <f>IFERROR(INDEX('V2'!C$300:C$400,MATCH("*"&amp;L52&amp;"*",'V2'!B$300:B$400,0)),"  ")</f>
        <v xml:space="preserve">  </v>
      </c>
      <c r="AB52" s="686" t="str">
        <f>IFERROR(INDEX('V3'!C$300:C$400,MATCH("*"&amp;L52&amp;"*",'V3'!B$300:B$400,0)),"  ")</f>
        <v xml:space="preserve">  </v>
      </c>
      <c r="AC52" s="686" t="str">
        <f>IFERROR(INDEX('V4'!C$300:C$400,MATCH("*"&amp;L52&amp;"*",'V4'!B$300:B$400,0)),"  ")</f>
        <v xml:space="preserve">  </v>
      </c>
      <c r="AD52" s="686" t="str">
        <f>IFERROR(INDEX('V5'!C$300:C$400,MATCH("*"&amp;L52&amp;"*",'V5'!B$300:B$400,0)),"  ")</f>
        <v xml:space="preserve">  </v>
      </c>
      <c r="AE52" s="686">
        <f>IFERROR(INDEX('V6'!C$300:C$400,MATCH("*"&amp;L52&amp;"*",'V6'!B$300:B$400,0)),"  ")</f>
        <v>4</v>
      </c>
      <c r="AF52" s="686" t="str">
        <f>IFERROR(INDEX('V7'!C$300:C$400,MATCH("*"&amp;L52&amp;"*",'V7'!B$300:B$400,0)),"  ")</f>
        <v xml:space="preserve">  </v>
      </c>
      <c r="AG52" s="686" t="str">
        <f>IFERROR(INDEX('V8'!C$300:C$400,MATCH("*"&amp;L52&amp;"*",'V8'!B$300:B$400,0)),"  ")</f>
        <v xml:space="preserve">  </v>
      </c>
      <c r="AH52" s="686" t="str">
        <f>IFERROR(INDEX('V9'!C$300:C$400,MATCH("*"&amp;L52&amp;"*",'V9'!B$300:B$400,0)),"  ")</f>
        <v xml:space="preserve">  </v>
      </c>
      <c r="AI52" s="686" t="str">
        <f>IFERROR(INDEX('V10'!C$300:C$400,MATCH("*"&amp;L52&amp;"*",'V10'!B$300:B$400,0)),"  ")</f>
        <v xml:space="preserve">  </v>
      </c>
      <c r="AJ52" s="687">
        <f t="shared" si="60"/>
        <v>1</v>
      </c>
      <c r="AK52" s="688">
        <f t="shared" si="61"/>
        <v>0</v>
      </c>
      <c r="AL52" s="688">
        <f t="shared" si="62"/>
        <v>0</v>
      </c>
      <c r="AM52" s="642"/>
      <c r="AN52" s="689"/>
      <c r="AO52" s="690"/>
      <c r="AP52" s="690"/>
      <c r="AQ52" s="690"/>
      <c r="AR52" s="690"/>
      <c r="AS52" s="689">
        <f t="shared" si="63"/>
        <v>1E-4</v>
      </c>
      <c r="AT52" s="690">
        <f t="shared" si="64"/>
        <v>1E-4</v>
      </c>
      <c r="AU52" s="690">
        <f t="shared" si="65"/>
        <v>2.0000000000000001E-4</v>
      </c>
      <c r="AV52" s="690">
        <f t="shared" si="66"/>
        <v>2.9999999999999997E-4</v>
      </c>
      <c r="AW52" s="690">
        <f t="shared" si="67"/>
        <v>4.0000000000000002E-4</v>
      </c>
      <c r="AX52" s="690">
        <f t="shared" si="68"/>
        <v>5.0000000000000001E-4</v>
      </c>
      <c r="AY52" s="690">
        <f t="shared" si="69"/>
        <v>4.0006000000000004</v>
      </c>
      <c r="AZ52" s="690">
        <f t="shared" si="70"/>
        <v>6.9999999999999999E-4</v>
      </c>
      <c r="BA52" s="690">
        <f t="shared" si="71"/>
        <v>8.0000000000000004E-4</v>
      </c>
      <c r="BB52" s="690">
        <f t="shared" si="72"/>
        <v>8.9999999999999998E-4</v>
      </c>
      <c r="BC52" s="690">
        <f t="shared" si="73"/>
        <v>1E-3</v>
      </c>
      <c r="BI52" s="581" t="e">
        <f t="shared" si="74"/>
        <v>#VALUE!</v>
      </c>
      <c r="BJ52" s="581" t="e">
        <f t="shared" si="75"/>
        <v>#VALUE!</v>
      </c>
      <c r="BK52" s="581" t="e">
        <f t="shared" si="76"/>
        <v>#VALUE!</v>
      </c>
      <c r="BL52" s="581" t="e">
        <f t="shared" si="77"/>
        <v>#VALUE!</v>
      </c>
      <c r="BM52" s="581" t="e">
        <f t="shared" si="78"/>
        <v>#VALUE!</v>
      </c>
      <c r="BN52" s="581">
        <f t="shared" si="79"/>
        <v>9</v>
      </c>
      <c r="BO52" s="581" t="e">
        <f t="shared" si="80"/>
        <v>#VALUE!</v>
      </c>
      <c r="BP52" s="581" t="e">
        <f t="shared" si="81"/>
        <v>#VALUE!</v>
      </c>
      <c r="BQ52" s="581" t="e">
        <f t="shared" si="82"/>
        <v>#VALUE!</v>
      </c>
      <c r="BR52" s="581" t="e">
        <f t="shared" si="83"/>
        <v>#VALUE!</v>
      </c>
    </row>
    <row r="53" spans="1:70" x14ac:dyDescent="0.2">
      <c r="A53" s="768" t="str">
        <f t="shared" si="43"/>
        <v/>
      </c>
      <c r="B53" s="769">
        <f t="shared" si="44"/>
        <v>-953</v>
      </c>
      <c r="C53" s="770">
        <f t="shared" si="45"/>
        <v>14</v>
      </c>
      <c r="D53" s="769">
        <f t="shared" si="46"/>
        <v>47</v>
      </c>
      <c r="E53" s="771">
        <f t="shared" si="47"/>
        <v>31</v>
      </c>
      <c r="F53" s="769">
        <f t="shared" si="48"/>
        <v>47</v>
      </c>
      <c r="G53" s="772" t="str">
        <f t="shared" si="49"/>
        <v/>
      </c>
      <c r="H53" s="769">
        <f t="shared" si="50"/>
        <v>-953</v>
      </c>
      <c r="I53" s="773" t="str">
        <f t="shared" si="51"/>
        <v/>
      </c>
      <c r="J53" s="774">
        <f t="shared" si="52"/>
        <v>-953</v>
      </c>
      <c r="K53" s="680">
        <f t="shared" si="53"/>
        <v>45</v>
      </c>
      <c r="L53" s="681" t="s">
        <v>634</v>
      </c>
      <c r="M53" s="682"/>
      <c r="N53" s="775" t="s">
        <v>191</v>
      </c>
      <c r="O53" s="683"/>
      <c r="P53" s="776" t="s">
        <v>190</v>
      </c>
      <c r="Q53" s="777"/>
      <c r="R53" s="673">
        <f>(IF(COUNT(Z53,AA53,AB53,AC53,AD53,AE53,AF53,AG53,AH53,AI53)&lt;9,SUM(Z53,AA53,AB53,AC53,AD53,AE53,AF53,AG53,AH53,AI53),SUM(LARGE((Z53,AA53,AB53,AC53,AD53,AE53,AF53,AG53,AH53,AI53),{1;2;3;4;5;6;7;8;9}))))</f>
        <v>4</v>
      </c>
      <c r="S53" s="684" t="str">
        <f>INDEX(ETAPP!B$1:B$32,MATCH(COUNTIF(BI53:BR53,1),ETAPP!A$1:A$32,0))&amp;INDEX(ETAPP!B$1:B$32,MATCH(COUNTIF(BI53:BR53,2),ETAPP!A$1:A$32,0))&amp;INDEX(ETAPP!B$1:B$32,MATCH(COUNTIF(BI53:BR53,3),ETAPP!A$1:A$32,0))&amp;INDEX(ETAPP!B$1:B$32,MATCH(COUNTIF(BI53:BR53,4),ETAPP!A$1:A$32,0))&amp;INDEX(ETAPP!B$1:B$32,MATCH(COUNTIF(BI53:BR53,5),ETAPP!A$1:A$32,0))&amp;INDEX(ETAPP!B$1:B$32,MATCH(COUNTIF(BI53:BR53,6),ETAPP!A$1:A$32,0))&amp;INDEX(ETAPP!B$1:B$32,MATCH(COUNTIF(BI53:BR53,7),ETAPP!A$1:A$32,0))&amp;INDEX(ETAPP!B$1:B$32,MATCH(COUNTIF(BI53:BR53,8),ETAPP!A$1:A$32,0))&amp;INDEX(ETAPP!B$1:B$32,MATCH(COUNTIF(BI53:BR53,9),ETAPP!A$1:A$32,0))&amp;INDEX(ETAPP!B$1:B$32,MATCH(COUNTIF(BI53:BR53,10),ETAPP!A$1:A$32,0))&amp;INDEX(ETAPP!B$1:B$32,MATCH(COUNTIF(BI53:BR53,11),ETAPP!A$1:A$32,0))&amp;INDEX(ETAPP!B$1:B$32,MATCH(COUNTIF(BI53:BR53,12),ETAPP!A$1:A$32,0))&amp;INDEX(ETAPP!B$1:B$32,MATCH(COUNTIF(BI53:BR53,13),ETAPP!A$1:A$32,0))&amp;INDEX(ETAPP!B$1:B$32,MATCH(COUNTIF(BI53:BR53,14),ETAPP!A$1:A$32,0))&amp;INDEX(ETAPP!B$1:B$32,MATCH(COUNTIF(BI53:BR53,15),ETAPP!A$1:A$32,0))&amp;INDEX(ETAPP!B$1:B$32,MATCH(COUNTIF(BI53:BR53,16),ETAPP!A$1:A$32,0))&amp;INDEX(ETAPP!B$1:B$32,MATCH(COUNTIF(BI53:BR53,17),ETAPP!A$1:A$32,0))&amp;INDEX(ETAPP!B$1:B$32,MATCH(COUNTIF(BI53:BR53,18),ETAPP!A$1:A$32,0))&amp;INDEX(ETAPP!B$1:B$32,MATCH(COUNTIF(BI53:BR53,19),ETAPP!A$1:A$32,0))&amp;INDEX(ETAPP!B$1:B$32,MATCH(COUNTIF(BI53:BR53,20),ETAPP!A$1:A$32,0))&amp;INDEX(ETAPP!B$1:B$32,MATCH(COUNTIF(BI53:BR53,21),ETAPP!A$1:A$32,0))</f>
        <v>00000000A000000000000</v>
      </c>
      <c r="T53" s="684" t="str">
        <f t="shared" si="54"/>
        <v>004,0-00000000A000000000000</v>
      </c>
      <c r="U53" s="684">
        <f t="shared" si="55"/>
        <v>47</v>
      </c>
      <c r="V53" s="684">
        <f t="shared" si="56"/>
        <v>26</v>
      </c>
      <c r="W53" s="684" t="str">
        <f t="shared" si="57"/>
        <v>004,0-00000000A000000000000-026</v>
      </c>
      <c r="X53" s="684">
        <f t="shared" si="58"/>
        <v>47</v>
      </c>
      <c r="Y53" s="685">
        <f t="shared" si="59"/>
        <v>4</v>
      </c>
      <c r="Z53" s="686" t="str">
        <f>IFERROR(INDEX('V1'!C$300:C$400,MATCH("*"&amp;L53&amp;"*",'V1'!B$300:B$400,0)),"  ")</f>
        <v xml:space="preserve">  </v>
      </c>
      <c r="AA53" s="686" t="str">
        <f>IFERROR(INDEX('V2'!C$300:C$400,MATCH("*"&amp;L53&amp;"*",'V2'!B$300:B$400,0)),"  ")</f>
        <v xml:space="preserve">  </v>
      </c>
      <c r="AB53" s="686" t="str">
        <f>IFERROR(INDEX('V3'!C$300:C$400,MATCH("*"&amp;L53&amp;"*",'V3'!B$300:B$400,0)),"  ")</f>
        <v xml:space="preserve">  </v>
      </c>
      <c r="AC53" s="686" t="str">
        <f>IFERROR(INDEX('V4'!C$300:C$400,MATCH("*"&amp;L53&amp;"*",'V4'!B$300:B$400,0)),"  ")</f>
        <v xml:space="preserve">  </v>
      </c>
      <c r="AD53" s="686" t="str">
        <f>IFERROR(INDEX('V5'!C$300:C$400,MATCH("*"&amp;L53&amp;"*",'V5'!B$300:B$400,0)),"  ")</f>
        <v xml:space="preserve">  </v>
      </c>
      <c r="AE53" s="686">
        <f>IFERROR(INDEX('V6'!C$300:C$400,MATCH("*"&amp;L53&amp;"*",'V6'!B$300:B$400,0)),"  ")</f>
        <v>4</v>
      </c>
      <c r="AF53" s="686" t="str">
        <f>IFERROR(INDEX('V7'!C$300:C$400,MATCH("*"&amp;L53&amp;"*",'V7'!B$300:B$400,0)),"  ")</f>
        <v xml:space="preserve">  </v>
      </c>
      <c r="AG53" s="686" t="str">
        <f>IFERROR(INDEX('V8'!C$300:C$400,MATCH("*"&amp;L53&amp;"*",'V8'!B$300:B$400,0)),"  ")</f>
        <v xml:space="preserve">  </v>
      </c>
      <c r="AH53" s="686" t="str">
        <f>IFERROR(INDEX('V9'!C$300:C$400,MATCH("*"&amp;L53&amp;"*",'V9'!B$300:B$400,0)),"  ")</f>
        <v xml:space="preserve">  </v>
      </c>
      <c r="AI53" s="686" t="str">
        <f>IFERROR(INDEX('V10'!C$300:C$400,MATCH("*"&amp;L53&amp;"*",'V10'!B$300:B$400,0)),"  ")</f>
        <v xml:space="preserve">  </v>
      </c>
      <c r="AJ53" s="687">
        <f t="shared" si="60"/>
        <v>1</v>
      </c>
      <c r="AK53" s="688">
        <f t="shared" si="61"/>
        <v>0</v>
      </c>
      <c r="AL53" s="688">
        <f t="shared" si="62"/>
        <v>0</v>
      </c>
      <c r="AM53" s="783"/>
      <c r="AN53" s="689"/>
      <c r="AO53" s="690"/>
      <c r="AP53" s="690"/>
      <c r="AQ53" s="690"/>
      <c r="AR53" s="690"/>
      <c r="AS53" s="689">
        <f t="shared" si="63"/>
        <v>1E-4</v>
      </c>
      <c r="AT53" s="690">
        <f t="shared" si="64"/>
        <v>1E-4</v>
      </c>
      <c r="AU53" s="690">
        <f t="shared" si="65"/>
        <v>2.0000000000000001E-4</v>
      </c>
      <c r="AV53" s="690">
        <f t="shared" si="66"/>
        <v>2.9999999999999997E-4</v>
      </c>
      <c r="AW53" s="690">
        <f t="shared" si="67"/>
        <v>4.0000000000000002E-4</v>
      </c>
      <c r="AX53" s="690">
        <f t="shared" si="68"/>
        <v>5.0000000000000001E-4</v>
      </c>
      <c r="AY53" s="690">
        <f t="shared" si="69"/>
        <v>4.0006000000000004</v>
      </c>
      <c r="AZ53" s="690">
        <f t="shared" si="70"/>
        <v>6.9999999999999999E-4</v>
      </c>
      <c r="BA53" s="690">
        <f t="shared" si="71"/>
        <v>8.0000000000000004E-4</v>
      </c>
      <c r="BB53" s="690">
        <f t="shared" si="72"/>
        <v>8.9999999999999998E-4</v>
      </c>
      <c r="BC53" s="690">
        <f t="shared" si="73"/>
        <v>1E-3</v>
      </c>
      <c r="BI53" s="581" t="e">
        <f t="shared" si="74"/>
        <v>#VALUE!</v>
      </c>
      <c r="BJ53" s="581" t="e">
        <f t="shared" si="75"/>
        <v>#VALUE!</v>
      </c>
      <c r="BK53" s="581" t="e">
        <f t="shared" si="76"/>
        <v>#VALUE!</v>
      </c>
      <c r="BL53" s="581" t="e">
        <f t="shared" si="77"/>
        <v>#VALUE!</v>
      </c>
      <c r="BM53" s="581" t="e">
        <f t="shared" si="78"/>
        <v>#VALUE!</v>
      </c>
      <c r="BN53" s="581">
        <f t="shared" si="79"/>
        <v>9</v>
      </c>
      <c r="BO53" s="581" t="e">
        <f t="shared" si="80"/>
        <v>#VALUE!</v>
      </c>
      <c r="BP53" s="581" t="e">
        <f t="shared" si="81"/>
        <v>#VALUE!</v>
      </c>
      <c r="BQ53" s="581" t="e">
        <f t="shared" si="82"/>
        <v>#VALUE!</v>
      </c>
      <c r="BR53" s="581" t="e">
        <f t="shared" si="83"/>
        <v>#VALUE!</v>
      </c>
    </row>
    <row r="54" spans="1:70" x14ac:dyDescent="0.2">
      <c r="A54" s="768">
        <f t="shared" si="43"/>
        <v>31</v>
      </c>
      <c r="B54" s="769">
        <f t="shared" si="44"/>
        <v>48</v>
      </c>
      <c r="C54" s="770" t="str">
        <f t="shared" si="45"/>
        <v/>
      </c>
      <c r="D54" s="769">
        <f t="shared" si="46"/>
        <v>-952</v>
      </c>
      <c r="E54" s="771" t="str">
        <f t="shared" si="47"/>
        <v/>
      </c>
      <c r="F54" s="769">
        <f t="shared" si="48"/>
        <v>-952</v>
      </c>
      <c r="G54" s="772">
        <f t="shared" si="49"/>
        <v>13</v>
      </c>
      <c r="H54" s="769">
        <f t="shared" si="50"/>
        <v>48</v>
      </c>
      <c r="I54" s="773" t="str">
        <f t="shared" si="51"/>
        <v/>
      </c>
      <c r="J54" s="774">
        <f t="shared" si="52"/>
        <v>-952</v>
      </c>
      <c r="K54" s="680">
        <f t="shared" si="53"/>
        <v>48</v>
      </c>
      <c r="L54" s="681" t="s">
        <v>534</v>
      </c>
      <c r="M54" s="682" t="s">
        <v>99</v>
      </c>
      <c r="N54" s="775"/>
      <c r="O54" s="693"/>
      <c r="P54" s="787"/>
      <c r="Q54" s="788" t="s">
        <v>189</v>
      </c>
      <c r="R54" s="673">
        <f>(IF(COUNT(Z54,AA54,AB54,AC54,AD54,AE54,AF54,AG54,AH54,AI54)&lt;9,SUM(Z54,AA54,AB54,AC54,AD54,AE54,AF54,AG54,AH54,AI54),SUM(LARGE((Z54,AA54,AB54,AC54,AD54,AE54,AF54,AG54,AH54,AI54),{1;2;3;4;5;6;7;8;9}))))</f>
        <v>2</v>
      </c>
      <c r="S54" s="684" t="str">
        <f>INDEX(ETAPP!B$1:B$32,MATCH(COUNTIF(BI54:BR54,1),ETAPP!A$1:A$32,0))&amp;INDEX(ETAPP!B$1:B$32,MATCH(COUNTIF(BI54:BR54,2),ETAPP!A$1:A$32,0))&amp;INDEX(ETAPP!B$1:B$32,MATCH(COUNTIF(BI54:BR54,3),ETAPP!A$1:A$32,0))&amp;INDEX(ETAPP!B$1:B$32,MATCH(COUNTIF(BI54:BR54,4),ETAPP!A$1:A$32,0))&amp;INDEX(ETAPP!B$1:B$32,MATCH(COUNTIF(BI54:BR54,5),ETAPP!A$1:A$32,0))&amp;INDEX(ETAPP!B$1:B$32,MATCH(COUNTIF(BI54:BR54,6),ETAPP!A$1:A$32,0))&amp;INDEX(ETAPP!B$1:B$32,MATCH(COUNTIF(BI54:BR54,7),ETAPP!A$1:A$32,0))&amp;INDEX(ETAPP!B$1:B$32,MATCH(COUNTIF(BI54:BR54,8),ETAPP!A$1:A$32,0))&amp;INDEX(ETAPP!B$1:B$32,MATCH(COUNTIF(BI54:BR54,9),ETAPP!A$1:A$32,0))&amp;INDEX(ETAPP!B$1:B$32,MATCH(COUNTIF(BI54:BR54,10),ETAPP!A$1:A$32,0))&amp;INDEX(ETAPP!B$1:B$32,MATCH(COUNTIF(BI54:BR54,11),ETAPP!A$1:A$32,0))&amp;INDEX(ETAPP!B$1:B$32,MATCH(COUNTIF(BI54:BR54,12),ETAPP!A$1:A$32,0))&amp;INDEX(ETAPP!B$1:B$32,MATCH(COUNTIF(BI54:BR54,13),ETAPP!A$1:A$32,0))&amp;INDEX(ETAPP!B$1:B$32,MATCH(COUNTIF(BI54:BR54,14),ETAPP!A$1:A$32,0))&amp;INDEX(ETAPP!B$1:B$32,MATCH(COUNTIF(BI54:BR54,15),ETAPP!A$1:A$32,0))&amp;INDEX(ETAPP!B$1:B$32,MATCH(COUNTIF(BI54:BR54,16),ETAPP!A$1:A$32,0))&amp;INDEX(ETAPP!B$1:B$32,MATCH(COUNTIF(BI54:BR54,17),ETAPP!A$1:A$32,0))&amp;INDEX(ETAPP!B$1:B$32,MATCH(COUNTIF(BI54:BR54,18),ETAPP!A$1:A$32,0))&amp;INDEX(ETAPP!B$1:B$32,MATCH(COUNTIF(BI54:BR54,19),ETAPP!A$1:A$32,0))&amp;INDEX(ETAPP!B$1:B$32,MATCH(COUNTIF(BI54:BR54,20),ETAPP!A$1:A$32,0))&amp;INDEX(ETAPP!B$1:B$32,MATCH(COUNTIF(BI54:BR54,21),ETAPP!A$1:A$32,0))</f>
        <v>000000000A00000000000</v>
      </c>
      <c r="T54" s="684" t="str">
        <f t="shared" si="54"/>
        <v>002,0-000000000A00000000000</v>
      </c>
      <c r="U54" s="684">
        <f t="shared" si="55"/>
        <v>48</v>
      </c>
      <c r="V54" s="684">
        <f t="shared" si="56"/>
        <v>30</v>
      </c>
      <c r="W54" s="684" t="str">
        <f t="shared" si="57"/>
        <v>002,0-000000000A00000000000-030</v>
      </c>
      <c r="X54" s="684">
        <f t="shared" si="58"/>
        <v>48</v>
      </c>
      <c r="Y54" s="685">
        <f t="shared" si="59"/>
        <v>3</v>
      </c>
      <c r="Z54" s="686" t="str">
        <f>IFERROR(INDEX('V1'!C$300:C$400,MATCH("*"&amp;L54&amp;"*",'V1'!B$300:B$400,0)),"  ")</f>
        <v xml:space="preserve">  </v>
      </c>
      <c r="AA54" s="686">
        <f>IFERROR(INDEX('V2'!C$300:C$400,MATCH("*"&amp;L54&amp;"*",'V2'!B$300:B$400,0)),"  ")</f>
        <v>2</v>
      </c>
      <c r="AB54" s="686" t="str">
        <f>IFERROR(INDEX('V3'!C$300:C$400,MATCH("*"&amp;L54&amp;"*",'V3'!B$300:B$400,0)),"  ")</f>
        <v xml:space="preserve">  </v>
      </c>
      <c r="AC54" s="686" t="str">
        <f>IFERROR(INDEX('V4'!C$300:C$400,MATCH("*"&amp;L54&amp;"*",'V4'!B$300:B$400,0)),"  ")</f>
        <v xml:space="preserve">  </v>
      </c>
      <c r="AD54" s="686" t="str">
        <f>IFERROR(INDEX('V5'!C$300:C$400,MATCH("*"&amp;L54&amp;"*",'V5'!B$300:B$400,0)),"  ")</f>
        <v xml:space="preserve">  </v>
      </c>
      <c r="AE54" s="686" t="str">
        <f>IFERROR(INDEX('V6'!C$300:C$400,MATCH("*"&amp;L54&amp;"*",'V6'!B$300:B$400,0)),"  ")</f>
        <v xml:space="preserve">  </v>
      </c>
      <c r="AF54" s="686" t="str">
        <f>IFERROR(INDEX('V7'!C$300:C$400,MATCH("*"&amp;L54&amp;"*",'V7'!B$300:B$400,0)),"  ")</f>
        <v xml:space="preserve">  </v>
      </c>
      <c r="AG54" s="686" t="str">
        <f>IFERROR(INDEX('V8'!C$300:C$400,MATCH("*"&amp;L54&amp;"*",'V8'!B$300:B$400,0)),"  ")</f>
        <v xml:space="preserve">  </v>
      </c>
      <c r="AH54" s="686" t="str">
        <f>IFERROR(INDEX('V9'!C$300:C$400,MATCH("*"&amp;L54&amp;"*",'V9'!B$300:B$400,0)),"  ")</f>
        <v xml:space="preserve">  </v>
      </c>
      <c r="AI54" s="686" t="str">
        <f>IFERROR(INDEX('V10'!C$300:C$400,MATCH("*"&amp;L54&amp;"*",'V10'!B$300:B$400,0)),"  ")</f>
        <v xml:space="preserve">  </v>
      </c>
      <c r="AJ54" s="687">
        <f t="shared" si="60"/>
        <v>1</v>
      </c>
      <c r="AK54" s="688">
        <f t="shared" si="61"/>
        <v>0</v>
      </c>
      <c r="AL54" s="688">
        <f t="shared" si="62"/>
        <v>0</v>
      </c>
      <c r="AM54" s="642"/>
      <c r="AN54" s="689"/>
      <c r="AO54" s="690"/>
      <c r="AP54" s="690"/>
      <c r="AQ54" s="690"/>
      <c r="AR54" s="690"/>
      <c r="AS54" s="689">
        <f t="shared" si="63"/>
        <v>1E-4</v>
      </c>
      <c r="AT54" s="690">
        <f t="shared" si="64"/>
        <v>1E-4</v>
      </c>
      <c r="AU54" s="690">
        <f t="shared" si="65"/>
        <v>2.0002</v>
      </c>
      <c r="AV54" s="690">
        <f t="shared" si="66"/>
        <v>2.9999999999999997E-4</v>
      </c>
      <c r="AW54" s="690">
        <f t="shared" si="67"/>
        <v>4.0000000000000002E-4</v>
      </c>
      <c r="AX54" s="690">
        <f t="shared" si="68"/>
        <v>5.0000000000000001E-4</v>
      </c>
      <c r="AY54" s="690">
        <f t="shared" si="69"/>
        <v>5.9999999999999995E-4</v>
      </c>
      <c r="AZ54" s="690">
        <f t="shared" si="70"/>
        <v>6.9999999999999999E-4</v>
      </c>
      <c r="BA54" s="690">
        <f t="shared" si="71"/>
        <v>8.0000000000000004E-4</v>
      </c>
      <c r="BB54" s="690">
        <f t="shared" si="72"/>
        <v>8.9999999999999998E-4</v>
      </c>
      <c r="BC54" s="690">
        <f t="shared" si="73"/>
        <v>1E-3</v>
      </c>
      <c r="BI54" s="581" t="e">
        <f t="shared" si="74"/>
        <v>#VALUE!</v>
      </c>
      <c r="BJ54" s="581">
        <f t="shared" si="75"/>
        <v>10</v>
      </c>
      <c r="BK54" s="581" t="e">
        <f t="shared" si="76"/>
        <v>#VALUE!</v>
      </c>
      <c r="BL54" s="581" t="e">
        <f t="shared" si="77"/>
        <v>#VALUE!</v>
      </c>
      <c r="BM54" s="581" t="e">
        <f t="shared" si="78"/>
        <v>#VALUE!</v>
      </c>
      <c r="BN54" s="581" t="e">
        <f t="shared" si="79"/>
        <v>#VALUE!</v>
      </c>
      <c r="BO54" s="581" t="e">
        <f t="shared" si="80"/>
        <v>#VALUE!</v>
      </c>
      <c r="BP54" s="581" t="e">
        <f t="shared" si="81"/>
        <v>#VALUE!</v>
      </c>
      <c r="BQ54" s="581" t="e">
        <f t="shared" si="82"/>
        <v>#VALUE!</v>
      </c>
      <c r="BR54" s="581" t="e">
        <f t="shared" si="83"/>
        <v>#VALUE!</v>
      </c>
    </row>
    <row r="55" spans="1:70" x14ac:dyDescent="0.2">
      <c r="A55" s="768" t="str">
        <f t="shared" si="43"/>
        <v/>
      </c>
      <c r="B55" s="769">
        <f t="shared" si="44"/>
        <v>-950</v>
      </c>
      <c r="C55" s="770" t="str">
        <f t="shared" si="45"/>
        <v/>
      </c>
      <c r="D55" s="769">
        <f t="shared" si="46"/>
        <v>-950</v>
      </c>
      <c r="E55" s="771" t="str">
        <f t="shared" si="47"/>
        <v/>
      </c>
      <c r="F55" s="769">
        <f t="shared" si="48"/>
        <v>-950</v>
      </c>
      <c r="G55" s="772">
        <f t="shared" si="49"/>
        <v>14</v>
      </c>
      <c r="H55" s="769">
        <f t="shared" si="50"/>
        <v>50</v>
      </c>
      <c r="I55" s="773">
        <f t="shared" si="51"/>
        <v>6</v>
      </c>
      <c r="J55" s="774">
        <f t="shared" si="52"/>
        <v>50</v>
      </c>
      <c r="K55" s="680">
        <f t="shared" si="53"/>
        <v>49</v>
      </c>
      <c r="L55" s="681" t="s">
        <v>665</v>
      </c>
      <c r="M55" s="682" t="s">
        <v>99</v>
      </c>
      <c r="N55" s="775"/>
      <c r="O55" s="693" t="s">
        <v>105</v>
      </c>
      <c r="P55" s="776"/>
      <c r="Q55" s="777"/>
      <c r="R55" s="673">
        <f>(IF(COUNT(Z55,AA55,AB55,AC55,AD55,AE55,AF55,AG55,AH55,AI55)&lt;9,SUM(Z55,AA55,AB55,AC55,AD55,AE55,AF55,AG55,AH55,AI55),SUM(LARGE((Z55,AA55,AB55,AC55,AD55,AE55,AF55,AG55,AH55,AI55),{1;2;3;4;5;6;7;8;9}))))</f>
        <v>2</v>
      </c>
      <c r="S55" s="684" t="str">
        <f>INDEX(ETAPP!B$1:B$32,MATCH(COUNTIF(BI55:BR55,1),ETAPP!A$1:A$32,0))&amp;INDEX(ETAPP!B$1:B$32,MATCH(COUNTIF(BI55:BR55,2),ETAPP!A$1:A$32,0))&amp;INDEX(ETAPP!B$1:B$32,MATCH(COUNTIF(BI55:BR55,3),ETAPP!A$1:A$32,0))&amp;INDEX(ETAPP!B$1:B$32,MATCH(COUNTIF(BI55:BR55,4),ETAPP!A$1:A$32,0))&amp;INDEX(ETAPP!B$1:B$32,MATCH(COUNTIF(BI55:BR55,5),ETAPP!A$1:A$32,0))&amp;INDEX(ETAPP!B$1:B$32,MATCH(COUNTIF(BI55:BR55,6),ETAPP!A$1:A$32,0))&amp;INDEX(ETAPP!B$1:B$32,MATCH(COUNTIF(BI55:BR55,7),ETAPP!A$1:A$32,0))&amp;INDEX(ETAPP!B$1:B$32,MATCH(COUNTIF(BI55:BR55,8),ETAPP!A$1:A$32,0))&amp;INDEX(ETAPP!B$1:B$32,MATCH(COUNTIF(BI55:BR55,9),ETAPP!A$1:A$32,0))&amp;INDEX(ETAPP!B$1:B$32,MATCH(COUNTIF(BI55:BR55,10),ETAPP!A$1:A$32,0))&amp;INDEX(ETAPP!B$1:B$32,MATCH(COUNTIF(BI55:BR55,11),ETAPP!A$1:A$32,0))&amp;INDEX(ETAPP!B$1:B$32,MATCH(COUNTIF(BI55:BR55,12),ETAPP!A$1:A$32,0))&amp;INDEX(ETAPP!B$1:B$32,MATCH(COUNTIF(BI55:BR55,13),ETAPP!A$1:A$32,0))&amp;INDEX(ETAPP!B$1:B$32,MATCH(COUNTIF(BI55:BR55,14),ETAPP!A$1:A$32,0))&amp;INDEX(ETAPP!B$1:B$32,MATCH(COUNTIF(BI55:BR55,15),ETAPP!A$1:A$32,0))&amp;INDEX(ETAPP!B$1:B$32,MATCH(COUNTIF(BI55:BR55,16),ETAPP!A$1:A$32,0))&amp;INDEX(ETAPP!B$1:B$32,MATCH(COUNTIF(BI55:BR55,17),ETAPP!A$1:A$32,0))&amp;INDEX(ETAPP!B$1:B$32,MATCH(COUNTIF(BI55:BR55,18),ETAPP!A$1:A$32,0))&amp;INDEX(ETAPP!B$1:B$32,MATCH(COUNTIF(BI55:BR55,19),ETAPP!A$1:A$32,0))&amp;INDEX(ETAPP!B$1:B$32,MATCH(COUNTIF(BI55:BR55,20),ETAPP!A$1:A$32,0))&amp;INDEX(ETAPP!B$1:B$32,MATCH(COUNTIF(BI55:BR55,21),ETAPP!A$1:A$32,0))</f>
        <v>0000000000A0000000000</v>
      </c>
      <c r="T55" s="684" t="str">
        <f t="shared" si="54"/>
        <v>002,0-0000000000A0000000000</v>
      </c>
      <c r="U55" s="684">
        <f t="shared" si="55"/>
        <v>50</v>
      </c>
      <c r="V55" s="684">
        <f t="shared" si="56"/>
        <v>46</v>
      </c>
      <c r="W55" s="684" t="str">
        <f t="shared" si="57"/>
        <v>002,0-0000000000A0000000000-046</v>
      </c>
      <c r="X55" s="684">
        <f t="shared" si="58"/>
        <v>49</v>
      </c>
      <c r="Y55" s="685">
        <f t="shared" si="59"/>
        <v>2</v>
      </c>
      <c r="Z55" s="686" t="str">
        <f>IFERROR(INDEX('V1'!C$300:C$400,MATCH("*"&amp;L55&amp;"*",'V1'!B$300:B$400,0)),"  ")</f>
        <v xml:space="preserve">  </v>
      </c>
      <c r="AA55" s="686" t="str">
        <f>IFERROR(INDEX('V2'!C$300:C$400,MATCH("*"&amp;L55&amp;"*",'V2'!B$300:B$400,0)),"  ")</f>
        <v xml:space="preserve">  </v>
      </c>
      <c r="AB55" s="686" t="str">
        <f>IFERROR(INDEX('V3'!C$300:C$400,MATCH("*"&amp;L55&amp;"*",'V3'!B$300:B$400,0)),"  ")</f>
        <v xml:space="preserve">  </v>
      </c>
      <c r="AC55" s="686" t="str">
        <f>IFERROR(INDEX('V4'!C$300:C$400,MATCH("*"&amp;L55&amp;"*",'V4'!B$300:B$400,0)),"  ")</f>
        <v xml:space="preserve">  </v>
      </c>
      <c r="AD55" s="686" t="str">
        <f>IFERROR(INDEX('V5'!C$300:C$400,MATCH("*"&amp;L55&amp;"*",'V5'!B$300:B$400,0)),"  ")</f>
        <v xml:space="preserve">  </v>
      </c>
      <c r="AE55" s="686" t="str">
        <f>IFERROR(INDEX('V6'!C$300:C$400,MATCH("*"&amp;L55&amp;"*",'V6'!B$300:B$400,0)),"  ")</f>
        <v xml:space="preserve">  </v>
      </c>
      <c r="AF55" s="686" t="str">
        <f>IFERROR(INDEX('V7'!C$300:C$400,MATCH("*"&amp;L55&amp;"*",'V7'!B$300:B$400,0)),"  ")</f>
        <v xml:space="preserve">  </v>
      </c>
      <c r="AG55" s="686">
        <f>IFERROR(INDEX('V8'!C$300:C$400,MATCH("*"&amp;L55&amp;"*",'V8'!B$300:B$400,0)),"  ")</f>
        <v>2</v>
      </c>
      <c r="AH55" s="686" t="str">
        <f>IFERROR(INDEX('V9'!C$300:C$400,MATCH("*"&amp;L55&amp;"*",'V9'!B$300:B$400,0)),"  ")</f>
        <v xml:space="preserve">  </v>
      </c>
      <c r="AI55" s="686" t="str">
        <f>IFERROR(INDEX('V10'!C$300:C$400,MATCH("*"&amp;L55&amp;"*",'V10'!B$300:B$400,0)),"  ")</f>
        <v xml:space="preserve">  </v>
      </c>
      <c r="AJ55" s="687">
        <f t="shared" si="60"/>
        <v>1</v>
      </c>
      <c r="AK55" s="688">
        <f t="shared" si="61"/>
        <v>0</v>
      </c>
      <c r="AL55" s="688">
        <f t="shared" si="62"/>
        <v>0</v>
      </c>
      <c r="AM55" s="642"/>
      <c r="AN55" s="689"/>
      <c r="AO55" s="690"/>
      <c r="AP55" s="690"/>
      <c r="AQ55" s="690"/>
      <c r="AR55" s="690"/>
      <c r="AS55" s="689">
        <f t="shared" si="63"/>
        <v>1E-4</v>
      </c>
      <c r="AT55" s="690">
        <f t="shared" si="64"/>
        <v>1E-4</v>
      </c>
      <c r="AU55" s="690">
        <f t="shared" si="65"/>
        <v>2.0000000000000001E-4</v>
      </c>
      <c r="AV55" s="690">
        <f t="shared" si="66"/>
        <v>2.9999999999999997E-4</v>
      </c>
      <c r="AW55" s="690">
        <f t="shared" si="67"/>
        <v>4.0000000000000002E-4</v>
      </c>
      <c r="AX55" s="690">
        <f t="shared" si="68"/>
        <v>5.0000000000000001E-4</v>
      </c>
      <c r="AY55" s="690">
        <f t="shared" si="69"/>
        <v>5.9999999999999995E-4</v>
      </c>
      <c r="AZ55" s="690">
        <f t="shared" si="70"/>
        <v>6.9999999999999999E-4</v>
      </c>
      <c r="BA55" s="690">
        <f t="shared" si="71"/>
        <v>2.0007999999999999</v>
      </c>
      <c r="BB55" s="690">
        <f t="shared" si="72"/>
        <v>8.9999999999999998E-4</v>
      </c>
      <c r="BC55" s="690">
        <f t="shared" si="73"/>
        <v>1E-3</v>
      </c>
      <c r="BI55" s="581" t="e">
        <f t="shared" si="74"/>
        <v>#VALUE!</v>
      </c>
      <c r="BJ55" s="581" t="e">
        <f t="shared" si="75"/>
        <v>#VALUE!</v>
      </c>
      <c r="BK55" s="581" t="e">
        <f t="shared" si="76"/>
        <v>#VALUE!</v>
      </c>
      <c r="BL55" s="581" t="e">
        <f t="shared" si="77"/>
        <v>#VALUE!</v>
      </c>
      <c r="BM55" s="581" t="e">
        <f t="shared" si="78"/>
        <v>#VALUE!</v>
      </c>
      <c r="BN55" s="581" t="e">
        <f t="shared" si="79"/>
        <v>#VALUE!</v>
      </c>
      <c r="BO55" s="581" t="e">
        <f t="shared" si="80"/>
        <v>#VALUE!</v>
      </c>
      <c r="BP55" s="581">
        <f t="shared" si="81"/>
        <v>11</v>
      </c>
      <c r="BQ55" s="581" t="e">
        <f t="shared" si="82"/>
        <v>#VALUE!</v>
      </c>
      <c r="BR55" s="581" t="e">
        <f t="shared" si="83"/>
        <v>#VALUE!</v>
      </c>
    </row>
    <row r="56" spans="1:70" x14ac:dyDescent="0.2">
      <c r="A56" s="768">
        <f t="shared" si="43"/>
        <v>32</v>
      </c>
      <c r="B56" s="769">
        <f t="shared" si="44"/>
        <v>50</v>
      </c>
      <c r="C56" s="770">
        <f t="shared" si="45"/>
        <v>17</v>
      </c>
      <c r="D56" s="769">
        <f t="shared" si="46"/>
        <v>50</v>
      </c>
      <c r="E56" s="771" t="str">
        <f t="shared" si="47"/>
        <v/>
      </c>
      <c r="F56" s="769">
        <f t="shared" si="48"/>
        <v>-950</v>
      </c>
      <c r="G56" s="772">
        <f t="shared" si="49"/>
        <v>14</v>
      </c>
      <c r="H56" s="769">
        <f t="shared" si="50"/>
        <v>50</v>
      </c>
      <c r="I56" s="773" t="str">
        <f t="shared" si="51"/>
        <v/>
      </c>
      <c r="J56" s="774">
        <f t="shared" si="52"/>
        <v>-950</v>
      </c>
      <c r="K56" s="680">
        <f t="shared" si="53"/>
        <v>49</v>
      </c>
      <c r="L56" s="784" t="s">
        <v>156</v>
      </c>
      <c r="M56" s="682" t="s">
        <v>99</v>
      </c>
      <c r="N56" s="775" t="str">
        <f>IF(M56="","m","")</f>
        <v/>
      </c>
      <c r="O56" s="683"/>
      <c r="P56" s="776" t="s">
        <v>190</v>
      </c>
      <c r="Q56" s="777" t="s">
        <v>189</v>
      </c>
      <c r="R56" s="673">
        <f>(IF(COUNT(Z56,AA56,AB56,AC56,AD56,AE56,AF56,AG56,AH56,AI56)&lt;9,SUM(Z56,AA56,AB56,AC56,AD56,AE56,AF56,AG56,AH56,AI56),SUM(LARGE((Z56,AA56,AB56,AC56,AD56,AE56,AF56,AG56,AH56,AI56),{1;2;3;4;5;6;7;8;9}))))</f>
        <v>2</v>
      </c>
      <c r="S56" s="684" t="str">
        <f>INDEX(ETAPP!B$1:B$32,MATCH(COUNTIF(BI56:BR56,1),ETAPP!A$1:A$32,0))&amp;INDEX(ETAPP!B$1:B$32,MATCH(COUNTIF(BI56:BR56,2),ETAPP!A$1:A$32,0))&amp;INDEX(ETAPP!B$1:B$32,MATCH(COUNTIF(BI56:BR56,3),ETAPP!A$1:A$32,0))&amp;INDEX(ETAPP!B$1:B$32,MATCH(COUNTIF(BI56:BR56,4),ETAPP!A$1:A$32,0))&amp;INDEX(ETAPP!B$1:B$32,MATCH(COUNTIF(BI56:BR56,5),ETAPP!A$1:A$32,0))&amp;INDEX(ETAPP!B$1:B$32,MATCH(COUNTIF(BI56:BR56,6),ETAPP!A$1:A$32,0))&amp;INDEX(ETAPP!B$1:B$32,MATCH(COUNTIF(BI56:BR56,7),ETAPP!A$1:A$32,0))&amp;INDEX(ETAPP!B$1:B$32,MATCH(COUNTIF(BI56:BR56,8),ETAPP!A$1:A$32,0))&amp;INDEX(ETAPP!B$1:B$32,MATCH(COUNTIF(BI56:BR56,9),ETAPP!A$1:A$32,0))&amp;INDEX(ETAPP!B$1:B$32,MATCH(COUNTIF(BI56:BR56,10),ETAPP!A$1:A$32,0))&amp;INDEX(ETAPP!B$1:B$32,MATCH(COUNTIF(BI56:BR56,11),ETAPP!A$1:A$32,0))&amp;INDEX(ETAPP!B$1:B$32,MATCH(COUNTIF(BI56:BR56,12),ETAPP!A$1:A$32,0))&amp;INDEX(ETAPP!B$1:B$32,MATCH(COUNTIF(BI56:BR56,13),ETAPP!A$1:A$32,0))&amp;INDEX(ETAPP!B$1:B$32,MATCH(COUNTIF(BI56:BR56,14),ETAPP!A$1:A$32,0))&amp;INDEX(ETAPP!B$1:B$32,MATCH(COUNTIF(BI56:BR56,15),ETAPP!A$1:A$32,0))&amp;INDEX(ETAPP!B$1:B$32,MATCH(COUNTIF(BI56:BR56,16),ETAPP!A$1:A$32,0))&amp;INDEX(ETAPP!B$1:B$32,MATCH(COUNTIF(BI56:BR56,17),ETAPP!A$1:A$32,0))&amp;INDEX(ETAPP!B$1:B$32,MATCH(COUNTIF(BI56:BR56,18),ETAPP!A$1:A$32,0))&amp;INDEX(ETAPP!B$1:B$32,MATCH(COUNTIF(BI56:BR56,19),ETAPP!A$1:A$32,0))&amp;INDEX(ETAPP!B$1:B$32,MATCH(COUNTIF(BI56:BR56,20),ETAPP!A$1:A$32,0))&amp;INDEX(ETAPP!B$1:B$32,MATCH(COUNTIF(BI56:BR56,21),ETAPP!A$1:A$32,0))</f>
        <v>0000000000A0000000000</v>
      </c>
      <c r="T56" s="684" t="str">
        <f t="shared" si="54"/>
        <v>002,0-0000000000A0000000000</v>
      </c>
      <c r="U56" s="684">
        <f t="shared" si="55"/>
        <v>50</v>
      </c>
      <c r="V56" s="684">
        <f t="shared" si="56"/>
        <v>19</v>
      </c>
      <c r="W56" s="684" t="str">
        <f t="shared" si="57"/>
        <v>002,0-0000000000A0000000000-019</v>
      </c>
      <c r="X56" s="684">
        <f t="shared" si="58"/>
        <v>50</v>
      </c>
      <c r="Y56" s="685">
        <f t="shared" si="59"/>
        <v>1</v>
      </c>
      <c r="Z56" s="686">
        <f>IFERROR(INDEX('V1'!C$300:C$400,MATCH("*"&amp;L56&amp;"*",'V1'!B$300:B$400,0)),"  ")</f>
        <v>2</v>
      </c>
      <c r="AA56" s="686" t="str">
        <f>IFERROR(INDEX('V2'!C$300:C$400,MATCH("*"&amp;L56&amp;"*",'V2'!B$300:B$400,0)),"  ")</f>
        <v xml:space="preserve">  </v>
      </c>
      <c r="AB56" s="686" t="str">
        <f>IFERROR(INDEX('V3'!C$300:C$400,MATCH("*"&amp;L56&amp;"*",'V3'!B$300:B$400,0)),"  ")</f>
        <v xml:space="preserve">  </v>
      </c>
      <c r="AC56" s="686" t="str">
        <f>IFERROR(INDEX('V4'!C$300:C$400,MATCH("*"&amp;L56&amp;"*",'V4'!B$300:B$400,0)),"  ")</f>
        <v xml:space="preserve">  </v>
      </c>
      <c r="AD56" s="686" t="str">
        <f>IFERROR(INDEX('V5'!C$300:C$400,MATCH("*"&amp;L56&amp;"*",'V5'!B$300:B$400,0)),"  ")</f>
        <v xml:space="preserve">  </v>
      </c>
      <c r="AE56" s="686" t="str">
        <f>IFERROR(INDEX('V6'!C$300:C$400,MATCH("*"&amp;L56&amp;"*",'V6'!B$300:B$400,0)),"  ")</f>
        <v xml:space="preserve">  </v>
      </c>
      <c r="AF56" s="686" t="str">
        <f>IFERROR(INDEX('V7'!C$300:C$400,MATCH("*"&amp;L56&amp;"*",'V7'!B$300:B$400,0)),"  ")</f>
        <v xml:space="preserve">  </v>
      </c>
      <c r="AG56" s="686" t="str">
        <f>IFERROR(INDEX('V8'!C$300:C$400,MATCH("*"&amp;L56&amp;"*",'V8'!B$300:B$400,0)),"  ")</f>
        <v xml:space="preserve">  </v>
      </c>
      <c r="AH56" s="686" t="str">
        <f>IFERROR(INDEX('V9'!C$300:C$400,MATCH("*"&amp;L56&amp;"*",'V9'!B$300:B$400,0)),"  ")</f>
        <v xml:space="preserve">  </v>
      </c>
      <c r="AI56" s="686" t="str">
        <f>IFERROR(INDEX('V10'!C$300:C$400,MATCH("*"&amp;L56&amp;"*",'V10'!B$300:B$400,0)),"  ")</f>
        <v xml:space="preserve">  </v>
      </c>
      <c r="AJ56" s="687">
        <f t="shared" si="60"/>
        <v>1</v>
      </c>
      <c r="AK56" s="688">
        <f t="shared" si="61"/>
        <v>0</v>
      </c>
      <c r="AL56" s="688">
        <f t="shared" si="62"/>
        <v>0</v>
      </c>
      <c r="AM56" s="642"/>
      <c r="AN56" s="689"/>
      <c r="AO56" s="690"/>
      <c r="AP56" s="690"/>
      <c r="AQ56" s="690"/>
      <c r="AR56" s="690"/>
      <c r="AS56" s="689">
        <f t="shared" si="63"/>
        <v>2.0000000000000001E-4</v>
      </c>
      <c r="AT56" s="690">
        <f t="shared" si="64"/>
        <v>2.0001000000000002</v>
      </c>
      <c r="AU56" s="690">
        <f t="shared" si="65"/>
        <v>2.0000000000000001E-4</v>
      </c>
      <c r="AV56" s="690">
        <f t="shared" si="66"/>
        <v>2.9999999999999997E-4</v>
      </c>
      <c r="AW56" s="690">
        <f t="shared" si="67"/>
        <v>4.0000000000000002E-4</v>
      </c>
      <c r="AX56" s="690">
        <f t="shared" si="68"/>
        <v>5.0000000000000001E-4</v>
      </c>
      <c r="AY56" s="690">
        <f t="shared" si="69"/>
        <v>5.9999999999999995E-4</v>
      </c>
      <c r="AZ56" s="690">
        <f t="shared" si="70"/>
        <v>6.9999999999999999E-4</v>
      </c>
      <c r="BA56" s="690">
        <f t="shared" si="71"/>
        <v>8.0000000000000004E-4</v>
      </c>
      <c r="BB56" s="690">
        <f t="shared" si="72"/>
        <v>8.9999999999999998E-4</v>
      </c>
      <c r="BC56" s="690">
        <f t="shared" si="73"/>
        <v>1E-3</v>
      </c>
      <c r="BI56" s="581">
        <f t="shared" si="74"/>
        <v>11</v>
      </c>
      <c r="BJ56" s="581" t="e">
        <f t="shared" si="75"/>
        <v>#VALUE!</v>
      </c>
      <c r="BK56" s="581" t="e">
        <f t="shared" si="76"/>
        <v>#VALUE!</v>
      </c>
      <c r="BL56" s="581" t="e">
        <f t="shared" si="77"/>
        <v>#VALUE!</v>
      </c>
      <c r="BM56" s="581" t="e">
        <f t="shared" si="78"/>
        <v>#VALUE!</v>
      </c>
      <c r="BN56" s="581" t="e">
        <f t="shared" si="79"/>
        <v>#VALUE!</v>
      </c>
      <c r="BO56" s="581" t="e">
        <f t="shared" si="80"/>
        <v>#VALUE!</v>
      </c>
      <c r="BP56" s="581" t="e">
        <f t="shared" si="81"/>
        <v>#VALUE!</v>
      </c>
      <c r="BQ56" s="581" t="e">
        <f t="shared" si="82"/>
        <v>#VALUE!</v>
      </c>
      <c r="BR56" s="581" t="e">
        <f t="shared" si="83"/>
        <v>#VALUE!</v>
      </c>
    </row>
    <row r="57" spans="1:70" x14ac:dyDescent="0.2">
      <c r="A57" s="803">
        <f>COUNTIF(A7:A56,"&gt;0")</f>
        <v>32</v>
      </c>
      <c r="B57" s="712"/>
      <c r="C57" s="804">
        <f>COUNTIF(C7:C56,"&gt;0")</f>
        <v>17</v>
      </c>
      <c r="D57" s="712"/>
      <c r="E57" s="805">
        <f>COUNTIF(E7:E56,"&gt;0")</f>
        <v>32</v>
      </c>
      <c r="F57" s="712"/>
      <c r="G57" s="714">
        <f>COUNTIF(G7:G56,"&gt;0")</f>
        <v>15</v>
      </c>
      <c r="H57" s="712"/>
      <c r="I57" s="715">
        <f>COUNTIF(I7:I56,"&gt;0")</f>
        <v>6</v>
      </c>
      <c r="J57" s="712"/>
      <c r="K57" s="712">
        <f>COUNT(K7:K56)</f>
        <v>50</v>
      </c>
      <c r="L57" s="713" t="s">
        <v>164</v>
      </c>
      <c r="M57" s="714">
        <f>COUNTIF(M7:M56,"n")</f>
        <v>15</v>
      </c>
      <c r="N57" s="805">
        <f>COUNTIF(N7:N56,"m")</f>
        <v>32</v>
      </c>
      <c r="O57" s="715">
        <f>COUNTIF(O7:O56,"j")</f>
        <v>6</v>
      </c>
      <c r="P57" s="804">
        <f>COUNTIF(P7:P56,"k")</f>
        <v>17</v>
      </c>
      <c r="Q57" s="803">
        <f>COUNTIF(Q7:Q56,"v")</f>
        <v>32</v>
      </c>
      <c r="R57" s="716"/>
      <c r="S57" s="716"/>
      <c r="T57" s="716"/>
      <c r="U57" s="716"/>
      <c r="V57" s="716"/>
      <c r="W57" s="716"/>
      <c r="X57" s="716"/>
      <c r="Y57" s="716"/>
      <c r="Z57" s="717">
        <f t="shared" ref="Z57:AI57" si="84">COUNTIF(Z7:Z56,"&gt;0")</f>
        <v>24</v>
      </c>
      <c r="AA57" s="717">
        <f t="shared" si="84"/>
        <v>22</v>
      </c>
      <c r="AB57" s="717">
        <f t="shared" si="84"/>
        <v>20</v>
      </c>
      <c r="AC57" s="717">
        <f t="shared" si="84"/>
        <v>22</v>
      </c>
      <c r="AD57" s="717">
        <f t="shared" si="84"/>
        <v>20</v>
      </c>
      <c r="AE57" s="717">
        <f t="shared" si="84"/>
        <v>20</v>
      </c>
      <c r="AF57" s="717">
        <f t="shared" si="84"/>
        <v>27</v>
      </c>
      <c r="AG57" s="717">
        <f t="shared" si="84"/>
        <v>22</v>
      </c>
      <c r="AH57" s="717">
        <f t="shared" si="84"/>
        <v>17</v>
      </c>
      <c r="AI57" s="717">
        <f t="shared" si="84"/>
        <v>16</v>
      </c>
      <c r="AJ57" s="648"/>
      <c r="AK57" s="648"/>
      <c r="AL57" s="648"/>
      <c r="AM57" s="642"/>
      <c r="AN57" s="642"/>
      <c r="AO57" s="642"/>
      <c r="AP57" s="642"/>
      <c r="AQ57" s="642"/>
      <c r="AR57" s="642"/>
      <c r="AS57" s="689"/>
      <c r="AT57" s="690"/>
      <c r="AU57" s="690"/>
      <c r="AV57" s="690"/>
      <c r="AW57" s="690"/>
      <c r="AX57" s="690"/>
      <c r="AY57" s="690"/>
      <c r="AZ57" s="690"/>
      <c r="BA57" s="690"/>
      <c r="BB57" s="690"/>
      <c r="BC57" s="690"/>
    </row>
    <row r="58" spans="1:70" x14ac:dyDescent="0.2">
      <c r="A58" s="717"/>
      <c r="B58" s="717"/>
      <c r="C58" s="717"/>
      <c r="D58" s="717"/>
      <c r="E58" s="717"/>
      <c r="F58" s="717"/>
      <c r="G58" s="717"/>
      <c r="H58" s="717"/>
      <c r="I58" s="717"/>
      <c r="J58" s="717"/>
      <c r="K58" s="717"/>
      <c r="L58" s="713" t="s">
        <v>165</v>
      </c>
      <c r="M58" s="716"/>
      <c r="N58" s="716"/>
      <c r="O58" s="716"/>
      <c r="P58" s="716"/>
      <c r="Q58" s="716"/>
      <c r="R58" s="716"/>
      <c r="S58" s="716"/>
      <c r="T58" s="716"/>
      <c r="U58" s="716"/>
      <c r="V58" s="716"/>
      <c r="W58" s="716"/>
      <c r="X58" s="716"/>
      <c r="Y58" s="716"/>
      <c r="Z58" s="717">
        <v>11</v>
      </c>
      <c r="AA58" s="717">
        <f>IF((AA57/(LEN(AA5)-LEN(SUBSTITUTE(AA5,"*","")))-0)&lt;0,"",AA57/(LEN(AA5)-LEN(SUBSTITUTE(AA5,"*","")))-0)</f>
        <v>11</v>
      </c>
      <c r="AB58" s="717">
        <f>IF((AB57/(LEN(AB5)-LEN(SUBSTITUTE(AB5,"*","")))-0)&lt;0,"",AB57/(LEN(AB5)-LEN(SUBSTITUTE(AB5,"*","")))-0)</f>
        <v>10</v>
      </c>
      <c r="AC58" s="717">
        <f>IF((AC57/(LEN(AC5)-LEN(SUBSTITUTE(AC5,"*","")))-0)&lt;0,"",AC57/(LEN(AC5)-LEN(SUBSTITUTE(AC5,"*","")))-0)</f>
        <v>11</v>
      </c>
      <c r="AD58" s="717">
        <f>IF((AD57/(LEN(AD5)-LEN(SUBSTITUTE(AD5,"*","")))-0)&lt;0,"",AD57/(LEN(AD5)-LEN(SUBSTITUTE(AD5,"*","")))-0)</f>
        <v>10</v>
      </c>
      <c r="AE58" s="717">
        <f>IF((AE57/(LEN(AE5)-LEN(SUBSTITUTE(AE5,"*","")))-0)&lt;0,"",AE57/(LEN(AE5)-LEN(SUBSTITUTE(AE5,"*","")))-0)</f>
        <v>10</v>
      </c>
      <c r="AF58" s="717">
        <v>13</v>
      </c>
      <c r="AG58" s="717">
        <f>IF((AG57/(LEN(AG5)-LEN(SUBSTITUTE(AG5,"*","")))-0)&lt;0,"",AG57/(LEN(AG5)-LEN(SUBSTITUTE(AG5,"*","")))-0)</f>
        <v>11</v>
      </c>
      <c r="AH58" s="717">
        <v>8</v>
      </c>
      <c r="AI58" s="717">
        <f>IF((AI57/(LEN(AI5)-LEN(SUBSTITUTE(AI5,"*","")))-0)&lt;0,"",AI57/(LEN(AI5)-LEN(SUBSTITUTE(AI5,"*","")))-0)</f>
        <v>8</v>
      </c>
      <c r="AJ58" s="648"/>
      <c r="AK58" s="648"/>
      <c r="AL58" s="648"/>
      <c r="AM58" s="642"/>
      <c r="AN58" s="642"/>
      <c r="AO58" s="642"/>
      <c r="AP58" s="642"/>
      <c r="AQ58" s="642"/>
      <c r="AR58" s="642"/>
      <c r="AS58" s="642"/>
      <c r="AT58" s="642"/>
      <c r="AU58" s="642"/>
      <c r="AV58" s="642"/>
      <c r="AW58" s="642"/>
      <c r="AX58" s="642"/>
      <c r="AY58" s="642"/>
    </row>
    <row r="59" spans="1:70" x14ac:dyDescent="0.2">
      <c r="A59" s="642"/>
      <c r="B59" s="642"/>
      <c r="C59" s="688"/>
      <c r="D59" s="688"/>
      <c r="E59" s="688"/>
      <c r="F59" s="688"/>
      <c r="G59" s="688"/>
      <c r="H59" s="688"/>
      <c r="I59" s="688"/>
      <c r="J59" s="688"/>
      <c r="K59" s="688"/>
      <c r="L59" s="642"/>
      <c r="M59" s="688"/>
      <c r="N59" s="688"/>
      <c r="O59" s="688"/>
      <c r="P59" s="719"/>
      <c r="Q59" s="719"/>
      <c r="R59" s="688"/>
      <c r="S59" s="688"/>
      <c r="T59" s="688"/>
      <c r="U59" s="688"/>
      <c r="V59" s="688"/>
      <c r="W59" s="688"/>
      <c r="X59" s="688"/>
      <c r="Y59" s="688"/>
      <c r="Z59" s="688"/>
      <c r="AA59" s="688"/>
      <c r="AB59" s="688"/>
      <c r="AC59" s="688"/>
      <c r="AD59" s="688"/>
      <c r="AE59" s="688"/>
      <c r="AF59" s="688"/>
      <c r="AG59" s="688"/>
      <c r="AH59" s="688"/>
      <c r="AI59" s="688"/>
      <c r="AJ59" s="642"/>
      <c r="AK59" s="642"/>
      <c r="AL59" s="642"/>
      <c r="AM59" s="642"/>
      <c r="AN59" s="642"/>
      <c r="AO59" s="642"/>
      <c r="AP59" s="642"/>
      <c r="AQ59" s="642"/>
      <c r="AR59" s="642"/>
      <c r="AS59" s="642"/>
      <c r="AT59" s="642"/>
      <c r="AU59" s="642"/>
      <c r="AV59" s="642"/>
      <c r="AW59" s="642"/>
      <c r="AX59" s="642"/>
      <c r="AY59" s="642"/>
    </row>
    <row r="60" spans="1:70" x14ac:dyDescent="0.2">
      <c r="A60" s="642"/>
      <c r="B60" s="642"/>
      <c r="C60" s="688"/>
      <c r="D60" s="688"/>
      <c r="E60" s="688"/>
      <c r="F60" s="688"/>
      <c r="G60" s="688"/>
      <c r="H60" s="688"/>
      <c r="I60" s="688"/>
      <c r="J60" s="688"/>
      <c r="K60" s="688"/>
      <c r="L60" s="641" t="s">
        <v>244</v>
      </c>
      <c r="N60" s="688"/>
      <c r="O60" s="688"/>
      <c r="P60" s="719"/>
      <c r="Q60" s="719"/>
      <c r="S60" s="688"/>
      <c r="T60" s="688"/>
      <c r="U60" s="688"/>
      <c r="V60" s="688"/>
      <c r="W60" s="688"/>
      <c r="X60" s="688"/>
      <c r="Y60" s="688"/>
      <c r="Z60" s="688"/>
      <c r="AA60" s="688"/>
      <c r="AB60" s="688"/>
      <c r="AC60" s="688"/>
      <c r="AD60" s="688"/>
      <c r="AE60" s="688"/>
      <c r="AF60" s="688"/>
      <c r="AG60" s="688"/>
      <c r="AH60" s="688"/>
      <c r="AI60" s="688"/>
      <c r="AJ60" s="642"/>
      <c r="AK60" s="642"/>
      <c r="AL60" s="642"/>
      <c r="AM60" s="642"/>
      <c r="AN60" s="642"/>
      <c r="AO60" s="642"/>
      <c r="AP60" s="642"/>
      <c r="AQ60" s="642"/>
      <c r="AR60" s="642"/>
      <c r="AS60" s="642"/>
      <c r="AT60" s="642"/>
      <c r="AU60" s="642"/>
      <c r="AV60" s="642"/>
      <c r="AW60" s="642"/>
      <c r="AX60" s="642"/>
      <c r="AY60" s="642"/>
    </row>
    <row r="61" spans="1:70" x14ac:dyDescent="0.2">
      <c r="A61" s="642"/>
      <c r="B61" s="642"/>
      <c r="C61" s="688"/>
      <c r="D61" s="688"/>
      <c r="E61" s="688"/>
      <c r="F61" s="688"/>
      <c r="G61" s="688"/>
      <c r="H61" s="688"/>
      <c r="I61" s="688"/>
      <c r="J61" s="688"/>
      <c r="K61" s="688"/>
      <c r="L61" s="642"/>
      <c r="M61" s="719"/>
      <c r="N61" s="719"/>
      <c r="O61" s="719"/>
      <c r="P61" s="719"/>
      <c r="Q61" s="719"/>
      <c r="R61" s="719"/>
      <c r="S61" s="719"/>
      <c r="T61" s="719"/>
      <c r="U61" s="719"/>
      <c r="V61" s="719"/>
      <c r="W61" s="719"/>
      <c r="X61" s="719"/>
      <c r="Y61" s="719"/>
      <c r="Z61" s="688"/>
      <c r="AA61" s="688"/>
      <c r="AB61" s="688"/>
      <c r="AC61" s="688"/>
      <c r="AD61" s="688"/>
      <c r="AE61" s="688"/>
      <c r="AF61" s="688"/>
      <c r="AG61" s="688"/>
      <c r="AH61" s="688"/>
      <c r="AI61" s="688"/>
      <c r="AJ61" s="642"/>
      <c r="AK61" s="642"/>
      <c r="AL61" s="642"/>
      <c r="AM61" s="642"/>
      <c r="AN61" s="642"/>
      <c r="AO61" s="642"/>
      <c r="AP61" s="642"/>
      <c r="AQ61" s="642"/>
      <c r="AR61" s="642"/>
      <c r="AS61" s="642"/>
      <c r="AT61" s="642"/>
      <c r="AU61" s="642"/>
      <c r="AV61" s="642"/>
      <c r="AW61" s="642"/>
      <c r="AX61" s="642"/>
      <c r="AY61" s="642"/>
    </row>
  </sheetData>
  <autoFilter ref="AJ6:AL6"/>
  <sortState ref="A7:BS136">
    <sortCondition descending="1" ref="Y7:Y136"/>
  </sortState>
  <mergeCells count="3">
    <mergeCell ref="AJ4:AJ5"/>
    <mergeCell ref="AK4:AK5"/>
    <mergeCell ref="AL4:AL5"/>
  </mergeCells>
  <conditionalFormatting sqref="Z57:AI57">
    <cfRule type="top10" dxfId="656" priority="16" stopIfTrue="1" rank="1"/>
  </conditionalFormatting>
  <conditionalFormatting sqref="Z58:AI58">
    <cfRule type="top10" dxfId="655" priority="17" rank="1"/>
  </conditionalFormatting>
  <conditionalFormatting sqref="AF7:AF56">
    <cfRule type="cellIs" dxfId="654" priority="4" operator="equal">
      <formula>22</formula>
    </cfRule>
    <cfRule type="cellIs" dxfId="653" priority="5" operator="equal">
      <formula>24</formula>
    </cfRule>
    <cfRule type="cellIs" dxfId="652" priority="6" operator="equal">
      <formula>26</formula>
    </cfRule>
  </conditionalFormatting>
  <conditionalFormatting sqref="AA7:AB56 AD7:AE56">
    <cfRule type="cellIs" dxfId="651" priority="807" operator="equal">
      <formula>16</formula>
    </cfRule>
    <cfRule type="cellIs" dxfId="650" priority="808" operator="equal">
      <formula>18</formula>
    </cfRule>
    <cfRule type="cellIs" dxfId="649" priority="809" operator="equal">
      <formula>20</formula>
    </cfRule>
  </conditionalFormatting>
  <conditionalFormatting sqref="Z7:Z56 AC7:AC56 AG7:AG56">
    <cfRule type="cellIs" dxfId="648" priority="7" operator="equal">
      <formula>18</formula>
    </cfRule>
    <cfRule type="cellIs" dxfId="647" priority="8" operator="equal">
      <formula>20</formula>
    </cfRule>
    <cfRule type="cellIs" dxfId="646" priority="9" operator="equal">
      <formula>22</formula>
    </cfRule>
  </conditionalFormatting>
  <conditionalFormatting sqref="AH7:AI56">
    <cfRule type="cellIs" dxfId="645" priority="1" operator="equal">
      <formula>12</formula>
    </cfRule>
    <cfRule type="cellIs" dxfId="644" priority="2" operator="equal">
      <formula>14</formula>
    </cfRule>
    <cfRule type="cellIs" dxfId="643" priority="3" operator="equal">
      <formula>16</formula>
    </cfRule>
  </conditionalFormatting>
  <conditionalFormatting sqref="K7:K56">
    <cfRule type="duplicateValues" dxfId="642" priority="2612"/>
  </conditionalFormatting>
  <conditionalFormatting sqref="L7:L56">
    <cfRule type="expression" dxfId="641" priority="2613">
      <formula>AND(R7=LARGE(R$7:R$56,3),COUNT($AI$7:$AI$56)&gt;0)</formula>
    </cfRule>
    <cfRule type="expression" dxfId="640" priority="2614">
      <formula>AND(R7=LARGE(R$7:R$56,1),COUNT($AI$7:$AI$56)&gt;0)</formula>
    </cfRule>
    <cfRule type="expression" dxfId="639" priority="2615">
      <formula>M7="n"</formula>
    </cfRule>
    <cfRule type="expression" dxfId="638" priority="2616">
      <formula>O7="j"</formula>
    </cfRule>
    <cfRule type="expression" dxfId="637" priority="2617">
      <formula>P7="k"</formula>
    </cfRule>
    <cfRule type="duplicateValues" dxfId="636" priority="2618" stopIfTrue="1"/>
  </conditionalFormatting>
  <conditionalFormatting sqref="AK7:AK56">
    <cfRule type="top10" dxfId="635" priority="2619" stopIfTrue="1" rank="1"/>
  </conditionalFormatting>
  <conditionalFormatting sqref="AL7:AL56">
    <cfRule type="top10" dxfId="634" priority="2620" stopIfTrue="1" rank="1"/>
  </conditionalFormatting>
  <conditionalFormatting sqref="R7:R56">
    <cfRule type="duplicateValues" dxfId="633" priority="2621"/>
  </conditionalFormatting>
  <conditionalFormatting sqref="AJ7:AJ56">
    <cfRule type="top10" dxfId="632" priority="2622" stopIfTrue="1" rank="1"/>
  </conditionalFormatting>
  <conditionalFormatting sqref="A7:A56 G7:G56 I7:I56">
    <cfRule type="expression" dxfId="631" priority="2623">
      <formula>AND(A7=SMALL(A$7:A$56,1),COUNT($AI$7:$AI$56)&gt;0)</formula>
    </cfRule>
  </conditionalFormatting>
  <conditionalFormatting sqref="C7:C56">
    <cfRule type="expression" dxfId="630" priority="2626">
      <formula>AND(C7=SMALL(C$7:C$56,1),COUNT(#REF!)&gt;0)</formula>
    </cfRule>
  </conditionalFormatting>
  <conditionalFormatting sqref="Z7:AI56">
    <cfRule type="expression" dxfId="629" priority="2627">
      <formula>IF(COUNT(Z$7:Z$56)=0,TRUE)</formula>
    </cfRule>
    <cfRule type="expression" dxfId="628" priority="2628">
      <formula>MID(Z$6,FIND("V",Z$6)+1,256)/10000+IF(Z7="  ",FALSE,Z7)&lt;=$AS7</formula>
    </cfRule>
  </conditionalFormatting>
  <pageMargins left="0.39370078740157483" right="0.27559055118110237" top="0.27559055118110237" bottom="0.19685039370078741" header="7.874015748031496E-2" footer="0"/>
  <pageSetup paperSize="9" fitToHeight="0" orientation="portrait" r:id="rId1"/>
  <headerFooter>
    <oddHeader>&amp;R&amp;9Page &amp;P of &amp;N</oddHead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M313"/>
  <sheetViews>
    <sheetView showGridLines="0" showRowColHeaders="0" zoomScaleNormal="100" workbookViewId="0">
      <pane ySplit="2" topLeftCell="A3" activePane="bottomLeft" state="frozen"/>
      <selection activeCell="I1" sqref="I1"/>
      <selection pane="bottomLeft" activeCell="A6" sqref="A6"/>
    </sheetView>
  </sheetViews>
  <sheetFormatPr defaultRowHeight="12.75" x14ac:dyDescent="0.2"/>
  <cols>
    <col min="1" max="1" width="3.28515625" style="581" customWidth="1"/>
    <col min="2" max="2" width="40.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hidden="1" customWidth="1"/>
    <col min="25" max="25" width="2.7109375" style="581" customWidth="1"/>
    <col min="26" max="26" width="1.140625" style="581" customWidth="1"/>
    <col min="27" max="27" width="2.7109375" style="581" customWidth="1"/>
    <col min="28" max="28" width="4.7109375" style="581" customWidth="1"/>
    <col min="29" max="29" width="9.140625" style="581"/>
    <col min="30" max="31" width="9.140625" style="581" hidden="1" customWidth="1"/>
    <col min="32" max="32" width="18.28515625" style="581" hidden="1" customWidth="1"/>
    <col min="33" max="33" width="9.140625" style="581" hidden="1" customWidth="1"/>
    <col min="34" max="34" width="28.28515625" style="581" hidden="1" customWidth="1"/>
    <col min="35" max="35" width="9.140625" style="581" hidden="1" customWidth="1"/>
    <col min="36" max="36" width="17.28515625" style="581" hidden="1" customWidth="1"/>
    <col min="37" max="37" width="9.140625" style="581" hidden="1" customWidth="1"/>
    <col min="38" max="38" width="13.85546875" style="581" hidden="1" customWidth="1"/>
    <col min="39" max="16384" width="9.140625" style="581"/>
  </cols>
  <sheetData>
    <row r="1" spans="1:39" x14ac:dyDescent="0.2">
      <c r="A1" s="572" t="str">
        <f>UPPER((Kalend!E6)&amp;" - "&amp;(Kalend!C6)&amp;" - "&amp;(Kalend!D6))</f>
        <v>V1 - VOKA IX KV 1. ETAPP - DUO</v>
      </c>
      <c r="B1" s="573"/>
      <c r="C1" s="574"/>
      <c r="D1" s="573"/>
      <c r="E1" s="573"/>
      <c r="F1" s="575"/>
      <c r="G1" s="575"/>
      <c r="H1" s="575"/>
      <c r="I1" s="575"/>
      <c r="J1" s="576"/>
      <c r="K1" s="577"/>
      <c r="L1" s="578"/>
      <c r="M1" s="579"/>
      <c r="N1" s="579"/>
      <c r="O1" s="573"/>
      <c r="P1" s="573"/>
      <c r="Q1" s="577"/>
      <c r="R1" s="577"/>
      <c r="S1" s="577"/>
      <c r="T1" s="578"/>
      <c r="U1" s="578"/>
      <c r="V1" s="578"/>
      <c r="W1" s="573"/>
      <c r="X1" s="580"/>
      <c r="Y1" s="573"/>
      <c r="Z1" s="573"/>
      <c r="AA1" s="573"/>
      <c r="AB1" s="573"/>
      <c r="AD1" s="582" t="s">
        <v>53</v>
      </c>
      <c r="AE1" s="580"/>
      <c r="AF1" s="580"/>
      <c r="AG1" s="580"/>
      <c r="AH1" s="580"/>
      <c r="AI1" s="580"/>
      <c r="AJ1" s="580"/>
      <c r="AK1" s="580"/>
      <c r="AL1" s="580"/>
      <c r="AM1" s="573"/>
    </row>
    <row r="2" spans="1:39" x14ac:dyDescent="0.2">
      <c r="A2" s="583" t="str">
        <f>"Toimumisaeg: "&amp;(Kalend!A6)&amp;" kell "&amp;(Kalend!B6)</f>
        <v>Toimumisaeg: T, 24.05.2022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721" t="s">
        <v>269</v>
      </c>
      <c r="AB2" s="573"/>
      <c r="AD2" s="573"/>
      <c r="AE2" s="573"/>
      <c r="AF2" s="573"/>
      <c r="AG2" s="573"/>
      <c r="AH2" s="573"/>
      <c r="AI2" s="573"/>
      <c r="AJ2" s="573"/>
      <c r="AK2" s="573"/>
      <c r="AL2" s="573"/>
      <c r="AM2" s="573"/>
    </row>
    <row r="3" spans="1:39" x14ac:dyDescent="0.2">
      <c r="A3" s="583" t="str">
        <f>"Toimumiskoht: "&amp;(Kalend!F6)</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c r="AG3" s="573"/>
      <c r="AH3" s="573"/>
      <c r="AI3" s="573"/>
      <c r="AJ3" s="573"/>
      <c r="AK3" s="573"/>
      <c r="AL3" s="573"/>
      <c r="AM3" s="573"/>
    </row>
    <row r="4" spans="1:39" x14ac:dyDescent="0.2">
      <c r="A4" s="583" t="str">
        <f>"Korraldaja: "&amp;(Kalend!G6)</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722" t="s">
        <v>273</v>
      </c>
      <c r="AE4" s="573"/>
      <c r="AF4" s="573"/>
      <c r="AG4" s="573"/>
      <c r="AH4" s="573"/>
      <c r="AI4" s="573"/>
      <c r="AJ4" s="573"/>
      <c r="AK4" s="573"/>
      <c r="AL4" s="573"/>
      <c r="AM4" s="573"/>
    </row>
    <row r="5" spans="1:39"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723" t="s">
        <v>14</v>
      </c>
      <c r="AE5" s="724"/>
      <c r="AF5" s="725"/>
      <c r="AG5" s="724"/>
      <c r="AH5" s="726"/>
      <c r="AI5" s="724"/>
      <c r="AJ5" s="724"/>
      <c r="AK5" s="724"/>
      <c r="AL5" s="724"/>
      <c r="AM5" s="573"/>
    </row>
    <row r="6" spans="1:39"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723" t="s">
        <v>275</v>
      </c>
      <c r="AE6" s="727"/>
      <c r="AF6" s="727" t="s">
        <v>276</v>
      </c>
      <c r="AG6" s="727"/>
      <c r="AH6" s="728" t="s">
        <v>277</v>
      </c>
      <c r="AI6" s="727"/>
      <c r="AJ6" s="727" t="s">
        <v>278</v>
      </c>
      <c r="AK6" s="618"/>
      <c r="AL6" s="727" t="s">
        <v>279</v>
      </c>
      <c r="AM6" s="573"/>
    </row>
    <row r="7" spans="1:39"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01"/>
      <c r="Z7" s="602" t="s">
        <v>286</v>
      </c>
      <c r="AA7" s="603"/>
      <c r="AB7" s="604" t="s">
        <v>344</v>
      </c>
      <c r="AD7" s="723" t="s">
        <v>287</v>
      </c>
      <c r="AE7" s="724"/>
      <c r="AF7" s="725"/>
      <c r="AG7" s="724"/>
      <c r="AH7" s="725"/>
      <c r="AI7" s="729"/>
      <c r="AJ7" s="729"/>
      <c r="AK7" s="729"/>
      <c r="AL7" s="729"/>
      <c r="AM7" s="573"/>
    </row>
    <row r="8" spans="1:39" x14ac:dyDescent="0.2">
      <c r="A8" s="634">
        <v>1</v>
      </c>
      <c r="B8" s="635" t="s">
        <v>477</v>
      </c>
      <c r="C8" s="613">
        <v>13</v>
      </c>
      <c r="D8" s="614" t="s">
        <v>288</v>
      </c>
      <c r="E8" s="614">
        <v>5</v>
      </c>
      <c r="F8" s="636" t="s">
        <v>483</v>
      </c>
      <c r="G8" s="613">
        <v>13</v>
      </c>
      <c r="H8" s="614" t="s">
        <v>288</v>
      </c>
      <c r="I8" s="614">
        <v>6</v>
      </c>
      <c r="J8" s="636" t="s">
        <v>480</v>
      </c>
      <c r="K8" s="613">
        <v>10</v>
      </c>
      <c r="L8" s="614" t="s">
        <v>288</v>
      </c>
      <c r="M8" s="614">
        <v>6</v>
      </c>
      <c r="N8" s="636" t="s">
        <v>292</v>
      </c>
      <c r="O8" s="613">
        <v>13</v>
      </c>
      <c r="P8" s="614" t="s">
        <v>288</v>
      </c>
      <c r="Q8" s="614">
        <v>10</v>
      </c>
      <c r="R8" s="636" t="s">
        <v>295</v>
      </c>
      <c r="S8" s="613"/>
      <c r="T8" s="614" t="s">
        <v>288</v>
      </c>
      <c r="U8" s="614"/>
      <c r="V8" s="636"/>
      <c r="W8" s="637">
        <f>IF(C8&gt;E8,J$3,IF(C8&lt;E8,J$5,IF(ISNUMBER(C8),J$4,0)))+IF(G8&gt;I8,J$3,IF(G8&lt;I8,J$5,IF(ISNUMBER(G8),J$4,0)))+IF(K8&gt;M8,J$3,IF(K8&lt;M8,J$5,IF(ISNUMBER(K8),J$4,0)))+IF(O8&gt;Q8,J$3,IF(O8&lt;Q8,J$5,IF(ISNUMBER(O8),J$4,0)))+IF(S8&gt;U8,J$3,IF(S8&lt;U8,J$5,IF(ISNUMBER(S8),J$4,0)))</f>
        <v>4</v>
      </c>
      <c r="X8" s="612"/>
      <c r="Y8" s="613">
        <f>C8+G8+K8+O8+S8</f>
        <v>49</v>
      </c>
      <c r="Z8" s="614" t="s">
        <v>288</v>
      </c>
      <c r="AA8" s="615">
        <f>E8+I8+M8+Q8+U8</f>
        <v>27</v>
      </c>
      <c r="AB8" s="616">
        <f>Y8-AA8</f>
        <v>22</v>
      </c>
      <c r="AC8" s="617"/>
      <c r="AD8" s="731">
        <f t="shared" ref="AD8" si="0">SUM(AE8:AL8)</f>
        <v>280</v>
      </c>
      <c r="AE8" s="732">
        <f>IFERROR(INDEX(V!R$7:R$56,MATCH(AF8,V!L$7:L$56,0)),"")</f>
        <v>140</v>
      </c>
      <c r="AF8" s="733" t="str">
        <f t="shared" ref="AF8:AF16" si="1">IFERROR(LEFT(B8,(FIND(",",B8,1)-1)),"")</f>
        <v>Kenneth Muusikus</v>
      </c>
      <c r="AG8" s="732">
        <f>IFERROR(INDEX(V!R$7:R$56,MATCH(AH8,V!L$7:L$56,0)),"")</f>
        <v>140</v>
      </c>
      <c r="AH8" s="733" t="str">
        <f t="shared" ref="AH8:AH16" si="2">IFERROR(MID(B8,FIND(", ",B8)+2,256),"")</f>
        <v>Sander Rose</v>
      </c>
      <c r="AI8" s="732" t="str">
        <f>IFERROR(INDEX(V!R$7:R$56,MATCH(AJ8,V!L$7:L$56,0)),"")</f>
        <v/>
      </c>
      <c r="AJ8" s="733" t="str">
        <f t="shared" ref="AJ8:AJ16" si="3">IFERROR(MID(B8,FIND("^",SUBSTITUTE(B8,", ","^",1))+2,FIND("^",SUBSTITUTE(B8,", ","^",2))-FIND("^",SUBSTITUTE(B8,", ","^",1))-2),"")</f>
        <v/>
      </c>
      <c r="AK8" s="732" t="str">
        <f>IFERROR(INDEX(V!R$7:R$56,MATCH(AL8,V!L$7:L$56,0)),"")</f>
        <v/>
      </c>
      <c r="AL8" s="733" t="str">
        <f t="shared" ref="AL8:AL16" si="4">IFERROR(MID(B8,FIND(", ",B8,FIND(", ",B8,FIND(", ",B8))+1)+2,700),"")</f>
        <v/>
      </c>
      <c r="AM8" s="573"/>
    </row>
    <row r="9" spans="1:39" x14ac:dyDescent="0.2">
      <c r="A9" s="634">
        <v>2</v>
      </c>
      <c r="B9" s="635" t="s">
        <v>292</v>
      </c>
      <c r="C9" s="613">
        <v>13</v>
      </c>
      <c r="D9" s="614" t="s">
        <v>288</v>
      </c>
      <c r="E9" s="614">
        <v>4</v>
      </c>
      <c r="F9" s="636" t="s">
        <v>482</v>
      </c>
      <c r="G9" s="613">
        <v>13</v>
      </c>
      <c r="H9" s="614" t="s">
        <v>288</v>
      </c>
      <c r="I9" s="614">
        <v>8</v>
      </c>
      <c r="J9" s="636" t="s">
        <v>295</v>
      </c>
      <c r="K9" s="613">
        <v>6</v>
      </c>
      <c r="L9" s="614" t="s">
        <v>288</v>
      </c>
      <c r="M9" s="614">
        <v>10</v>
      </c>
      <c r="N9" s="636" t="s">
        <v>477</v>
      </c>
      <c r="O9" s="613">
        <v>13</v>
      </c>
      <c r="P9" s="614" t="s">
        <v>288</v>
      </c>
      <c r="Q9" s="614">
        <v>4</v>
      </c>
      <c r="R9" s="636" t="s">
        <v>480</v>
      </c>
      <c r="S9" s="613"/>
      <c r="T9" s="614" t="s">
        <v>288</v>
      </c>
      <c r="U9" s="614"/>
      <c r="V9" s="636"/>
      <c r="W9" s="637">
        <f t="shared" ref="W9:W16" si="5">IF(C9&gt;E9,J$3,IF(C9&lt;E9,J$5,IF(ISNUMBER(C9),J$4,0)))+IF(G9&gt;I9,J$3,IF(G9&lt;I9,J$5,IF(ISNUMBER(G9),J$4,0)))+IF(K9&gt;M9,J$3,IF(K9&lt;M9,J$5,IF(ISNUMBER(K9),J$4,0)))+IF(O9&gt;Q9,J$3,IF(O9&lt;Q9,J$5,IF(ISNUMBER(O9),J$4,0)))+IF(S9&gt;U9,J$3,IF(S9&lt;U9,J$5,IF(ISNUMBER(S9),J$4,0)))</f>
        <v>3</v>
      </c>
      <c r="X9" s="612"/>
      <c r="Y9" s="613">
        <f t="shared" ref="Y9:Y16" si="6">C9+G9+K9+O9+S9</f>
        <v>45</v>
      </c>
      <c r="Z9" s="614" t="s">
        <v>288</v>
      </c>
      <c r="AA9" s="615">
        <f t="shared" ref="AA9:AA16" si="7">E9+I9+M9+Q9+U9</f>
        <v>26</v>
      </c>
      <c r="AB9" s="616">
        <f t="shared" ref="AB9:AB16" si="8">Y9-AA9</f>
        <v>19</v>
      </c>
      <c r="AC9" s="617"/>
      <c r="AD9" s="731">
        <f t="shared" ref="AD9:AD16" si="9">SUM(AE9:AL9)</f>
        <v>244</v>
      </c>
      <c r="AE9" s="732">
        <f>IFERROR(INDEX(V!R$7:R$56,MATCH(AF9,V!L$7:L$56,0)),"")</f>
        <v>122</v>
      </c>
      <c r="AF9" s="733" t="str">
        <f t="shared" si="1"/>
        <v>Oksana Rõndenkova</v>
      </c>
      <c r="AG9" s="732">
        <f>IFERROR(INDEX(V!R$7:R$56,MATCH(AH9,V!L$7:L$56,0)),"")</f>
        <v>122</v>
      </c>
      <c r="AH9" s="733" t="str">
        <f t="shared" si="2"/>
        <v>Oleg Rõndenkov</v>
      </c>
      <c r="AI9" s="732" t="str">
        <f>IFERROR(INDEX(V!R$7:R$56,MATCH(AJ9,V!L$7:L$56,0)),"")</f>
        <v/>
      </c>
      <c r="AJ9" s="733" t="str">
        <f t="shared" si="3"/>
        <v/>
      </c>
      <c r="AK9" s="732" t="str">
        <f>IFERROR(INDEX(V!R$7:R$56,MATCH(AL9,V!L$7:L$56,0)),"")</f>
        <v/>
      </c>
      <c r="AL9" s="733" t="str">
        <f t="shared" si="4"/>
        <v/>
      </c>
      <c r="AM9" s="573"/>
    </row>
    <row r="10" spans="1:39" x14ac:dyDescent="0.2">
      <c r="A10" s="634">
        <v>3</v>
      </c>
      <c r="B10" s="635" t="s">
        <v>478</v>
      </c>
      <c r="C10" s="613">
        <v>9</v>
      </c>
      <c r="D10" s="614" t="s">
        <v>288</v>
      </c>
      <c r="E10" s="614">
        <v>13</v>
      </c>
      <c r="F10" s="636" t="s">
        <v>480</v>
      </c>
      <c r="G10" s="613">
        <v>13</v>
      </c>
      <c r="H10" s="614" t="s">
        <v>288</v>
      </c>
      <c r="I10" s="614">
        <v>7</v>
      </c>
      <c r="J10" s="636" t="s">
        <v>483</v>
      </c>
      <c r="K10" s="613">
        <v>13</v>
      </c>
      <c r="L10" s="614" t="s">
        <v>288</v>
      </c>
      <c r="M10" s="614">
        <v>8</v>
      </c>
      <c r="N10" s="636" t="s">
        <v>484</v>
      </c>
      <c r="O10" s="613">
        <v>13</v>
      </c>
      <c r="P10" s="614" t="s">
        <v>288</v>
      </c>
      <c r="Q10" s="614">
        <v>6</v>
      </c>
      <c r="R10" s="636" t="s">
        <v>294</v>
      </c>
      <c r="S10" s="613"/>
      <c r="T10" s="614" t="s">
        <v>288</v>
      </c>
      <c r="U10" s="614"/>
      <c r="V10" s="636"/>
      <c r="W10" s="637">
        <f t="shared" si="5"/>
        <v>3</v>
      </c>
      <c r="X10" s="612"/>
      <c r="Y10" s="613">
        <f t="shared" si="6"/>
        <v>48</v>
      </c>
      <c r="Z10" s="614" t="s">
        <v>288</v>
      </c>
      <c r="AA10" s="615">
        <f t="shared" si="7"/>
        <v>34</v>
      </c>
      <c r="AB10" s="616">
        <f t="shared" si="8"/>
        <v>14</v>
      </c>
      <c r="AC10" s="617"/>
      <c r="AD10" s="731">
        <f t="shared" si="9"/>
        <v>98</v>
      </c>
      <c r="AE10" s="732">
        <f>IFERROR(INDEX(V!R$7:R$56,MATCH(AF10,V!L$7:L$56,0)),"")</f>
        <v>18</v>
      </c>
      <c r="AF10" s="733" t="str">
        <f t="shared" si="1"/>
        <v>Ivar Viljaste</v>
      </c>
      <c r="AG10" s="732">
        <f>IFERROR(INDEX(V!R$7:R$56,MATCH(AH10,V!L$7:L$56,0)),"")</f>
        <v>80</v>
      </c>
      <c r="AH10" s="733" t="str">
        <f t="shared" si="2"/>
        <v>Meelis Luud</v>
      </c>
      <c r="AI10" s="732" t="str">
        <f>IFERROR(INDEX(V!R$7:R$56,MATCH(AJ10,V!L$7:L$56,0)),"")</f>
        <v/>
      </c>
      <c r="AJ10" s="733" t="str">
        <f t="shared" si="3"/>
        <v/>
      </c>
      <c r="AK10" s="732" t="str">
        <f>IFERROR(INDEX(V!R$7:R$56,MATCH(AL10,V!L$7:L$56,0)),"")</f>
        <v/>
      </c>
      <c r="AL10" s="733" t="str">
        <f t="shared" si="4"/>
        <v/>
      </c>
      <c r="AM10" s="573"/>
    </row>
    <row r="11" spans="1:39" x14ac:dyDescent="0.2">
      <c r="A11" s="634">
        <v>4</v>
      </c>
      <c r="B11" s="635" t="s">
        <v>479</v>
      </c>
      <c r="C11" s="613">
        <v>13</v>
      </c>
      <c r="D11" s="614" t="s">
        <v>288</v>
      </c>
      <c r="E11" s="614">
        <v>1</v>
      </c>
      <c r="F11" s="636" t="s">
        <v>484</v>
      </c>
      <c r="G11" s="613">
        <v>13</v>
      </c>
      <c r="H11" s="614" t="s">
        <v>288</v>
      </c>
      <c r="I11" s="614">
        <v>1</v>
      </c>
      <c r="J11" s="636" t="s">
        <v>485</v>
      </c>
      <c r="K11" s="613">
        <v>5</v>
      </c>
      <c r="L11" s="614" t="s">
        <v>288</v>
      </c>
      <c r="M11" s="614">
        <v>13</v>
      </c>
      <c r="N11" s="636" t="s">
        <v>295</v>
      </c>
      <c r="O11" s="613">
        <v>13</v>
      </c>
      <c r="P11" s="614" t="s">
        <v>288</v>
      </c>
      <c r="Q11" s="614">
        <v>5</v>
      </c>
      <c r="R11" s="636" t="s">
        <v>483</v>
      </c>
      <c r="S11" s="613"/>
      <c r="T11" s="614" t="s">
        <v>288</v>
      </c>
      <c r="U11" s="614"/>
      <c r="V11" s="636"/>
      <c r="W11" s="637">
        <f t="shared" si="5"/>
        <v>3</v>
      </c>
      <c r="X11" s="612"/>
      <c r="Y11" s="613">
        <f t="shared" si="6"/>
        <v>44</v>
      </c>
      <c r="Z11" s="614" t="s">
        <v>288</v>
      </c>
      <c r="AA11" s="615">
        <f t="shared" si="7"/>
        <v>20</v>
      </c>
      <c r="AB11" s="616">
        <f t="shared" si="8"/>
        <v>24</v>
      </c>
      <c r="AC11" s="617"/>
      <c r="AD11" s="731">
        <f t="shared" si="9"/>
        <v>232</v>
      </c>
      <c r="AE11" s="732">
        <f>IFERROR(INDEX(V!R$7:R$56,MATCH(AF11,V!L$7:L$56,0)),"")</f>
        <v>24</v>
      </c>
      <c r="AF11" s="733" t="str">
        <f t="shared" si="1"/>
        <v>Airi Veski</v>
      </c>
      <c r="AG11" s="732" t="str">
        <f>IFERROR(INDEX(V!R$7:R$56,MATCH(AH11,V!L$7:L$56,0)),"")</f>
        <v/>
      </c>
      <c r="AH11" s="733" t="str">
        <f t="shared" si="2"/>
        <v>Andres Veski, Svetlana Veski</v>
      </c>
      <c r="AI11" s="732">
        <f>IFERROR(INDEX(V!R$7:R$56,MATCH(AJ11,V!L$7:L$56,0)),"")</f>
        <v>108</v>
      </c>
      <c r="AJ11" s="733" t="str">
        <f t="shared" si="3"/>
        <v>Andres Veski</v>
      </c>
      <c r="AK11" s="732">
        <f>IFERROR(INDEX(V!R$7:R$56,MATCH(AL11,V!L$7:L$56,0)),"")</f>
        <v>100</v>
      </c>
      <c r="AL11" s="733" t="str">
        <f t="shared" si="4"/>
        <v>Svetlana Veski</v>
      </c>
      <c r="AM11" s="573"/>
    </row>
    <row r="12" spans="1:39" x14ac:dyDescent="0.2">
      <c r="A12" s="634">
        <v>5</v>
      </c>
      <c r="B12" s="635" t="s">
        <v>480</v>
      </c>
      <c r="C12" s="613">
        <v>13</v>
      </c>
      <c r="D12" s="614" t="s">
        <v>288</v>
      </c>
      <c r="E12" s="614">
        <v>9</v>
      </c>
      <c r="F12" s="636" t="s">
        <v>478</v>
      </c>
      <c r="G12" s="613">
        <v>6</v>
      </c>
      <c r="H12" s="614" t="s">
        <v>288</v>
      </c>
      <c r="I12" s="614">
        <v>13</v>
      </c>
      <c r="J12" s="636" t="s">
        <v>477</v>
      </c>
      <c r="K12" s="613">
        <v>13</v>
      </c>
      <c r="L12" s="614" t="s">
        <v>288</v>
      </c>
      <c r="M12" s="614">
        <v>6</v>
      </c>
      <c r="N12" s="636" t="s">
        <v>482</v>
      </c>
      <c r="O12" s="613">
        <v>4</v>
      </c>
      <c r="P12" s="614" t="s">
        <v>288</v>
      </c>
      <c r="Q12" s="614">
        <v>13</v>
      </c>
      <c r="R12" s="636" t="s">
        <v>292</v>
      </c>
      <c r="S12" s="613"/>
      <c r="T12" s="614" t="s">
        <v>288</v>
      </c>
      <c r="U12" s="614"/>
      <c r="V12" s="636"/>
      <c r="W12" s="637">
        <f t="shared" si="5"/>
        <v>2</v>
      </c>
      <c r="X12" s="612"/>
      <c r="Y12" s="613">
        <f t="shared" si="6"/>
        <v>36</v>
      </c>
      <c r="Z12" s="614" t="s">
        <v>288</v>
      </c>
      <c r="AA12" s="615">
        <f t="shared" si="7"/>
        <v>41</v>
      </c>
      <c r="AB12" s="616">
        <f t="shared" si="8"/>
        <v>-5</v>
      </c>
      <c r="AC12" s="617"/>
      <c r="AD12" s="731">
        <f t="shared" si="9"/>
        <v>28</v>
      </c>
      <c r="AE12" s="732">
        <f>IFERROR(INDEX(V!R$7:R$56,MATCH(AF12,V!L$7:L$56,0)),"")</f>
        <v>14</v>
      </c>
      <c r="AF12" s="733" t="str">
        <f t="shared" si="1"/>
        <v>Heili Vasser</v>
      </c>
      <c r="AG12" s="732">
        <f>IFERROR(INDEX(V!R$7:R$56,MATCH(AH12,V!L$7:L$56,0)),"")</f>
        <v>14</v>
      </c>
      <c r="AH12" s="733" t="str">
        <f t="shared" si="2"/>
        <v>Vello Vasser</v>
      </c>
      <c r="AI12" s="732" t="str">
        <f>IFERROR(INDEX(V!R$7:R$56,MATCH(AJ12,V!L$7:L$56,0)),"")</f>
        <v/>
      </c>
      <c r="AJ12" s="733" t="str">
        <f t="shared" si="3"/>
        <v/>
      </c>
      <c r="AK12" s="732" t="str">
        <f>IFERROR(INDEX(V!R$7:R$56,MATCH(AL12,V!L$7:L$56,0)),"")</f>
        <v/>
      </c>
      <c r="AL12" s="733" t="str">
        <f t="shared" si="4"/>
        <v/>
      </c>
      <c r="AM12" s="573"/>
    </row>
    <row r="13" spans="1:39" x14ac:dyDescent="0.2">
      <c r="A13" s="634">
        <v>6</v>
      </c>
      <c r="B13" s="635" t="s">
        <v>295</v>
      </c>
      <c r="C13" s="613">
        <v>13</v>
      </c>
      <c r="D13" s="614" t="s">
        <v>288</v>
      </c>
      <c r="E13" s="614">
        <v>10</v>
      </c>
      <c r="F13" s="636" t="s">
        <v>294</v>
      </c>
      <c r="G13" s="613">
        <v>8</v>
      </c>
      <c r="H13" s="614" t="s">
        <v>288</v>
      </c>
      <c r="I13" s="614">
        <v>13</v>
      </c>
      <c r="J13" s="636" t="s">
        <v>292</v>
      </c>
      <c r="K13" s="613">
        <v>13</v>
      </c>
      <c r="L13" s="614" t="s">
        <v>288</v>
      </c>
      <c r="M13" s="614">
        <v>5</v>
      </c>
      <c r="N13" s="636" t="s">
        <v>479</v>
      </c>
      <c r="O13" s="613">
        <v>10</v>
      </c>
      <c r="P13" s="614" t="s">
        <v>288</v>
      </c>
      <c r="Q13" s="614">
        <v>13</v>
      </c>
      <c r="R13" s="636" t="s">
        <v>477</v>
      </c>
      <c r="S13" s="613"/>
      <c r="T13" s="614" t="s">
        <v>288</v>
      </c>
      <c r="U13" s="614"/>
      <c r="V13" s="636"/>
      <c r="W13" s="637">
        <f t="shared" si="5"/>
        <v>2</v>
      </c>
      <c r="X13" s="612"/>
      <c r="Y13" s="613">
        <f t="shared" si="6"/>
        <v>44</v>
      </c>
      <c r="Z13" s="614" t="s">
        <v>288</v>
      </c>
      <c r="AA13" s="615">
        <f t="shared" si="7"/>
        <v>41</v>
      </c>
      <c r="AB13" s="616">
        <f t="shared" si="8"/>
        <v>3</v>
      </c>
      <c r="AC13" s="617"/>
      <c r="AD13" s="731">
        <f t="shared" si="9"/>
        <v>94</v>
      </c>
      <c r="AE13" s="732">
        <f>IFERROR(INDEX(V!R$7:R$56,MATCH(AF13,V!L$7:L$56,0)),"")</f>
        <v>38</v>
      </c>
      <c r="AF13" s="733" t="str">
        <f t="shared" si="1"/>
        <v>Boriss Klubov</v>
      </c>
      <c r="AG13" s="732">
        <f>IFERROR(INDEX(V!R$7:R$56,MATCH(AH13,V!L$7:L$56,0)),"")</f>
        <v>56</v>
      </c>
      <c r="AH13" s="733" t="str">
        <f t="shared" si="2"/>
        <v>Elmo Lageda</v>
      </c>
      <c r="AI13" s="732" t="str">
        <f>IFERROR(INDEX(V!R$7:R$56,MATCH(AJ13,V!L$7:L$56,0)),"")</f>
        <v/>
      </c>
      <c r="AJ13" s="733" t="str">
        <f t="shared" si="3"/>
        <v/>
      </c>
      <c r="AK13" s="732" t="str">
        <f>IFERROR(INDEX(V!R$7:R$56,MATCH(AL13,V!L$7:L$56,0)),"")</f>
        <v/>
      </c>
      <c r="AL13" s="733" t="str">
        <f t="shared" si="4"/>
        <v/>
      </c>
      <c r="AM13" s="573"/>
    </row>
    <row r="14" spans="1:39" x14ac:dyDescent="0.2">
      <c r="A14" s="634">
        <v>7</v>
      </c>
      <c r="B14" s="638" t="s">
        <v>294</v>
      </c>
      <c r="C14" s="613">
        <v>10</v>
      </c>
      <c r="D14" s="614" t="s">
        <v>288</v>
      </c>
      <c r="E14" s="614">
        <v>13</v>
      </c>
      <c r="F14" s="636" t="s">
        <v>481</v>
      </c>
      <c r="G14" s="613">
        <v>13</v>
      </c>
      <c r="H14" s="614" t="s">
        <v>288</v>
      </c>
      <c r="I14" s="614">
        <v>10</v>
      </c>
      <c r="J14" s="636" t="s">
        <v>484</v>
      </c>
      <c r="K14" s="613">
        <v>13</v>
      </c>
      <c r="L14" s="614" t="s">
        <v>288</v>
      </c>
      <c r="M14" s="614">
        <v>10</v>
      </c>
      <c r="N14" s="636" t="s">
        <v>485</v>
      </c>
      <c r="O14" s="613">
        <v>6</v>
      </c>
      <c r="P14" s="614" t="s">
        <v>288</v>
      </c>
      <c r="Q14" s="614">
        <v>13</v>
      </c>
      <c r="R14" s="636" t="s">
        <v>478</v>
      </c>
      <c r="S14" s="613"/>
      <c r="T14" s="614" t="s">
        <v>288</v>
      </c>
      <c r="U14" s="614"/>
      <c r="V14" s="636"/>
      <c r="W14" s="637">
        <f t="shared" si="5"/>
        <v>2</v>
      </c>
      <c r="X14" s="612"/>
      <c r="Y14" s="613">
        <f t="shared" si="6"/>
        <v>42</v>
      </c>
      <c r="Z14" s="614" t="s">
        <v>288</v>
      </c>
      <c r="AA14" s="615">
        <f t="shared" si="7"/>
        <v>46</v>
      </c>
      <c r="AB14" s="616">
        <f t="shared" si="8"/>
        <v>-4</v>
      </c>
      <c r="AC14" s="617"/>
      <c r="AD14" s="731">
        <f t="shared" si="9"/>
        <v>188</v>
      </c>
      <c r="AE14" s="732">
        <f>IFERROR(INDEX(V!R$7:R$56,MATCH(AF14,V!L$7:L$56,0)),"")</f>
        <v>90</v>
      </c>
      <c r="AF14" s="733" t="str">
        <f t="shared" si="1"/>
        <v>Henri Mitt</v>
      </c>
      <c r="AG14" s="732">
        <f>IFERROR(INDEX(V!R$7:R$56,MATCH(AH14,V!L$7:L$56,0)),"")</f>
        <v>98</v>
      </c>
      <c r="AH14" s="733" t="str">
        <f t="shared" si="2"/>
        <v>Urmas Randlaine</v>
      </c>
      <c r="AI14" s="732" t="str">
        <f>IFERROR(INDEX(V!R$7:R$56,MATCH(AJ14,V!L$7:L$56,0)),"")</f>
        <v/>
      </c>
      <c r="AJ14" s="733" t="str">
        <f t="shared" si="3"/>
        <v/>
      </c>
      <c r="AK14" s="732" t="str">
        <f>IFERROR(INDEX(V!R$7:R$56,MATCH(AL14,V!L$7:L$56,0)),"")</f>
        <v/>
      </c>
      <c r="AL14" s="733" t="str">
        <f t="shared" si="4"/>
        <v/>
      </c>
      <c r="AM14" s="573"/>
    </row>
    <row r="15" spans="1:39" x14ac:dyDescent="0.2">
      <c r="A15" s="634">
        <v>8</v>
      </c>
      <c r="B15" s="638" t="s">
        <v>482</v>
      </c>
      <c r="C15" s="613">
        <v>4</v>
      </c>
      <c r="D15" s="614" t="s">
        <v>288</v>
      </c>
      <c r="E15" s="614">
        <v>13</v>
      </c>
      <c r="F15" s="636" t="s">
        <v>292</v>
      </c>
      <c r="G15" s="613">
        <v>13</v>
      </c>
      <c r="H15" s="614" t="s">
        <v>288</v>
      </c>
      <c r="I15" s="614">
        <v>7</v>
      </c>
      <c r="J15" s="636" t="s">
        <v>291</v>
      </c>
      <c r="K15" s="613">
        <v>6</v>
      </c>
      <c r="L15" s="614" t="s">
        <v>288</v>
      </c>
      <c r="M15" s="614">
        <v>13</v>
      </c>
      <c r="N15" s="636" t="s">
        <v>480</v>
      </c>
      <c r="O15" s="613">
        <v>13</v>
      </c>
      <c r="P15" s="614" t="s">
        <v>288</v>
      </c>
      <c r="Q15" s="614">
        <v>2</v>
      </c>
      <c r="R15" s="636" t="s">
        <v>485</v>
      </c>
      <c r="S15" s="613"/>
      <c r="T15" s="614" t="s">
        <v>288</v>
      </c>
      <c r="U15" s="614"/>
      <c r="V15" s="636"/>
      <c r="W15" s="637">
        <f t="shared" si="5"/>
        <v>2</v>
      </c>
      <c r="X15" s="612"/>
      <c r="Y15" s="613">
        <f t="shared" si="6"/>
        <v>36</v>
      </c>
      <c r="Z15" s="614" t="s">
        <v>288</v>
      </c>
      <c r="AA15" s="615">
        <f t="shared" si="7"/>
        <v>35</v>
      </c>
      <c r="AB15" s="616">
        <f t="shared" si="8"/>
        <v>1</v>
      </c>
      <c r="AC15" s="617"/>
      <c r="AD15" s="731">
        <f t="shared" si="9"/>
        <v>104</v>
      </c>
      <c r="AE15" s="732">
        <f>IFERROR(INDEX(V!R$7:R$56,MATCH(AF15,V!L$7:L$56,0)),"")</f>
        <v>44</v>
      </c>
      <c r="AF15" s="733" t="str">
        <f t="shared" si="1"/>
        <v>Lemmit Toomra</v>
      </c>
      <c r="AG15" s="732">
        <f>IFERROR(INDEX(V!R$7:R$56,MATCH(AH15,V!L$7:L$56,0)),"")</f>
        <v>60</v>
      </c>
      <c r="AH15" s="733" t="str">
        <f t="shared" si="2"/>
        <v>Tõnu Kapper</v>
      </c>
      <c r="AI15" s="732" t="str">
        <f>IFERROR(INDEX(V!R$7:R$56,MATCH(AJ15,V!L$7:L$56,0)),"")</f>
        <v/>
      </c>
      <c r="AJ15" s="733" t="str">
        <f t="shared" si="3"/>
        <v/>
      </c>
      <c r="AK15" s="732" t="str">
        <f>IFERROR(INDEX(V!R$7:R$56,MATCH(AL15,V!L$7:L$56,0)),"")</f>
        <v/>
      </c>
      <c r="AL15" s="733" t="str">
        <f t="shared" si="4"/>
        <v/>
      </c>
      <c r="AM15" s="573"/>
    </row>
    <row r="16" spans="1:39" x14ac:dyDescent="0.2">
      <c r="A16" s="634">
        <v>9</v>
      </c>
      <c r="B16" s="635" t="s">
        <v>483</v>
      </c>
      <c r="C16" s="613">
        <v>5</v>
      </c>
      <c r="D16" s="614" t="s">
        <v>288</v>
      </c>
      <c r="E16" s="614">
        <v>13</v>
      </c>
      <c r="F16" s="636" t="s">
        <v>477</v>
      </c>
      <c r="G16" s="613">
        <v>7</v>
      </c>
      <c r="H16" s="614" t="s">
        <v>288</v>
      </c>
      <c r="I16" s="614">
        <v>13</v>
      </c>
      <c r="J16" s="636" t="s">
        <v>478</v>
      </c>
      <c r="K16" s="613">
        <v>13</v>
      </c>
      <c r="L16" s="614" t="s">
        <v>288</v>
      </c>
      <c r="M16" s="614">
        <v>7</v>
      </c>
      <c r="N16" s="636" t="s">
        <v>291</v>
      </c>
      <c r="O16" s="613">
        <v>5</v>
      </c>
      <c r="P16" s="614" t="s">
        <v>288</v>
      </c>
      <c r="Q16" s="614">
        <v>13</v>
      </c>
      <c r="R16" s="636" t="s">
        <v>479</v>
      </c>
      <c r="S16" s="613"/>
      <c r="T16" s="614" t="s">
        <v>288</v>
      </c>
      <c r="U16" s="614"/>
      <c r="V16" s="636"/>
      <c r="W16" s="637">
        <f t="shared" si="5"/>
        <v>1</v>
      </c>
      <c r="X16" s="612"/>
      <c r="Y16" s="613">
        <f t="shared" si="6"/>
        <v>30</v>
      </c>
      <c r="Z16" s="614" t="s">
        <v>288</v>
      </c>
      <c r="AA16" s="615">
        <f t="shared" si="7"/>
        <v>46</v>
      </c>
      <c r="AB16" s="616">
        <f t="shared" si="8"/>
        <v>-16</v>
      </c>
      <c r="AC16" s="617"/>
      <c r="AD16" s="731">
        <f t="shared" si="9"/>
        <v>12</v>
      </c>
      <c r="AE16" s="732">
        <f>IFERROR(INDEX(V!R$7:R$56,MATCH(AF16,V!L$7:L$56,0)),"")</f>
        <v>6</v>
      </c>
      <c r="AF16" s="733" t="str">
        <f t="shared" si="1"/>
        <v>Carmen Mägi</v>
      </c>
      <c r="AG16" s="732">
        <f>IFERROR(INDEX(V!R$7:R$56,MATCH(AH16,V!L$7:L$56,0)),"")</f>
        <v>6</v>
      </c>
      <c r="AH16" s="733" t="str">
        <f t="shared" si="2"/>
        <v>Marcus Piirson</v>
      </c>
      <c r="AI16" s="732" t="str">
        <f>IFERROR(INDEX(V!R$7:R$56,MATCH(AJ16,V!L$7:L$56,0)),"")</f>
        <v/>
      </c>
      <c r="AJ16" s="733" t="str">
        <f t="shared" si="3"/>
        <v/>
      </c>
      <c r="AK16" s="732" t="str">
        <f>IFERROR(INDEX(V!R$7:R$56,MATCH(AL16,V!L$7:L$56,0)),"")</f>
        <v/>
      </c>
      <c r="AL16" s="733" t="str">
        <f t="shared" si="4"/>
        <v/>
      </c>
      <c r="AM16" s="573"/>
    </row>
    <row r="17" spans="1:39" x14ac:dyDescent="0.2">
      <c r="A17" s="634">
        <v>10</v>
      </c>
      <c r="B17" s="635" t="s">
        <v>484</v>
      </c>
      <c r="C17" s="613">
        <v>1</v>
      </c>
      <c r="D17" s="614" t="s">
        <v>288</v>
      </c>
      <c r="E17" s="614">
        <v>13</v>
      </c>
      <c r="F17" s="636" t="s">
        <v>479</v>
      </c>
      <c r="G17" s="613">
        <v>10</v>
      </c>
      <c r="H17" s="614" t="s">
        <v>288</v>
      </c>
      <c r="I17" s="614">
        <v>13</v>
      </c>
      <c r="J17" s="636" t="s">
        <v>294</v>
      </c>
      <c r="K17" s="613">
        <v>8</v>
      </c>
      <c r="L17" s="614" t="s">
        <v>288</v>
      </c>
      <c r="M17" s="614">
        <v>13</v>
      </c>
      <c r="N17" s="636" t="s">
        <v>478</v>
      </c>
      <c r="O17" s="613">
        <v>13</v>
      </c>
      <c r="P17" s="614" t="s">
        <v>288</v>
      </c>
      <c r="Q17" s="614">
        <v>7</v>
      </c>
      <c r="R17" s="636" t="s">
        <v>291</v>
      </c>
      <c r="S17" s="613"/>
      <c r="T17" s="614" t="s">
        <v>288</v>
      </c>
      <c r="U17" s="614"/>
      <c r="V17" s="636"/>
      <c r="W17" s="637">
        <f t="shared" ref="W17:W18" si="10">IF(C17&gt;E17,J$3,IF(C17&lt;E17,J$5,IF(ISNUMBER(C17),J$4,0)))+IF(G17&gt;I17,J$3,IF(G17&lt;I17,J$5,IF(ISNUMBER(G17),J$4,0)))+IF(K17&gt;M17,J$3,IF(K17&lt;M17,J$5,IF(ISNUMBER(K17),J$4,0)))+IF(O17&gt;Q17,J$3,IF(O17&lt;Q17,J$5,IF(ISNUMBER(O17),J$4,0)))+IF(S17&gt;U17,J$3,IF(S17&lt;U17,J$5,IF(ISNUMBER(S17),J$4,0)))</f>
        <v>1</v>
      </c>
      <c r="X17" s="612"/>
      <c r="Y17" s="613">
        <f t="shared" ref="Y17:Y18" si="11">C17+G17+K17+O17+S17</f>
        <v>32</v>
      </c>
      <c r="Z17" s="614" t="s">
        <v>288</v>
      </c>
      <c r="AA17" s="615">
        <f t="shared" ref="AA17:AA18" si="12">E17+I17+M17+Q17+U17</f>
        <v>46</v>
      </c>
      <c r="AB17" s="616">
        <f t="shared" ref="AB17:AB18" si="13">Y17-AA17</f>
        <v>-14</v>
      </c>
      <c r="AC17" s="617"/>
      <c r="AD17" s="731">
        <f t="shared" ref="AD17:AD18" si="14">SUM(AE17:AL17)</f>
        <v>156</v>
      </c>
      <c r="AE17" s="732">
        <f>IFERROR(INDEX(V!R$7:R$56,MATCH(AF17,V!L$7:L$56,0)),"")</f>
        <v>108</v>
      </c>
      <c r="AF17" s="733" t="str">
        <f t="shared" ref="AF17:AF18" si="15">IFERROR(LEFT(B17,(FIND(",",B17,1)-1)),"")</f>
        <v>Hillar Neiland</v>
      </c>
      <c r="AG17" s="732">
        <f>IFERROR(INDEX(V!R$7:R$56,MATCH(AH17,V!L$7:L$56,0)),"")</f>
        <v>48</v>
      </c>
      <c r="AH17" s="733" t="str">
        <f t="shared" ref="AH17:AH18" si="16">IFERROR(MID(B17,FIND(", ",B17)+2,256),"")</f>
        <v>Oliver Ojasalu</v>
      </c>
      <c r="AI17" s="732" t="str">
        <f>IFERROR(INDEX(V!R$7:R$56,MATCH(AJ17,V!L$7:L$56,0)),"")</f>
        <v/>
      </c>
      <c r="AJ17" s="733" t="str">
        <f t="shared" ref="AJ17:AJ18" si="17">IFERROR(MID(B17,FIND("^",SUBSTITUTE(B17,", ","^",1))+2,FIND("^",SUBSTITUTE(B17,", ","^",2))-FIND("^",SUBSTITUTE(B17,", ","^",1))-2),"")</f>
        <v/>
      </c>
      <c r="AK17" s="732" t="str">
        <f>IFERROR(INDEX(V!R$7:R$56,MATCH(AL17,V!L$7:L$56,0)),"")</f>
        <v/>
      </c>
      <c r="AL17" s="733" t="str">
        <f t="shared" ref="AL17:AL18" si="18">IFERROR(MID(B17,FIND(", ",B17,FIND(", ",B17,FIND(", ",B17))+1)+2,700),"")</f>
        <v/>
      </c>
      <c r="AM17" s="573"/>
    </row>
    <row r="18" spans="1:39" x14ac:dyDescent="0.2">
      <c r="A18" s="634">
        <v>11</v>
      </c>
      <c r="B18" s="635" t="s">
        <v>485</v>
      </c>
      <c r="C18" s="613">
        <v>13</v>
      </c>
      <c r="D18" s="614" t="s">
        <v>288</v>
      </c>
      <c r="E18" s="614">
        <v>7</v>
      </c>
      <c r="F18" s="636" t="s">
        <v>291</v>
      </c>
      <c r="G18" s="613">
        <v>1</v>
      </c>
      <c r="H18" s="614" t="s">
        <v>288</v>
      </c>
      <c r="I18" s="614">
        <v>13</v>
      </c>
      <c r="J18" s="636" t="s">
        <v>479</v>
      </c>
      <c r="K18" s="613">
        <v>10</v>
      </c>
      <c r="L18" s="614" t="s">
        <v>288</v>
      </c>
      <c r="M18" s="614">
        <v>13</v>
      </c>
      <c r="N18" s="636" t="s">
        <v>294</v>
      </c>
      <c r="O18" s="613">
        <v>2</v>
      </c>
      <c r="P18" s="614" t="s">
        <v>288</v>
      </c>
      <c r="Q18" s="614">
        <v>13</v>
      </c>
      <c r="R18" s="636" t="s">
        <v>482</v>
      </c>
      <c r="S18" s="613"/>
      <c r="T18" s="614" t="s">
        <v>288</v>
      </c>
      <c r="U18" s="614"/>
      <c r="V18" s="636"/>
      <c r="W18" s="637">
        <f t="shared" si="10"/>
        <v>1</v>
      </c>
      <c r="X18" s="612"/>
      <c r="Y18" s="613">
        <f t="shared" si="11"/>
        <v>26</v>
      </c>
      <c r="Z18" s="614" t="s">
        <v>288</v>
      </c>
      <c r="AA18" s="615">
        <f t="shared" si="12"/>
        <v>46</v>
      </c>
      <c r="AB18" s="616">
        <f t="shared" si="13"/>
        <v>-20</v>
      </c>
      <c r="AC18" s="617"/>
      <c r="AD18" s="731">
        <f t="shared" si="14"/>
        <v>72</v>
      </c>
      <c r="AE18" s="732">
        <f>IFERROR(INDEX(V!R$7:R$56,MATCH(AF18,V!L$7:L$56,0)),"")</f>
        <v>40</v>
      </c>
      <c r="AF18" s="733" t="str">
        <f t="shared" si="15"/>
        <v>Enn Tokman</v>
      </c>
      <c r="AG18" s="732" t="str">
        <f>IFERROR(INDEX(V!R$7:R$56,MATCH(AH18,V!L$7:L$56,0)),"")</f>
        <v/>
      </c>
      <c r="AH18" s="733" t="str">
        <f t="shared" si="16"/>
        <v>Johannes Neiland, Melika Lehtla</v>
      </c>
      <c r="AI18" s="732">
        <f>IFERROR(INDEX(V!R$7:R$56,MATCH(AJ18,V!L$7:L$56,0)),"")</f>
        <v>30</v>
      </c>
      <c r="AJ18" s="733" t="str">
        <f t="shared" si="17"/>
        <v>Johannes Neiland</v>
      </c>
      <c r="AK18" s="732">
        <f>IFERROR(INDEX(V!R$7:R$56,MATCH(AL18,V!L$7:L$56,0)),"")</f>
        <v>2</v>
      </c>
      <c r="AL18" s="733" t="str">
        <f t="shared" si="18"/>
        <v>Melika Lehtla</v>
      </c>
      <c r="AM18" s="573"/>
    </row>
    <row r="19" spans="1:39"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row>
    <row r="20" spans="1:39"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row>
    <row r="21" spans="1:39"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row>
    <row r="22" spans="1:39"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row>
    <row r="23" spans="1:39"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row>
    <row r="24" spans="1:39"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row>
    <row r="25" spans="1:39"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row>
    <row r="26" spans="1:39"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row>
    <row r="27" spans="1:39"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row>
    <row r="28" spans="1:39"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row>
    <row r="29" spans="1:39"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row>
    <row r="30" spans="1:39"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row>
    <row r="31" spans="1:39"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row>
    <row r="32" spans="1:39"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row>
    <row r="33" spans="1:39"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row>
    <row r="34" spans="1:39"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row>
    <row r="35" spans="1:39"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row>
    <row r="36" spans="1:39"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row>
    <row r="37" spans="1:39"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row>
    <row r="38" spans="1:39"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row>
    <row r="39" spans="1:39"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row>
    <row r="40" spans="1:39"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row>
    <row r="41" spans="1:39"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row>
    <row r="42" spans="1:39"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row>
    <row r="43" spans="1:39"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row>
    <row r="44" spans="1:39"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row>
    <row r="45" spans="1:39"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row>
    <row r="46" spans="1:39"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row>
    <row r="47" spans="1:39"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row>
    <row r="48" spans="1:39"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row>
    <row r="49" spans="1:39"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row>
    <row r="50" spans="1:39"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row>
    <row r="51" spans="1:39"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row>
    <row r="52" spans="1:39"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row>
    <row r="53" spans="1:39"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row>
    <row r="54" spans="1:39"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row>
    <row r="55" spans="1:39"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row>
    <row r="56" spans="1:39"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row>
    <row r="57" spans="1:39"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row>
    <row r="58" spans="1:39"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row>
    <row r="59" spans="1:39"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row>
    <row r="60" spans="1:39"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row>
    <row r="61" spans="1:39"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row>
    <row r="62" spans="1:39"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row>
    <row r="63" spans="1:39"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row>
    <row r="64" spans="1:39"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row>
    <row r="65" spans="1:39"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row>
    <row r="66" spans="1:39"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row>
    <row r="67" spans="1:39"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row>
    <row r="68" spans="1:39"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row>
    <row r="69" spans="1:39"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row>
    <row r="70" spans="1:39"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row>
    <row r="71" spans="1:39"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row>
    <row r="72" spans="1:39"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row>
    <row r="73" spans="1:39"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row>
    <row r="74" spans="1:39"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row>
    <row r="75" spans="1:39"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row>
    <row r="76" spans="1:39"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row>
    <row r="77" spans="1:39"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row>
    <row r="78" spans="1:39"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row>
    <row r="79" spans="1:39"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row>
    <row r="80" spans="1:39"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row>
    <row r="81" spans="1:39"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row>
    <row r="82" spans="1:39"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row>
    <row r="83" spans="1:39"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row>
    <row r="84" spans="1:39"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row>
    <row r="85" spans="1:39"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row>
    <row r="86" spans="1:39"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row>
    <row r="87" spans="1:39"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row>
    <row r="88" spans="1:39"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row>
    <row r="89" spans="1:39"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row>
    <row r="90" spans="1:39"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row>
    <row r="91" spans="1:39"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row>
    <row r="92" spans="1:39"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row>
    <row r="93" spans="1:39"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row>
    <row r="94" spans="1:39"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row>
    <row r="95" spans="1:39"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row>
    <row r="96" spans="1:39"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row>
    <row r="97" spans="1:39"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row>
    <row r="98" spans="1:39"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row>
    <row r="99" spans="1:39"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row>
    <row r="100" spans="1:39"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row>
    <row r="101" spans="1:39"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row>
    <row r="102" spans="1:39"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row>
    <row r="103" spans="1:39"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row>
    <row r="104" spans="1:39"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row>
    <row r="105" spans="1:39"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row>
    <row r="106" spans="1:39"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row>
    <row r="107" spans="1:39"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row>
    <row r="108" spans="1:39"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row>
    <row r="109" spans="1:39"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row>
    <row r="110" spans="1:39"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row>
    <row r="111" spans="1:39"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row>
    <row r="112" spans="1:39"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row>
    <row r="113" spans="1:39"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row>
    <row r="114" spans="1:39"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row>
    <row r="115" spans="1:39"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row>
    <row r="116" spans="1:39"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row>
    <row r="117" spans="1:39"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row>
    <row r="118" spans="1:39"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row>
    <row r="119" spans="1:39"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row>
    <row r="120" spans="1:39"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row>
    <row r="121" spans="1:39"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row>
    <row r="122" spans="1:39"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row>
    <row r="123" spans="1:39"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row>
    <row r="124" spans="1:39"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row>
    <row r="125" spans="1:39"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row>
    <row r="126" spans="1:39"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row>
    <row r="127" spans="1:39"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row>
    <row r="128" spans="1:39"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row>
    <row r="129" spans="1:39"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row>
    <row r="130" spans="1:39"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row>
    <row r="131" spans="1:39"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row>
    <row r="132" spans="1:39"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row>
    <row r="133" spans="1:39"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row>
    <row r="134" spans="1:39"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row>
    <row r="135" spans="1:39"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row>
    <row r="136" spans="1:39"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row>
    <row r="137" spans="1:39"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row>
    <row r="138" spans="1:39"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row>
    <row r="139" spans="1:39"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row>
    <row r="140" spans="1:39"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row>
    <row r="141" spans="1:39"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row>
    <row r="142" spans="1:39"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row>
    <row r="143" spans="1:39"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row>
    <row r="144" spans="1:39"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row>
    <row r="145" spans="1:39"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row>
    <row r="146" spans="1:39"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row>
    <row r="147" spans="1:39"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row>
    <row r="148" spans="1:39"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row>
    <row r="149" spans="1:39"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row>
    <row r="150" spans="1:39"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row>
    <row r="151" spans="1:39"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row>
    <row r="152" spans="1:39"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row>
    <row r="153" spans="1:39"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row>
    <row r="154" spans="1:39"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row>
    <row r="155" spans="1:39"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row>
    <row r="156" spans="1:39"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row>
    <row r="157" spans="1:39"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row>
    <row r="158" spans="1:39"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row>
    <row r="159" spans="1:39"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row>
    <row r="160" spans="1:39"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row>
    <row r="161" spans="1:39"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row>
    <row r="162" spans="1:39"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row>
    <row r="163" spans="1:39"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row>
    <row r="164" spans="1:39"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row>
    <row r="165" spans="1:39"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row>
    <row r="166" spans="1:39"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row>
    <row r="167" spans="1:39"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row>
    <row r="168" spans="1:39"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row>
    <row r="169" spans="1:39"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row>
    <row r="170" spans="1:39"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row>
    <row r="171" spans="1:39"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row>
    <row r="172" spans="1:39"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row>
    <row r="173" spans="1:39"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row>
    <row r="174" spans="1:39"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row>
    <row r="175" spans="1:39"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row>
    <row r="176" spans="1:39"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row>
    <row r="177" spans="1:39"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row>
    <row r="178" spans="1:39"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row>
    <row r="179" spans="1:39"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row>
    <row r="180" spans="1:39"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row>
    <row r="181" spans="1:39"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row>
    <row r="182" spans="1:39"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row>
    <row r="183" spans="1:39"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row>
    <row r="184" spans="1:39"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row>
    <row r="185" spans="1:39"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row>
    <row r="186" spans="1:39"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row>
    <row r="187" spans="1:39"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row>
    <row r="188" spans="1:39"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row>
    <row r="189" spans="1:39"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row>
    <row r="190" spans="1:39"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row>
    <row r="191" spans="1:39"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row>
    <row r="192" spans="1:39"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row>
    <row r="193" spans="1:39"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row>
    <row r="194" spans="1:39"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row>
    <row r="195" spans="1:39"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row>
    <row r="196" spans="1:39"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row>
    <row r="197" spans="1:39"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row>
    <row r="198" spans="1:39"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row>
    <row r="199" spans="1:39"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row>
    <row r="200" spans="1:39"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row>
    <row r="201" spans="1:39"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row>
    <row r="202" spans="1:39"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row>
    <row r="203" spans="1:39"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row>
    <row r="204" spans="1:39"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row>
    <row r="205" spans="1:39"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row>
    <row r="206" spans="1:39"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row>
    <row r="207" spans="1:39"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row>
    <row r="208" spans="1:39"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row>
    <row r="209" spans="1:39"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row>
    <row r="210" spans="1:39"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row>
    <row r="211" spans="1:39"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row>
    <row r="212" spans="1:39"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row>
    <row r="213" spans="1:39"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row>
    <row r="214" spans="1:39"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row>
    <row r="215" spans="1:39"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row>
    <row r="216" spans="1:39"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row>
    <row r="217" spans="1:39"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row>
    <row r="218" spans="1:39"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row>
    <row r="219" spans="1:39"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row>
    <row r="220" spans="1:39"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row>
    <row r="221" spans="1:39"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row>
    <row r="222" spans="1:39"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row>
    <row r="223" spans="1:39"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row>
    <row r="224" spans="1:39"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row>
    <row r="225" spans="1:39"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row>
    <row r="226" spans="1:39"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row>
    <row r="227" spans="1:39"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row>
    <row r="228" spans="1:39"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row>
    <row r="229" spans="1:39"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row>
    <row r="230" spans="1:39"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row>
    <row r="231" spans="1:39"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row>
    <row r="232" spans="1:39"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row>
    <row r="233" spans="1:39"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row>
    <row r="234" spans="1:39"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row>
    <row r="235" spans="1:39"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row>
    <row r="236" spans="1:39"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row>
    <row r="237" spans="1:39"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row>
    <row r="238" spans="1:39"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row>
    <row r="239" spans="1:39"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row>
    <row r="240" spans="1:39"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row>
    <row r="241" spans="1:39"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row>
    <row r="242" spans="1:39"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row>
    <row r="243" spans="1:39"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row>
    <row r="244" spans="1:39"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row>
    <row r="245" spans="1:39"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row>
    <row r="246" spans="1:39"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row>
    <row r="247" spans="1:39"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row>
    <row r="248" spans="1:39"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row>
    <row r="249" spans="1:39"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row>
    <row r="250" spans="1:39"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row>
    <row r="251" spans="1:39"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row>
    <row r="252" spans="1:39"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row>
    <row r="253" spans="1:39"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row>
    <row r="254" spans="1:39"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row>
    <row r="255" spans="1:39"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row>
    <row r="256" spans="1:39"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row>
    <row r="257" spans="1:39"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row>
    <row r="258" spans="1:39"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row>
    <row r="259" spans="1:39"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row>
    <row r="260" spans="1:39"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row>
    <row r="261" spans="1:39"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row>
    <row r="262" spans="1:39"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row>
    <row r="263" spans="1:39"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row>
    <row r="264" spans="1:39"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row>
    <row r="265" spans="1:39"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row>
    <row r="266" spans="1:39"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row>
    <row r="267" spans="1:39"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row>
    <row r="268" spans="1:39"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row>
    <row r="269" spans="1:39"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row>
    <row r="270" spans="1:39"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row>
    <row r="271" spans="1:39"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row>
    <row r="272" spans="1:39"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row>
    <row r="273" spans="1:39"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row>
    <row r="274" spans="1:39"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row>
    <row r="275" spans="1:39"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row>
    <row r="276" spans="1:39"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row>
    <row r="277" spans="1:39"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row>
    <row r="278" spans="1:39"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row>
    <row r="279" spans="1:39"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row>
    <row r="280" spans="1:39"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row>
    <row r="281" spans="1:39"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row>
    <row r="282" spans="1:39"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row>
    <row r="283" spans="1:39"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row>
    <row r="284" spans="1:39"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row>
    <row r="285" spans="1:39"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row>
    <row r="286" spans="1:39"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row>
    <row r="287" spans="1:39"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row>
    <row r="288" spans="1:39"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row>
    <row r="289" spans="1:39"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row>
    <row r="290" spans="1:39"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row>
    <row r="291" spans="1:39"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row>
    <row r="292" spans="1:39"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row>
    <row r="293" spans="1:39"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row>
    <row r="294" spans="1:39" hidden="1" x14ac:dyDescent="0.2"/>
    <row r="295" spans="1:39" hidden="1" x14ac:dyDescent="0.2"/>
    <row r="296" spans="1:39" hidden="1" x14ac:dyDescent="0.2"/>
    <row r="297" spans="1:39" hidden="1" x14ac:dyDescent="0.2"/>
    <row r="298" spans="1:39" hidden="1" x14ac:dyDescent="0.2"/>
    <row r="299" spans="1:39" x14ac:dyDescent="0.2">
      <c r="A299" s="573"/>
      <c r="B299" s="573"/>
      <c r="C299" s="584" t="s">
        <v>54</v>
      </c>
    </row>
    <row r="300" spans="1:39" x14ac:dyDescent="0.2">
      <c r="A300" s="627">
        <v>1</v>
      </c>
      <c r="B300" s="628" t="str">
        <f t="shared" ref="B300:B308" si="19">IFERROR(INDEX(B$1:B$85,MATCH(A300,A$1:A$85,0)),"")</f>
        <v>Kenneth Muusikus, Sander Rose</v>
      </c>
      <c r="C300" s="734">
        <f>LARGE(A$300:A$400,1)*2+2-A300*2</f>
        <v>22</v>
      </c>
    </row>
    <row r="301" spans="1:39" x14ac:dyDescent="0.2">
      <c r="A301" s="627">
        <v>2</v>
      </c>
      <c r="B301" s="628" t="str">
        <f t="shared" si="19"/>
        <v>Oksana Rõndenkova, Oleg Rõndenkov</v>
      </c>
      <c r="C301" s="734">
        <f t="shared" ref="C301:C310" si="20">LARGE(A$300:A$400,1)*2+2-A301*2</f>
        <v>20</v>
      </c>
    </row>
    <row r="302" spans="1:39" x14ac:dyDescent="0.2">
      <c r="A302" s="627">
        <v>3</v>
      </c>
      <c r="B302" s="628" t="str">
        <f t="shared" si="19"/>
        <v>Ivar Viljaste, Meelis Luud</v>
      </c>
      <c r="C302" s="734">
        <f t="shared" si="20"/>
        <v>18</v>
      </c>
    </row>
    <row r="303" spans="1:39" x14ac:dyDescent="0.2">
      <c r="A303" s="627">
        <v>4</v>
      </c>
      <c r="B303" s="628" t="str">
        <f t="shared" si="19"/>
        <v>Airi Veski, Andres Veski, Svetlana Veski</v>
      </c>
      <c r="C303" s="734">
        <f t="shared" si="20"/>
        <v>16</v>
      </c>
    </row>
    <row r="304" spans="1:39" x14ac:dyDescent="0.2">
      <c r="A304" s="627">
        <v>5</v>
      </c>
      <c r="B304" s="628" t="str">
        <f t="shared" si="19"/>
        <v>Heili Vasser, Vello Vasser</v>
      </c>
      <c r="C304" s="734">
        <f t="shared" si="20"/>
        <v>14</v>
      </c>
    </row>
    <row r="305" spans="1:3" x14ac:dyDescent="0.2">
      <c r="A305" s="627">
        <v>6</v>
      </c>
      <c r="B305" s="628" t="str">
        <f t="shared" si="19"/>
        <v>Boriss Klubov, Elmo Lageda</v>
      </c>
      <c r="C305" s="734">
        <f t="shared" si="20"/>
        <v>12</v>
      </c>
    </row>
    <row r="306" spans="1:3" x14ac:dyDescent="0.2">
      <c r="A306" s="627">
        <v>7</v>
      </c>
      <c r="B306" s="628" t="str">
        <f t="shared" si="19"/>
        <v>Henri Mitt, Urmas Randlaine</v>
      </c>
      <c r="C306" s="734">
        <f t="shared" si="20"/>
        <v>10</v>
      </c>
    </row>
    <row r="307" spans="1:3" x14ac:dyDescent="0.2">
      <c r="A307" s="627">
        <v>8</v>
      </c>
      <c r="B307" s="628" t="str">
        <f t="shared" si="19"/>
        <v>Lemmit Toomra, Tõnu Kapper</v>
      </c>
      <c r="C307" s="734">
        <f t="shared" si="20"/>
        <v>8</v>
      </c>
    </row>
    <row r="308" spans="1:3" x14ac:dyDescent="0.2">
      <c r="A308" s="627">
        <v>9</v>
      </c>
      <c r="B308" s="628" t="str">
        <f t="shared" si="19"/>
        <v>Carmen Mägi, Marcus Piirson</v>
      </c>
      <c r="C308" s="734">
        <f t="shared" si="20"/>
        <v>6</v>
      </c>
    </row>
    <row r="309" spans="1:3" x14ac:dyDescent="0.2">
      <c r="A309" s="627">
        <v>10</v>
      </c>
      <c r="B309" s="628" t="str">
        <f t="shared" ref="B309:B310" si="21">IFERROR(INDEX(B$1:B$85,MATCH(A309,A$1:A$85,0)),"")</f>
        <v>Hillar Neiland, Oliver Ojasalu</v>
      </c>
      <c r="C309" s="734">
        <f t="shared" si="20"/>
        <v>4</v>
      </c>
    </row>
    <row r="310" spans="1:3" x14ac:dyDescent="0.2">
      <c r="A310" s="627">
        <v>11</v>
      </c>
      <c r="B310" s="628" t="str">
        <f t="shared" si="21"/>
        <v>Enn Tokman, Johannes Neiland, Melika Lehtla</v>
      </c>
      <c r="C310" s="734">
        <f t="shared" si="20"/>
        <v>2</v>
      </c>
    </row>
    <row r="311" spans="1:3" x14ac:dyDescent="0.2">
      <c r="C311" s="734"/>
    </row>
    <row r="312" spans="1:3" x14ac:dyDescent="0.2">
      <c r="C312" s="734"/>
    </row>
    <row r="313" spans="1:3" x14ac:dyDescent="0.2">
      <c r="C313" s="734"/>
    </row>
  </sheetData>
  <conditionalFormatting sqref="C8:C18">
    <cfRule type="expression" dxfId="627" priority="18">
      <formula>IF($C8&gt;$E8,TRUE)</formula>
    </cfRule>
  </conditionalFormatting>
  <conditionalFormatting sqref="E8:E18">
    <cfRule type="expression" dxfId="626" priority="19">
      <formula>IF($C8&lt;$E8,TRUE)</formula>
    </cfRule>
  </conditionalFormatting>
  <conditionalFormatting sqref="K8:K18">
    <cfRule type="expression" dxfId="625" priority="26">
      <formula>IF($K8&gt;$M8,TRUE)</formula>
    </cfRule>
  </conditionalFormatting>
  <conditionalFormatting sqref="M8:M18">
    <cfRule type="expression" dxfId="624" priority="27">
      <formula>IF($K8&lt;$M8,TRUE)</formula>
    </cfRule>
  </conditionalFormatting>
  <conditionalFormatting sqref="O8:O18">
    <cfRule type="expression" dxfId="623" priority="30">
      <formula>IF($O8&gt;$Q8,TRUE)</formula>
    </cfRule>
  </conditionalFormatting>
  <conditionalFormatting sqref="Q8:Q18">
    <cfRule type="expression" dxfId="622" priority="31">
      <formula>IF($O8&lt;$Q8,TRUE)</formula>
    </cfRule>
  </conditionalFormatting>
  <conditionalFormatting sqref="S8:S18">
    <cfRule type="expression" dxfId="621" priority="34">
      <formula>IF($S8&gt;$U8,TRUE)</formula>
    </cfRule>
  </conditionalFormatting>
  <conditionalFormatting sqref="U8:U18">
    <cfRule type="expression" dxfId="620" priority="35">
      <formula>IF($S8&lt;$U8,TRUE)</formula>
    </cfRule>
  </conditionalFormatting>
  <conditionalFormatting sqref="G8:G18">
    <cfRule type="expression" dxfId="619" priority="22">
      <formula>IF($G8&gt;$I8,TRUE)</formula>
    </cfRule>
  </conditionalFormatting>
  <conditionalFormatting sqref="I8:I18">
    <cfRule type="expression" dxfId="618" priority="23">
      <formula>IF($G8&lt;$I8,TRUE)</formula>
    </cfRule>
  </conditionalFormatting>
  <conditionalFormatting sqref="F8:F18">
    <cfRule type="containsText" dxfId="617" priority="9" operator="containsText" text="vaba voor">
      <formula>NOT(ISERROR(SEARCH("vaba voor",F8)))</formula>
    </cfRule>
  </conditionalFormatting>
  <conditionalFormatting sqref="N8:N18">
    <cfRule type="containsText" dxfId="616" priority="7" operator="containsText" text="vaba voor">
      <formula>NOT(ISERROR(SEARCH("vaba voor",N8)))</formula>
    </cfRule>
  </conditionalFormatting>
  <conditionalFormatting sqref="R8:R18">
    <cfRule type="containsText" dxfId="615" priority="10" operator="containsText" text="vaba voor">
      <formula>NOT(ISERROR(SEARCH("vaba voor",R8)))</formula>
    </cfRule>
  </conditionalFormatting>
  <conditionalFormatting sqref="V8:V18">
    <cfRule type="containsText" dxfId="614" priority="6" operator="containsText" text="vaba voor">
      <formula>NOT(ISERROR(SEARCH("vaba voor",V8)))</formula>
    </cfRule>
  </conditionalFormatting>
  <conditionalFormatting sqref="J8:J18">
    <cfRule type="containsText" dxfId="613" priority="8" operator="containsText" text="vaba voor">
      <formula>NOT(ISERROR(SEARCH("vaba voor",J8)))</formula>
    </cfRule>
  </conditionalFormatting>
  <conditionalFormatting sqref="C8:F18">
    <cfRule type="expression" dxfId="612" priority="14">
      <formula>IF(AND(ISNUMBER($C8),$C8=$E8),TRUE)</formula>
    </cfRule>
    <cfRule type="expression" dxfId="611" priority="16">
      <formula>IF($C8&gt;$E8,TRUE)</formula>
    </cfRule>
    <cfRule type="expression" dxfId="610" priority="17">
      <formula>IF($C8&lt;$E8,TRUE)</formula>
    </cfRule>
  </conditionalFormatting>
  <conditionalFormatting sqref="G8:J18">
    <cfRule type="expression" dxfId="609" priority="15">
      <formula>IF(AND(ISNUMBER($G8),$G8=$I8),TRUE)</formula>
    </cfRule>
    <cfRule type="expression" dxfId="608" priority="20">
      <formula>IF($G8&gt;$I8,TRUE)</formula>
    </cfRule>
    <cfRule type="expression" dxfId="607" priority="21">
      <formula>IF($G8&lt;$I8,TRUE)</formula>
    </cfRule>
  </conditionalFormatting>
  <conditionalFormatting sqref="K8:N18">
    <cfRule type="expression" dxfId="606" priority="13">
      <formula>IF(AND(ISNUMBER($K8),$K8=$M8),TRUE)</formula>
    </cfRule>
    <cfRule type="expression" dxfId="605" priority="24">
      <formula>IF($K8&gt;$M8,TRUE)</formula>
    </cfRule>
    <cfRule type="expression" dxfId="604" priority="25">
      <formula>IF($K8&lt;$M8,TRUE)</formula>
    </cfRule>
  </conditionalFormatting>
  <conditionalFormatting sqref="O8:R18">
    <cfRule type="expression" dxfId="603" priority="12">
      <formula>IF(AND(ISNUMBER($O8),$O8=$Q8),TRUE)</formula>
    </cfRule>
    <cfRule type="expression" dxfId="602" priority="28">
      <formula>IF($O8&gt;$Q8,TRUE)</formula>
    </cfRule>
    <cfRule type="expression" dxfId="601" priority="29">
      <formula>IF($O8&lt;$Q8,TRUE)</formula>
    </cfRule>
  </conditionalFormatting>
  <conditionalFormatting sqref="S8:V18">
    <cfRule type="expression" dxfId="600" priority="11">
      <formula>IF(AND(ISNUMBER($S8),$S8=$U8),TRUE)</formula>
    </cfRule>
    <cfRule type="expression" dxfId="599" priority="32">
      <formula>IF($S8&gt;$U8,TRUE)</formula>
    </cfRule>
    <cfRule type="expression" dxfId="598" priority="33">
      <formula>IF($S8&lt;$U8,TRUE)</formula>
    </cfRule>
  </conditionalFormatting>
  <conditionalFormatting sqref="C8:C18 G8:G18 K8:K18 O8:O18 S8:S18">
    <cfRule type="expression" dxfId="597" priority="4">
      <formula>AND(C8=0,E8=13)</formula>
    </cfRule>
  </conditionalFormatting>
  <conditionalFormatting sqref="E8:E18 I8:I18 M8:M18 Q8:Q18 U8:U18">
    <cfRule type="expression" dxfId="596" priority="5">
      <formula>AND(E8=0,C8=13)</formula>
    </cfRule>
  </conditionalFormatting>
  <conditionalFormatting sqref="AF8:AF18 AJ8:AJ18 AL8:AL18">
    <cfRule type="expression" dxfId="595" priority="1">
      <formula>AND(AE8="",COUNTIF(AF8,"*,*")=0)</formula>
    </cfRule>
  </conditionalFormatting>
  <conditionalFormatting sqref="AH8:AH18">
    <cfRule type="expression" dxfId="594" priority="2">
      <formula>AND(AG8="",FIND(",",AH8))</formula>
    </cfRule>
    <cfRule type="expression" dxfId="593" priority="3">
      <formula>AND(AG8="",COUNTIF(AH8,"*,*")=0)</formula>
    </cfRule>
  </conditionalFormatting>
  <conditionalFormatting sqref="A300:A310">
    <cfRule type="duplicateValues" dxfId="592" priority="64"/>
  </conditionalFormatting>
  <conditionalFormatting sqref="A8:A18">
    <cfRule type="duplicateValues" dxfId="591" priority="133"/>
  </conditionalFormatting>
  <conditionalFormatting sqref="B300:B310">
    <cfRule type="expression" dxfId="590" priority="179">
      <formula>A300=3</formula>
    </cfRule>
    <cfRule type="expression" dxfId="589" priority="180">
      <formula>A300=2</formula>
    </cfRule>
    <cfRule type="expression" dxfId="588" priority="181">
      <formula>A300=1</formula>
    </cfRule>
    <cfRule type="containsBlanks" dxfId="587" priority="182">
      <formula>LEN(TRIM(B300))=0</formula>
    </cfRule>
    <cfRule type="duplicateValues" dxfId="586" priority="18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2"/>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7"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26.140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UPPER((Kalend!E13)&amp;" - "&amp;(Kalend!C13)&amp;" - "&amp;(Kalend!D13))</f>
        <v>V2 - VOKA IX KV 2.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"&amp;(Kalend!A13)&amp;" kell "&amp;(Kalend!B13)</f>
        <v>Toimumisaeg: T, 14.06.2022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"&amp;(Kalend!F13)</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"&amp;(Kalend!G13)</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529</v>
      </c>
      <c r="C8" s="613">
        <v>13</v>
      </c>
      <c r="D8" s="614" t="s">
        <v>288</v>
      </c>
      <c r="E8" s="614">
        <v>11</v>
      </c>
      <c r="F8" s="636" t="s">
        <v>294</v>
      </c>
      <c r="G8" s="613">
        <v>13</v>
      </c>
      <c r="H8" s="614" t="s">
        <v>288</v>
      </c>
      <c r="I8" s="614">
        <v>2</v>
      </c>
      <c r="J8" s="636" t="s">
        <v>530</v>
      </c>
      <c r="K8" s="613">
        <v>13</v>
      </c>
      <c r="L8" s="614" t="s">
        <v>288</v>
      </c>
      <c r="M8" s="614">
        <v>4</v>
      </c>
      <c r="N8" s="636" t="s">
        <v>533</v>
      </c>
      <c r="O8" s="613">
        <v>13</v>
      </c>
      <c r="P8" s="614" t="s">
        <v>288</v>
      </c>
      <c r="Q8" s="614">
        <v>11</v>
      </c>
      <c r="R8" s="636" t="s">
        <v>477</v>
      </c>
      <c r="S8" s="613"/>
      <c r="T8" s="614" t="s">
        <v>288</v>
      </c>
      <c r="U8" s="614"/>
      <c r="V8" s="636"/>
      <c r="W8" s="637">
        <f>IF(C8&gt;E8,J$3,IF(C8&lt;E8,J$5,IF(ISNUMBER(C8),J$4,0)))+IF(G8&gt;I8,J$3,IF(G8&lt;I8,J$5,IF(ISNUMBER(G8),J$4,0)))+IF(K8&gt;M8,J$3,IF(K8&lt;M8,J$5,IF(ISNUMBER(K8),J$4,0)))+IF(O8&gt;Q8,J$3,IF(O8&lt;Q8,J$5,IF(ISNUMBER(O8),J$4,0)))+IF(S8&gt;U8,J$3,IF(S8&lt;U8,J$5,IF(ISNUMBER(S8),J$4,0)))</f>
        <v>4</v>
      </c>
      <c r="X8" s="612">
        <v>18</v>
      </c>
      <c r="Y8" s="730">
        <v>76</v>
      </c>
      <c r="Z8" s="613">
        <f t="shared" ref="Z8:Z17" si="0">C8+G8+K8+O8+S8</f>
        <v>52</v>
      </c>
      <c r="AA8" s="614" t="s">
        <v>288</v>
      </c>
      <c r="AB8" s="615">
        <f t="shared" ref="AB8:AB17" si="1">E8+I8+M8+Q8+U8</f>
        <v>28</v>
      </c>
      <c r="AC8" s="616">
        <f>Z8-AB8</f>
        <v>24</v>
      </c>
      <c r="AD8" s="617"/>
      <c r="AE8" s="731">
        <f t="shared" ref="AE8" si="2">SUM(AF8:AM8)</f>
        <v>204</v>
      </c>
      <c r="AF8" s="732">
        <f>IFERROR(INDEX(V!R$7:R$56,MATCH(AG8,V!L$7:L$56,0)),"")</f>
        <v>108</v>
      </c>
      <c r="AG8" s="733" t="str">
        <f t="shared" ref="AG8:AG17" si="3">IFERROR(LEFT(B8,(FIND(",",B8,1)-1)),"")</f>
        <v>Hillar Neiland</v>
      </c>
      <c r="AH8" s="732">
        <f>IFERROR(INDEX(V!R$7:R$56,MATCH(AI8,V!L$7:L$56,0)),"")</f>
        <v>96</v>
      </c>
      <c r="AI8" s="733" t="str">
        <f t="shared" ref="AI8:AI17" si="4">IFERROR(MID(B8,FIND(", ",B8)+2,256),"")</f>
        <v>Tõnis Neiland</v>
      </c>
      <c r="AJ8" s="732" t="str">
        <f>IFERROR(INDEX(V!R$7:R$56,MATCH(AK8,V!L$7:L$56,0)),"")</f>
        <v/>
      </c>
      <c r="AK8" s="733" t="str">
        <f t="shared" ref="AK8:AK17" si="5">IFERROR(MID(B8,FIND("^",SUBSTITUTE(B8,", ","^",1))+2,FIND("^",SUBSTITUTE(B8,", ","^",2))-FIND("^",SUBSTITUTE(B8,", ","^",1))-2),"")</f>
        <v/>
      </c>
      <c r="AL8" s="732" t="str">
        <f>IFERROR(INDEX(V!R$7:R$56,MATCH(AM8,V!L$7:L$56,0)),"")</f>
        <v/>
      </c>
      <c r="AM8" s="733" t="str">
        <f t="shared" ref="AM8:AM17" si="6">IFERROR(MID(B8,FIND(", ",B8,FIND(", ",B8,FIND(", ",B8))+1)+2,700),"")</f>
        <v/>
      </c>
      <c r="AN8" s="573"/>
    </row>
    <row r="9" spans="1:40" x14ac:dyDescent="0.2">
      <c r="A9" s="634">
        <v>2</v>
      </c>
      <c r="B9" s="635" t="s">
        <v>533</v>
      </c>
      <c r="C9" s="613">
        <v>13</v>
      </c>
      <c r="D9" s="614" t="s">
        <v>288</v>
      </c>
      <c r="E9" s="614">
        <v>2</v>
      </c>
      <c r="F9" s="636" t="s">
        <v>482</v>
      </c>
      <c r="G9" s="613">
        <v>13</v>
      </c>
      <c r="H9" s="614" t="s">
        <v>288</v>
      </c>
      <c r="I9" s="614">
        <v>3</v>
      </c>
      <c r="J9" s="636" t="s">
        <v>477</v>
      </c>
      <c r="K9" s="613">
        <v>4</v>
      </c>
      <c r="L9" s="614" t="s">
        <v>288</v>
      </c>
      <c r="M9" s="614">
        <v>13</v>
      </c>
      <c r="N9" s="636" t="s">
        <v>529</v>
      </c>
      <c r="O9" s="613">
        <v>13</v>
      </c>
      <c r="P9" s="614" t="s">
        <v>288</v>
      </c>
      <c r="Q9" s="614">
        <v>9</v>
      </c>
      <c r="R9" s="636" t="s">
        <v>294</v>
      </c>
      <c r="S9" s="613"/>
      <c r="T9" s="614" t="s">
        <v>288</v>
      </c>
      <c r="U9" s="614"/>
      <c r="V9" s="636"/>
      <c r="W9" s="637">
        <f t="shared" ref="W9:W17" si="7">IF(C9&gt;E9,J$3,IF(C9&lt;E9,J$5,IF(ISNUMBER(C9),J$4,0)))+IF(G9&gt;I9,J$3,IF(G9&lt;I9,J$5,IF(ISNUMBER(G9),J$4,0)))+IF(K9&gt;M9,J$3,IF(K9&lt;M9,J$5,IF(ISNUMBER(K9),J$4,0)))+IF(O9&gt;Q9,J$3,IF(O9&lt;Q9,J$5,IF(ISNUMBER(O9),J$4,0)))+IF(S9&gt;U9,J$3,IF(S9&lt;U9,J$5,IF(ISNUMBER(S9),J$4,0)))</f>
        <v>3</v>
      </c>
      <c r="X9" s="612">
        <v>20</v>
      </c>
      <c r="Y9" s="730">
        <v>66</v>
      </c>
      <c r="Z9" s="613">
        <f t="shared" si="0"/>
        <v>43</v>
      </c>
      <c r="AA9" s="614" t="s">
        <v>288</v>
      </c>
      <c r="AB9" s="615">
        <f t="shared" si="1"/>
        <v>27</v>
      </c>
      <c r="AC9" s="616">
        <f t="shared" ref="AC9:AC17" si="8">Z9-AB9</f>
        <v>16</v>
      </c>
      <c r="AD9" s="617"/>
      <c r="AE9" s="731">
        <f t="shared" ref="AE9:AE17" si="9">SUM(AF9:AM9)</f>
        <v>130</v>
      </c>
      <c r="AF9" s="732">
        <f>IFERROR(INDEX(V!R$7:R$56,MATCH(AG9,V!L$7:L$56,0)),"")</f>
        <v>50</v>
      </c>
      <c r="AG9" s="733" t="str">
        <f t="shared" si="3"/>
        <v>Andrei Grintšak</v>
      </c>
      <c r="AH9" s="732">
        <f>IFERROR(INDEX(V!R$7:R$56,MATCH(AI9,V!L$7:L$56,0)),"")</f>
        <v>80</v>
      </c>
      <c r="AI9" s="733" t="str">
        <f t="shared" si="4"/>
        <v>Meelis Luud</v>
      </c>
      <c r="AJ9" s="732" t="str">
        <f>IFERROR(INDEX(V!R$7:R$56,MATCH(AK9,V!L$7:L$56,0)),"")</f>
        <v/>
      </c>
      <c r="AK9" s="733" t="str">
        <f t="shared" si="5"/>
        <v/>
      </c>
      <c r="AL9" s="732" t="str">
        <f>IFERROR(INDEX(V!R$7:R$56,MATCH(AM9,V!L$7:L$56,0)),"")</f>
        <v/>
      </c>
      <c r="AM9" s="733" t="str">
        <f t="shared" si="6"/>
        <v/>
      </c>
      <c r="AN9" s="573"/>
    </row>
    <row r="10" spans="1:40" x14ac:dyDescent="0.2">
      <c r="A10" s="634">
        <v>3</v>
      </c>
      <c r="B10" s="635" t="s">
        <v>294</v>
      </c>
      <c r="C10" s="613">
        <v>11</v>
      </c>
      <c r="D10" s="614" t="s">
        <v>288</v>
      </c>
      <c r="E10" s="614">
        <v>13</v>
      </c>
      <c r="F10" s="636" t="s">
        <v>529</v>
      </c>
      <c r="G10" s="613">
        <v>13</v>
      </c>
      <c r="H10" s="614" t="s">
        <v>288</v>
      </c>
      <c r="I10" s="614">
        <v>5</v>
      </c>
      <c r="J10" s="636" t="s">
        <v>531</v>
      </c>
      <c r="K10" s="613">
        <v>13</v>
      </c>
      <c r="L10" s="614" t="s">
        <v>288</v>
      </c>
      <c r="M10" s="614">
        <v>5</v>
      </c>
      <c r="N10" s="636" t="s">
        <v>530</v>
      </c>
      <c r="O10" s="613">
        <v>9</v>
      </c>
      <c r="P10" s="614" t="s">
        <v>288</v>
      </c>
      <c r="Q10" s="614">
        <v>13</v>
      </c>
      <c r="R10" s="636" t="s">
        <v>533</v>
      </c>
      <c r="S10" s="613"/>
      <c r="T10" s="614" t="s">
        <v>288</v>
      </c>
      <c r="U10" s="614"/>
      <c r="V10" s="636"/>
      <c r="W10" s="637">
        <f t="shared" si="7"/>
        <v>2</v>
      </c>
      <c r="X10" s="612">
        <v>20</v>
      </c>
      <c r="Y10" s="730">
        <v>74</v>
      </c>
      <c r="Z10" s="613">
        <f t="shared" si="0"/>
        <v>46</v>
      </c>
      <c r="AA10" s="614" t="s">
        <v>288</v>
      </c>
      <c r="AB10" s="615">
        <f t="shared" si="1"/>
        <v>36</v>
      </c>
      <c r="AC10" s="616">
        <f t="shared" si="8"/>
        <v>10</v>
      </c>
      <c r="AD10" s="617"/>
      <c r="AE10" s="731">
        <f t="shared" si="9"/>
        <v>188</v>
      </c>
      <c r="AF10" s="732">
        <f>IFERROR(INDEX(V!R$7:R$56,MATCH(AG10,V!L$7:L$56,0)),"")</f>
        <v>90</v>
      </c>
      <c r="AG10" s="733" t="str">
        <f t="shared" si="3"/>
        <v>Henri Mitt</v>
      </c>
      <c r="AH10" s="732">
        <f>IFERROR(INDEX(V!R$7:R$56,MATCH(AI10,V!L$7:L$56,0)),"")</f>
        <v>98</v>
      </c>
      <c r="AI10" s="733" t="str">
        <f t="shared" si="4"/>
        <v>Urmas Randlaine</v>
      </c>
      <c r="AJ10" s="732" t="str">
        <f>IFERROR(INDEX(V!R$7:R$56,MATCH(AK10,V!L$7:L$56,0)),"")</f>
        <v/>
      </c>
      <c r="AK10" s="733" t="str">
        <f t="shared" si="5"/>
        <v/>
      </c>
      <c r="AL10" s="732" t="str">
        <f>IFERROR(INDEX(V!R$7:R$56,MATCH(AM10,V!L$7:L$56,0)),"")</f>
        <v/>
      </c>
      <c r="AM10" s="733" t="str">
        <f t="shared" si="6"/>
        <v/>
      </c>
      <c r="AN10" s="573"/>
    </row>
    <row r="11" spans="1:40" x14ac:dyDescent="0.2">
      <c r="A11" s="634">
        <v>4</v>
      </c>
      <c r="B11" s="635" t="s">
        <v>530</v>
      </c>
      <c r="C11" s="613">
        <v>13</v>
      </c>
      <c r="D11" s="614" t="s">
        <v>288</v>
      </c>
      <c r="E11" s="614">
        <v>1</v>
      </c>
      <c r="F11" s="636" t="s">
        <v>479</v>
      </c>
      <c r="G11" s="613">
        <v>2</v>
      </c>
      <c r="H11" s="614" t="s">
        <v>288</v>
      </c>
      <c r="I11" s="614">
        <v>13</v>
      </c>
      <c r="J11" s="636" t="s">
        <v>529</v>
      </c>
      <c r="K11" s="613">
        <v>5</v>
      </c>
      <c r="L11" s="614" t="s">
        <v>288</v>
      </c>
      <c r="M11" s="614">
        <v>13</v>
      </c>
      <c r="N11" s="636" t="s">
        <v>294</v>
      </c>
      <c r="O11" s="613">
        <v>13</v>
      </c>
      <c r="P11" s="614" t="s">
        <v>288</v>
      </c>
      <c r="Q11" s="614">
        <v>10</v>
      </c>
      <c r="R11" s="636" t="s">
        <v>292</v>
      </c>
      <c r="S11" s="613"/>
      <c r="T11" s="614" t="s">
        <v>288</v>
      </c>
      <c r="U11" s="614"/>
      <c r="V11" s="636"/>
      <c r="W11" s="637">
        <f t="shared" si="7"/>
        <v>2</v>
      </c>
      <c r="X11" s="612">
        <v>20</v>
      </c>
      <c r="Y11" s="730">
        <v>60</v>
      </c>
      <c r="Z11" s="613">
        <f t="shared" si="0"/>
        <v>33</v>
      </c>
      <c r="AA11" s="614" t="s">
        <v>288</v>
      </c>
      <c r="AB11" s="615">
        <f t="shared" si="1"/>
        <v>37</v>
      </c>
      <c r="AC11" s="616">
        <f t="shared" si="8"/>
        <v>-4</v>
      </c>
      <c r="AD11" s="617"/>
      <c r="AE11" s="731">
        <f t="shared" si="9"/>
        <v>96</v>
      </c>
      <c r="AF11" s="732">
        <f>IFERROR(INDEX(V!R$7:R$56,MATCH(AG11,V!L$7:L$56,0)),"")</f>
        <v>40</v>
      </c>
      <c r="AG11" s="733" t="str">
        <f t="shared" si="3"/>
        <v>Enn Tokman</v>
      </c>
      <c r="AH11" s="732">
        <f>IFERROR(INDEX(V!R$7:R$56,MATCH(AI11,V!L$7:L$56,0)),"")</f>
        <v>56</v>
      </c>
      <c r="AI11" s="733" t="str">
        <f t="shared" si="4"/>
        <v>Jaan Saar</v>
      </c>
      <c r="AJ11" s="732" t="str">
        <f>IFERROR(INDEX(V!R$7:R$56,MATCH(AK11,V!L$7:L$56,0)),"")</f>
        <v/>
      </c>
      <c r="AK11" s="733" t="str">
        <f t="shared" si="5"/>
        <v/>
      </c>
      <c r="AL11" s="732" t="str">
        <f>IFERROR(INDEX(V!R$7:R$56,MATCH(AM11,V!L$7:L$56,0)),"")</f>
        <v/>
      </c>
      <c r="AM11" s="733" t="str">
        <f t="shared" si="6"/>
        <v/>
      </c>
      <c r="AN11" s="573"/>
    </row>
    <row r="12" spans="1:40" x14ac:dyDescent="0.2">
      <c r="A12" s="634">
        <v>5</v>
      </c>
      <c r="B12" s="635" t="s">
        <v>477</v>
      </c>
      <c r="C12" s="613">
        <v>13</v>
      </c>
      <c r="D12" s="614" t="s">
        <v>288</v>
      </c>
      <c r="E12" s="614">
        <v>1</v>
      </c>
      <c r="F12" s="636" t="s">
        <v>532</v>
      </c>
      <c r="G12" s="613">
        <v>3</v>
      </c>
      <c r="H12" s="614" t="s">
        <v>288</v>
      </c>
      <c r="I12" s="614">
        <v>13</v>
      </c>
      <c r="J12" s="636" t="s">
        <v>533</v>
      </c>
      <c r="K12" s="613">
        <v>13</v>
      </c>
      <c r="L12" s="614" t="s">
        <v>288</v>
      </c>
      <c r="M12" s="614">
        <v>9</v>
      </c>
      <c r="N12" s="636" t="s">
        <v>531</v>
      </c>
      <c r="O12" s="613">
        <v>11</v>
      </c>
      <c r="P12" s="614" t="s">
        <v>288</v>
      </c>
      <c r="Q12" s="614">
        <v>13</v>
      </c>
      <c r="R12" s="636" t="s">
        <v>529</v>
      </c>
      <c r="S12" s="613"/>
      <c r="T12" s="614" t="s">
        <v>288</v>
      </c>
      <c r="U12" s="614"/>
      <c r="V12" s="636"/>
      <c r="W12" s="637">
        <f t="shared" si="7"/>
        <v>2</v>
      </c>
      <c r="X12" s="612">
        <v>16</v>
      </c>
      <c r="Y12" s="730">
        <v>70</v>
      </c>
      <c r="Z12" s="613">
        <f t="shared" si="0"/>
        <v>40</v>
      </c>
      <c r="AA12" s="614" t="s">
        <v>288</v>
      </c>
      <c r="AB12" s="615">
        <f t="shared" si="1"/>
        <v>36</v>
      </c>
      <c r="AC12" s="616">
        <f t="shared" si="8"/>
        <v>4</v>
      </c>
      <c r="AD12" s="617"/>
      <c r="AE12" s="731">
        <f t="shared" si="9"/>
        <v>280</v>
      </c>
      <c r="AF12" s="732">
        <f>IFERROR(INDEX(V!R$7:R$56,MATCH(AG12,V!L$7:L$56,0)),"")</f>
        <v>140</v>
      </c>
      <c r="AG12" s="733" t="str">
        <f t="shared" si="3"/>
        <v>Kenneth Muusikus</v>
      </c>
      <c r="AH12" s="732">
        <f>IFERROR(INDEX(V!R$7:R$56,MATCH(AI12,V!L$7:L$56,0)),"")</f>
        <v>140</v>
      </c>
      <c r="AI12" s="733" t="str">
        <f t="shared" si="4"/>
        <v>Sander Rose</v>
      </c>
      <c r="AJ12" s="732" t="str">
        <f>IFERROR(INDEX(V!R$7:R$56,MATCH(AK12,V!L$7:L$56,0)),"")</f>
        <v/>
      </c>
      <c r="AK12" s="733" t="str">
        <f t="shared" si="5"/>
        <v/>
      </c>
      <c r="AL12" s="732" t="str">
        <f>IFERROR(INDEX(V!R$7:R$56,MATCH(AM12,V!L$7:L$56,0)),"")</f>
        <v/>
      </c>
      <c r="AM12" s="733" t="str">
        <f t="shared" si="6"/>
        <v/>
      </c>
      <c r="AN12" s="573"/>
    </row>
    <row r="13" spans="1:40" x14ac:dyDescent="0.2">
      <c r="A13" s="634">
        <v>6</v>
      </c>
      <c r="B13" s="635" t="s">
        <v>482</v>
      </c>
      <c r="C13" s="613">
        <v>2</v>
      </c>
      <c r="D13" s="614" t="s">
        <v>288</v>
      </c>
      <c r="E13" s="614">
        <v>13</v>
      </c>
      <c r="F13" s="636" t="s">
        <v>533</v>
      </c>
      <c r="G13" s="613">
        <v>11</v>
      </c>
      <c r="H13" s="614" t="s">
        <v>288</v>
      </c>
      <c r="I13" s="614">
        <v>13</v>
      </c>
      <c r="J13" s="636" t="s">
        <v>479</v>
      </c>
      <c r="K13" s="613">
        <v>13</v>
      </c>
      <c r="L13" s="614" t="s">
        <v>288</v>
      </c>
      <c r="M13" s="614">
        <v>6</v>
      </c>
      <c r="N13" s="636" t="s">
        <v>532</v>
      </c>
      <c r="O13" s="613">
        <v>10</v>
      </c>
      <c r="P13" s="614" t="s">
        <v>288</v>
      </c>
      <c r="Q13" s="614">
        <v>9</v>
      </c>
      <c r="R13" s="636" t="s">
        <v>531</v>
      </c>
      <c r="S13" s="613"/>
      <c r="T13" s="614" t="s">
        <v>288</v>
      </c>
      <c r="U13" s="614"/>
      <c r="V13" s="636"/>
      <c r="W13" s="637">
        <f t="shared" si="7"/>
        <v>2</v>
      </c>
      <c r="X13" s="612">
        <v>12</v>
      </c>
      <c r="Y13" s="730">
        <v>64</v>
      </c>
      <c r="Z13" s="613">
        <f t="shared" si="0"/>
        <v>36</v>
      </c>
      <c r="AA13" s="614" t="s">
        <v>288</v>
      </c>
      <c r="AB13" s="615">
        <f t="shared" si="1"/>
        <v>41</v>
      </c>
      <c r="AC13" s="616">
        <f t="shared" si="8"/>
        <v>-5</v>
      </c>
      <c r="AD13" s="617"/>
      <c r="AE13" s="731">
        <f t="shared" si="9"/>
        <v>104</v>
      </c>
      <c r="AF13" s="732">
        <f>IFERROR(INDEX(V!R$7:R$56,MATCH(AG13,V!L$7:L$56,0)),"")</f>
        <v>44</v>
      </c>
      <c r="AG13" s="733" t="str">
        <f t="shared" si="3"/>
        <v>Lemmit Toomra</v>
      </c>
      <c r="AH13" s="732">
        <f>IFERROR(INDEX(V!R$7:R$56,MATCH(AI13,V!L$7:L$56,0)),"")</f>
        <v>60</v>
      </c>
      <c r="AI13" s="733" t="str">
        <f t="shared" si="4"/>
        <v>Tõnu Kapper</v>
      </c>
      <c r="AJ13" s="732" t="str">
        <f>IFERROR(INDEX(V!R$7:R$56,MATCH(AK13,V!L$7:L$56,0)),"")</f>
        <v/>
      </c>
      <c r="AK13" s="733" t="str">
        <f t="shared" si="5"/>
        <v/>
      </c>
      <c r="AL13" s="732" t="str">
        <f>IFERROR(INDEX(V!R$7:R$56,MATCH(AM13,V!L$7:L$56,0)),"")</f>
        <v/>
      </c>
      <c r="AM13" s="733" t="str">
        <f t="shared" si="6"/>
        <v/>
      </c>
      <c r="AN13" s="573"/>
    </row>
    <row r="14" spans="1:40" x14ac:dyDescent="0.2">
      <c r="A14" s="634">
        <v>7</v>
      </c>
      <c r="B14" s="638" t="s">
        <v>479</v>
      </c>
      <c r="C14" s="613">
        <v>1</v>
      </c>
      <c r="D14" s="614" t="s">
        <v>288</v>
      </c>
      <c r="E14" s="614">
        <v>13</v>
      </c>
      <c r="F14" s="636" t="s">
        <v>530</v>
      </c>
      <c r="G14" s="613">
        <v>13</v>
      </c>
      <c r="H14" s="614" t="s">
        <v>288</v>
      </c>
      <c r="I14" s="614">
        <v>11</v>
      </c>
      <c r="J14" s="636" t="s">
        <v>482</v>
      </c>
      <c r="K14" s="613">
        <v>3</v>
      </c>
      <c r="L14" s="614" t="s">
        <v>288</v>
      </c>
      <c r="M14" s="614">
        <v>13</v>
      </c>
      <c r="N14" s="636" t="s">
        <v>292</v>
      </c>
      <c r="O14" s="613">
        <v>13</v>
      </c>
      <c r="P14" s="614" t="s">
        <v>288</v>
      </c>
      <c r="Q14" s="614">
        <v>11</v>
      </c>
      <c r="R14" s="636" t="s">
        <v>532</v>
      </c>
      <c r="S14" s="613"/>
      <c r="T14" s="614" t="s">
        <v>288</v>
      </c>
      <c r="U14" s="614"/>
      <c r="V14" s="636"/>
      <c r="W14" s="637">
        <f t="shared" si="7"/>
        <v>2</v>
      </c>
      <c r="X14" s="612">
        <v>12</v>
      </c>
      <c r="Y14" s="730">
        <v>58</v>
      </c>
      <c r="Z14" s="613">
        <f t="shared" si="0"/>
        <v>30</v>
      </c>
      <c r="AA14" s="614" t="s">
        <v>288</v>
      </c>
      <c r="AB14" s="615">
        <f t="shared" si="1"/>
        <v>48</v>
      </c>
      <c r="AC14" s="616">
        <f t="shared" si="8"/>
        <v>-18</v>
      </c>
      <c r="AD14" s="617"/>
      <c r="AE14" s="731">
        <f t="shared" si="9"/>
        <v>232</v>
      </c>
      <c r="AF14" s="732">
        <f>IFERROR(INDEX(V!R$7:R$56,MATCH(AG14,V!L$7:L$56,0)),"")</f>
        <v>24</v>
      </c>
      <c r="AG14" s="733" t="str">
        <f t="shared" si="3"/>
        <v>Airi Veski</v>
      </c>
      <c r="AH14" s="732" t="str">
        <f>IFERROR(INDEX(V!R$7:R$56,MATCH(AI14,V!L$7:L$56,0)),"")</f>
        <v/>
      </c>
      <c r="AI14" s="733" t="str">
        <f t="shared" si="4"/>
        <v>Andres Veski, Svetlana Veski</v>
      </c>
      <c r="AJ14" s="732">
        <f>IFERROR(INDEX(V!R$7:R$56,MATCH(AK14,V!L$7:L$56,0)),"")</f>
        <v>108</v>
      </c>
      <c r="AK14" s="733" t="str">
        <f t="shared" si="5"/>
        <v>Andres Veski</v>
      </c>
      <c r="AL14" s="732">
        <f>IFERROR(INDEX(V!R$7:R$56,MATCH(AM14,V!L$7:L$56,0)),"")</f>
        <v>100</v>
      </c>
      <c r="AM14" s="733" t="str">
        <f t="shared" si="6"/>
        <v>Svetlana Veski</v>
      </c>
      <c r="AN14" s="573"/>
    </row>
    <row r="15" spans="1:40" x14ac:dyDescent="0.2">
      <c r="A15" s="634">
        <v>8</v>
      </c>
      <c r="B15" s="638" t="s">
        <v>292</v>
      </c>
      <c r="C15" s="613">
        <v>8</v>
      </c>
      <c r="D15" s="614" t="s">
        <v>288</v>
      </c>
      <c r="E15" s="614">
        <v>10</v>
      </c>
      <c r="F15" s="636" t="s">
        <v>531</v>
      </c>
      <c r="G15" s="613">
        <v>13</v>
      </c>
      <c r="H15" s="614" t="s">
        <v>288</v>
      </c>
      <c r="I15" s="614">
        <v>5</v>
      </c>
      <c r="J15" s="636" t="s">
        <v>532</v>
      </c>
      <c r="K15" s="613">
        <v>13</v>
      </c>
      <c r="L15" s="614" t="s">
        <v>288</v>
      </c>
      <c r="M15" s="614">
        <v>3</v>
      </c>
      <c r="N15" s="636" t="s">
        <v>479</v>
      </c>
      <c r="O15" s="613">
        <v>10</v>
      </c>
      <c r="P15" s="614" t="s">
        <v>288</v>
      </c>
      <c r="Q15" s="614">
        <v>13</v>
      </c>
      <c r="R15" s="636" t="s">
        <v>530</v>
      </c>
      <c r="S15" s="613"/>
      <c r="T15" s="614" t="s">
        <v>288</v>
      </c>
      <c r="U15" s="614"/>
      <c r="V15" s="636"/>
      <c r="W15" s="637">
        <f t="shared" si="7"/>
        <v>2</v>
      </c>
      <c r="X15" s="612">
        <v>10</v>
      </c>
      <c r="Y15" s="730">
        <v>64</v>
      </c>
      <c r="Z15" s="613">
        <f t="shared" si="0"/>
        <v>44</v>
      </c>
      <c r="AA15" s="614" t="s">
        <v>288</v>
      </c>
      <c r="AB15" s="615">
        <f t="shared" si="1"/>
        <v>31</v>
      </c>
      <c r="AC15" s="616">
        <f t="shared" si="8"/>
        <v>13</v>
      </c>
      <c r="AD15" s="617"/>
      <c r="AE15" s="731">
        <f t="shared" si="9"/>
        <v>244</v>
      </c>
      <c r="AF15" s="732">
        <f>IFERROR(INDEX(V!R$7:R$56,MATCH(AG15,V!L$7:L$56,0)),"")</f>
        <v>122</v>
      </c>
      <c r="AG15" s="733" t="str">
        <f t="shared" si="3"/>
        <v>Oksana Rõndenkova</v>
      </c>
      <c r="AH15" s="732">
        <f>IFERROR(INDEX(V!R$7:R$56,MATCH(AI15,V!L$7:L$56,0)),"")</f>
        <v>122</v>
      </c>
      <c r="AI15" s="733" t="str">
        <f t="shared" si="4"/>
        <v>Oleg Rõndenkov</v>
      </c>
      <c r="AJ15" s="732" t="str">
        <f>IFERROR(INDEX(V!R$7:R$56,MATCH(AK15,V!L$7:L$56,0)),"")</f>
        <v/>
      </c>
      <c r="AK15" s="733" t="str">
        <f t="shared" si="5"/>
        <v/>
      </c>
      <c r="AL15" s="732" t="str">
        <f>IFERROR(INDEX(V!R$7:R$56,MATCH(AM15,V!L$7:L$56,0)),"")</f>
        <v/>
      </c>
      <c r="AM15" s="733" t="str">
        <f t="shared" si="6"/>
        <v/>
      </c>
      <c r="AN15" s="573"/>
    </row>
    <row r="16" spans="1:40" x14ac:dyDescent="0.2">
      <c r="A16" s="634">
        <v>9</v>
      </c>
      <c r="B16" s="635" t="s">
        <v>531</v>
      </c>
      <c r="C16" s="613">
        <v>10</v>
      </c>
      <c r="D16" s="614" t="s">
        <v>288</v>
      </c>
      <c r="E16" s="614">
        <v>8</v>
      </c>
      <c r="F16" s="636" t="s">
        <v>292</v>
      </c>
      <c r="G16" s="613">
        <v>5</v>
      </c>
      <c r="H16" s="614" t="s">
        <v>288</v>
      </c>
      <c r="I16" s="614">
        <v>13</v>
      </c>
      <c r="J16" s="636" t="s">
        <v>294</v>
      </c>
      <c r="K16" s="613">
        <v>9</v>
      </c>
      <c r="L16" s="614" t="s">
        <v>288</v>
      </c>
      <c r="M16" s="614">
        <v>13</v>
      </c>
      <c r="N16" s="636" t="s">
        <v>477</v>
      </c>
      <c r="O16" s="613">
        <v>9</v>
      </c>
      <c r="P16" s="614" t="s">
        <v>288</v>
      </c>
      <c r="Q16" s="614">
        <v>10</v>
      </c>
      <c r="R16" s="636" t="s">
        <v>482</v>
      </c>
      <c r="S16" s="613"/>
      <c r="T16" s="614" t="s">
        <v>288</v>
      </c>
      <c r="U16" s="614"/>
      <c r="V16" s="636"/>
      <c r="W16" s="637">
        <f t="shared" si="7"/>
        <v>1</v>
      </c>
      <c r="X16" s="612">
        <v>16</v>
      </c>
      <c r="Y16" s="730">
        <v>58</v>
      </c>
      <c r="Z16" s="613">
        <f t="shared" si="0"/>
        <v>33</v>
      </c>
      <c r="AA16" s="614" t="s">
        <v>288</v>
      </c>
      <c r="AB16" s="615">
        <f t="shared" si="1"/>
        <v>44</v>
      </c>
      <c r="AC16" s="616">
        <f t="shared" si="8"/>
        <v>-11</v>
      </c>
      <c r="AD16" s="617"/>
      <c r="AE16" s="731">
        <f t="shared" si="9"/>
        <v>80</v>
      </c>
      <c r="AF16" s="732">
        <f>IFERROR(INDEX(V!R$7:R$56,MATCH(AG16,V!L$7:L$56,0)),"")</f>
        <v>4</v>
      </c>
      <c r="AG16" s="733" t="str">
        <f t="shared" si="3"/>
        <v>Illar Tõnurist</v>
      </c>
      <c r="AH16" s="732">
        <f>IFERROR(INDEX(V!R$7:R$56,MATCH(AI16,V!L$7:L$56,0)),"")</f>
        <v>76</v>
      </c>
      <c r="AI16" s="733" t="str">
        <f t="shared" si="4"/>
        <v>Sirje Maala</v>
      </c>
      <c r="AJ16" s="732" t="str">
        <f>IFERROR(INDEX(V!R$7:R$56,MATCH(AK16,V!L$7:L$56,0)),"")</f>
        <v/>
      </c>
      <c r="AK16" s="733" t="str">
        <f t="shared" si="5"/>
        <v/>
      </c>
      <c r="AL16" s="732" t="str">
        <f>IFERROR(INDEX(V!R$7:R$56,MATCH(AM16,V!L$7:L$56,0)),"")</f>
        <v/>
      </c>
      <c r="AM16" s="733" t="str">
        <f t="shared" si="6"/>
        <v/>
      </c>
      <c r="AN16" s="573"/>
    </row>
    <row r="17" spans="1:40" x14ac:dyDescent="0.2">
      <c r="A17" s="634">
        <v>10</v>
      </c>
      <c r="B17" s="635" t="s">
        <v>532</v>
      </c>
      <c r="C17" s="613">
        <v>1</v>
      </c>
      <c r="D17" s="614" t="s">
        <v>288</v>
      </c>
      <c r="E17" s="614">
        <v>13</v>
      </c>
      <c r="F17" s="636" t="s">
        <v>477</v>
      </c>
      <c r="G17" s="613">
        <v>5</v>
      </c>
      <c r="H17" s="614" t="s">
        <v>288</v>
      </c>
      <c r="I17" s="614">
        <v>13</v>
      </c>
      <c r="J17" s="636" t="s">
        <v>292</v>
      </c>
      <c r="K17" s="613">
        <v>6</v>
      </c>
      <c r="L17" s="614" t="s">
        <v>288</v>
      </c>
      <c r="M17" s="614">
        <v>13</v>
      </c>
      <c r="N17" s="636" t="s">
        <v>482</v>
      </c>
      <c r="O17" s="613">
        <v>11</v>
      </c>
      <c r="P17" s="614" t="s">
        <v>288</v>
      </c>
      <c r="Q17" s="614">
        <v>13</v>
      </c>
      <c r="R17" s="636" t="s">
        <v>479</v>
      </c>
      <c r="S17" s="613"/>
      <c r="T17" s="614" t="s">
        <v>288</v>
      </c>
      <c r="U17" s="614"/>
      <c r="V17" s="636"/>
      <c r="W17" s="637">
        <f t="shared" si="7"/>
        <v>0</v>
      </c>
      <c r="X17" s="612">
        <v>16</v>
      </c>
      <c r="Y17" s="730">
        <v>50</v>
      </c>
      <c r="Z17" s="613">
        <f t="shared" si="0"/>
        <v>23</v>
      </c>
      <c r="AA17" s="614" t="s">
        <v>288</v>
      </c>
      <c r="AB17" s="615">
        <f t="shared" si="1"/>
        <v>52</v>
      </c>
      <c r="AC17" s="616">
        <f t="shared" si="8"/>
        <v>-29</v>
      </c>
      <c r="AD17" s="617"/>
      <c r="AE17" s="731">
        <f t="shared" si="9"/>
        <v>72</v>
      </c>
      <c r="AF17" s="732">
        <f>IFERROR(INDEX(V!R$7:R$56,MATCH(AG17,V!L$7:L$56,0)),"")</f>
        <v>2</v>
      </c>
      <c r="AG17" s="733" t="str">
        <f t="shared" si="3"/>
        <v>Kirsika Loik</v>
      </c>
      <c r="AH17" s="732" t="str">
        <f>IFERROR(INDEX(V!R$7:R$56,MATCH(AI17,V!L$7:L$56,0)),"")</f>
        <v/>
      </c>
      <c r="AI17" s="733" t="str">
        <f t="shared" si="4"/>
        <v>Ronald Jõeäär, Urmas Jõeäär</v>
      </c>
      <c r="AJ17" s="732">
        <f>IFERROR(INDEX(V!R$7:R$56,MATCH(AK17,V!L$7:L$56,0)),"")</f>
        <v>20</v>
      </c>
      <c r="AK17" s="733" t="str">
        <f t="shared" si="5"/>
        <v>Ronald Jõeäär</v>
      </c>
      <c r="AL17" s="732">
        <f>IFERROR(INDEX(V!R$7:R$56,MATCH(AM17,V!L$7:L$56,0)),"")</f>
        <v>50</v>
      </c>
      <c r="AM17" s="733" t="str">
        <f t="shared" si="6"/>
        <v>Urmas Jõeäär</v>
      </c>
      <c r="AN17" s="573"/>
    </row>
    <row r="19" spans="1:40"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9" si="10">IFERROR(INDEX(B$1:B$85,MATCH(A300,A$1:A$85,0)),"")</f>
        <v>Hillar Neiland, Tõnis Neiland</v>
      </c>
      <c r="C300" s="734">
        <f>LARGE(A$300:A$400,1)*2+2-A300*2</f>
        <v>20</v>
      </c>
    </row>
    <row r="301" spans="1:40" x14ac:dyDescent="0.2">
      <c r="A301" s="627">
        <v>2</v>
      </c>
      <c r="B301" s="628" t="str">
        <f t="shared" si="10"/>
        <v>Andrei Grintšak, Meelis Luud</v>
      </c>
      <c r="C301" s="734">
        <f t="shared" ref="C301:C309" si="11">LARGE(A$300:A$400,1)*2+2-A301*2</f>
        <v>18</v>
      </c>
    </row>
    <row r="302" spans="1:40" x14ac:dyDescent="0.2">
      <c r="A302" s="627">
        <v>3</v>
      </c>
      <c r="B302" s="628" t="str">
        <f t="shared" si="10"/>
        <v>Henri Mitt, Urmas Randlaine</v>
      </c>
      <c r="C302" s="734">
        <f t="shared" si="11"/>
        <v>16</v>
      </c>
    </row>
    <row r="303" spans="1:40" x14ac:dyDescent="0.2">
      <c r="A303" s="627">
        <v>4</v>
      </c>
      <c r="B303" s="628" t="str">
        <f t="shared" si="10"/>
        <v>Enn Tokman, Jaan Saar</v>
      </c>
      <c r="C303" s="734">
        <f t="shared" si="11"/>
        <v>14</v>
      </c>
    </row>
    <row r="304" spans="1:40" x14ac:dyDescent="0.2">
      <c r="A304" s="627">
        <v>5</v>
      </c>
      <c r="B304" s="628" t="str">
        <f t="shared" si="10"/>
        <v>Kenneth Muusikus, Sander Rose</v>
      </c>
      <c r="C304" s="734">
        <f t="shared" si="11"/>
        <v>12</v>
      </c>
    </row>
    <row r="305" spans="1:3" x14ac:dyDescent="0.2">
      <c r="A305" s="627">
        <v>6</v>
      </c>
      <c r="B305" s="628" t="str">
        <f t="shared" si="10"/>
        <v>Lemmit Toomra, Tõnu Kapper</v>
      </c>
      <c r="C305" s="734">
        <f t="shared" si="11"/>
        <v>10</v>
      </c>
    </row>
    <row r="306" spans="1:3" x14ac:dyDescent="0.2">
      <c r="A306" s="627">
        <v>7</v>
      </c>
      <c r="B306" s="628" t="str">
        <f t="shared" si="10"/>
        <v>Airi Veski, Andres Veski, Svetlana Veski</v>
      </c>
      <c r="C306" s="734">
        <f t="shared" si="11"/>
        <v>8</v>
      </c>
    </row>
    <row r="307" spans="1:3" x14ac:dyDescent="0.2">
      <c r="A307" s="627">
        <v>8</v>
      </c>
      <c r="B307" s="628" t="str">
        <f t="shared" si="10"/>
        <v>Oksana Rõndenkova, Oleg Rõndenkov</v>
      </c>
      <c r="C307" s="734">
        <f t="shared" si="11"/>
        <v>6</v>
      </c>
    </row>
    <row r="308" spans="1:3" x14ac:dyDescent="0.2">
      <c r="A308" s="627">
        <v>9</v>
      </c>
      <c r="B308" s="628" t="str">
        <f t="shared" si="10"/>
        <v>Illar Tõnurist, Sirje Maala</v>
      </c>
      <c r="C308" s="734">
        <f t="shared" si="11"/>
        <v>4</v>
      </c>
    </row>
    <row r="309" spans="1:3" x14ac:dyDescent="0.2">
      <c r="A309" s="627">
        <v>10</v>
      </c>
      <c r="B309" s="628" t="str">
        <f t="shared" si="10"/>
        <v>Kirsika Loik, Ronald Jõeäär, Urmas Jõeäär</v>
      </c>
      <c r="C309" s="734">
        <f t="shared" si="11"/>
        <v>2</v>
      </c>
    </row>
    <row r="310" spans="1:3" x14ac:dyDescent="0.2">
      <c r="C310" s="734"/>
    </row>
    <row r="311" spans="1:3" x14ac:dyDescent="0.2">
      <c r="C311" s="734"/>
    </row>
    <row r="312" spans="1:3" x14ac:dyDescent="0.2">
      <c r="C312" s="734"/>
    </row>
  </sheetData>
  <conditionalFormatting sqref="C8:C17">
    <cfRule type="expression" dxfId="585" priority="18">
      <formula>IF($C8&gt;$E8,TRUE)</formula>
    </cfRule>
  </conditionalFormatting>
  <conditionalFormatting sqref="E8:E17">
    <cfRule type="expression" dxfId="584" priority="19">
      <formula>IF($C8&lt;$E8,TRUE)</formula>
    </cfRule>
  </conditionalFormatting>
  <conditionalFormatting sqref="K8:K17">
    <cfRule type="expression" dxfId="583" priority="26">
      <formula>IF($K8&gt;$M8,TRUE)</formula>
    </cfRule>
  </conditionalFormatting>
  <conditionalFormatting sqref="M8:M17">
    <cfRule type="expression" dxfId="582" priority="27">
      <formula>IF($K8&lt;$M8,TRUE)</formula>
    </cfRule>
  </conditionalFormatting>
  <conditionalFormatting sqref="O8:O17">
    <cfRule type="expression" dxfId="581" priority="30">
      <formula>IF($O8&gt;$Q8,TRUE)</formula>
    </cfRule>
  </conditionalFormatting>
  <conditionalFormatting sqref="Q8:Q17">
    <cfRule type="expression" dxfId="580" priority="31">
      <formula>IF($O8&lt;$Q8,TRUE)</formula>
    </cfRule>
  </conditionalFormatting>
  <conditionalFormatting sqref="S8:S17">
    <cfRule type="expression" dxfId="579" priority="34">
      <formula>IF($S8&gt;$U8,TRUE)</formula>
    </cfRule>
  </conditionalFormatting>
  <conditionalFormatting sqref="U8:U17">
    <cfRule type="expression" dxfId="578" priority="35">
      <formula>IF($S8&lt;$U8,TRUE)</formula>
    </cfRule>
  </conditionalFormatting>
  <conditionalFormatting sqref="G8:G17">
    <cfRule type="expression" dxfId="577" priority="22">
      <formula>IF($G8&gt;$I8,TRUE)</formula>
    </cfRule>
  </conditionalFormatting>
  <conditionalFormatting sqref="I8:I17">
    <cfRule type="expression" dxfId="576" priority="23">
      <formula>IF($G8&lt;$I8,TRUE)</formula>
    </cfRule>
  </conditionalFormatting>
  <conditionalFormatting sqref="F8:F17">
    <cfRule type="containsText" dxfId="575" priority="9" operator="containsText" text="vaba voor">
      <formula>NOT(ISERROR(SEARCH("vaba voor",F8)))</formula>
    </cfRule>
  </conditionalFormatting>
  <conditionalFormatting sqref="N8:N17">
    <cfRule type="containsText" dxfId="574" priority="7" operator="containsText" text="vaba voor">
      <formula>NOT(ISERROR(SEARCH("vaba voor",N8)))</formula>
    </cfRule>
  </conditionalFormatting>
  <conditionalFormatting sqref="R8:R17">
    <cfRule type="containsText" dxfId="573" priority="10" operator="containsText" text="vaba voor">
      <formula>NOT(ISERROR(SEARCH("vaba voor",R8)))</formula>
    </cfRule>
  </conditionalFormatting>
  <conditionalFormatting sqref="V8:V17">
    <cfRule type="containsText" dxfId="572" priority="6" operator="containsText" text="vaba voor">
      <formula>NOT(ISERROR(SEARCH("vaba voor",V8)))</formula>
    </cfRule>
  </conditionalFormatting>
  <conditionalFormatting sqref="J8:J17">
    <cfRule type="containsText" dxfId="571" priority="8" operator="containsText" text="vaba voor">
      <formula>NOT(ISERROR(SEARCH("vaba voor",J8)))</formula>
    </cfRule>
  </conditionalFormatting>
  <conditionalFormatting sqref="C8:F17">
    <cfRule type="expression" dxfId="570" priority="14">
      <formula>IF(AND(ISNUMBER($C8),$C8=$E8),TRUE)</formula>
    </cfRule>
    <cfRule type="expression" dxfId="569" priority="16">
      <formula>IF($C8&gt;$E8,TRUE)</formula>
    </cfRule>
    <cfRule type="expression" dxfId="568" priority="17">
      <formula>IF($C8&lt;$E8,TRUE)</formula>
    </cfRule>
  </conditionalFormatting>
  <conditionalFormatting sqref="G8:J17">
    <cfRule type="expression" dxfId="567" priority="15">
      <formula>IF(AND(ISNUMBER($G8),$G8=$I8),TRUE)</formula>
    </cfRule>
    <cfRule type="expression" dxfId="566" priority="20">
      <formula>IF($G8&gt;$I8,TRUE)</formula>
    </cfRule>
    <cfRule type="expression" dxfId="565" priority="21">
      <formula>IF($G8&lt;$I8,TRUE)</formula>
    </cfRule>
  </conditionalFormatting>
  <conditionalFormatting sqref="K8:N17">
    <cfRule type="expression" dxfId="564" priority="13">
      <formula>IF(AND(ISNUMBER($K8),$K8=$M8),TRUE)</formula>
    </cfRule>
    <cfRule type="expression" dxfId="563" priority="24">
      <formula>IF($K8&gt;$M8,TRUE)</formula>
    </cfRule>
    <cfRule type="expression" dxfId="562" priority="25">
      <formula>IF($K8&lt;$M8,TRUE)</formula>
    </cfRule>
  </conditionalFormatting>
  <conditionalFormatting sqref="O8:R17">
    <cfRule type="expression" dxfId="561" priority="12">
      <formula>IF(AND(ISNUMBER($O8),$O8=$Q8),TRUE)</formula>
    </cfRule>
    <cfRule type="expression" dxfId="560" priority="28">
      <formula>IF($O8&gt;$Q8,TRUE)</formula>
    </cfRule>
    <cfRule type="expression" dxfId="559" priority="29">
      <formula>IF($O8&lt;$Q8,TRUE)</formula>
    </cfRule>
  </conditionalFormatting>
  <conditionalFormatting sqref="S8:V17">
    <cfRule type="expression" dxfId="558" priority="11">
      <formula>IF(AND(ISNUMBER($S8),$S8=$U8),TRUE)</formula>
    </cfRule>
    <cfRule type="expression" dxfId="557" priority="32">
      <formula>IF($S8&gt;$U8,TRUE)</formula>
    </cfRule>
    <cfRule type="expression" dxfId="556" priority="33">
      <formula>IF($S8&lt;$U8,TRUE)</formula>
    </cfRule>
  </conditionalFormatting>
  <conditionalFormatting sqref="C8:C17 G8:G17 K8:K17 O8:O17 S8:S17">
    <cfRule type="expression" dxfId="555" priority="4">
      <formula>AND(C8=0,E8=13)</formula>
    </cfRule>
  </conditionalFormatting>
  <conditionalFormatting sqref="E8:E17 I8:I17 M8:M17 Q8:Q17 U8:U17">
    <cfRule type="expression" dxfId="554" priority="5">
      <formula>AND(E8=0,C8=13)</formula>
    </cfRule>
  </conditionalFormatting>
  <conditionalFormatting sqref="AG8:AG17 AK8:AK17 AM8:AM17">
    <cfRule type="expression" dxfId="553" priority="1">
      <formula>AND(AF8="",COUNTIF(AG8,"*,*")=0)</formula>
    </cfRule>
  </conditionalFormatting>
  <conditionalFormatting sqref="AI8:AI17">
    <cfRule type="expression" dxfId="552" priority="2">
      <formula>AND(AH8="",FIND(",",AI8))</formula>
    </cfRule>
    <cfRule type="expression" dxfId="551" priority="3">
      <formula>AND(AH8="",COUNTIF(AI8,"*,*")=0)</formula>
    </cfRule>
  </conditionalFormatting>
  <conditionalFormatting sqref="A8:A17">
    <cfRule type="duplicateValues" dxfId="550" priority="37"/>
  </conditionalFormatting>
  <conditionalFormatting sqref="A300:A309">
    <cfRule type="duplicateValues" dxfId="549" priority="2314"/>
  </conditionalFormatting>
  <conditionalFormatting sqref="B300:B309">
    <cfRule type="expression" dxfId="548" priority="2315">
      <formula>A300=3</formula>
    </cfRule>
    <cfRule type="expression" dxfId="547" priority="2316">
      <formula>A300=2</formula>
    </cfRule>
    <cfRule type="expression" dxfId="546" priority="2317">
      <formula>A300=1</formula>
    </cfRule>
    <cfRule type="containsBlanks" dxfId="545" priority="2318">
      <formula>LEN(TRIM(B300))=0</formula>
    </cfRule>
    <cfRule type="duplicateValues" dxfId="544" priority="2319"/>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2"/>
  <sheetViews>
    <sheetView showGridLines="0" showRowColHeaders="0" zoomScaleNormal="100" workbookViewId="0">
      <pane ySplit="2" topLeftCell="A5"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26.140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UPPER((Kalend!E28)&amp;" - "&amp;(Kalend!C28)&amp;" - "&amp;(Kalend!D28))</f>
        <v>V3 - VOKA IX KV 3.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"&amp;(Kalend!A28)&amp;" kell "&amp;(Kalend!B28)</f>
        <v>Toimumisaeg: T, 16.08.2022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"&amp;(Kalend!F28)</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"&amp;(Kalend!G28)</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526</v>
      </c>
      <c r="C8" s="613">
        <v>13</v>
      </c>
      <c r="D8" s="614" t="s">
        <v>288</v>
      </c>
      <c r="E8" s="614">
        <v>7</v>
      </c>
      <c r="F8" s="636" t="s">
        <v>295</v>
      </c>
      <c r="G8" s="613">
        <v>12</v>
      </c>
      <c r="H8" s="614" t="s">
        <v>288</v>
      </c>
      <c r="I8" s="614">
        <v>11</v>
      </c>
      <c r="J8" s="636" t="s">
        <v>655</v>
      </c>
      <c r="K8" s="613">
        <v>10</v>
      </c>
      <c r="L8" s="614" t="s">
        <v>288</v>
      </c>
      <c r="M8" s="614">
        <v>13</v>
      </c>
      <c r="N8" s="636" t="s">
        <v>477</v>
      </c>
      <c r="O8" s="613">
        <v>11</v>
      </c>
      <c r="P8" s="614" t="s">
        <v>288</v>
      </c>
      <c r="Q8" s="614">
        <v>7</v>
      </c>
      <c r="R8" s="636" t="s">
        <v>659</v>
      </c>
      <c r="S8" s="613"/>
      <c r="T8" s="614" t="s">
        <v>288</v>
      </c>
      <c r="U8" s="614"/>
      <c r="V8" s="636"/>
      <c r="W8" s="637">
        <f>IF(C8&gt;E8,J$3,IF(C8&lt;E8,J$5,IF(ISNUMBER(C8),J$4,0)))+IF(G8&gt;I8,J$3,IF(G8&lt;I8,J$5,IF(ISNUMBER(G8),J$4,0)))+IF(K8&gt;M8,J$3,IF(K8&lt;M8,J$5,IF(ISNUMBER(K8),J$4,0)))+IF(O8&gt;Q8,J$3,IF(O8&lt;Q8,J$5,IF(ISNUMBER(O8),J$4,0)))+IF(S8&gt;U8,J$3,IF(S8&lt;U8,J$5,IF(ISNUMBER(S8),J$4,0)))</f>
        <v>3</v>
      </c>
      <c r="X8" s="612">
        <v>20</v>
      </c>
      <c r="Y8" s="730">
        <v>62</v>
      </c>
      <c r="Z8" s="613">
        <f t="shared" ref="Z8:Z17" si="0">C8+G8+K8+O8+S8</f>
        <v>46</v>
      </c>
      <c r="AA8" s="614" t="s">
        <v>288</v>
      </c>
      <c r="AB8" s="615">
        <f t="shared" ref="AB8:AB17" si="1">E8+I8+M8+Q8+U8</f>
        <v>38</v>
      </c>
      <c r="AC8" s="616">
        <f>Z8-AB8</f>
        <v>8</v>
      </c>
      <c r="AD8" s="617"/>
      <c r="AE8" s="731">
        <f t="shared" ref="AE8" si="2">SUM(AF8:AM8)</f>
        <v>152</v>
      </c>
      <c r="AF8" s="732">
        <f>IFERROR(INDEX(V!R$7:R$56,MATCH(AG8,V!L$7:L$56,0)),"")</f>
        <v>76</v>
      </c>
      <c r="AG8" s="733" t="str">
        <f t="shared" ref="AG8:AG17" si="3">IFERROR(LEFT(B8,(FIND(",",B8,1)-1)),"")</f>
        <v>Olav Türk</v>
      </c>
      <c r="AH8" s="732">
        <f>IFERROR(INDEX(V!R$7:R$56,MATCH(AI8,V!L$7:L$56,0)),"")</f>
        <v>76</v>
      </c>
      <c r="AI8" s="733" t="str">
        <f t="shared" ref="AI8:AI17" si="4">IFERROR(MID(B8,FIND(", ",B8)+2,256),"")</f>
        <v>Sirje Maala</v>
      </c>
      <c r="AJ8" s="732" t="str">
        <f>IFERROR(INDEX(V!R$7:R$56,MATCH(AK8,V!L$7:L$56,0)),"")</f>
        <v/>
      </c>
      <c r="AK8" s="733" t="str">
        <f t="shared" ref="AK8:AK17" si="5">IFERROR(MID(B8,FIND("^",SUBSTITUTE(B8,", ","^",1))+2,FIND("^",SUBSTITUTE(B8,", ","^",2))-FIND("^",SUBSTITUTE(B8,", ","^",1))-2),"")</f>
        <v/>
      </c>
      <c r="AL8" s="732" t="str">
        <f>IFERROR(INDEX(V!R$7:R$56,MATCH(AM8,V!L$7:L$56,0)),"")</f>
        <v/>
      </c>
      <c r="AM8" s="733" t="str">
        <f t="shared" ref="AM8:AM17" si="6">IFERROR(MID(B8,FIND(", ",B8,FIND(", ",B8,FIND(", ",B8))+1)+2,700),"")</f>
        <v/>
      </c>
      <c r="AN8" s="573"/>
    </row>
    <row r="9" spans="1:40" x14ac:dyDescent="0.2">
      <c r="A9" s="634">
        <v>2</v>
      </c>
      <c r="B9" s="635" t="s">
        <v>477</v>
      </c>
      <c r="C9" s="613">
        <v>13</v>
      </c>
      <c r="D9" s="614" t="s">
        <v>288</v>
      </c>
      <c r="E9" s="614">
        <v>1</v>
      </c>
      <c r="F9" s="636" t="s">
        <v>536</v>
      </c>
      <c r="G9" s="613">
        <v>13</v>
      </c>
      <c r="H9" s="614" t="s">
        <v>288</v>
      </c>
      <c r="I9" s="614">
        <v>3</v>
      </c>
      <c r="J9" s="636" t="s">
        <v>657</v>
      </c>
      <c r="K9" s="613">
        <v>13</v>
      </c>
      <c r="L9" s="614" t="s">
        <v>288</v>
      </c>
      <c r="M9" s="614">
        <v>10</v>
      </c>
      <c r="N9" s="636" t="s">
        <v>526</v>
      </c>
      <c r="O9" s="613">
        <v>10</v>
      </c>
      <c r="P9" s="614" t="s">
        <v>288</v>
      </c>
      <c r="Q9" s="614">
        <v>11</v>
      </c>
      <c r="R9" s="636" t="s">
        <v>292</v>
      </c>
      <c r="S9" s="613"/>
      <c r="T9" s="614" t="s">
        <v>288</v>
      </c>
      <c r="U9" s="614"/>
      <c r="V9" s="636"/>
      <c r="W9" s="637">
        <f t="shared" ref="W9:W17" si="7">IF(C9&gt;E9,J$3,IF(C9&lt;E9,J$5,IF(ISNUMBER(C9),J$4,0)))+IF(G9&gt;I9,J$3,IF(G9&lt;I9,J$5,IF(ISNUMBER(G9),J$4,0)))+IF(K9&gt;M9,J$3,IF(K9&lt;M9,J$5,IF(ISNUMBER(K9),J$4,0)))+IF(O9&gt;Q9,J$3,IF(O9&lt;Q9,J$5,IF(ISNUMBER(O9),J$4,0)))+IF(S9&gt;U9,J$3,IF(S9&lt;U9,J$5,IF(ISNUMBER(S9),J$4,0)))</f>
        <v>3</v>
      </c>
      <c r="X9" s="612">
        <v>18</v>
      </c>
      <c r="Y9" s="730">
        <v>68</v>
      </c>
      <c r="Z9" s="613">
        <f t="shared" si="0"/>
        <v>49</v>
      </c>
      <c r="AA9" s="614" t="s">
        <v>288</v>
      </c>
      <c r="AB9" s="615">
        <f t="shared" si="1"/>
        <v>25</v>
      </c>
      <c r="AC9" s="616">
        <f t="shared" ref="AC9:AC17" si="8">Z9-AB9</f>
        <v>24</v>
      </c>
      <c r="AD9" s="617"/>
      <c r="AE9" s="731">
        <f t="shared" ref="AE9:AE17" si="9">SUM(AF9:AM9)</f>
        <v>280</v>
      </c>
      <c r="AF9" s="732">
        <f>IFERROR(INDEX(V!R$7:R$56,MATCH(AG9,V!L$7:L$56,0)),"")</f>
        <v>140</v>
      </c>
      <c r="AG9" s="733" t="str">
        <f t="shared" si="3"/>
        <v>Kenneth Muusikus</v>
      </c>
      <c r="AH9" s="732">
        <f>IFERROR(INDEX(V!R$7:R$56,MATCH(AI9,V!L$7:L$56,0)),"")</f>
        <v>140</v>
      </c>
      <c r="AI9" s="733" t="str">
        <f t="shared" si="4"/>
        <v>Sander Rose</v>
      </c>
      <c r="AJ9" s="732" t="str">
        <f>IFERROR(INDEX(V!R$7:R$56,MATCH(AK9,V!L$7:L$56,0)),"")</f>
        <v/>
      </c>
      <c r="AK9" s="733" t="str">
        <f t="shared" si="5"/>
        <v/>
      </c>
      <c r="AL9" s="732" t="str">
        <f>IFERROR(INDEX(V!R$7:R$56,MATCH(AM9,V!L$7:L$56,0)),"")</f>
        <v/>
      </c>
      <c r="AM9" s="733" t="str">
        <f t="shared" si="6"/>
        <v/>
      </c>
      <c r="AN9" s="573"/>
    </row>
    <row r="10" spans="1:40" x14ac:dyDescent="0.2">
      <c r="A10" s="634">
        <v>3</v>
      </c>
      <c r="B10" s="635" t="s">
        <v>292</v>
      </c>
      <c r="C10" s="613">
        <v>13</v>
      </c>
      <c r="D10" s="614" t="s">
        <v>288</v>
      </c>
      <c r="E10" s="614">
        <v>10</v>
      </c>
      <c r="F10" s="636" t="s">
        <v>656</v>
      </c>
      <c r="G10" s="613">
        <v>13</v>
      </c>
      <c r="H10" s="614" t="s">
        <v>288</v>
      </c>
      <c r="I10" s="614">
        <v>9</v>
      </c>
      <c r="J10" s="636" t="s">
        <v>658</v>
      </c>
      <c r="K10" s="613">
        <v>11</v>
      </c>
      <c r="L10" s="614" t="s">
        <v>288</v>
      </c>
      <c r="M10" s="614">
        <v>12</v>
      </c>
      <c r="N10" s="636" t="s">
        <v>655</v>
      </c>
      <c r="O10" s="613">
        <v>11</v>
      </c>
      <c r="P10" s="614" t="s">
        <v>288</v>
      </c>
      <c r="Q10" s="614">
        <v>10</v>
      </c>
      <c r="R10" s="636" t="s">
        <v>477</v>
      </c>
      <c r="S10" s="613"/>
      <c r="T10" s="614" t="s">
        <v>288</v>
      </c>
      <c r="U10" s="614"/>
      <c r="V10" s="636"/>
      <c r="W10" s="637">
        <f t="shared" si="7"/>
        <v>3</v>
      </c>
      <c r="X10" s="612">
        <v>18</v>
      </c>
      <c r="Y10" s="730">
        <v>66</v>
      </c>
      <c r="Z10" s="613">
        <f t="shared" si="0"/>
        <v>48</v>
      </c>
      <c r="AA10" s="614" t="s">
        <v>288</v>
      </c>
      <c r="AB10" s="615">
        <f t="shared" si="1"/>
        <v>41</v>
      </c>
      <c r="AC10" s="616">
        <f t="shared" si="8"/>
        <v>7</v>
      </c>
      <c r="AD10" s="617"/>
      <c r="AE10" s="731">
        <f t="shared" si="9"/>
        <v>244</v>
      </c>
      <c r="AF10" s="732">
        <f>IFERROR(INDEX(V!R$7:R$56,MATCH(AG10,V!L$7:L$56,0)),"")</f>
        <v>122</v>
      </c>
      <c r="AG10" s="733" t="str">
        <f t="shared" si="3"/>
        <v>Oksana Rõndenkova</v>
      </c>
      <c r="AH10" s="732">
        <f>IFERROR(INDEX(V!R$7:R$56,MATCH(AI10,V!L$7:L$56,0)),"")</f>
        <v>122</v>
      </c>
      <c r="AI10" s="733" t="str">
        <f t="shared" si="4"/>
        <v>Oleg Rõndenkov</v>
      </c>
      <c r="AJ10" s="732" t="str">
        <f>IFERROR(INDEX(V!R$7:R$56,MATCH(AK10,V!L$7:L$56,0)),"")</f>
        <v/>
      </c>
      <c r="AK10" s="733" t="str">
        <f t="shared" si="5"/>
        <v/>
      </c>
      <c r="AL10" s="732" t="str">
        <f>IFERROR(INDEX(V!R$7:R$56,MATCH(AM10,V!L$7:L$56,0)),"")</f>
        <v/>
      </c>
      <c r="AM10" s="733" t="str">
        <f t="shared" si="6"/>
        <v/>
      </c>
      <c r="AN10" s="573"/>
    </row>
    <row r="11" spans="1:40" x14ac:dyDescent="0.2">
      <c r="A11" s="634">
        <v>4</v>
      </c>
      <c r="B11" s="635" t="s">
        <v>655</v>
      </c>
      <c r="C11" s="613">
        <v>13</v>
      </c>
      <c r="D11" s="614" t="s">
        <v>288</v>
      </c>
      <c r="E11" s="614">
        <v>3</v>
      </c>
      <c r="F11" s="636" t="s">
        <v>646</v>
      </c>
      <c r="G11" s="613">
        <v>11</v>
      </c>
      <c r="H11" s="614" t="s">
        <v>288</v>
      </c>
      <c r="I11" s="614">
        <v>12</v>
      </c>
      <c r="J11" s="636" t="s">
        <v>526</v>
      </c>
      <c r="K11" s="613">
        <v>12</v>
      </c>
      <c r="L11" s="614" t="s">
        <v>288</v>
      </c>
      <c r="M11" s="614">
        <v>11</v>
      </c>
      <c r="N11" s="636" t="s">
        <v>292</v>
      </c>
      <c r="O11" s="613">
        <v>13</v>
      </c>
      <c r="P11" s="614" t="s">
        <v>288</v>
      </c>
      <c r="Q11" s="614">
        <v>8</v>
      </c>
      <c r="R11" s="636" t="s">
        <v>656</v>
      </c>
      <c r="S11" s="613"/>
      <c r="T11" s="614" t="s">
        <v>288</v>
      </c>
      <c r="U11" s="614"/>
      <c r="V11" s="636"/>
      <c r="W11" s="637">
        <f t="shared" si="7"/>
        <v>3</v>
      </c>
      <c r="X11" s="612">
        <v>16</v>
      </c>
      <c r="Y11" s="730">
        <v>70</v>
      </c>
      <c r="Z11" s="613">
        <f t="shared" si="0"/>
        <v>49</v>
      </c>
      <c r="AA11" s="614" t="s">
        <v>288</v>
      </c>
      <c r="AB11" s="615">
        <f t="shared" si="1"/>
        <v>34</v>
      </c>
      <c r="AC11" s="616">
        <f t="shared" si="8"/>
        <v>15</v>
      </c>
      <c r="AD11" s="617"/>
      <c r="AE11" s="731">
        <f t="shared" si="9"/>
        <v>212</v>
      </c>
      <c r="AF11" s="732">
        <f>IFERROR(INDEX(V!R$7:R$56,MATCH(AG11,V!L$7:L$56,0)),"")</f>
        <v>108</v>
      </c>
      <c r="AG11" s="733" t="str">
        <f t="shared" si="3"/>
        <v>Hillar Neiland</v>
      </c>
      <c r="AH11" s="732">
        <f>IFERROR(INDEX(V!R$7:R$56,MATCH(AI11,V!L$7:L$56,0)),"")</f>
        <v>104</v>
      </c>
      <c r="AI11" s="733" t="str">
        <f t="shared" si="4"/>
        <v>Kaspar Mänd</v>
      </c>
      <c r="AJ11" s="732" t="str">
        <f>IFERROR(INDEX(V!R$7:R$56,MATCH(AK11,V!L$7:L$56,0)),"")</f>
        <v/>
      </c>
      <c r="AK11" s="733" t="str">
        <f t="shared" si="5"/>
        <v/>
      </c>
      <c r="AL11" s="732" t="str">
        <f>IFERROR(INDEX(V!R$7:R$56,MATCH(AM11,V!L$7:L$56,0)),"")</f>
        <v/>
      </c>
      <c r="AM11" s="733" t="str">
        <f t="shared" si="6"/>
        <v/>
      </c>
      <c r="AN11" s="573"/>
    </row>
    <row r="12" spans="1:40" x14ac:dyDescent="0.2">
      <c r="A12" s="634">
        <v>5</v>
      </c>
      <c r="B12" s="635" t="s">
        <v>656</v>
      </c>
      <c r="C12" s="613">
        <v>10</v>
      </c>
      <c r="D12" s="614" t="s">
        <v>288</v>
      </c>
      <c r="E12" s="614">
        <v>13</v>
      </c>
      <c r="F12" s="636" t="s">
        <v>292</v>
      </c>
      <c r="G12" s="613">
        <v>13</v>
      </c>
      <c r="H12" s="614" t="s">
        <v>288</v>
      </c>
      <c r="I12" s="614">
        <v>3</v>
      </c>
      <c r="J12" s="636" t="s">
        <v>536</v>
      </c>
      <c r="K12" s="613">
        <v>13</v>
      </c>
      <c r="L12" s="614" t="s">
        <v>288</v>
      </c>
      <c r="M12" s="614">
        <v>11</v>
      </c>
      <c r="N12" s="636" t="s">
        <v>295</v>
      </c>
      <c r="O12" s="613">
        <v>8</v>
      </c>
      <c r="P12" s="614" t="s">
        <v>288</v>
      </c>
      <c r="Q12" s="614">
        <v>13</v>
      </c>
      <c r="R12" s="636" t="s">
        <v>655</v>
      </c>
      <c r="S12" s="613"/>
      <c r="T12" s="614" t="s">
        <v>288</v>
      </c>
      <c r="U12" s="614"/>
      <c r="V12" s="636"/>
      <c r="W12" s="637">
        <f t="shared" si="7"/>
        <v>2</v>
      </c>
      <c r="X12" s="612">
        <v>18</v>
      </c>
      <c r="Y12" s="730">
        <v>60</v>
      </c>
      <c r="Z12" s="613">
        <f t="shared" si="0"/>
        <v>44</v>
      </c>
      <c r="AA12" s="614" t="s">
        <v>288</v>
      </c>
      <c r="AB12" s="615">
        <f t="shared" si="1"/>
        <v>40</v>
      </c>
      <c r="AC12" s="616">
        <f t="shared" si="8"/>
        <v>4</v>
      </c>
      <c r="AD12" s="617"/>
      <c r="AE12" s="731">
        <f t="shared" si="9"/>
        <v>70</v>
      </c>
      <c r="AF12" s="732">
        <f>IFERROR(INDEX(V!R$7:R$56,MATCH(AG12,V!L$7:L$56,0)),"")</f>
        <v>20</v>
      </c>
      <c r="AG12" s="733" t="str">
        <f t="shared" si="3"/>
        <v>Ronald Jõeäär</v>
      </c>
      <c r="AH12" s="732">
        <f>IFERROR(INDEX(V!R$7:R$56,MATCH(AI12,V!L$7:L$56,0)),"")</f>
        <v>50</v>
      </c>
      <c r="AI12" s="733" t="str">
        <f t="shared" si="4"/>
        <v>Urmas Jõeäär</v>
      </c>
      <c r="AJ12" s="732" t="str">
        <f>IFERROR(INDEX(V!R$7:R$56,MATCH(AK12,V!L$7:L$56,0)),"")</f>
        <v/>
      </c>
      <c r="AK12" s="733" t="str">
        <f t="shared" si="5"/>
        <v/>
      </c>
      <c r="AL12" s="732" t="str">
        <f>IFERROR(INDEX(V!R$7:R$56,MATCH(AM12,V!L$7:L$56,0)),"")</f>
        <v/>
      </c>
      <c r="AM12" s="733" t="str">
        <f t="shared" si="6"/>
        <v/>
      </c>
      <c r="AN12" s="573"/>
    </row>
    <row r="13" spans="1:40" x14ac:dyDescent="0.2">
      <c r="A13" s="634">
        <v>6</v>
      </c>
      <c r="B13" s="635" t="s">
        <v>659</v>
      </c>
      <c r="C13" s="613">
        <v>13</v>
      </c>
      <c r="D13" s="614" t="s">
        <v>288</v>
      </c>
      <c r="E13" s="614">
        <v>9</v>
      </c>
      <c r="F13" s="636" t="s">
        <v>658</v>
      </c>
      <c r="G13" s="613">
        <v>3</v>
      </c>
      <c r="H13" s="614" t="s">
        <v>288</v>
      </c>
      <c r="I13" s="614">
        <v>13</v>
      </c>
      <c r="J13" s="636" t="s">
        <v>477</v>
      </c>
      <c r="K13" s="613">
        <v>13</v>
      </c>
      <c r="L13" s="614" t="s">
        <v>288</v>
      </c>
      <c r="M13" s="614">
        <v>8</v>
      </c>
      <c r="N13" s="636" t="s">
        <v>536</v>
      </c>
      <c r="O13" s="613">
        <v>7</v>
      </c>
      <c r="P13" s="614" t="s">
        <v>288</v>
      </c>
      <c r="Q13" s="614">
        <v>11</v>
      </c>
      <c r="R13" s="636" t="s">
        <v>526</v>
      </c>
      <c r="S13" s="613"/>
      <c r="T13" s="614" t="s">
        <v>288</v>
      </c>
      <c r="U13" s="614"/>
      <c r="V13" s="636"/>
      <c r="W13" s="637">
        <f t="shared" si="7"/>
        <v>2</v>
      </c>
      <c r="X13" s="612">
        <v>16</v>
      </c>
      <c r="Y13" s="730">
        <v>66</v>
      </c>
      <c r="Z13" s="613">
        <f t="shared" si="0"/>
        <v>36</v>
      </c>
      <c r="AA13" s="614" t="s">
        <v>288</v>
      </c>
      <c r="AB13" s="615">
        <f t="shared" si="1"/>
        <v>41</v>
      </c>
      <c r="AC13" s="616">
        <f t="shared" si="8"/>
        <v>-5</v>
      </c>
      <c r="AD13" s="617"/>
      <c r="AE13" s="731">
        <f t="shared" si="9"/>
        <v>60</v>
      </c>
      <c r="AF13" s="732">
        <f>IFERROR(INDEX(V!R$7:R$56,MATCH(AG13,V!L$7:L$56,0)),"")</f>
        <v>50</v>
      </c>
      <c r="AG13" s="733" t="str">
        <f t="shared" si="3"/>
        <v>Andrei Grintšak</v>
      </c>
      <c r="AH13" s="732">
        <f>IFERROR(INDEX(V!R$7:R$56,MATCH(AI13,V!L$7:L$56,0)),"")</f>
        <v>10</v>
      </c>
      <c r="AI13" s="733" t="str">
        <f t="shared" si="4"/>
        <v>Tarmo Bombe</v>
      </c>
      <c r="AJ13" s="732" t="str">
        <f>IFERROR(INDEX(V!R$7:R$56,MATCH(AK13,V!L$7:L$56,0)),"")</f>
        <v/>
      </c>
      <c r="AK13" s="733" t="str">
        <f t="shared" si="5"/>
        <v/>
      </c>
      <c r="AL13" s="732" t="str">
        <f>IFERROR(INDEX(V!R$7:R$56,MATCH(AM13,V!L$7:L$56,0)),"")</f>
        <v/>
      </c>
      <c r="AM13" s="733" t="str">
        <f t="shared" si="6"/>
        <v/>
      </c>
      <c r="AN13" s="573"/>
    </row>
    <row r="14" spans="1:40" x14ac:dyDescent="0.2">
      <c r="A14" s="634">
        <v>7</v>
      </c>
      <c r="B14" s="638" t="s">
        <v>295</v>
      </c>
      <c r="C14" s="613">
        <v>7</v>
      </c>
      <c r="D14" s="614" t="s">
        <v>288</v>
      </c>
      <c r="E14" s="614">
        <v>13</v>
      </c>
      <c r="F14" s="636" t="s">
        <v>526</v>
      </c>
      <c r="G14" s="613">
        <v>12</v>
      </c>
      <c r="H14" s="614" t="s">
        <v>288</v>
      </c>
      <c r="I14" s="614">
        <v>11</v>
      </c>
      <c r="J14" s="636" t="s">
        <v>646</v>
      </c>
      <c r="K14" s="613">
        <v>11</v>
      </c>
      <c r="L14" s="614" t="s">
        <v>288</v>
      </c>
      <c r="M14" s="614">
        <v>13</v>
      </c>
      <c r="N14" s="636" t="s">
        <v>656</v>
      </c>
      <c r="O14" s="613">
        <v>13</v>
      </c>
      <c r="P14" s="614" t="s">
        <v>288</v>
      </c>
      <c r="Q14" s="614">
        <v>10</v>
      </c>
      <c r="R14" s="636" t="s">
        <v>658</v>
      </c>
      <c r="S14" s="613"/>
      <c r="T14" s="614" t="s">
        <v>288</v>
      </c>
      <c r="U14" s="614"/>
      <c r="V14" s="636"/>
      <c r="W14" s="637">
        <f t="shared" si="7"/>
        <v>2</v>
      </c>
      <c r="X14" s="612">
        <v>12</v>
      </c>
      <c r="Y14" s="730">
        <v>66</v>
      </c>
      <c r="Z14" s="613">
        <f t="shared" si="0"/>
        <v>43</v>
      </c>
      <c r="AA14" s="614" t="s">
        <v>288</v>
      </c>
      <c r="AB14" s="615">
        <f t="shared" si="1"/>
        <v>47</v>
      </c>
      <c r="AC14" s="616">
        <f t="shared" si="8"/>
        <v>-4</v>
      </c>
      <c r="AD14" s="617"/>
      <c r="AE14" s="731">
        <f t="shared" si="9"/>
        <v>94</v>
      </c>
      <c r="AF14" s="732">
        <f>IFERROR(INDEX(V!R$7:R$56,MATCH(AG14,V!L$7:L$56,0)),"")</f>
        <v>38</v>
      </c>
      <c r="AG14" s="733" t="str">
        <f t="shared" si="3"/>
        <v>Boriss Klubov</v>
      </c>
      <c r="AH14" s="732">
        <f>IFERROR(INDEX(V!R$7:R$56,MATCH(AI14,V!L$7:L$56,0)),"")</f>
        <v>56</v>
      </c>
      <c r="AI14" s="733" t="str">
        <f t="shared" si="4"/>
        <v>Elmo Lageda</v>
      </c>
      <c r="AJ14" s="732" t="str">
        <f>IFERROR(INDEX(V!R$7:R$56,MATCH(AK14,V!L$7:L$56,0)),"")</f>
        <v/>
      </c>
      <c r="AK14" s="733" t="str">
        <f t="shared" si="5"/>
        <v/>
      </c>
      <c r="AL14" s="732" t="str">
        <f>IFERROR(INDEX(V!R$7:R$56,MATCH(AM14,V!L$7:L$56,0)),"")</f>
        <v/>
      </c>
      <c r="AM14" s="733" t="str">
        <f t="shared" si="6"/>
        <v/>
      </c>
      <c r="AN14" s="573"/>
    </row>
    <row r="15" spans="1:40" x14ac:dyDescent="0.2">
      <c r="A15" s="634">
        <v>8</v>
      </c>
      <c r="B15" s="638" t="s">
        <v>536</v>
      </c>
      <c r="C15" s="613">
        <v>1</v>
      </c>
      <c r="D15" s="614" t="s">
        <v>288</v>
      </c>
      <c r="E15" s="614">
        <v>13</v>
      </c>
      <c r="F15" s="636" t="s">
        <v>477</v>
      </c>
      <c r="G15" s="613">
        <v>3</v>
      </c>
      <c r="H15" s="614" t="s">
        <v>288</v>
      </c>
      <c r="I15" s="614">
        <v>13</v>
      </c>
      <c r="J15" s="636" t="s">
        <v>656</v>
      </c>
      <c r="K15" s="613">
        <v>8</v>
      </c>
      <c r="L15" s="614" t="s">
        <v>288</v>
      </c>
      <c r="M15" s="614">
        <v>13</v>
      </c>
      <c r="N15" s="636" t="s">
        <v>657</v>
      </c>
      <c r="O15" s="613">
        <v>13</v>
      </c>
      <c r="P15" s="614" t="s">
        <v>288</v>
      </c>
      <c r="Q15" s="614">
        <v>7</v>
      </c>
      <c r="R15" s="636" t="s">
        <v>290</v>
      </c>
      <c r="S15" s="613"/>
      <c r="T15" s="614" t="s">
        <v>288</v>
      </c>
      <c r="U15" s="614"/>
      <c r="V15" s="636"/>
      <c r="W15" s="637">
        <f t="shared" si="7"/>
        <v>1</v>
      </c>
      <c r="X15" s="612">
        <v>14</v>
      </c>
      <c r="Y15" s="730">
        <v>66</v>
      </c>
      <c r="Z15" s="613">
        <f t="shared" si="0"/>
        <v>25</v>
      </c>
      <c r="AA15" s="614" t="s">
        <v>288</v>
      </c>
      <c r="AB15" s="615">
        <f t="shared" si="1"/>
        <v>46</v>
      </c>
      <c r="AC15" s="616">
        <f t="shared" si="8"/>
        <v>-21</v>
      </c>
      <c r="AD15" s="617"/>
      <c r="AE15" s="731">
        <f t="shared" si="9"/>
        <v>34</v>
      </c>
      <c r="AF15" s="732">
        <f>IFERROR(INDEX(V!R$7:R$56,MATCH(AG15,V!L$7:L$56,0)),"")</f>
        <v>18</v>
      </c>
      <c r="AG15" s="733" t="str">
        <f t="shared" si="3"/>
        <v>Liis Mägi</v>
      </c>
      <c r="AH15" s="732">
        <f>IFERROR(INDEX(V!R$7:R$56,MATCH(AI15,V!L$7:L$56,0)),"")</f>
        <v>16</v>
      </c>
      <c r="AI15" s="733" t="str">
        <f t="shared" si="4"/>
        <v>Marko Rooden</v>
      </c>
      <c r="AJ15" s="732" t="str">
        <f>IFERROR(INDEX(V!R$7:R$56,MATCH(AK15,V!L$7:L$56,0)),"")</f>
        <v/>
      </c>
      <c r="AK15" s="733" t="str">
        <f t="shared" si="5"/>
        <v/>
      </c>
      <c r="AL15" s="732" t="str">
        <f>IFERROR(INDEX(V!R$7:R$56,MATCH(AM15,V!L$7:L$56,0)),"")</f>
        <v/>
      </c>
      <c r="AM15" s="733" t="str">
        <f t="shared" si="6"/>
        <v/>
      </c>
      <c r="AN15" s="573"/>
    </row>
    <row r="16" spans="1:40" x14ac:dyDescent="0.2">
      <c r="A16" s="634">
        <v>9</v>
      </c>
      <c r="B16" s="635" t="s">
        <v>658</v>
      </c>
      <c r="C16" s="613">
        <v>9</v>
      </c>
      <c r="D16" s="614" t="s">
        <v>288</v>
      </c>
      <c r="E16" s="614">
        <v>13</v>
      </c>
      <c r="F16" s="636" t="s">
        <v>657</v>
      </c>
      <c r="G16" s="613">
        <v>9</v>
      </c>
      <c r="H16" s="614" t="s">
        <v>288</v>
      </c>
      <c r="I16" s="614">
        <v>13</v>
      </c>
      <c r="J16" s="636" t="s">
        <v>292</v>
      </c>
      <c r="K16" s="613">
        <v>13</v>
      </c>
      <c r="L16" s="614" t="s">
        <v>288</v>
      </c>
      <c r="M16" s="614">
        <v>12</v>
      </c>
      <c r="N16" s="636" t="s">
        <v>646</v>
      </c>
      <c r="O16" s="613">
        <v>10</v>
      </c>
      <c r="P16" s="614" t="s">
        <v>288</v>
      </c>
      <c r="Q16" s="614">
        <v>13</v>
      </c>
      <c r="R16" s="636" t="s">
        <v>295</v>
      </c>
      <c r="S16" s="613"/>
      <c r="T16" s="614" t="s">
        <v>288</v>
      </c>
      <c r="U16" s="614"/>
      <c r="V16" s="636"/>
      <c r="W16" s="637">
        <f t="shared" si="7"/>
        <v>1</v>
      </c>
      <c r="X16" s="612">
        <v>14</v>
      </c>
      <c r="Y16" s="730">
        <v>60</v>
      </c>
      <c r="Z16" s="613">
        <f t="shared" si="0"/>
        <v>41</v>
      </c>
      <c r="AA16" s="614" t="s">
        <v>288</v>
      </c>
      <c r="AB16" s="615">
        <f t="shared" si="1"/>
        <v>51</v>
      </c>
      <c r="AC16" s="616">
        <f t="shared" si="8"/>
        <v>-10</v>
      </c>
      <c r="AD16" s="617"/>
      <c r="AE16" s="731">
        <f t="shared" si="9"/>
        <v>178</v>
      </c>
      <c r="AF16" s="732">
        <f>IFERROR(INDEX(V!R$7:R$56,MATCH(AG16,V!L$7:L$56,0)),"")</f>
        <v>80</v>
      </c>
      <c r="AG16" s="733" t="str">
        <f t="shared" si="3"/>
        <v>Meelis Luud</v>
      </c>
      <c r="AH16" s="732">
        <f>IFERROR(INDEX(V!R$7:R$56,MATCH(AI16,V!L$7:L$56,0)),"")</f>
        <v>98</v>
      </c>
      <c r="AI16" s="733" t="str">
        <f t="shared" si="4"/>
        <v>Urmas Randlaine</v>
      </c>
      <c r="AJ16" s="732" t="str">
        <f>IFERROR(INDEX(V!R$7:R$56,MATCH(AK16,V!L$7:L$56,0)),"")</f>
        <v/>
      </c>
      <c r="AK16" s="733" t="str">
        <f t="shared" si="5"/>
        <v/>
      </c>
      <c r="AL16" s="732" t="str">
        <f>IFERROR(INDEX(V!R$7:R$56,MATCH(AM16,V!L$7:L$56,0)),"")</f>
        <v/>
      </c>
      <c r="AM16" s="733" t="str">
        <f t="shared" si="6"/>
        <v/>
      </c>
      <c r="AN16" s="573"/>
    </row>
    <row r="17" spans="1:40" x14ac:dyDescent="0.2">
      <c r="A17" s="634">
        <v>10</v>
      </c>
      <c r="B17" s="635" t="s">
        <v>290</v>
      </c>
      <c r="C17" s="613">
        <v>3</v>
      </c>
      <c r="D17" s="614" t="s">
        <v>288</v>
      </c>
      <c r="E17" s="614">
        <v>13</v>
      </c>
      <c r="F17" s="636" t="s">
        <v>655</v>
      </c>
      <c r="G17" s="613">
        <v>11</v>
      </c>
      <c r="H17" s="614" t="s">
        <v>288</v>
      </c>
      <c r="I17" s="614">
        <v>12</v>
      </c>
      <c r="J17" s="636" t="s">
        <v>295</v>
      </c>
      <c r="K17" s="613">
        <v>12</v>
      </c>
      <c r="L17" s="614" t="s">
        <v>288</v>
      </c>
      <c r="M17" s="614">
        <v>13</v>
      </c>
      <c r="N17" s="636" t="s">
        <v>658</v>
      </c>
      <c r="O17" s="613">
        <v>7</v>
      </c>
      <c r="P17" s="614" t="s">
        <v>288</v>
      </c>
      <c r="Q17" s="614">
        <v>13</v>
      </c>
      <c r="R17" s="636" t="s">
        <v>536</v>
      </c>
      <c r="S17" s="613"/>
      <c r="T17" s="614" t="s">
        <v>288</v>
      </c>
      <c r="U17" s="614"/>
      <c r="V17" s="636"/>
      <c r="W17" s="637">
        <f t="shared" si="7"/>
        <v>0</v>
      </c>
      <c r="X17" s="612">
        <v>14</v>
      </c>
      <c r="Y17" s="730">
        <v>56</v>
      </c>
      <c r="Z17" s="613">
        <f t="shared" si="0"/>
        <v>33</v>
      </c>
      <c r="AA17" s="614" t="s">
        <v>288</v>
      </c>
      <c r="AB17" s="615">
        <f t="shared" si="1"/>
        <v>51</v>
      </c>
      <c r="AC17" s="616">
        <f t="shared" si="8"/>
        <v>-18</v>
      </c>
      <c r="AD17" s="617"/>
      <c r="AE17" s="731">
        <f t="shared" si="9"/>
        <v>68</v>
      </c>
      <c r="AF17" s="732">
        <f>IFERROR(INDEX(V!R$7:R$56,MATCH(AG17,V!L$7:L$56,0)),"")</f>
        <v>60</v>
      </c>
      <c r="AG17" s="733" t="str">
        <f t="shared" si="3"/>
        <v>Tõnu Kapper</v>
      </c>
      <c r="AH17" s="732">
        <f>IFERROR(INDEX(V!R$7:R$56,MATCH(AI17,V!L$7:L$56,0)),"")</f>
        <v>8</v>
      </c>
      <c r="AI17" s="733" t="str">
        <f t="shared" si="4"/>
        <v>Vladimir Ogneštšikov</v>
      </c>
      <c r="AJ17" s="732" t="str">
        <f>IFERROR(INDEX(V!R$7:R$56,MATCH(AK17,V!L$7:L$56,0)),"")</f>
        <v/>
      </c>
      <c r="AK17" s="733" t="str">
        <f t="shared" si="5"/>
        <v/>
      </c>
      <c r="AL17" s="732" t="str">
        <f>IFERROR(INDEX(V!R$7:R$56,MATCH(AM17,V!L$7:L$56,0)),"")</f>
        <v/>
      </c>
      <c r="AM17" s="733" t="str">
        <f t="shared" si="6"/>
        <v/>
      </c>
      <c r="AN17" s="573"/>
    </row>
    <row r="19" spans="1:40"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9" si="10">IFERROR(INDEX(B$1:B$85,MATCH(A300,A$1:A$85,0)),"")</f>
        <v>Olav Türk, Sirje Maala</v>
      </c>
      <c r="C300" s="734">
        <f>LARGE(A$300:A$400,1)*2+2-A300*2</f>
        <v>20</v>
      </c>
    </row>
    <row r="301" spans="1:40" x14ac:dyDescent="0.2">
      <c r="A301" s="627">
        <v>2</v>
      </c>
      <c r="B301" s="628" t="str">
        <f t="shared" si="10"/>
        <v>Kenneth Muusikus, Sander Rose</v>
      </c>
      <c r="C301" s="734">
        <f t="shared" ref="C301:C309" si="11">LARGE(A$300:A$400,1)*2+2-A301*2</f>
        <v>18</v>
      </c>
    </row>
    <row r="302" spans="1:40" x14ac:dyDescent="0.2">
      <c r="A302" s="627">
        <v>3</v>
      </c>
      <c r="B302" s="628" t="str">
        <f t="shared" si="10"/>
        <v>Oksana Rõndenkova, Oleg Rõndenkov</v>
      </c>
      <c r="C302" s="734">
        <f t="shared" si="11"/>
        <v>16</v>
      </c>
    </row>
    <row r="303" spans="1:40" x14ac:dyDescent="0.2">
      <c r="A303" s="627">
        <v>4</v>
      </c>
      <c r="B303" s="628" t="str">
        <f t="shared" si="10"/>
        <v>Hillar Neiland, Kaspar Mänd</v>
      </c>
      <c r="C303" s="734">
        <f t="shared" si="11"/>
        <v>14</v>
      </c>
    </row>
    <row r="304" spans="1:40" x14ac:dyDescent="0.2">
      <c r="A304" s="627">
        <v>5</v>
      </c>
      <c r="B304" s="628" t="str">
        <f t="shared" si="10"/>
        <v>Ronald Jõeäär, Urmas Jõeäär</v>
      </c>
      <c r="C304" s="734">
        <f t="shared" si="11"/>
        <v>12</v>
      </c>
    </row>
    <row r="305" spans="1:3" x14ac:dyDescent="0.2">
      <c r="A305" s="627">
        <v>6</v>
      </c>
      <c r="B305" s="628" t="str">
        <f t="shared" si="10"/>
        <v>Andrei Grintšak, Tarmo Bombe</v>
      </c>
      <c r="C305" s="734">
        <f t="shared" si="11"/>
        <v>10</v>
      </c>
    </row>
    <row r="306" spans="1:3" x14ac:dyDescent="0.2">
      <c r="A306" s="627">
        <v>7</v>
      </c>
      <c r="B306" s="628" t="str">
        <f t="shared" si="10"/>
        <v>Boriss Klubov, Elmo Lageda</v>
      </c>
      <c r="C306" s="734">
        <f t="shared" si="11"/>
        <v>8</v>
      </c>
    </row>
    <row r="307" spans="1:3" x14ac:dyDescent="0.2">
      <c r="A307" s="627">
        <v>8</v>
      </c>
      <c r="B307" s="628" t="str">
        <f t="shared" si="10"/>
        <v>Liis Mägi, Marko Rooden</v>
      </c>
      <c r="C307" s="734">
        <f t="shared" si="11"/>
        <v>6</v>
      </c>
    </row>
    <row r="308" spans="1:3" x14ac:dyDescent="0.2">
      <c r="A308" s="627">
        <v>9</v>
      </c>
      <c r="B308" s="628" t="str">
        <f t="shared" si="10"/>
        <v>Meelis Luud, Urmas Randlaine</v>
      </c>
      <c r="C308" s="734">
        <f t="shared" si="11"/>
        <v>4</v>
      </c>
    </row>
    <row r="309" spans="1:3" x14ac:dyDescent="0.2">
      <c r="A309" s="627">
        <v>10</v>
      </c>
      <c r="B309" s="628" t="str">
        <f t="shared" si="10"/>
        <v>Tõnu Kapper, Vladimir Ogneštšikov</v>
      </c>
      <c r="C309" s="734">
        <f t="shared" si="11"/>
        <v>2</v>
      </c>
    </row>
    <row r="310" spans="1:3" x14ac:dyDescent="0.2">
      <c r="C310" s="734"/>
    </row>
    <row r="311" spans="1:3" x14ac:dyDescent="0.2">
      <c r="C311" s="734"/>
    </row>
    <row r="312" spans="1:3" x14ac:dyDescent="0.2">
      <c r="C312" s="734"/>
    </row>
  </sheetData>
  <conditionalFormatting sqref="C8:C17">
    <cfRule type="expression" dxfId="543" priority="18">
      <formula>IF($C8&gt;$E8,TRUE)</formula>
    </cfRule>
  </conditionalFormatting>
  <conditionalFormatting sqref="E8:E17">
    <cfRule type="expression" dxfId="542" priority="19">
      <formula>IF($C8&lt;$E8,TRUE)</formula>
    </cfRule>
  </conditionalFormatting>
  <conditionalFormatting sqref="K8:K17">
    <cfRule type="expression" dxfId="541" priority="26">
      <formula>IF($K8&gt;$M8,TRUE)</formula>
    </cfRule>
  </conditionalFormatting>
  <conditionalFormatting sqref="M8:M17">
    <cfRule type="expression" dxfId="540" priority="27">
      <formula>IF($K8&lt;$M8,TRUE)</formula>
    </cfRule>
  </conditionalFormatting>
  <conditionalFormatting sqref="O8:O17">
    <cfRule type="expression" dxfId="539" priority="30">
      <formula>IF($O8&gt;$Q8,TRUE)</formula>
    </cfRule>
  </conditionalFormatting>
  <conditionalFormatting sqref="Q8:Q17">
    <cfRule type="expression" dxfId="538" priority="31">
      <formula>IF($O8&lt;$Q8,TRUE)</formula>
    </cfRule>
  </conditionalFormatting>
  <conditionalFormatting sqref="S8:S17">
    <cfRule type="expression" dxfId="537" priority="34">
      <formula>IF($S8&gt;$U8,TRUE)</formula>
    </cfRule>
  </conditionalFormatting>
  <conditionalFormatting sqref="U8:U17">
    <cfRule type="expression" dxfId="536" priority="35">
      <formula>IF($S8&lt;$U8,TRUE)</formula>
    </cfRule>
  </conditionalFormatting>
  <conditionalFormatting sqref="G8:G17">
    <cfRule type="expression" dxfId="535" priority="22">
      <formula>IF($G8&gt;$I8,TRUE)</formula>
    </cfRule>
  </conditionalFormatting>
  <conditionalFormatting sqref="I8:I17">
    <cfRule type="expression" dxfId="534" priority="23">
      <formula>IF($G8&lt;$I8,TRUE)</formula>
    </cfRule>
  </conditionalFormatting>
  <conditionalFormatting sqref="F8:F17">
    <cfRule type="containsText" dxfId="533" priority="9" operator="containsText" text="vaba voor">
      <formula>NOT(ISERROR(SEARCH("vaba voor",F8)))</formula>
    </cfRule>
  </conditionalFormatting>
  <conditionalFormatting sqref="N8:N17">
    <cfRule type="containsText" dxfId="532" priority="7" operator="containsText" text="vaba voor">
      <formula>NOT(ISERROR(SEARCH("vaba voor",N8)))</formula>
    </cfRule>
  </conditionalFormatting>
  <conditionalFormatting sqref="R8:R17">
    <cfRule type="containsText" dxfId="531" priority="10" operator="containsText" text="vaba voor">
      <formula>NOT(ISERROR(SEARCH("vaba voor",R8)))</formula>
    </cfRule>
  </conditionalFormatting>
  <conditionalFormatting sqref="V8:V17">
    <cfRule type="containsText" dxfId="530" priority="6" operator="containsText" text="vaba voor">
      <formula>NOT(ISERROR(SEARCH("vaba voor",V8)))</formula>
    </cfRule>
  </conditionalFormatting>
  <conditionalFormatting sqref="J8:J17">
    <cfRule type="containsText" dxfId="529" priority="8" operator="containsText" text="vaba voor">
      <formula>NOT(ISERROR(SEARCH("vaba voor",J8)))</formula>
    </cfRule>
  </conditionalFormatting>
  <conditionalFormatting sqref="C8:F17">
    <cfRule type="expression" dxfId="528" priority="14">
      <formula>IF(AND(ISNUMBER($C8),$C8=$E8),TRUE)</formula>
    </cfRule>
    <cfRule type="expression" dxfId="527" priority="16">
      <formula>IF($C8&gt;$E8,TRUE)</formula>
    </cfRule>
    <cfRule type="expression" dxfId="526" priority="17">
      <formula>IF($C8&lt;$E8,TRUE)</formula>
    </cfRule>
  </conditionalFormatting>
  <conditionalFormatting sqref="G8:J17">
    <cfRule type="expression" dxfId="525" priority="15">
      <formula>IF(AND(ISNUMBER($G8),$G8=$I8),TRUE)</formula>
    </cfRule>
    <cfRule type="expression" dxfId="524" priority="20">
      <formula>IF($G8&gt;$I8,TRUE)</formula>
    </cfRule>
    <cfRule type="expression" dxfId="523" priority="21">
      <formula>IF($G8&lt;$I8,TRUE)</formula>
    </cfRule>
  </conditionalFormatting>
  <conditionalFormatting sqref="K8:N17">
    <cfRule type="expression" dxfId="522" priority="13">
      <formula>IF(AND(ISNUMBER($K8),$K8=$M8),TRUE)</formula>
    </cfRule>
    <cfRule type="expression" dxfId="521" priority="24">
      <formula>IF($K8&gt;$M8,TRUE)</formula>
    </cfRule>
    <cfRule type="expression" dxfId="520" priority="25">
      <formula>IF($K8&lt;$M8,TRUE)</formula>
    </cfRule>
  </conditionalFormatting>
  <conditionalFormatting sqref="O8:R17">
    <cfRule type="expression" dxfId="519" priority="12">
      <formula>IF(AND(ISNUMBER($O8),$O8=$Q8),TRUE)</formula>
    </cfRule>
    <cfRule type="expression" dxfId="518" priority="28">
      <formula>IF($O8&gt;$Q8,TRUE)</formula>
    </cfRule>
    <cfRule type="expression" dxfId="517" priority="29">
      <formula>IF($O8&lt;$Q8,TRUE)</formula>
    </cfRule>
  </conditionalFormatting>
  <conditionalFormatting sqref="S8:V17">
    <cfRule type="expression" dxfId="516" priority="11">
      <formula>IF(AND(ISNUMBER($S8),$S8=$U8),TRUE)</formula>
    </cfRule>
    <cfRule type="expression" dxfId="515" priority="32">
      <formula>IF($S8&gt;$U8,TRUE)</formula>
    </cfRule>
    <cfRule type="expression" dxfId="514" priority="33">
      <formula>IF($S8&lt;$U8,TRUE)</formula>
    </cfRule>
  </conditionalFormatting>
  <conditionalFormatting sqref="C8:C17 G8:G17 K8:K17 O8:O17 S8:S17">
    <cfRule type="expression" dxfId="513" priority="4">
      <formula>AND(C8=0,E8=13)</formula>
    </cfRule>
  </conditionalFormatting>
  <conditionalFormatting sqref="E8:E17 I8:I17 M8:M17 Q8:Q17 U8:U17">
    <cfRule type="expression" dxfId="512" priority="5">
      <formula>AND(E8=0,C8=13)</formula>
    </cfRule>
  </conditionalFormatting>
  <conditionalFormatting sqref="AG8:AG17 AK8:AK17 AM8:AM17">
    <cfRule type="expression" dxfId="511" priority="1">
      <formula>AND(AF8="",COUNTIF(AG8,"*,*")=0)</formula>
    </cfRule>
  </conditionalFormatting>
  <conditionalFormatting sqref="AI8:AI17">
    <cfRule type="expression" dxfId="510" priority="2">
      <formula>AND(AH8="",FIND(",",AI8))</formula>
    </cfRule>
    <cfRule type="expression" dxfId="509" priority="3">
      <formula>AND(AH8="",COUNTIF(AI8,"*,*")=0)</formula>
    </cfRule>
  </conditionalFormatting>
  <conditionalFormatting sqref="A8:A17">
    <cfRule type="duplicateValues" dxfId="508" priority="36"/>
  </conditionalFormatting>
  <conditionalFormatting sqref="A300:A309">
    <cfRule type="duplicateValues" dxfId="507" priority="37"/>
  </conditionalFormatting>
  <conditionalFormatting sqref="B300:B309">
    <cfRule type="expression" dxfId="506" priority="38">
      <formula>A300=3</formula>
    </cfRule>
    <cfRule type="expression" dxfId="505" priority="39">
      <formula>A300=2</formula>
    </cfRule>
    <cfRule type="expression" dxfId="504" priority="40">
      <formula>A300=1</formula>
    </cfRule>
    <cfRule type="containsBlanks" dxfId="503" priority="41">
      <formula>LEN(TRIM(B300))=0</formula>
    </cfRule>
    <cfRule type="duplicateValues" dxfId="502" priority="4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116"/>
  <sheetViews>
    <sheetView showGridLines="0" showRowColHeaders="0" tabSelected="1" zoomScaleNormal="100" workbookViewId="0">
      <pane ySplit="3" topLeftCell="A4" activePane="bottomLeft" state="frozen"/>
      <selection activeCell="I1" sqref="I1"/>
      <selection pane="bottomLeft" activeCell="N1" sqref="N1"/>
    </sheetView>
  </sheetViews>
  <sheetFormatPr defaultRowHeight="12.75" x14ac:dyDescent="0.2"/>
  <cols>
    <col min="1" max="1" width="4.140625" style="13" customWidth="1"/>
    <col min="2" max="2" width="3" style="13" customWidth="1"/>
    <col min="3" max="3" width="10.42578125" style="13" customWidth="1"/>
    <col min="4" max="4" width="3" style="13" customWidth="1"/>
    <col min="5" max="5" width="4.28515625" style="13" customWidth="1"/>
    <col min="6" max="6" width="3" style="13" customWidth="1"/>
    <col min="7" max="7" width="14.28515625" style="13" customWidth="1"/>
    <col min="8" max="8" width="3" style="13" customWidth="1"/>
    <col min="9" max="9" width="5.7109375" style="13" customWidth="1"/>
    <col min="10" max="10" width="3" style="13" customWidth="1"/>
    <col min="11" max="11" width="19.7109375" style="13" customWidth="1"/>
    <col min="12" max="12" width="3" style="13" customWidth="1"/>
    <col min="13" max="13" width="19.42578125" style="13" customWidth="1"/>
    <col min="14" max="14" width="3" style="13" customWidth="1"/>
    <col min="15" max="15" width="0.85546875" style="318" customWidth="1"/>
    <col min="16" max="16" width="3" style="318" customWidth="1"/>
    <col min="17" max="17" width="19.42578125" style="13" customWidth="1"/>
    <col min="18" max="18" width="3" style="13" customWidth="1"/>
    <col min="19" max="16384" width="9.140625" style="13"/>
  </cols>
  <sheetData>
    <row r="1" spans="1:16" x14ac:dyDescent="0.2">
      <c r="A1" s="6"/>
      <c r="B1" s="7" t="s">
        <v>367</v>
      </c>
      <c r="C1" s="6"/>
      <c r="D1" s="8"/>
      <c r="E1" s="7"/>
      <c r="F1" s="7"/>
      <c r="G1" s="8"/>
      <c r="H1" s="8"/>
      <c r="I1" s="8"/>
      <c r="J1" s="9" t="str">
        <f>HYPERLINK("","")</f>
        <v/>
      </c>
      <c r="K1" s="10"/>
      <c r="L1" s="11" t="s">
        <v>692</v>
      </c>
      <c r="M1" s="6"/>
      <c r="N1" s="12"/>
      <c r="O1" s="10"/>
      <c r="P1" s="10"/>
    </row>
    <row r="2" spans="1:16" ht="13.5" thickBot="1" x14ac:dyDescent="0.25">
      <c r="A2" s="8"/>
      <c r="B2" s="8"/>
      <c r="C2" s="8"/>
      <c r="D2" s="8"/>
      <c r="E2" s="8"/>
      <c r="F2" s="8"/>
      <c r="G2" s="8"/>
      <c r="H2" s="8"/>
      <c r="I2" s="8"/>
      <c r="J2" s="8"/>
      <c r="K2" s="10"/>
      <c r="L2" s="12"/>
      <c r="M2" s="12"/>
      <c r="N2" s="14"/>
      <c r="O2" s="10"/>
      <c r="P2" s="10"/>
    </row>
    <row r="3" spans="1:16" ht="13.5" thickBot="1" x14ac:dyDescent="0.25">
      <c r="A3" s="15" t="s">
        <v>27</v>
      </c>
      <c r="B3" s="16"/>
      <c r="C3" s="15" t="s">
        <v>28</v>
      </c>
      <c r="D3" s="16"/>
      <c r="E3" s="15" t="s">
        <v>29</v>
      </c>
      <c r="F3" s="16"/>
      <c r="G3" s="15" t="s">
        <v>30</v>
      </c>
      <c r="H3" s="16"/>
      <c r="I3" s="15" t="s">
        <v>31</v>
      </c>
      <c r="J3" s="16"/>
      <c r="K3" s="15" t="s">
        <v>32</v>
      </c>
      <c r="L3" s="16"/>
      <c r="M3" s="15" t="s">
        <v>33</v>
      </c>
      <c r="N3" s="17"/>
      <c r="O3" s="10"/>
      <c r="P3" s="10"/>
    </row>
    <row r="4" spans="1:16" ht="13.5" thickBot="1" x14ac:dyDescent="0.25">
      <c r="A4" s="18" t="s">
        <v>373</v>
      </c>
      <c r="B4" s="19"/>
      <c r="C4" s="20"/>
      <c r="D4" s="21"/>
      <c r="E4" s="21"/>
      <c r="F4" s="21"/>
      <c r="G4" s="21"/>
      <c r="H4" s="21"/>
      <c r="I4" s="22"/>
      <c r="J4" s="22"/>
      <c r="K4" s="21"/>
      <c r="L4" s="22"/>
      <c r="M4" s="21"/>
      <c r="N4" s="21"/>
      <c r="O4" s="23"/>
      <c r="P4" s="24"/>
    </row>
    <row r="5" spans="1:16" x14ac:dyDescent="0.2">
      <c r="A5" s="25"/>
      <c r="B5" s="26">
        <v>2</v>
      </c>
      <c r="C5" s="27"/>
      <c r="D5" s="28">
        <v>3</v>
      </c>
      <c r="E5" s="29"/>
      <c r="F5" s="28">
        <v>4</v>
      </c>
      <c r="G5" s="30"/>
      <c r="H5" s="28">
        <v>5</v>
      </c>
      <c r="I5" s="25"/>
      <c r="J5" s="26">
        <v>6</v>
      </c>
      <c r="K5" s="31" t="str">
        <f>HYPERLINK("https://www.petanque.ee/index.php?id=103820&amp;cid=880","18. Tartu vaim")</f>
        <v>18. Tartu vaim</v>
      </c>
      <c r="L5" s="26">
        <v>7</v>
      </c>
      <c r="M5" s="32"/>
      <c r="N5" s="26">
        <v>8</v>
      </c>
      <c r="O5" s="10"/>
      <c r="P5" s="33"/>
    </row>
    <row r="6" spans="1:16" x14ac:dyDescent="0.2">
      <c r="A6" s="34"/>
      <c r="B6" s="35"/>
      <c r="C6" s="36"/>
      <c r="D6" s="22"/>
      <c r="E6" s="37"/>
      <c r="F6" s="22"/>
      <c r="G6" s="38"/>
      <c r="H6" s="22"/>
      <c r="I6" s="39"/>
      <c r="J6" s="22"/>
      <c r="K6" s="39" t="s">
        <v>34</v>
      </c>
      <c r="L6" s="40" t="str">
        <f>HYPERLINK("https://sites.google.com/view/tartupetank/tartu-vaim","tul")</f>
        <v>tul</v>
      </c>
      <c r="M6" s="41"/>
      <c r="N6" s="42"/>
      <c r="O6" s="10"/>
      <c r="P6" s="33"/>
    </row>
    <row r="7" spans="1:16" ht="13.5" thickBot="1" x14ac:dyDescent="0.25">
      <c r="A7" s="43"/>
      <c r="B7" s="44"/>
      <c r="C7" s="45"/>
      <c r="D7" s="46"/>
      <c r="E7" s="47"/>
      <c r="F7" s="46"/>
      <c r="G7" s="48"/>
      <c r="H7" s="49"/>
      <c r="I7" s="50"/>
      <c r="J7" s="46"/>
      <c r="K7" s="51" t="s">
        <v>475</v>
      </c>
      <c r="L7" s="49"/>
      <c r="M7" s="52"/>
      <c r="N7" s="53"/>
      <c r="O7" s="10"/>
      <c r="P7" s="33"/>
    </row>
    <row r="8" spans="1:16" x14ac:dyDescent="0.2">
      <c r="A8" s="54"/>
      <c r="B8" s="55">
        <v>9</v>
      </c>
      <c r="C8" s="41"/>
      <c r="D8" s="55">
        <v>10</v>
      </c>
      <c r="E8" s="41"/>
      <c r="F8" s="55">
        <v>11</v>
      </c>
      <c r="G8" s="56"/>
      <c r="H8" s="57">
        <v>12</v>
      </c>
      <c r="I8" s="41"/>
      <c r="J8" s="55">
        <v>13</v>
      </c>
      <c r="K8" s="58" t="str">
        <f>HYPERLINK("https://lietuvospetanke.lt/turnyrai/","13. Baltic Cup 1. etapp")</f>
        <v>13. Baltic Cup 1. etapp</v>
      </c>
      <c r="L8" s="55">
        <v>14</v>
      </c>
      <c r="M8" s="59" t="str">
        <f>HYPERLINK("#1!A5","K-Järve 21. MV")</f>
        <v>K-Järve 21. MV</v>
      </c>
      <c r="N8" s="60">
        <v>15</v>
      </c>
      <c r="O8" s="10"/>
      <c r="P8" s="33"/>
    </row>
    <row r="9" spans="1:16" x14ac:dyDescent="0.2">
      <c r="A9" s="54"/>
      <c r="B9" s="61"/>
      <c r="C9" s="41"/>
      <c r="D9" s="61"/>
      <c r="E9" s="41"/>
      <c r="F9" s="61"/>
      <c r="G9" s="41"/>
      <c r="H9" s="61"/>
      <c r="I9" s="41"/>
      <c r="J9" s="61"/>
      <c r="K9" s="62" t="s">
        <v>35</v>
      </c>
      <c r="L9" s="61"/>
      <c r="M9" s="63" t="s">
        <v>36</v>
      </c>
      <c r="N9" s="64"/>
      <c r="O9" s="10"/>
      <c r="P9" s="33"/>
    </row>
    <row r="10" spans="1:16" x14ac:dyDescent="0.2">
      <c r="A10" s="54"/>
      <c r="B10" s="61"/>
      <c r="C10" s="41"/>
      <c r="D10" s="61"/>
      <c r="E10" s="41"/>
      <c r="F10" s="61"/>
      <c r="G10" s="65"/>
      <c r="H10" s="66"/>
      <c r="I10" s="65"/>
      <c r="J10" s="66"/>
      <c r="K10" s="62" t="s">
        <v>37</v>
      </c>
      <c r="L10" s="66"/>
      <c r="M10" s="67" t="str">
        <f>HYPERLINK("https://kaart.delfi.ee/?bookmark=521b80d6ceeefbe3e5d227267242b206","K-Järve spordihoone")</f>
        <v>K-Järve spordihoone</v>
      </c>
      <c r="N10" s="68"/>
      <c r="O10" s="10"/>
      <c r="P10" s="33"/>
    </row>
    <row r="11" spans="1:16" ht="13.5" thickBot="1" x14ac:dyDescent="0.25">
      <c r="A11" s="69"/>
      <c r="B11" s="70"/>
      <c r="C11" s="71"/>
      <c r="D11" s="70"/>
      <c r="E11" s="71"/>
      <c r="F11" s="70"/>
      <c r="G11" s="72"/>
      <c r="H11" s="73" t="str">
        <f>HYPERLINK("https://www.petanque.ee/index.php?id=103820&amp;cid=881","3. MM, ÜKSIK (m, n), DUO (m, n), SEGADUO")</f>
        <v>3. MM, ÜKSIK (m, n), DUO (m, n), SEGADUO</v>
      </c>
      <c r="I11" s="74"/>
      <c r="J11" s="74"/>
      <c r="K11" s="75"/>
      <c r="L11" s="76"/>
      <c r="M11" s="77"/>
      <c r="N11" s="78" t="str">
        <f>HYPERLINK("https://www.google.com/maps/@55.5615145,12.2490536,453m/data=!3m1!1e3","Karlslunde (Taani)")</f>
        <v>Karlslunde (Taani)</v>
      </c>
      <c r="O11" s="10"/>
      <c r="P11" s="10"/>
    </row>
    <row r="12" spans="1:16" x14ac:dyDescent="0.2">
      <c r="A12" s="79"/>
      <c r="B12" s="80">
        <v>16</v>
      </c>
      <c r="C12" s="81"/>
      <c r="D12" s="80">
        <v>17</v>
      </c>
      <c r="E12" s="81"/>
      <c r="F12" s="80">
        <v>18</v>
      </c>
      <c r="G12" s="82"/>
      <c r="H12" s="83">
        <v>19</v>
      </c>
      <c r="I12" s="81"/>
      <c r="J12" s="80">
        <v>20</v>
      </c>
      <c r="K12" s="84" t="str">
        <f>HYPERLINK("https://www.petanque.ee/index.php?id=103820&amp;cid=885","EM katsevõistlused")</f>
        <v>EM katsevõistlused</v>
      </c>
      <c r="L12" s="83">
        <v>21</v>
      </c>
      <c r="M12" s="85" t="str">
        <f>HYPERLINK("https://www.petanque.ee/index.php?id=103820&amp;cid=886","EM katsevõistlused")</f>
        <v>EM katsevõistlused</v>
      </c>
      <c r="N12" s="83">
        <v>22</v>
      </c>
      <c r="O12" s="10"/>
      <c r="P12" s="33"/>
    </row>
    <row r="13" spans="1:16" x14ac:dyDescent="0.2">
      <c r="A13" s="54"/>
      <c r="B13" s="61"/>
      <c r="C13" s="41"/>
      <c r="D13" s="61"/>
      <c r="E13" s="41"/>
      <c r="F13" s="61"/>
      <c r="G13" s="41"/>
      <c r="H13" s="61"/>
      <c r="I13" s="41"/>
      <c r="J13" s="61"/>
      <c r="K13" s="86" t="s">
        <v>368</v>
      </c>
      <c r="L13" s="87"/>
      <c r="M13" s="86" t="s">
        <v>368</v>
      </c>
      <c r="N13" s="87"/>
      <c r="O13" s="10"/>
      <c r="P13" s="33"/>
    </row>
    <row r="14" spans="1:16" ht="13.5" thickBot="1" x14ac:dyDescent="0.25">
      <c r="A14" s="54"/>
      <c r="B14" s="88"/>
      <c r="C14" s="41"/>
      <c r="D14" s="88"/>
      <c r="E14" s="41"/>
      <c r="F14" s="88"/>
      <c r="G14" s="41"/>
      <c r="H14" s="88"/>
      <c r="I14" s="41"/>
      <c r="J14" s="88"/>
      <c r="K14" s="1433" t="str">
        <f>HYPERLINK("https://kaart.delfi.ee/?bookmark=73a75c2d8ed4a34c764e205c87288d20","Harku, Pikk 19")</f>
        <v>Harku, Pikk 19</v>
      </c>
      <c r="L14" s="89"/>
      <c r="M14" s="1432" t="str">
        <f>HYPERLINK("https://kaart.delfi.ee/?bookmark=73a75c2d8ed4a34c764e205c87288d20","Harku, Pikk 19")</f>
        <v>Harku, Pikk 19</v>
      </c>
      <c r="N14" s="90"/>
      <c r="O14" s="10"/>
      <c r="P14" s="33"/>
    </row>
    <row r="15" spans="1:16" x14ac:dyDescent="0.2">
      <c r="A15" s="29"/>
      <c r="B15" s="28">
        <v>23</v>
      </c>
      <c r="C15" s="91" t="str">
        <f>HYPERLINK("#V1!A5","Voka IX KV")</f>
        <v>Voka IX KV</v>
      </c>
      <c r="D15" s="28">
        <v>24</v>
      </c>
      <c r="E15" s="27"/>
      <c r="F15" s="92">
        <v>25</v>
      </c>
      <c r="G15" s="27"/>
      <c r="H15" s="93">
        <v>26</v>
      </c>
      <c r="I15" s="94"/>
      <c r="J15" s="92">
        <v>27</v>
      </c>
      <c r="K15" s="95" t="str">
        <f>HYPERLINK("#M1!A5","Maidu karikas, 1. etapp")</f>
        <v>Maidu karikas, 1. etapp</v>
      </c>
      <c r="L15" s="92">
        <v>28</v>
      </c>
      <c r="M15" s="96" t="str">
        <f>HYPERLINK("#2!A5","Ida-Virumaa MV")</f>
        <v>Ida-Virumaa MV</v>
      </c>
      <c r="N15" s="93">
        <v>29</v>
      </c>
      <c r="O15" s="10"/>
      <c r="P15" s="33"/>
    </row>
    <row r="16" spans="1:16" x14ac:dyDescent="0.2">
      <c r="A16" s="37"/>
      <c r="B16" s="22"/>
      <c r="C16" s="97" t="s">
        <v>411</v>
      </c>
      <c r="D16" s="98"/>
      <c r="E16" s="36"/>
      <c r="F16" s="22"/>
      <c r="G16" s="36"/>
      <c r="H16" s="22"/>
      <c r="I16" s="99"/>
      <c r="J16" s="22"/>
      <c r="K16" s="100" t="s">
        <v>40</v>
      </c>
      <c r="L16" s="101"/>
      <c r="M16" s="102" t="s">
        <v>40</v>
      </c>
      <c r="N16" s="103"/>
      <c r="O16" s="10"/>
      <c r="P16" s="33"/>
    </row>
    <row r="17" spans="1:16" ht="13.5" thickBot="1" x14ac:dyDescent="0.25">
      <c r="A17" s="104"/>
      <c r="B17" s="105"/>
      <c r="C17" s="106" t="str">
        <f>HYPERLINK("https://kaart.delfi.ee//?bookmark=ebd616e171f4882941c876d5ba118858","Voka")</f>
        <v>Voka</v>
      </c>
      <c r="D17" s="107"/>
      <c r="E17" s="108"/>
      <c r="F17" s="105"/>
      <c r="G17" s="108"/>
      <c r="H17" s="105"/>
      <c r="I17" s="109"/>
      <c r="J17" s="105"/>
      <c r="K17" s="110" t="str">
        <f>HYPERLINK("https://kaart.delfi.ee/?bookmark=521b80d6ceeefbe3e5d227267242b206","K-Järve spordihoone")</f>
        <v>K-Järve spordihoone</v>
      </c>
      <c r="L17" s="111"/>
      <c r="M17" s="112" t="str">
        <f>HYPERLINK("https://kaart.delfi.ee//?bookmark=ebd616e171f4882941c876d5ba118858","Voka staadion")</f>
        <v>Voka staadion</v>
      </c>
      <c r="N17" s="113"/>
      <c r="O17" s="10"/>
      <c r="P17" s="33"/>
    </row>
    <row r="18" spans="1:16" ht="13.5" thickBot="1" x14ac:dyDescent="0.25">
      <c r="A18" s="114"/>
      <c r="B18" s="92">
        <v>30</v>
      </c>
      <c r="C18" s="115"/>
      <c r="D18" s="116">
        <v>31</v>
      </c>
      <c r="E18" s="117"/>
      <c r="K18" s="6"/>
      <c r="L18" s="6"/>
      <c r="M18" s="6"/>
      <c r="N18" s="6"/>
      <c r="O18" s="10"/>
      <c r="P18" s="10"/>
    </row>
    <row r="19" spans="1:16" ht="13.5" thickBot="1" x14ac:dyDescent="0.25">
      <c r="A19" s="118"/>
      <c r="B19" s="119"/>
      <c r="C19" s="120"/>
      <c r="D19" s="121"/>
      <c r="E19" s="122"/>
      <c r="F19" s="123">
        <v>1</v>
      </c>
      <c r="G19" s="115"/>
      <c r="H19" s="93">
        <v>2</v>
      </c>
      <c r="I19" s="115"/>
      <c r="J19" s="93">
        <v>3</v>
      </c>
      <c r="K19" s="124" t="str">
        <f>HYPERLINK("https://www.petanque.ee/index.php?id=103820&amp;cid=930","19. ESL individ-võistk")</f>
        <v>19. ESL individ-võistk</v>
      </c>
      <c r="L19" s="92">
        <v>4</v>
      </c>
      <c r="M19" s="125" t="str">
        <f>HYPERLINK("#3!A5","Toila valla lahtised MV")</f>
        <v>Toila valla lahtised MV</v>
      </c>
      <c r="N19" s="126">
        <v>30</v>
      </c>
      <c r="O19" s="10"/>
      <c r="P19" s="33"/>
    </row>
    <row r="20" spans="1:16" ht="13.5" thickTop="1" x14ac:dyDescent="0.2">
      <c r="A20" s="18" t="s">
        <v>374</v>
      </c>
      <c r="B20" s="19"/>
      <c r="C20" s="20"/>
      <c r="D20" s="21"/>
      <c r="E20" s="36"/>
      <c r="F20" s="22"/>
      <c r="G20" s="36"/>
      <c r="H20" s="22"/>
      <c r="I20" s="36"/>
      <c r="J20" s="127"/>
      <c r="K20" s="21" t="s">
        <v>38</v>
      </c>
      <c r="L20" s="128"/>
      <c r="M20" s="129" t="s">
        <v>36</v>
      </c>
      <c r="N20" s="130"/>
      <c r="O20" s="10"/>
      <c r="P20" s="33"/>
    </row>
    <row r="21" spans="1:16" x14ac:dyDescent="0.2">
      <c r="E21" s="36"/>
      <c r="F21" s="21"/>
      <c r="G21" s="36"/>
      <c r="H21" s="131"/>
      <c r="I21" s="132"/>
      <c r="J21" s="133"/>
      <c r="K21" s="134" t="str">
        <f>HYPERLINK("http://kaart.delfi.ee//?bookmark=ebd616e171f4882941c876d5ba118858","Voka staadion")</f>
        <v>Voka staadion</v>
      </c>
      <c r="L21" s="135"/>
      <c r="M21" s="136" t="str">
        <f>HYPERLINK("http://kaart.delfi.ee//?bookmark=ebd616e171f4882941c876d5ba118858","Voka staadion")</f>
        <v>Voka staadion</v>
      </c>
      <c r="N21" s="137"/>
      <c r="O21" s="10"/>
      <c r="P21" s="33"/>
    </row>
    <row r="22" spans="1:16" ht="13.5" thickBot="1" x14ac:dyDescent="0.25">
      <c r="D22" s="21"/>
      <c r="E22" s="108"/>
      <c r="F22" s="21"/>
      <c r="G22" s="36"/>
      <c r="H22" s="21"/>
      <c r="I22" s="138"/>
      <c r="J22" s="139"/>
      <c r="K22" s="75" t="str">
        <f>HYPERLINK("https://www.petanque.ee/index.php?id=103820&amp;cid=889","10. Naiste EM, TRIO, TUL")</f>
        <v>10. Naiste EM, TRIO, TUL</v>
      </c>
      <c r="L22" s="140"/>
      <c r="M22" s="141"/>
      <c r="N22" s="142" t="str">
        <f>HYPERLINK("https://goo.gl/maps/2CZC6HQoudhYovYaA","Torrelavega, Hispaania")</f>
        <v>Torrelavega, Hispaania</v>
      </c>
      <c r="O22" s="10"/>
      <c r="P22" s="33"/>
    </row>
    <row r="23" spans="1:16" x14ac:dyDescent="0.2">
      <c r="A23" s="115"/>
      <c r="B23" s="93">
        <v>6</v>
      </c>
      <c r="C23" s="122"/>
      <c r="D23" s="92">
        <v>7</v>
      </c>
      <c r="E23" s="115"/>
      <c r="F23" s="92">
        <v>8</v>
      </c>
      <c r="G23" s="94"/>
      <c r="H23" s="92">
        <v>9</v>
      </c>
      <c r="I23" s="115"/>
      <c r="J23" s="93">
        <v>10</v>
      </c>
      <c r="L23" s="92">
        <v>11</v>
      </c>
      <c r="M23" s="143" t="str">
        <f>HYPERLINK("#4!A5","K-Järve 23. MV")</f>
        <v>K-Järve 23. MV</v>
      </c>
      <c r="N23" s="126">
        <v>12</v>
      </c>
      <c r="O23" s="10"/>
      <c r="P23" s="10"/>
    </row>
    <row r="24" spans="1:16" x14ac:dyDescent="0.2">
      <c r="A24" s="36"/>
      <c r="B24" s="127"/>
      <c r="C24" s="21"/>
      <c r="D24" s="22"/>
      <c r="E24" s="36"/>
      <c r="F24" s="22"/>
      <c r="G24" s="144"/>
      <c r="H24" s="22"/>
      <c r="I24" s="36"/>
      <c r="J24" s="127"/>
      <c r="L24" s="22"/>
      <c r="M24" s="145" t="s">
        <v>39</v>
      </c>
      <c r="N24" s="146"/>
      <c r="O24" s="10"/>
      <c r="P24" s="10"/>
    </row>
    <row r="25" spans="1:16" ht="13.5" thickBot="1" x14ac:dyDescent="0.25">
      <c r="A25" s="36"/>
      <c r="B25" s="127"/>
      <c r="C25" s="21"/>
      <c r="D25" s="22"/>
      <c r="E25" s="36"/>
      <c r="F25" s="22"/>
      <c r="G25" s="144"/>
      <c r="H25" s="22"/>
      <c r="I25" s="36"/>
      <c r="J25" s="127"/>
      <c r="K25" s="147"/>
      <c r="L25" s="148"/>
      <c r="M25" s="149" t="str">
        <f>HYPERLINK("https://kaart.delfi.ee/?bookmark=521b80d6ceeefbe3e5d227267242b206","K-Järve spordihoone")</f>
        <v>K-Järve spordihoone</v>
      </c>
      <c r="N25" s="150"/>
      <c r="O25" s="10"/>
      <c r="P25" s="10"/>
    </row>
    <row r="26" spans="1:16" x14ac:dyDescent="0.2">
      <c r="A26" s="36"/>
      <c r="B26" s="127"/>
      <c r="C26" s="21"/>
      <c r="D26" s="22"/>
      <c r="E26" s="36"/>
      <c r="F26" s="22"/>
      <c r="G26" s="144"/>
      <c r="H26" s="22"/>
      <c r="I26" s="36"/>
      <c r="J26" s="127"/>
      <c r="K26" s="151" t="str">
        <f>HYPERLINK("","Kaunas Open 2022")</f>
        <v>Kaunas Open 2022</v>
      </c>
      <c r="L26" s="1435"/>
      <c r="M26" s="1434" t="str">
        <f>HYPERLINK("https://lietuvospetanke.lt/turnyrai/","Baltic Mix Masters")</f>
        <v>Baltic Mix Masters</v>
      </c>
      <c r="N26" s="152"/>
      <c r="O26" s="10"/>
      <c r="P26" s="10"/>
    </row>
    <row r="27" spans="1:16" x14ac:dyDescent="0.2">
      <c r="A27" s="36"/>
      <c r="B27" s="127"/>
      <c r="C27" s="21"/>
      <c r="D27" s="22"/>
      <c r="E27" s="36"/>
      <c r="F27" s="22"/>
      <c r="G27" s="144"/>
      <c r="H27" s="22"/>
      <c r="I27" s="36"/>
      <c r="J27" s="127"/>
      <c r="K27" s="153" t="s">
        <v>36</v>
      </c>
      <c r="L27" s="22"/>
      <c r="M27" s="154" t="s">
        <v>43</v>
      </c>
      <c r="N27" s="155" t="str">
        <f>HYPERLINK("https://petanque.lv/events/baltic-masters-mix/","inf")</f>
        <v>inf</v>
      </c>
      <c r="O27" s="10"/>
      <c r="P27" s="10"/>
    </row>
    <row r="28" spans="1:16" ht="13.5" thickBot="1" x14ac:dyDescent="0.25">
      <c r="A28" s="108"/>
      <c r="B28" s="156"/>
      <c r="C28" s="157"/>
      <c r="D28" s="105"/>
      <c r="E28" s="108"/>
      <c r="F28" s="105"/>
      <c r="G28" s="158"/>
      <c r="H28" s="159"/>
      <c r="I28" s="108"/>
      <c r="J28" s="160"/>
      <c r="K28" s="161" t="str">
        <f>HYPERLINK("https://goo.gl/maps/CqKgTCgqqCA5LGho8","Kaunas (Leedu)")</f>
        <v>Kaunas (Leedu)</v>
      </c>
      <c r="L28" s="156"/>
      <c r="M28" s="162" t="str">
        <f>HYPERLINK("https://goo.gl/maps/CqKgTCgqqCA5LGho8","Kaunas (Leedu)")</f>
        <v>Kaunas (Leedu)</v>
      </c>
      <c r="N28" s="156"/>
      <c r="O28" s="10"/>
      <c r="P28" s="10"/>
    </row>
    <row r="29" spans="1:16" x14ac:dyDescent="0.2">
      <c r="A29" s="36"/>
      <c r="B29" s="163">
        <v>13</v>
      </c>
      <c r="C29" s="91" t="str">
        <f>HYPERLINK("#V2!A5","Voka IX KV")</f>
        <v>Voka IX KV</v>
      </c>
      <c r="D29" s="164">
        <v>14</v>
      </c>
      <c r="E29" s="36"/>
      <c r="F29" s="164">
        <v>15</v>
      </c>
      <c r="G29" s="115"/>
      <c r="H29" s="92">
        <v>16</v>
      </c>
      <c r="I29" s="36"/>
      <c r="J29" s="164">
        <v>17</v>
      </c>
      <c r="K29" s="165" t="str">
        <f>HYPERLINK("https://www.petanque.ee/index.php?id=103820&amp;cid=892","25. Eesti MV")</f>
        <v>25. Eesti MV</v>
      </c>
      <c r="L29" s="163">
        <v>18</v>
      </c>
      <c r="M29" s="166" t="str">
        <f>HYPERLINK("https://www.petanque.ee/index.php?id=103820&amp;cid=893","9. Viru karikas")</f>
        <v>9. Viru karikas</v>
      </c>
      <c r="N29" s="163">
        <v>19</v>
      </c>
      <c r="O29" s="33"/>
      <c r="P29" s="10"/>
    </row>
    <row r="30" spans="1:16" x14ac:dyDescent="0.2">
      <c r="A30" s="36"/>
      <c r="B30" s="131"/>
      <c r="C30" s="97" t="s">
        <v>412</v>
      </c>
      <c r="D30" s="167"/>
      <c r="E30" s="36"/>
      <c r="F30" s="21"/>
      <c r="G30" s="36"/>
      <c r="H30" s="22"/>
      <c r="I30" s="36"/>
      <c r="J30" s="21"/>
      <c r="K30" s="168" t="s">
        <v>43</v>
      </c>
      <c r="L30" s="21"/>
      <c r="M30" s="169" t="s">
        <v>39</v>
      </c>
      <c r="N30" s="170"/>
      <c r="O30" s="33"/>
      <c r="P30" s="10"/>
    </row>
    <row r="31" spans="1:16" ht="13.5" thickBot="1" x14ac:dyDescent="0.25">
      <c r="A31" s="36"/>
      <c r="B31" s="131"/>
      <c r="C31" s="106" t="str">
        <f>HYPERLINK("https://kaart.delfi.ee//?bookmark=ebd616e171f4882941c876d5ba118858","Voka")</f>
        <v>Voka</v>
      </c>
      <c r="D31" s="167"/>
      <c r="E31" s="36"/>
      <c r="F31" s="21"/>
      <c r="G31" s="108"/>
      <c r="H31" s="35"/>
      <c r="I31" s="37"/>
      <c r="J31" s="171"/>
      <c r="K31" s="172" t="str">
        <f>HYPERLINK("https://kaart.delfi.ee/?bookmark=521b80d6ceeefbe3e5d227267242b206","K-Järve spordihoone")</f>
        <v>K-Järve spordihoone</v>
      </c>
      <c r="L31" s="173"/>
      <c r="M31" s="174" t="str">
        <f>HYPERLINK("https://kaart.delfi.ee/?bookmark=521b80d6ceeefbe3e5d227267242b206","K-Järve spordihoone")</f>
        <v>K-Järve spordihoone</v>
      </c>
      <c r="N31" s="170"/>
      <c r="O31" s="10"/>
      <c r="P31" s="10"/>
    </row>
    <row r="32" spans="1:16" x14ac:dyDescent="0.2">
      <c r="A32" s="115"/>
      <c r="B32" s="93">
        <v>20</v>
      </c>
      <c r="C32" s="175" t="str">
        <f>HYPERLINK("#V3!A5","Voka IX KV")</f>
        <v>Voka IX KV</v>
      </c>
      <c r="D32" s="92">
        <v>21</v>
      </c>
      <c r="E32" s="115"/>
      <c r="F32" s="92">
        <v>22</v>
      </c>
      <c r="G32" s="176"/>
      <c r="H32" s="177">
        <v>23</v>
      </c>
      <c r="I32" s="114"/>
      <c r="J32" s="178">
        <v>24</v>
      </c>
      <c r="K32" s="115"/>
      <c r="L32" s="92">
        <v>25</v>
      </c>
      <c r="M32" s="96" t="str">
        <f>HYPERLINK("#5!A5","Ida-Virumaa MV")</f>
        <v>Ida-Virumaa MV</v>
      </c>
      <c r="N32" s="93">
        <v>26</v>
      </c>
      <c r="O32" s="10"/>
      <c r="P32" s="10"/>
    </row>
    <row r="33" spans="1:16" x14ac:dyDescent="0.2">
      <c r="A33" s="36"/>
      <c r="B33" s="131"/>
      <c r="C33" s="179" t="s">
        <v>413</v>
      </c>
      <c r="D33" s="167"/>
      <c r="E33" s="36"/>
      <c r="F33" s="21"/>
      <c r="G33" s="180"/>
      <c r="H33" s="21"/>
      <c r="I33" s="37"/>
      <c r="J33" s="171"/>
      <c r="K33" s="36"/>
      <c r="L33" s="21"/>
      <c r="M33" s="102" t="s">
        <v>43</v>
      </c>
      <c r="N33" s="103"/>
      <c r="O33" s="10"/>
      <c r="P33" s="33"/>
    </row>
    <row r="34" spans="1:16" ht="13.5" thickBot="1" x14ac:dyDescent="0.25">
      <c r="A34" s="108"/>
      <c r="B34" s="160"/>
      <c r="C34" s="181" t="str">
        <f>HYPERLINK("https://kaart.delfi.ee//?bookmark=ebd616e171f4882941c876d5ba118858","Voka")</f>
        <v>Voka</v>
      </c>
      <c r="D34" s="182"/>
      <c r="E34" s="108"/>
      <c r="F34" s="157"/>
      <c r="G34" s="183"/>
      <c r="H34" s="157"/>
      <c r="I34" s="104"/>
      <c r="J34" s="184"/>
      <c r="K34" s="108"/>
      <c r="L34" s="160"/>
      <c r="M34" s="112" t="str">
        <f>HYPERLINK("https://kaart.delfi.ee//?bookmark=ebd616e171f4882941c876d5ba118858","Voka staadion")</f>
        <v>Voka staadion</v>
      </c>
      <c r="N34" s="113"/>
      <c r="O34" s="10"/>
      <c r="P34" s="10"/>
    </row>
    <row r="35" spans="1:16" ht="13.5" thickBot="1" x14ac:dyDescent="0.25">
      <c r="A35" s="115"/>
      <c r="B35" s="93">
        <v>27</v>
      </c>
      <c r="C35" s="122"/>
      <c r="D35" s="92">
        <v>28</v>
      </c>
      <c r="E35" s="115"/>
      <c r="F35" s="93">
        <v>29</v>
      </c>
      <c r="G35" s="115"/>
      <c r="H35" s="116">
        <v>30</v>
      </c>
      <c r="I35" s="185"/>
      <c r="J35" s="186"/>
      <c r="O35" s="10"/>
      <c r="P35" s="10"/>
    </row>
    <row r="36" spans="1:16" ht="13.5" thickBot="1" x14ac:dyDescent="0.25">
      <c r="A36" s="187"/>
      <c r="B36" s="188"/>
      <c r="C36" s="189"/>
      <c r="D36" s="190"/>
      <c r="E36" s="187"/>
      <c r="F36" s="189"/>
      <c r="G36" s="187"/>
      <c r="H36" s="191"/>
      <c r="I36" s="192"/>
      <c r="J36" s="193">
        <v>1</v>
      </c>
      <c r="K36" s="95" t="str">
        <f>HYPERLINK("#M2!A5","Maidu karikas, 2. etapp")</f>
        <v>Maidu karikas, 2. etapp</v>
      </c>
      <c r="L36" s="93">
        <v>2</v>
      </c>
      <c r="M36" s="143" t="str">
        <f>HYPERLINK("#6!G1","K-Järve 23. MV")</f>
        <v>K-Järve 23. MV</v>
      </c>
      <c r="N36" s="126">
        <v>3</v>
      </c>
      <c r="O36" s="10"/>
      <c r="P36" s="10"/>
    </row>
    <row r="37" spans="1:16" ht="13.5" thickTop="1" x14ac:dyDescent="0.2">
      <c r="A37" s="194" t="s">
        <v>375</v>
      </c>
      <c r="B37" s="19"/>
      <c r="C37" s="20"/>
      <c r="D37" s="22"/>
      <c r="E37" s="21"/>
      <c r="F37" s="21"/>
      <c r="G37" s="21"/>
      <c r="H37" s="21"/>
      <c r="I37" s="36"/>
      <c r="J37" s="127"/>
      <c r="K37" s="100" t="s">
        <v>40</v>
      </c>
      <c r="L37" s="195"/>
      <c r="M37" s="196" t="s">
        <v>40</v>
      </c>
      <c r="N37" s="146"/>
      <c r="O37" s="10"/>
      <c r="P37" s="10"/>
    </row>
    <row r="38" spans="1:16" ht="13.5" thickBot="1" x14ac:dyDescent="0.25">
      <c r="I38" s="108"/>
      <c r="J38" s="105"/>
      <c r="K38" s="197" t="str">
        <f>HYPERLINK("https://kaart.delfi.ee/?bookmark=521b80d6ceeefbe3e5d227267242b206","K-Järve spordihoone")</f>
        <v>K-Järve spordihoone</v>
      </c>
      <c r="L38" s="198"/>
      <c r="M38" s="149" t="str">
        <f>HYPERLINK("https://kaart.delfi.ee/?bookmark=521b80d6ceeefbe3e5d227267242b206","K-Järve spordihoone")</f>
        <v>K-Järve spordihoone</v>
      </c>
      <c r="N38" s="199"/>
      <c r="O38" s="21"/>
      <c r="P38" s="21"/>
    </row>
    <row r="39" spans="1:16" x14ac:dyDescent="0.2">
      <c r="A39" s="115"/>
      <c r="B39" s="92">
        <v>4</v>
      </c>
      <c r="C39" s="200" t="str">
        <f>HYPERLINK("#V4!A5","Voka IX KV")</f>
        <v>Voka IX KV</v>
      </c>
      <c r="D39" s="201">
        <v>5</v>
      </c>
      <c r="E39" s="115"/>
      <c r="F39" s="92">
        <v>6</v>
      </c>
      <c r="G39" s="81"/>
      <c r="H39" s="202">
        <v>7</v>
      </c>
      <c r="I39" s="203" t="str">
        <f>HYPERLINK("https://www.petanque.ee/index.php?id=103820&amp;cid=895","31. Eesti MV")</f>
        <v>31. Eesti MV</v>
      </c>
      <c r="J39" s="92">
        <v>8</v>
      </c>
      <c r="K39" s="203" t="str">
        <f>HYPERLINK("https://www.petanque.ee/index.php?id=103820&amp;cid=896","31. Eesti MV")</f>
        <v>31. Eesti MV</v>
      </c>
      <c r="L39" s="93">
        <v>9</v>
      </c>
      <c r="M39" s="122"/>
      <c r="N39" s="93">
        <v>10</v>
      </c>
      <c r="O39" s="10"/>
      <c r="P39" s="33"/>
    </row>
    <row r="40" spans="1:16" x14ac:dyDescent="0.2">
      <c r="A40" s="36"/>
      <c r="B40" s="21"/>
      <c r="C40" s="204" t="s">
        <v>414</v>
      </c>
      <c r="D40" s="205"/>
      <c r="E40" s="36"/>
      <c r="F40" s="21"/>
      <c r="G40" s="41"/>
      <c r="H40" s="127"/>
      <c r="I40" s="206" t="s">
        <v>36</v>
      </c>
      <c r="J40" s="22"/>
      <c r="K40" s="206" t="s">
        <v>369</v>
      </c>
      <c r="L40" s="131"/>
      <c r="M40" s="21"/>
      <c r="N40" s="207"/>
      <c r="O40" s="10"/>
      <c r="P40" s="33"/>
    </row>
    <row r="41" spans="1:16" x14ac:dyDescent="0.2">
      <c r="A41" s="36"/>
      <c r="B41" s="21"/>
      <c r="C41" s="208" t="str">
        <f>HYPERLINK("https://kaart.delfi.ee//?bookmark=ebd616e171f4882941c876d5ba118858","Voka")</f>
        <v>Voka</v>
      </c>
      <c r="D41" s="205"/>
      <c r="E41" s="36"/>
      <c r="F41" s="21"/>
      <c r="G41" s="41"/>
      <c r="H41" s="127"/>
      <c r="I41" s="209" t="str">
        <f>HYPERLINK("http://kaart.delfi.ee/?bookmark=0eb4bf4e7fb4b30009b7d7543818abd1","Kärdla")</f>
        <v>Kärdla</v>
      </c>
      <c r="J41" s="21"/>
      <c r="K41" s="210" t="str">
        <f>HYPERLINK("http://kaart.delfi.ee/?bookmark=0eb4bf4e7fb4b30009b7d7543818abd1","Kärdla")</f>
        <v>Kärdla</v>
      </c>
      <c r="L41" s="133"/>
      <c r="M41" s="36"/>
      <c r="N41" s="131"/>
      <c r="O41" s="10"/>
      <c r="P41" s="33"/>
    </row>
    <row r="42" spans="1:16" x14ac:dyDescent="0.2">
      <c r="A42" s="36"/>
      <c r="B42" s="21"/>
      <c r="C42" s="211"/>
      <c r="D42" s="205"/>
      <c r="E42" s="36"/>
      <c r="F42" s="21"/>
      <c r="G42" s="41"/>
      <c r="H42" s="127"/>
      <c r="I42" s="212" t="s">
        <v>415</v>
      </c>
      <c r="J42" s="22"/>
      <c r="K42" s="213" t="str">
        <f>HYPERLINK("","47. Eesti omavalitsuste")</f>
        <v>47. Eesti omavalitsuste</v>
      </c>
      <c r="L42" s="214"/>
      <c r="M42" s="39" t="str">
        <f>HYPERLINK("","47. Eesti omavalitsuste")</f>
        <v>47. Eesti omavalitsuste</v>
      </c>
      <c r="N42" s="131"/>
      <c r="O42" s="10"/>
      <c r="P42" s="33"/>
    </row>
    <row r="43" spans="1:16" x14ac:dyDescent="0.2">
      <c r="A43" s="36"/>
      <c r="B43" s="21"/>
      <c r="C43" s="211"/>
      <c r="D43" s="205"/>
      <c r="E43" s="36"/>
      <c r="F43" s="21"/>
      <c r="G43" s="41"/>
      <c r="H43" s="127"/>
      <c r="I43" s="215"/>
      <c r="J43" s="216" t="str">
        <f>HYPERLINK("https://www.facebook.com/EPKLEestiPetanqueKlubideLiit/posts/288261833522905","inf")</f>
        <v>inf</v>
      </c>
      <c r="K43" s="36" t="s">
        <v>385</v>
      </c>
      <c r="L43" s="131"/>
      <c r="M43" s="36" t="s">
        <v>385</v>
      </c>
      <c r="N43" s="131"/>
      <c r="O43" s="10"/>
      <c r="P43" s="33"/>
    </row>
    <row r="44" spans="1:16" x14ac:dyDescent="0.2">
      <c r="A44" s="36"/>
      <c r="B44" s="21"/>
      <c r="C44" s="211"/>
      <c r="D44" s="205"/>
      <c r="E44" s="36"/>
      <c r="F44" s="21"/>
      <c r="G44" s="41"/>
      <c r="H44" s="127"/>
      <c r="I44" s="215"/>
      <c r="J44" s="22"/>
      <c r="K44" s="36" t="s">
        <v>44</v>
      </c>
      <c r="L44" s="155" t="str">
        <f>HYPERLINK("http://www.joud.ee/est/g78s5711","inf")</f>
        <v>inf</v>
      </c>
      <c r="M44" s="36" t="s">
        <v>44</v>
      </c>
      <c r="N44" s="131"/>
      <c r="O44" s="10"/>
      <c r="P44" s="33"/>
    </row>
    <row r="45" spans="1:16" ht="13.5" thickBot="1" x14ac:dyDescent="0.25">
      <c r="A45" s="217" t="str">
        <f>HYPERLINK("https://france3-regions.francetvinfo.fr/sport/petanque/mondial-petanque","Mondial la Marseillaise 2022")</f>
        <v>Mondial la Marseillaise 2022</v>
      </c>
      <c r="B45" s="218"/>
      <c r="C45" s="219"/>
      <c r="D45" s="218"/>
      <c r="E45" s="219"/>
      <c r="F45" s="220"/>
      <c r="G45" s="71"/>
      <c r="H45" s="156"/>
      <c r="I45" s="221"/>
      <c r="J45" s="221"/>
      <c r="K45" s="222" t="str">
        <f>HYPERLINK("","Tehvandi")</f>
        <v>Tehvandi</v>
      </c>
      <c r="L45" s="155" t="str">
        <f>HYPERLINK("http://www.joud.ee/est/g78s5711","inf")</f>
        <v>inf</v>
      </c>
      <c r="M45" s="222" t="str">
        <f>HYPERLINK("","Tehvandi")</f>
        <v>Tehvandi</v>
      </c>
      <c r="N45" s="156"/>
      <c r="O45" s="10" t="s">
        <v>20</v>
      </c>
      <c r="P45" s="33"/>
    </row>
    <row r="46" spans="1:16" x14ac:dyDescent="0.2">
      <c r="A46" s="36"/>
      <c r="B46" s="163">
        <v>11</v>
      </c>
      <c r="C46" s="91" t="str">
        <f>HYPERLINK("#V5!A5","Voka IX KV")</f>
        <v>Voka IX KV</v>
      </c>
      <c r="D46" s="163">
        <v>12</v>
      </c>
      <c r="E46" s="41"/>
      <c r="F46" s="164">
        <v>13</v>
      </c>
      <c r="G46" s="36"/>
      <c r="H46" s="164">
        <v>14</v>
      </c>
      <c r="I46" s="39"/>
      <c r="J46" s="223">
        <v>15</v>
      </c>
      <c r="K46" s="224" t="str">
        <f>HYPERLINK("https://www.petanque.ee/index.php?id=103820&amp;cid=903","2. Eesti MV")</f>
        <v>2. Eesti MV</v>
      </c>
      <c r="L46" s="223">
        <v>16</v>
      </c>
      <c r="M46" s="224" t="str">
        <f>HYPERLINK("https://www.petanque.ee/index.php?id=103820&amp;cid=902","1. Eesti MV")</f>
        <v>1. Eesti MV</v>
      </c>
      <c r="N46" s="163">
        <v>17</v>
      </c>
      <c r="O46" s="10"/>
      <c r="P46" s="33"/>
    </row>
    <row r="47" spans="1:16" x14ac:dyDescent="0.2">
      <c r="A47" s="36"/>
      <c r="B47" s="127"/>
      <c r="C47" s="225" t="s">
        <v>42</v>
      </c>
      <c r="D47" s="226"/>
      <c r="E47" s="41"/>
      <c r="F47" s="22"/>
      <c r="G47" s="36"/>
      <c r="H47" s="21"/>
      <c r="I47" s="36"/>
      <c r="J47" s="227"/>
      <c r="K47" s="206" t="s">
        <v>698</v>
      </c>
      <c r="L47" s="22"/>
      <c r="M47" s="206" t="s">
        <v>697</v>
      </c>
      <c r="N47" s="127"/>
      <c r="O47" s="10"/>
      <c r="P47" s="33"/>
    </row>
    <row r="48" spans="1:16" x14ac:dyDescent="0.2">
      <c r="A48" s="36"/>
      <c r="B48" s="127"/>
      <c r="C48" s="228" t="str">
        <f>HYPERLINK("https://kaart.delfi.ee//?bookmark=ebd616e171f4882941c876d5ba118858","Voka")</f>
        <v>Voka</v>
      </c>
      <c r="D48" s="226"/>
      <c r="E48" s="41"/>
      <c r="F48" s="127"/>
      <c r="G48" s="21"/>
      <c r="H48" s="21"/>
      <c r="I48" s="36"/>
      <c r="J48" s="227"/>
      <c r="K48" s="229" t="str">
        <f>HYPERLINK("https://kaart.delfi.ee/?bookmark=037591353bf9698628b723dab6c5e799","Valga")</f>
        <v>Valga</v>
      </c>
      <c r="L48" s="22"/>
      <c r="M48" s="229" t="str">
        <f>HYPERLINK("https://kaart.delfi.ee/?bookmark=037591353bf9698628b723dab6c5e799","Valga")</f>
        <v>Valga</v>
      </c>
      <c r="N48" s="127"/>
      <c r="O48" s="10"/>
      <c r="P48" s="33"/>
    </row>
    <row r="49" spans="1:16" ht="13.5" thickBot="1" x14ac:dyDescent="0.25">
      <c r="A49" s="108"/>
      <c r="B49" s="105"/>
      <c r="C49" s="230"/>
      <c r="D49" s="231"/>
      <c r="E49" s="232"/>
      <c r="F49" s="233" t="s">
        <v>370</v>
      </c>
      <c r="G49" s="233"/>
      <c r="H49" s="234"/>
      <c r="I49" s="233"/>
      <c r="J49" s="233"/>
      <c r="K49" s="235"/>
      <c r="L49" s="236" t="str">
        <f>HYPERLINK("https://petanque2022.nl/?lang=en","inf")</f>
        <v>inf</v>
      </c>
      <c r="M49" s="235"/>
      <c r="N49" s="237" t="str">
        <f>HYPERLINK("https://www.google.com/maps/place/P%C3%A9tanque+Union+Bois+le+Duc/@51.6936209,5.2781779,15z/data=!4m5!3m4!1s0x0:0xbb374d861936c610!8m2!3d51.6936209!4d5.2781779","'s-Hertogenbosch (Holland)")</f>
        <v>'s-Hertogenbosch (Holland)</v>
      </c>
      <c r="O49" s="10"/>
      <c r="P49" s="33"/>
    </row>
    <row r="50" spans="1:16" x14ac:dyDescent="0.2">
      <c r="A50" s="36"/>
      <c r="B50" s="164">
        <v>18</v>
      </c>
      <c r="C50" s="36"/>
      <c r="D50" s="223">
        <v>19</v>
      </c>
      <c r="E50" s="180"/>
      <c r="F50" s="223">
        <v>20</v>
      </c>
      <c r="G50" s="96" t="str">
        <f>HYPERLINK("#7!A5","Ida-Virumaa MV")</f>
        <v>Ida-Virumaa MV</v>
      </c>
      <c r="H50" s="93">
        <v>21</v>
      </c>
      <c r="I50" s="36"/>
      <c r="J50" s="164">
        <v>22</v>
      </c>
      <c r="K50" s="238"/>
      <c r="L50" s="93">
        <v>23</v>
      </c>
      <c r="M50" s="239" t="str">
        <f>HYPERLINK("#Mu!A5","Toila valla MV")</f>
        <v>Toila valla MV</v>
      </c>
      <c r="N50" s="163">
        <v>24</v>
      </c>
      <c r="O50" s="10"/>
      <c r="P50" s="33"/>
    </row>
    <row r="51" spans="1:16" x14ac:dyDescent="0.2">
      <c r="A51" s="36"/>
      <c r="B51" s="21"/>
      <c r="C51" s="36"/>
      <c r="D51" s="240"/>
      <c r="E51" s="99"/>
      <c r="F51" s="240"/>
      <c r="G51" s="102" t="s">
        <v>41</v>
      </c>
      <c r="H51" s="103"/>
      <c r="I51" s="36"/>
      <c r="J51" s="22"/>
      <c r="K51" s="241"/>
      <c r="L51" s="127"/>
      <c r="M51" s="242" t="s">
        <v>416</v>
      </c>
      <c r="N51" s="243"/>
      <c r="O51" s="10"/>
      <c r="P51" s="33"/>
    </row>
    <row r="52" spans="1:16" x14ac:dyDescent="0.2">
      <c r="A52" s="36"/>
      <c r="B52" s="21"/>
      <c r="C52" s="36"/>
      <c r="D52" s="240"/>
      <c r="E52" s="99"/>
      <c r="F52" s="21"/>
      <c r="G52" s="244" t="str">
        <f>HYPERLINK("https://kaart.delfi.ee/?bookmark=521b80d6ceeefbe3e5d227267242b206","K-Järve spordihoone")</f>
        <v>K-Järve spordihoone</v>
      </c>
      <c r="H52" s="245"/>
      <c r="I52" s="36"/>
      <c r="J52" s="22"/>
      <c r="K52" s="241"/>
      <c r="L52" s="127"/>
      <c r="M52" s="246" t="s">
        <v>40</v>
      </c>
      <c r="N52" s="243"/>
      <c r="O52" s="10"/>
      <c r="P52" s="33"/>
    </row>
    <row r="53" spans="1:16" x14ac:dyDescent="0.2">
      <c r="A53" s="36"/>
      <c r="B53" s="21"/>
      <c r="C53" s="36"/>
      <c r="D53" s="240"/>
      <c r="E53" s="247"/>
      <c r="F53" s="131"/>
      <c r="G53" s="248"/>
      <c r="H53" s="249"/>
      <c r="I53" s="36"/>
      <c r="J53" s="250"/>
      <c r="K53" s="241"/>
      <c r="L53" s="131"/>
      <c r="M53" s="251" t="str">
        <f>HYPERLINK("http://kaart.delfi.ee//?bookmark=ebd616e171f4882941c876d5ba118858","Voka staadion")</f>
        <v>Voka staadion</v>
      </c>
      <c r="N53" s="252"/>
      <c r="O53" s="10"/>
      <c r="P53" s="10"/>
    </row>
    <row r="54" spans="1:16" x14ac:dyDescent="0.2">
      <c r="A54" s="36"/>
      <c r="B54" s="21"/>
      <c r="C54" s="36"/>
      <c r="D54" s="21"/>
      <c r="E54" s="247"/>
      <c r="F54" s="21"/>
      <c r="G54" s="248"/>
      <c r="H54" s="249"/>
      <c r="I54" s="36"/>
      <c r="J54" s="250"/>
      <c r="K54" s="253" t="str">
        <f>HYPERLINK("https://www.petanque.ee/index.php?id=103820&amp;cid=904","2. Tõrva Cup")</f>
        <v>2. Tõrva Cup</v>
      </c>
      <c r="L54" s="131"/>
      <c r="M54" s="254" t="str">
        <f>HYPERLINK("https://www.petanque.ee/index.php?id=103820&amp;cid=905","2. Tõrva Cup")</f>
        <v>2. Tõrva Cup</v>
      </c>
      <c r="N54" s="255"/>
      <c r="O54" s="10"/>
      <c r="P54" s="10"/>
    </row>
    <row r="55" spans="1:16" x14ac:dyDescent="0.2">
      <c r="A55" s="36"/>
      <c r="B55" s="21"/>
      <c r="C55" s="36"/>
      <c r="D55" s="21"/>
      <c r="E55" s="247"/>
      <c r="F55" s="21"/>
      <c r="G55" s="248"/>
      <c r="H55" s="249"/>
      <c r="I55" s="36"/>
      <c r="J55" s="250"/>
      <c r="K55" s="36" t="s">
        <v>39</v>
      </c>
      <c r="L55" s="131"/>
      <c r="M55" s="21" t="s">
        <v>36</v>
      </c>
      <c r="N55" s="256"/>
      <c r="O55" s="10"/>
      <c r="P55" s="10"/>
    </row>
    <row r="56" spans="1:16" ht="13.5" thickBot="1" x14ac:dyDescent="0.25">
      <c r="A56" s="108"/>
      <c r="B56" s="157"/>
      <c r="C56" s="108"/>
      <c r="D56" s="157"/>
      <c r="E56" s="257"/>
      <c r="F56" s="157"/>
      <c r="G56" s="258"/>
      <c r="H56" s="259"/>
      <c r="I56" s="108"/>
      <c r="J56" s="260"/>
      <c r="K56" s="261" t="str">
        <f>HYPERLINK("https://kaart.delfi.ee/?bookmark=1779b9f3de5825fbacb56aa45d999aab","Tõrva, Puiestee 1")</f>
        <v>Tõrva, Puiestee 1</v>
      </c>
      <c r="L56" s="160"/>
      <c r="M56" s="262" t="str">
        <f>HYPERLINK("https://kaart.delfi.ee/?bookmark=1779b9f3de5825fbacb56aa45d999aab","Tõrva, Puiestee 1")</f>
        <v>Tõrva, Puiestee 1</v>
      </c>
      <c r="N56" s="263"/>
      <c r="O56" s="10"/>
      <c r="P56" s="10"/>
    </row>
    <row r="57" spans="1:16" x14ac:dyDescent="0.2">
      <c r="A57" s="36"/>
      <c r="B57" s="163">
        <v>25</v>
      </c>
      <c r="C57" s="91" t="str">
        <f>HYPERLINK("#V6!G1","Voka IX KV")</f>
        <v>Voka IX KV</v>
      </c>
      <c r="D57" s="164">
        <v>26</v>
      </c>
      <c r="E57" s="41"/>
      <c r="F57" s="223">
        <v>27</v>
      </c>
      <c r="G57" s="41"/>
      <c r="H57" s="164">
        <v>28</v>
      </c>
      <c r="I57" s="36"/>
      <c r="J57" s="163">
        <v>29</v>
      </c>
      <c r="K57" s="264" t="str">
        <f>HYPERLINK("https://www.petanque.ee/index.php?id=103820&amp;cid=906","18. Klubide karikas")</f>
        <v>18. Klubide karikas</v>
      </c>
      <c r="L57" s="164">
        <v>30</v>
      </c>
      <c r="M57" s="264" t="str">
        <f>HYPERLINK("https://www.petanque.ee/index.php?id=103820&amp;cid=907","18. Klubide karikas")</f>
        <v>18. Klubide karikas</v>
      </c>
      <c r="N57" s="163">
        <v>31</v>
      </c>
      <c r="O57" s="10"/>
      <c r="P57" s="33"/>
    </row>
    <row r="58" spans="1:16" x14ac:dyDescent="0.2">
      <c r="A58" s="36"/>
      <c r="B58" s="127"/>
      <c r="C58" s="97" t="s">
        <v>45</v>
      </c>
      <c r="D58" s="98"/>
      <c r="E58" s="41"/>
      <c r="F58" s="22"/>
      <c r="G58" s="41"/>
      <c r="H58" s="22"/>
      <c r="I58" s="36"/>
      <c r="J58" s="127"/>
      <c r="K58" s="265" t="s">
        <v>371</v>
      </c>
      <c r="L58" s="22"/>
      <c r="M58" s="265" t="s">
        <v>371</v>
      </c>
      <c r="N58" s="131"/>
      <c r="O58" s="10"/>
      <c r="P58" s="33"/>
    </row>
    <row r="59" spans="1:16" ht="13.5" thickBot="1" x14ac:dyDescent="0.25">
      <c r="A59" s="108"/>
      <c r="B59" s="156"/>
      <c r="C59" s="106" t="str">
        <f>HYPERLINK("https://kaart.delfi.ee//?bookmark=ebd616e171f4882941c876d5ba118858","Voka")</f>
        <v>Voka</v>
      </c>
      <c r="D59" s="107"/>
      <c r="E59" s="71"/>
      <c r="F59" s="105"/>
      <c r="G59" s="71"/>
      <c r="H59" s="105"/>
      <c r="I59" s="108"/>
      <c r="J59" s="156"/>
      <c r="K59" s="261" t="str">
        <f>HYPERLINK("https://kaart.delfi.ee/?bookmark=1779b9f3de5825fbacb56aa45d999aab","Tõrva, Puiestee 1")</f>
        <v>Tõrva, Puiestee 1</v>
      </c>
      <c r="L59" s="105"/>
      <c r="M59" s="261" t="str">
        <f>HYPERLINK("https://kaart.delfi.ee/?bookmark=1779b9f3de5825fbacb56aa45d999aab","Tõrva, Puiestee 1")</f>
        <v>Tõrva, Puiestee 1</v>
      </c>
      <c r="N59" s="160"/>
      <c r="O59" s="10"/>
      <c r="P59" s="33"/>
    </row>
    <row r="60" spans="1:16" ht="13.5" thickBot="1" x14ac:dyDescent="0.25">
      <c r="A60" s="266" t="s">
        <v>376</v>
      </c>
      <c r="B60" s="267"/>
      <c r="C60" s="268"/>
      <c r="D60" s="269"/>
      <c r="E60" s="269"/>
      <c r="F60" s="270"/>
      <c r="G60" s="271"/>
      <c r="H60" s="270"/>
      <c r="I60" s="271"/>
      <c r="J60" s="270"/>
      <c r="K60" s="271"/>
      <c r="L60" s="272"/>
      <c r="M60" s="269"/>
      <c r="N60" s="272"/>
      <c r="O60" s="10"/>
      <c r="P60" s="10"/>
    </row>
    <row r="61" spans="1:16" x14ac:dyDescent="0.2">
      <c r="A61" s="115"/>
      <c r="B61" s="92">
        <v>1</v>
      </c>
      <c r="C61" s="115"/>
      <c r="D61" s="92">
        <v>2</v>
      </c>
      <c r="E61" s="115"/>
      <c r="F61" s="92">
        <v>3</v>
      </c>
      <c r="G61" s="81"/>
      <c r="H61" s="93">
        <v>4</v>
      </c>
      <c r="I61" s="115"/>
      <c r="J61" s="92">
        <v>5</v>
      </c>
      <c r="K61" s="203" t="str">
        <f>HYPERLINK("https://www.petanque.ee/index.php?id=103820&amp;cid=908","32. Eesti MV")</f>
        <v>32. Eesti MV</v>
      </c>
      <c r="L61" s="92">
        <v>6</v>
      </c>
      <c r="M61" s="203" t="str">
        <f>HYPERLINK("https://www.petanque.ee/index.php?id=103820&amp;cid=909","32. Eesti MV")</f>
        <v>32. Eesti MV</v>
      </c>
      <c r="N61" s="93">
        <v>7</v>
      </c>
      <c r="O61" s="10"/>
      <c r="P61" s="33"/>
    </row>
    <row r="62" spans="1:16" x14ac:dyDescent="0.2">
      <c r="A62" s="36"/>
      <c r="B62" s="21"/>
      <c r="C62" s="36"/>
      <c r="D62" s="21"/>
      <c r="E62" s="36"/>
      <c r="F62" s="21"/>
      <c r="G62" s="41"/>
      <c r="H62" s="127"/>
      <c r="I62" s="36"/>
      <c r="J62" s="21"/>
      <c r="K62" s="206" t="s">
        <v>40</v>
      </c>
      <c r="L62" s="21"/>
      <c r="M62" s="206" t="s">
        <v>40</v>
      </c>
      <c r="N62" s="273"/>
      <c r="O62" s="10"/>
      <c r="P62" s="33"/>
    </row>
    <row r="63" spans="1:16" x14ac:dyDescent="0.2">
      <c r="A63" s="36"/>
      <c r="B63" s="21"/>
      <c r="C63" s="36"/>
      <c r="D63" s="21"/>
      <c r="E63" s="36"/>
      <c r="F63" s="21"/>
      <c r="G63" s="41"/>
      <c r="H63" s="127"/>
      <c r="I63" s="36"/>
      <c r="J63" s="21"/>
      <c r="K63" s="274" t="str">
        <f>HYPERLINK("https://kaart.delfi.ee/?bookmark=1779b9f3de5825fbacb56aa45d999aab","Tõrva, Puiestee 1")</f>
        <v>Tõrva, Puiestee 1</v>
      </c>
      <c r="L63" s="21"/>
      <c r="M63" s="274" t="str">
        <f>HYPERLINK("https://kaart.delfi.ee/?bookmark=1779b9f3de5825fbacb56aa45d999aab","Tõrva, Puiestee 1")</f>
        <v>Tõrva, Puiestee 1</v>
      </c>
      <c r="N63" s="273"/>
      <c r="O63" s="10"/>
      <c r="P63" s="10"/>
    </row>
    <row r="64" spans="1:16" x14ac:dyDescent="0.2">
      <c r="A64" s="36"/>
      <c r="B64" s="21"/>
      <c r="C64" s="36"/>
      <c r="D64" s="21"/>
      <c r="E64" s="36"/>
      <c r="F64" s="21"/>
      <c r="G64" s="41"/>
      <c r="H64" s="22"/>
      <c r="I64" s="36"/>
      <c r="J64" s="21"/>
      <c r="K64" s="275" t="str">
        <f>HYPERLINK("https://esvl.ee/uus/syndmus/esl-55-spordimangud/","55. ESL Spordimängud")</f>
        <v>55. ESL Spordimängud</v>
      </c>
      <c r="L64" s="214"/>
      <c r="M64" s="275" t="str">
        <f>HYPERLINK("https://esvl.ee/uus/syndmus/esl-55-spordimangud/","55. ESL Spordimängud")</f>
        <v>55. ESL Spordimängud</v>
      </c>
      <c r="N64" s="276"/>
      <c r="O64" s="10"/>
      <c r="P64" s="10"/>
    </row>
    <row r="65" spans="1:16" x14ac:dyDescent="0.2">
      <c r="A65" s="36"/>
      <c r="B65" s="21"/>
      <c r="C65" s="36"/>
      <c r="D65" s="21"/>
      <c r="E65" s="36"/>
      <c r="F65" s="21"/>
      <c r="G65" s="41"/>
      <c r="H65" s="22"/>
      <c r="I65" s="36"/>
      <c r="J65" s="21"/>
      <c r="K65" s="36" t="s">
        <v>388</v>
      </c>
      <c r="L65" s="21"/>
      <c r="M65" s="36" t="s">
        <v>388</v>
      </c>
      <c r="N65" s="273"/>
      <c r="O65" s="10"/>
      <c r="P65" s="10"/>
    </row>
    <row r="66" spans="1:16" ht="13.5" thickBot="1" x14ac:dyDescent="0.25">
      <c r="A66" s="36"/>
      <c r="B66" s="21"/>
      <c r="C66" s="36"/>
      <c r="D66" s="21"/>
      <c r="E66" s="36"/>
      <c r="F66" s="21"/>
      <c r="G66" s="71"/>
      <c r="H66" s="22"/>
      <c r="I66" s="36"/>
      <c r="J66" s="21"/>
      <c r="K66" s="39" t="s">
        <v>387</v>
      </c>
      <c r="L66" s="21"/>
      <c r="M66" s="39" t="s">
        <v>387</v>
      </c>
      <c r="N66" s="273"/>
      <c r="O66" s="10"/>
      <c r="P66" s="10"/>
    </row>
    <row r="67" spans="1:16" x14ac:dyDescent="0.2">
      <c r="A67" s="115"/>
      <c r="B67" s="92">
        <v>8</v>
      </c>
      <c r="C67" s="200" t="str">
        <f>HYPERLINK("#V7!G1","Voka IX KV")</f>
        <v>Voka IX KV</v>
      </c>
      <c r="D67" s="92">
        <v>9</v>
      </c>
      <c r="E67" s="81"/>
      <c r="F67" s="92">
        <v>10</v>
      </c>
      <c r="G67" s="94"/>
      <c r="H67" s="92">
        <v>11</v>
      </c>
      <c r="I67" s="115"/>
      <c r="J67" s="92">
        <v>12</v>
      </c>
      <c r="K67" s="94" t="str">
        <f>HYPERLINK("https://www.petanque.ee/index.php?id=103820&amp;cid=942","13. Katariina karikas")</f>
        <v>13. Katariina karikas</v>
      </c>
      <c r="L67" s="92">
        <v>13</v>
      </c>
      <c r="M67" s="94" t="str">
        <f>HYPERLINK("http://joud.ee/uudised?id=1079","12. EMSL Jõud MV,")</f>
        <v>12. EMSL Jõud MV,</v>
      </c>
      <c r="N67" s="93">
        <v>14</v>
      </c>
      <c r="O67" s="10"/>
      <c r="P67" s="33"/>
    </row>
    <row r="68" spans="1:16" x14ac:dyDescent="0.2">
      <c r="A68" s="36"/>
      <c r="B68" s="21"/>
      <c r="C68" s="204" t="s">
        <v>46</v>
      </c>
      <c r="D68" s="167"/>
      <c r="E68" s="41"/>
      <c r="F68" s="21"/>
      <c r="G68" s="99"/>
      <c r="H68" s="21"/>
      <c r="I68" s="36"/>
      <c r="J68" s="277"/>
      <c r="K68" s="99" t="s">
        <v>643</v>
      </c>
      <c r="L68" s="21"/>
      <c r="M68" s="180" t="str">
        <f>HYPERLINK("http://www.turna.ee/swiss.php?tid=554","TRIO (põhiklass)")</f>
        <v>TRIO (põhiklass)</v>
      </c>
      <c r="N68" s="152"/>
      <c r="O68" s="10"/>
      <c r="P68" s="33"/>
    </row>
    <row r="69" spans="1:16" x14ac:dyDescent="0.2">
      <c r="A69" s="36"/>
      <c r="B69" s="21"/>
      <c r="C69" s="204"/>
      <c r="D69" s="167"/>
      <c r="E69" s="41"/>
      <c r="F69" s="21"/>
      <c r="G69" s="99"/>
      <c r="H69" s="21"/>
      <c r="I69" s="36"/>
      <c r="J69" s="277"/>
      <c r="K69" s="99"/>
      <c r="L69" s="21"/>
      <c r="M69" s="180" t="str">
        <f>HYPERLINK("http://www.turna.ee/swiss.php?tid=552","TRIO (naised)")</f>
        <v>TRIO (naised)</v>
      </c>
      <c r="N69" s="155"/>
      <c r="O69" s="10"/>
      <c r="P69" s="33"/>
    </row>
    <row r="70" spans="1:16" ht="13.5" thickBot="1" x14ac:dyDescent="0.25">
      <c r="A70" s="36"/>
      <c r="B70" s="21"/>
      <c r="C70" s="278" t="str">
        <f>HYPERLINK("https://kaart.delfi.ee//?bookmark=ebd616e171f4882941c876d5ba118858","Voka")</f>
        <v>Voka</v>
      </c>
      <c r="D70" s="167"/>
      <c r="E70" s="41"/>
      <c r="F70" s="21"/>
      <c r="G70" s="99"/>
      <c r="H70" s="21"/>
      <c r="I70" s="36"/>
      <c r="J70" s="277"/>
      <c r="K70" s="279" t="str">
        <f>HYPERLINK("https://kaart.delfi.ee//?bookmark=2bb384d42ffa0c5e5f7907ddcf503cac","Võru")</f>
        <v>Võru</v>
      </c>
      <c r="L70" s="21"/>
      <c r="M70" s="279" t="str">
        <f>HYPERLINK("https://kaart.delfi.ee//?bookmark=2bb384d42ffa0c5e5f7907ddcf503cac","Võru")</f>
        <v>Võru</v>
      </c>
      <c r="N70" s="280"/>
      <c r="O70" s="10"/>
      <c r="P70" s="33"/>
    </row>
    <row r="71" spans="1:16" x14ac:dyDescent="0.2">
      <c r="A71" s="115"/>
      <c r="B71" s="92">
        <v>15</v>
      </c>
      <c r="C71" s="91" t="str">
        <f>HYPERLINK("#V3!A5","Voka IX KV")</f>
        <v>Voka IX KV</v>
      </c>
      <c r="D71" s="92">
        <v>16</v>
      </c>
      <c r="E71" s="115"/>
      <c r="F71" s="92">
        <v>17</v>
      </c>
      <c r="G71" s="94"/>
      <c r="H71" s="93">
        <v>18</v>
      </c>
      <c r="I71" s="115"/>
      <c r="J71" s="92">
        <v>19</v>
      </c>
      <c r="K71" s="84" t="str">
        <f>HYPERLINK("https://www.petanque.ee/index.php?id=103820&amp;cid=910","9. Warrios Cup")</f>
        <v>9. Warrios Cup</v>
      </c>
      <c r="L71" s="177">
        <v>20</v>
      </c>
      <c r="M71" s="84" t="str">
        <f>HYPERLINK("https://www.petanque.ee/index.php?id=103820&amp;cid=911","9. Warrios Cup")</f>
        <v>9. Warrios Cup</v>
      </c>
      <c r="N71" s="193">
        <v>21</v>
      </c>
      <c r="O71" s="10"/>
      <c r="P71" s="33"/>
    </row>
    <row r="72" spans="1:16" x14ac:dyDescent="0.2">
      <c r="A72" s="36"/>
      <c r="B72" s="22"/>
      <c r="C72" s="281" t="s">
        <v>696</v>
      </c>
      <c r="D72" s="98"/>
      <c r="E72" s="36"/>
      <c r="F72" s="21"/>
      <c r="G72" s="99"/>
      <c r="H72" s="282"/>
      <c r="I72" s="36"/>
      <c r="J72" s="22"/>
      <c r="K72" s="154" t="s">
        <v>36</v>
      </c>
      <c r="L72" s="21"/>
      <c r="M72" s="154" t="s">
        <v>39</v>
      </c>
      <c r="N72" s="35"/>
      <c r="O72" s="10"/>
      <c r="P72" s="10"/>
    </row>
    <row r="73" spans="1:16" ht="13.5" thickBot="1" x14ac:dyDescent="0.25">
      <c r="A73" s="108"/>
      <c r="B73" s="157"/>
      <c r="C73" s="106" t="str">
        <f>HYPERLINK("https://kaart.delfi.ee//?bookmark=ebd616e171f4882941c876d5ba118858","Voka")</f>
        <v>Voka</v>
      </c>
      <c r="D73" s="182"/>
      <c r="E73" s="108"/>
      <c r="F73" s="160"/>
      <c r="G73" s="283"/>
      <c r="H73" s="156"/>
      <c r="I73" s="108"/>
      <c r="J73" s="160"/>
      <c r="K73" s="284" t="str">
        <f>HYPERLINK("https://www.google.com/maps/place/Upesciems+petanque+courts/@56.981644,24.3377492,435m/data=!3m1!1e3!4m5!3m4!1s0x46eecdc33c5e2fb3:0x30c87625d54b1fa9!8m2!3d56.9815098!4d24.3390362","Upesciems (Läti)")</f>
        <v>Upesciems (Läti)</v>
      </c>
      <c r="L73" s="285" t="str">
        <f>HYPERLINK("http://petanque.lv/wp-content/uploads/2022/08/2022_warriors_tri_final.pdf","tul")</f>
        <v>tul</v>
      </c>
      <c r="M73" s="284" t="str">
        <f>HYPERLINK("https://www.google.com/maps/place/Upesciems+petanque+courts/@56.981644,24.3377492,435m/data=!3m1!1e3!4m5!3m4!1s0x46eecdc33c5e2fb3:0x30c87625d54b1fa9!8m2!3d56.9815098!4d24.3390362","Upesciems (Läti)")</f>
        <v>Upesciems (Läti)</v>
      </c>
      <c r="N73" s="286" t="str">
        <f>HYPERLINK("http://petanque.lv/wp-content/uploads/2022/08/2022_warriors_duo_final.pdf","tul")</f>
        <v>tul</v>
      </c>
      <c r="O73" s="10"/>
      <c r="P73" s="10"/>
    </row>
    <row r="74" spans="1:16" x14ac:dyDescent="0.2">
      <c r="A74" s="115"/>
      <c r="B74" s="92">
        <v>22</v>
      </c>
      <c r="C74" s="91" t="str">
        <f>HYPERLINK("#V8!G1","Voka IX KV")</f>
        <v>Voka IX KV</v>
      </c>
      <c r="D74" s="93">
        <v>23</v>
      </c>
      <c r="E74" s="81"/>
      <c r="F74" s="93">
        <v>24</v>
      </c>
      <c r="G74" s="94"/>
      <c r="H74" s="92">
        <v>25</v>
      </c>
      <c r="I74" s="115"/>
      <c r="J74" s="92">
        <v>26</v>
      </c>
      <c r="K74" s="95" t="str">
        <f>HYPERLINK("#M3!A5","Maidu karikas, 3. etapp")</f>
        <v>Maidu karikas, 3. etapp</v>
      </c>
      <c r="L74" s="92">
        <v>27</v>
      </c>
      <c r="M74" s="287" t="str">
        <f>HYPERLINK("#8!A5","Toila valla lahtised MV")</f>
        <v>Toila valla lahtised MV</v>
      </c>
      <c r="N74" s="93">
        <v>28</v>
      </c>
      <c r="O74" s="10"/>
      <c r="P74" s="10"/>
    </row>
    <row r="75" spans="1:16" x14ac:dyDescent="0.2">
      <c r="A75" s="36"/>
      <c r="B75" s="131"/>
      <c r="C75" s="97" t="s">
        <v>47</v>
      </c>
      <c r="D75" s="226"/>
      <c r="E75" s="41"/>
      <c r="F75" s="21"/>
      <c r="G75" s="180"/>
      <c r="H75" s="131"/>
      <c r="I75" s="21"/>
      <c r="J75" s="21"/>
      <c r="K75" s="288" t="s">
        <v>40</v>
      </c>
      <c r="L75" s="289"/>
      <c r="M75" s="129" t="s">
        <v>39</v>
      </c>
      <c r="N75" s="290"/>
      <c r="O75" s="10"/>
      <c r="P75" s="10"/>
    </row>
    <row r="76" spans="1:16" ht="13.5" thickBot="1" x14ac:dyDescent="0.25">
      <c r="A76" s="108"/>
      <c r="B76" s="160"/>
      <c r="C76" s="106" t="str">
        <f>HYPERLINK("https://kaart.delfi.ee//?bookmark=ebd616e171f4882941c876d5ba118858","Voka")</f>
        <v>Voka</v>
      </c>
      <c r="D76" s="231"/>
      <c r="E76" s="71"/>
      <c r="F76" s="157"/>
      <c r="G76" s="291"/>
      <c r="H76" s="184"/>
      <c r="I76" s="157"/>
      <c r="J76" s="157"/>
      <c r="K76" s="197" t="str">
        <f>HYPERLINK("https://kaart.delfi.ee/?bookmark=521b80d6ceeefbe3e5d227267242b206","K-Järve spordihoone")</f>
        <v>K-Järve spordihoone</v>
      </c>
      <c r="L76" s="292"/>
      <c r="M76" s="293" t="str">
        <f>HYPERLINK("http://kaart.delfi.ee//?bookmark=ebd616e171f4882941c876d5ba118858","Voka staadion")</f>
        <v>Voka staadion</v>
      </c>
      <c r="N76" s="294"/>
      <c r="O76" s="10"/>
      <c r="P76" s="10"/>
    </row>
    <row r="77" spans="1:16" ht="13.5" thickBot="1" x14ac:dyDescent="0.25">
      <c r="A77" s="115"/>
      <c r="B77" s="93">
        <v>29</v>
      </c>
      <c r="C77" s="122"/>
      <c r="D77" s="92">
        <v>30</v>
      </c>
      <c r="E77" s="295"/>
      <c r="F77" s="116">
        <v>31</v>
      </c>
      <c r="G77" s="296"/>
      <c r="H77" s="117"/>
      <c r="I77" s="117"/>
      <c r="J77" s="117"/>
      <c r="K77" s="117"/>
      <c r="L77" s="117"/>
      <c r="M77" s="250"/>
      <c r="N77" s="297"/>
      <c r="O77" s="10"/>
      <c r="P77" s="10"/>
    </row>
    <row r="78" spans="1:16" ht="13.5" thickBot="1" x14ac:dyDescent="0.25">
      <c r="A78" s="298"/>
      <c r="B78" s="299"/>
      <c r="C78" s="300"/>
      <c r="D78" s="300"/>
      <c r="E78" s="298"/>
      <c r="F78" s="301"/>
      <c r="G78" s="302"/>
      <c r="H78" s="303">
        <v>1</v>
      </c>
      <c r="I78" s="27"/>
      <c r="J78" s="303">
        <v>2</v>
      </c>
      <c r="K78" s="304" t="str">
        <f>HYPERLINK("https://www.petanque.ee/index.php?id=103820&amp;cid=912","32. Eesti MV")</f>
        <v>32. Eesti MV</v>
      </c>
      <c r="L78" s="123">
        <v>3</v>
      </c>
      <c r="M78" s="96" t="str">
        <f>HYPERLINK("#9!A5","Ida-Virumaa MV")</f>
        <v>Ida-Virumaa MV</v>
      </c>
      <c r="N78" s="193">
        <v>4</v>
      </c>
      <c r="O78" s="10"/>
      <c r="P78" s="13"/>
    </row>
    <row r="79" spans="1:16" ht="13.5" thickTop="1" x14ac:dyDescent="0.2">
      <c r="A79" s="305" t="s">
        <v>377</v>
      </c>
      <c r="B79" s="306"/>
      <c r="C79" s="307"/>
      <c r="D79" s="20"/>
      <c r="E79" s="23"/>
      <c r="F79" s="21"/>
      <c r="G79" s="36"/>
      <c r="H79" s="21"/>
      <c r="I79" s="36"/>
      <c r="J79" s="21"/>
      <c r="K79" s="168" t="s">
        <v>39</v>
      </c>
      <c r="L79" s="131"/>
      <c r="M79" s="102" t="s">
        <v>39</v>
      </c>
      <c r="N79" s="308"/>
      <c r="O79" s="10"/>
      <c r="P79" s="13"/>
    </row>
    <row r="80" spans="1:16" x14ac:dyDescent="0.2">
      <c r="G80" s="36"/>
      <c r="H80" s="21"/>
      <c r="I80" s="36"/>
      <c r="J80" s="21"/>
      <c r="K80" s="224" t="str">
        <f>HYPERLINK("https://kaart.delfi.ee?bookmark=97e0360dd185ec647bfc003590329035","Väätsa (Järvamaa)")</f>
        <v>Väätsa (Järvamaa)</v>
      </c>
      <c r="L80" s="131"/>
      <c r="M80" s="309" t="str">
        <f>HYPERLINK("https://kaart.delfi.ee//?bookmark=ebd616e171f4882941c876d5ba118858","Voka staadion")</f>
        <v>Voka staadion</v>
      </c>
      <c r="N80" s="310"/>
      <c r="O80" s="10"/>
      <c r="P80" s="13"/>
    </row>
    <row r="81" spans="1:19" x14ac:dyDescent="0.2">
      <c r="G81" s="36"/>
      <c r="H81" s="21"/>
      <c r="I81" s="36"/>
      <c r="J81" s="21"/>
      <c r="K81" s="168"/>
      <c r="L81" s="131"/>
      <c r="M81" s="180" t="str">
        <f>HYPERLINK("https://www.petanque.ee/index.php?id=103820&amp;cid=913","1. Väätsa karikas")</f>
        <v>1. Väätsa karikas</v>
      </c>
      <c r="N81" s="35"/>
      <c r="O81" s="10"/>
      <c r="P81" s="13"/>
    </row>
    <row r="82" spans="1:19" x14ac:dyDescent="0.2">
      <c r="G82" s="36"/>
      <c r="H82" s="21"/>
      <c r="I82" s="36"/>
      <c r="J82" s="21"/>
      <c r="K82" s="168"/>
      <c r="L82" s="131"/>
      <c r="M82" s="36" t="s">
        <v>36</v>
      </c>
      <c r="N82" s="35"/>
      <c r="O82" s="10"/>
      <c r="P82" s="10"/>
    </row>
    <row r="83" spans="1:19" ht="13.5" thickBot="1" x14ac:dyDescent="0.25">
      <c r="G83" s="108"/>
      <c r="H83" s="157"/>
      <c r="I83" s="108"/>
      <c r="J83" s="157"/>
      <c r="K83" s="311"/>
      <c r="L83" s="160"/>
      <c r="M83" s="1431" t="str">
        <f>HYPERLINK("https://kaart.delfi.ee?bookmark=97e0360dd185ec647bfc003590329035","Väätsa (Järvamaa)")</f>
        <v>Väätsa (Järvamaa)</v>
      </c>
      <c r="N83" s="312"/>
      <c r="O83" s="10"/>
      <c r="P83" s="10"/>
    </row>
    <row r="84" spans="1:19" x14ac:dyDescent="0.2">
      <c r="A84" s="238"/>
      <c r="B84" s="93">
        <v>5</v>
      </c>
      <c r="C84" s="91" t="str">
        <f>HYPERLINK("#V9!G1","Voka IX KV")</f>
        <v>Voka IX KV</v>
      </c>
      <c r="D84" s="92">
        <v>6</v>
      </c>
      <c r="E84" s="81"/>
      <c r="F84" s="92">
        <v>7</v>
      </c>
      <c r="G84" s="115"/>
      <c r="H84" s="92">
        <v>8</v>
      </c>
      <c r="I84" s="115"/>
      <c r="J84" s="92">
        <v>9</v>
      </c>
      <c r="K84" s="313" t="str">
        <f>HYPERLINK("https://www.petanque.ee/index.php?id=103820&amp;cid=914","A.Sirkeli 6.mälestusvõistlus")</f>
        <v>A.Sirkeli 6.mälestusvõistlus</v>
      </c>
      <c r="L84" s="92">
        <v>10</v>
      </c>
      <c r="M84" s="84" t="str">
        <f>HYPERLINK("https://www.petanque.ee/index.php?id=103589&amp;cid=938","2. Eesti-Läti maavõistlus")</f>
        <v>2. Eesti-Läti maavõistlus</v>
      </c>
      <c r="N84" s="314">
        <v>11</v>
      </c>
      <c r="O84" s="10"/>
      <c r="P84" s="10"/>
    </row>
    <row r="85" spans="1:19" x14ac:dyDescent="0.2">
      <c r="A85" s="241"/>
      <c r="B85" s="127"/>
      <c r="C85" s="97" t="s">
        <v>48</v>
      </c>
      <c r="D85" s="315"/>
      <c r="E85" s="41"/>
      <c r="F85" s="21"/>
      <c r="G85" s="36"/>
      <c r="H85" s="22"/>
      <c r="I85" s="36"/>
      <c r="J85" s="22"/>
      <c r="K85" s="36" t="s">
        <v>39</v>
      </c>
      <c r="L85" s="22"/>
      <c r="M85" s="1436" t="s">
        <v>408</v>
      </c>
      <c r="N85" s="35"/>
      <c r="O85" s="10"/>
      <c r="P85" s="10"/>
    </row>
    <row r="86" spans="1:19" ht="13.5" thickBot="1" x14ac:dyDescent="0.25">
      <c r="A86" s="241"/>
      <c r="B86" s="127"/>
      <c r="C86" s="316" t="str">
        <f>HYPERLINK("https://kaart.delfi.ee//?bookmark=ebd616e171f4882941c876d5ba118858","Voka")</f>
        <v>Voka</v>
      </c>
      <c r="D86" s="98"/>
      <c r="E86" s="41"/>
      <c r="F86" s="21"/>
      <c r="G86" s="37"/>
      <c r="H86" s="22"/>
      <c r="I86" s="36"/>
      <c r="J86" s="22"/>
      <c r="K86" s="253" t="str">
        <f>HYPERLINK("https://kaart.delfi.ee/?bookmark=53aec558b690b02b27df1711c64cd764","Tartu, ERMi viinaköök")</f>
        <v>Tartu, ERMi viinaköök</v>
      </c>
      <c r="L86" s="286" t="str">
        <f>HYPERLINK("http://www.turna.ee/swiss.php?tid=564","tul")</f>
        <v>tul</v>
      </c>
      <c r="M86" s="317" t="str">
        <f>HYPERLINK("https://www.google.com/maps/place/Upesciems+petanque+courts/@56.981644,24.3377492,435m/data=!3m1!1e3!4m5!3m4!1s0x46eecdc33c5e2fb3:0x30c87625d54b1fa9!8m2!3d56.9815098!4d24.3390362","Upesciems (Läti)")</f>
        <v>Upesciems (Läti)</v>
      </c>
      <c r="N86" s="35"/>
      <c r="O86" s="10"/>
    </row>
    <row r="87" spans="1:19" x14ac:dyDescent="0.2">
      <c r="A87" s="115"/>
      <c r="B87" s="92">
        <v>12</v>
      </c>
      <c r="C87" s="115"/>
      <c r="D87" s="92">
        <v>13</v>
      </c>
      <c r="E87" s="115"/>
      <c r="F87" s="92">
        <v>14</v>
      </c>
      <c r="G87" s="115"/>
      <c r="H87" s="92">
        <v>15</v>
      </c>
      <c r="I87" s="115"/>
      <c r="J87" s="92">
        <v>16</v>
      </c>
      <c r="K87" s="238"/>
      <c r="L87" s="93">
        <v>17</v>
      </c>
      <c r="M87" s="319" t="str">
        <f>HYPERLINK("#12!A5","Ida-Virumaa. MV")</f>
        <v>Ida-Virumaa. MV</v>
      </c>
      <c r="N87" s="93">
        <v>18</v>
      </c>
      <c r="O87" s="10"/>
    </row>
    <row r="88" spans="1:19" x14ac:dyDescent="0.2">
      <c r="A88" s="36"/>
      <c r="B88" s="22"/>
      <c r="C88" s="36"/>
      <c r="D88" s="22"/>
      <c r="E88" s="36"/>
      <c r="F88" s="22"/>
      <c r="G88" s="36"/>
      <c r="H88" s="21"/>
      <c r="I88" s="36"/>
      <c r="J88" s="21"/>
      <c r="K88" s="241"/>
      <c r="L88" s="131"/>
      <c r="M88" s="320" t="s">
        <v>36</v>
      </c>
      <c r="N88" s="245"/>
      <c r="O88" s="10"/>
    </row>
    <row r="89" spans="1:19" x14ac:dyDescent="0.2">
      <c r="A89" s="36"/>
      <c r="B89" s="21"/>
      <c r="C89" s="36"/>
      <c r="D89" s="21"/>
      <c r="E89" s="36"/>
      <c r="F89" s="21"/>
      <c r="G89" s="36"/>
      <c r="H89" s="21"/>
      <c r="I89" s="36"/>
      <c r="J89" s="21"/>
      <c r="K89" s="241"/>
      <c r="L89" s="171"/>
      <c r="M89" s="321" t="str">
        <f>HYPERLINK("https://kaart.delfi.ee/?bookmark=521b80d6ceeefbe3e5d227267242b206","K-Järve spordihoone")</f>
        <v>K-Järve spordihoone</v>
      </c>
      <c r="N89" s="322"/>
      <c r="O89" s="10"/>
    </row>
    <row r="90" spans="1:19" x14ac:dyDescent="0.2">
      <c r="A90" s="36"/>
      <c r="B90" s="131"/>
      <c r="C90" s="21"/>
      <c r="D90" s="21"/>
      <c r="E90" s="36"/>
      <c r="F90" s="21"/>
      <c r="G90" s="36"/>
      <c r="H90" s="21"/>
      <c r="I90" s="36"/>
      <c r="J90" s="21"/>
      <c r="K90" s="317" t="str">
        <f>HYPERLINK("https://www.petanque.ee/index.php?id=103820&amp;cid=931","3. Baltic Sea Cup for Clubs")</f>
        <v>3. Baltic Sea Cup for Clubs</v>
      </c>
      <c r="L90" s="171"/>
      <c r="M90" s="323" t="str">
        <f>HYPERLINK("https://www.petanque.ee/index.php?id=103820&amp;cid=932","3.Baltic Sea Cup for Clubs")</f>
        <v>3.Baltic Sea Cup for Clubs</v>
      </c>
      <c r="N90" s="324"/>
      <c r="O90" s="10"/>
      <c r="Q90" s="318"/>
      <c r="R90" s="318"/>
      <c r="S90" s="318"/>
    </row>
    <row r="91" spans="1:19" x14ac:dyDescent="0.2">
      <c r="A91" s="36"/>
      <c r="B91" s="131"/>
      <c r="C91" s="21"/>
      <c r="D91" s="21"/>
      <c r="E91" s="36"/>
      <c r="F91" s="21"/>
      <c r="G91" s="36"/>
      <c r="H91" s="21"/>
      <c r="I91" s="36"/>
      <c r="J91" s="21"/>
      <c r="K91" s="154" t="s">
        <v>372</v>
      </c>
      <c r="L91" s="21"/>
      <c r="M91" s="154" t="s">
        <v>372</v>
      </c>
      <c r="N91" s="280"/>
      <c r="O91" s="10"/>
      <c r="Q91" s="318"/>
      <c r="R91" s="318"/>
      <c r="S91" s="318"/>
    </row>
    <row r="92" spans="1:19" ht="13.5" thickBot="1" x14ac:dyDescent="0.25">
      <c r="A92" s="108"/>
      <c r="B92" s="160"/>
      <c r="C92" s="157"/>
      <c r="D92" s="157"/>
      <c r="E92" s="108"/>
      <c r="F92" s="157"/>
      <c r="G92" s="108"/>
      <c r="H92" s="157"/>
      <c r="I92" s="108"/>
      <c r="J92" s="157"/>
      <c r="K92" s="284" t="str">
        <f>HYPERLINK("https://goo.gl/maps/CqKgTCgqqCA5LGho8","Kaunas (Leedu)")</f>
        <v>Kaunas (Leedu)</v>
      </c>
      <c r="L92" s="157"/>
      <c r="M92" s="325" t="str">
        <f>HYPERLINK("https://goo.gl/maps/CqKgTCgqqCA5LGho8","Kaunas (Leedu)")</f>
        <v>Kaunas (Leedu)</v>
      </c>
      <c r="N92" s="326"/>
      <c r="O92" s="10"/>
      <c r="Q92" s="318"/>
      <c r="R92" s="318"/>
      <c r="S92" s="318"/>
    </row>
    <row r="93" spans="1:19" x14ac:dyDescent="0.2">
      <c r="A93" s="36"/>
      <c r="B93" s="164">
        <v>19</v>
      </c>
      <c r="C93" s="327" t="str">
        <f>HYPERLINK("#V10!G1","Voka IX KV")</f>
        <v>Voka IX KV</v>
      </c>
      <c r="D93" s="164">
        <v>20</v>
      </c>
      <c r="E93" s="41"/>
      <c r="F93" s="164">
        <v>21</v>
      </c>
      <c r="G93" s="36"/>
      <c r="H93" s="164">
        <v>22</v>
      </c>
      <c r="I93" s="36"/>
      <c r="J93" s="164">
        <v>23</v>
      </c>
      <c r="K93" s="95" t="str">
        <f>HYPERLINK("#M4!A5","Maidu karikas, 4. etapp")</f>
        <v>Maidu karikas, 4. etapp</v>
      </c>
      <c r="L93" s="164">
        <v>24</v>
      </c>
      <c r="M93" s="328" t="str">
        <f>HYPERLINK("#11!A5","Toila valla lahtised MV")</f>
        <v>Toila valla lahtised MV</v>
      </c>
      <c r="N93" s="329">
        <v>25</v>
      </c>
      <c r="O93" s="10"/>
      <c r="Q93" s="318"/>
      <c r="R93" s="318"/>
      <c r="S93" s="318"/>
    </row>
    <row r="94" spans="1:19" x14ac:dyDescent="0.2">
      <c r="A94" s="36"/>
      <c r="B94" s="171"/>
      <c r="C94" s="97" t="s">
        <v>49</v>
      </c>
      <c r="D94" s="167"/>
      <c r="E94" s="41"/>
      <c r="F94" s="171"/>
      <c r="G94" s="21"/>
      <c r="H94" s="21"/>
      <c r="I94" s="37"/>
      <c r="J94" s="171"/>
      <c r="K94" s="100" t="s">
        <v>40</v>
      </c>
      <c r="L94" s="330"/>
      <c r="M94" s="129" t="s">
        <v>40</v>
      </c>
      <c r="N94" s="130"/>
      <c r="O94" s="10"/>
    </row>
    <row r="95" spans="1:19" ht="13.5" thickBot="1" x14ac:dyDescent="0.25">
      <c r="A95" s="45"/>
      <c r="B95" s="331"/>
      <c r="C95" s="106" t="str">
        <f>HYPERLINK("https://kaart.delfi.ee//?bookmark=ebd616e171f4882941c876d5ba118858","Voka")</f>
        <v>Voka</v>
      </c>
      <c r="D95" s="332"/>
      <c r="E95" s="333"/>
      <c r="F95" s="331"/>
      <c r="G95" s="334"/>
      <c r="H95" s="334"/>
      <c r="I95" s="47"/>
      <c r="J95" s="331"/>
      <c r="K95" s="110" t="str">
        <f>HYPERLINK("https://kaart.delfi.ee/?bookmark=521b80d6ceeefbe3e5d227267242b206","K-Järve spordihoone")</f>
        <v>K-Järve spordihoone</v>
      </c>
      <c r="L95" s="335"/>
      <c r="M95" s="293" t="str">
        <f>HYPERLINK("http://kaart.delfi.ee//?bookmark=ebd616e171f4882941c876d5ba118858","Voka staadion")</f>
        <v>Voka staadion</v>
      </c>
      <c r="N95" s="336"/>
      <c r="O95" s="10"/>
    </row>
    <row r="96" spans="1:19" ht="13.5" thickBot="1" x14ac:dyDescent="0.25">
      <c r="A96" s="27"/>
      <c r="B96" s="28">
        <v>26</v>
      </c>
      <c r="C96" s="27"/>
      <c r="D96" s="28">
        <v>27</v>
      </c>
      <c r="E96" s="27"/>
      <c r="F96" s="28">
        <v>28</v>
      </c>
      <c r="G96" s="27"/>
      <c r="H96" s="28">
        <v>29</v>
      </c>
      <c r="I96" s="27"/>
      <c r="J96" s="337">
        <v>30</v>
      </c>
      <c r="K96" s="338"/>
      <c r="O96" s="10"/>
    </row>
    <row r="97" spans="1:16" ht="13.5" thickBot="1" x14ac:dyDescent="0.25">
      <c r="A97" s="187"/>
      <c r="B97" s="190"/>
      <c r="C97" s="187"/>
      <c r="D97" s="190"/>
      <c r="E97" s="187"/>
      <c r="F97" s="190"/>
      <c r="G97" s="187"/>
      <c r="H97" s="190"/>
      <c r="I97" s="187"/>
      <c r="J97" s="339"/>
      <c r="K97" s="95" t="str">
        <f>HYPERLINK("#M5!A5","Maidu karikas, 5. etapp")</f>
        <v>Maidu karikas, 5. etapp</v>
      </c>
      <c r="L97" s="92">
        <v>1</v>
      </c>
      <c r="M97" s="340" t="s">
        <v>417</v>
      </c>
      <c r="N97" s="93">
        <v>2</v>
      </c>
      <c r="O97" s="10"/>
    </row>
    <row r="98" spans="1:16" ht="13.5" thickTop="1" x14ac:dyDescent="0.2">
      <c r="E98" s="21"/>
      <c r="F98" s="22"/>
      <c r="G98" s="21"/>
      <c r="H98" s="22"/>
      <c r="I98" s="21"/>
      <c r="J98" s="22"/>
      <c r="K98" s="100" t="s">
        <v>40</v>
      </c>
      <c r="L98" s="342"/>
      <c r="M98" s="343" t="s">
        <v>418</v>
      </c>
      <c r="N98" s="344"/>
      <c r="O98" s="10"/>
    </row>
    <row r="99" spans="1:16" ht="13.5" thickBot="1" x14ac:dyDescent="0.25">
      <c r="K99" s="345" t="str">
        <f>HYPERLINK("https://kaart.delfi.ee/?bookmark=521b80d6ceeefbe3e5d227267242b206","K-Järve spordihoone")</f>
        <v>K-Järve spordihoone</v>
      </c>
      <c r="L99" s="346"/>
      <c r="M99" s="347" t="str">
        <f>HYPERLINK("https://kaart.delfi.ee//?bookmark=ebd616e171f4882941c876d5ba118858","Voka staadion")</f>
        <v>Voka staadion</v>
      </c>
      <c r="N99" s="348"/>
      <c r="O99" s="21"/>
    </row>
    <row r="100" spans="1:16" ht="13.5" hidden="1" customHeight="1" thickBot="1" x14ac:dyDescent="0.25">
      <c r="A100" s="341" t="s">
        <v>379</v>
      </c>
      <c r="B100" s="306"/>
      <c r="C100" s="307"/>
      <c r="D100" s="20"/>
      <c r="E100" s="21"/>
      <c r="F100" s="21"/>
      <c r="G100" s="250"/>
      <c r="H100" s="21"/>
      <c r="I100" s="21"/>
      <c r="J100" s="21"/>
      <c r="K100" s="21"/>
      <c r="L100" s="21"/>
      <c r="M100" s="21"/>
      <c r="N100" s="21"/>
      <c r="O100" s="10"/>
      <c r="P100" s="10"/>
    </row>
    <row r="101" spans="1:16" ht="12.75" hidden="1" customHeight="1" x14ac:dyDescent="0.2">
      <c r="A101" s="29"/>
      <c r="B101" s="352">
        <v>5</v>
      </c>
      <c r="C101" s="353"/>
      <c r="D101" s="28">
        <v>6</v>
      </c>
      <c r="E101" s="27"/>
      <c r="F101" s="123">
        <v>7</v>
      </c>
      <c r="G101" s="353"/>
      <c r="H101" s="28">
        <v>8</v>
      </c>
      <c r="I101" s="29"/>
      <c r="J101" s="352">
        <v>9</v>
      </c>
      <c r="K101" s="353"/>
      <c r="L101" s="28">
        <v>10</v>
      </c>
      <c r="M101" s="29"/>
      <c r="N101" s="352">
        <v>11</v>
      </c>
      <c r="O101" s="10"/>
      <c r="P101" s="10"/>
    </row>
    <row r="102" spans="1:16" ht="12.75" hidden="1" customHeight="1" x14ac:dyDescent="0.2">
      <c r="A102" s="37"/>
      <c r="B102" s="35"/>
      <c r="C102" s="21"/>
      <c r="D102" s="22"/>
      <c r="E102" s="36"/>
      <c r="F102" s="127"/>
      <c r="G102" s="21"/>
      <c r="H102" s="22"/>
      <c r="I102" s="37"/>
      <c r="J102" s="35"/>
      <c r="K102" s="21"/>
      <c r="L102" s="22"/>
      <c r="M102" s="37"/>
      <c r="N102" s="35"/>
      <c r="O102" s="10"/>
      <c r="P102" s="10"/>
    </row>
    <row r="103" spans="1:16" ht="12.75" hidden="1" customHeight="1" x14ac:dyDescent="0.2">
      <c r="A103" s="37"/>
      <c r="B103" s="35"/>
      <c r="C103" s="21"/>
      <c r="D103" s="22"/>
      <c r="E103" s="36"/>
      <c r="F103" s="127"/>
      <c r="G103" s="132"/>
      <c r="H103" s="148"/>
      <c r="I103" s="350"/>
      <c r="J103" s="351"/>
      <c r="K103" s="354"/>
      <c r="L103" s="148"/>
      <c r="M103" s="350"/>
      <c r="N103" s="351"/>
      <c r="O103" s="10"/>
      <c r="P103" s="10"/>
    </row>
    <row r="104" spans="1:16" ht="12.75" hidden="1" customHeight="1" x14ac:dyDescent="0.2">
      <c r="A104" s="349"/>
      <c r="B104" s="171"/>
      <c r="C104" s="355"/>
      <c r="D104" s="356"/>
      <c r="E104" s="241"/>
      <c r="F104" s="273"/>
      <c r="G104" s="357"/>
      <c r="H104" s="358"/>
      <c r="I104" s="359"/>
      <c r="J104" s="360" t="str">
        <f>HYPERLINK("https://www.petanque.ee/index.php?id=103820&amp;cid=926","50. Meeste MM, TRIO, TUL")</f>
        <v>50. Meeste MM, TRIO, TUL</v>
      </c>
      <c r="K104" s="361"/>
      <c r="L104" s="362"/>
      <c r="M104" s="363"/>
      <c r="N104" s="364"/>
      <c r="O104" s="10"/>
      <c r="P104" s="10"/>
    </row>
    <row r="105" spans="1:16" ht="13.5" hidden="1" customHeight="1" thickBot="1" x14ac:dyDescent="0.25">
      <c r="A105" s="365"/>
      <c r="B105" s="331"/>
      <c r="C105" s="366"/>
      <c r="D105" s="367"/>
      <c r="E105" s="368"/>
      <c r="F105" s="369"/>
      <c r="G105" s="370"/>
      <c r="H105" s="371"/>
      <c r="I105" s="372"/>
      <c r="J105" s="372"/>
      <c r="K105" s="373" t="str">
        <f>HYPERLINK("https://www.google.com/maps/place/Cotonou,+Benin/@6.3722837,2.2560915,11z/data=!3m1!4b1!4m5!3m4!1s0x102354e509f894f7:0xc8fde921f89849f6!8m2!3d6.3702928!4d2.3912362","Cotonou (Benin)")</f>
        <v>Cotonou (Benin)</v>
      </c>
      <c r="L105" s="334"/>
      <c r="M105" s="334"/>
      <c r="N105" s="374"/>
      <c r="O105" s="10"/>
      <c r="P105" s="10"/>
    </row>
    <row r="106" spans="1:16" hidden="1" x14ac:dyDescent="0.2">
      <c r="A106" s="250"/>
      <c r="B106" s="21"/>
      <c r="C106" s="355"/>
      <c r="D106" s="356"/>
      <c r="E106" s="356"/>
      <c r="F106" s="21"/>
      <c r="G106" s="375"/>
      <c r="H106" s="376"/>
      <c r="I106" s="23"/>
      <c r="J106" s="23"/>
      <c r="K106" s="377"/>
      <c r="L106" s="21"/>
      <c r="M106" s="21"/>
      <c r="N106" s="378"/>
      <c r="O106" s="10"/>
      <c r="P106" s="10"/>
    </row>
    <row r="107" spans="1:16" x14ac:dyDescent="0.2">
      <c r="A107" s="250"/>
      <c r="B107" s="21"/>
      <c r="C107" s="355"/>
      <c r="D107" s="356"/>
      <c r="E107" s="356"/>
      <c r="F107" s="21"/>
      <c r="G107" s="375"/>
      <c r="H107" s="376"/>
      <c r="I107" s="23"/>
      <c r="J107" s="23"/>
      <c r="K107" s="377"/>
      <c r="L107" s="21"/>
      <c r="M107" s="21"/>
      <c r="N107" s="378"/>
      <c r="O107" s="10"/>
      <c r="P107" s="10"/>
    </row>
    <row r="108" spans="1:16" x14ac:dyDescent="0.2">
      <c r="A108" s="379" t="s">
        <v>405</v>
      </c>
      <c r="B108" s="330"/>
      <c r="C108" s="380"/>
      <c r="D108" s="381"/>
      <c r="E108" s="381"/>
      <c r="F108" s="330"/>
      <c r="G108" s="382"/>
      <c r="H108" s="383"/>
      <c r="I108" s="384"/>
      <c r="J108" s="384"/>
      <c r="K108" s="385"/>
      <c r="L108" s="330"/>
      <c r="M108" s="330"/>
      <c r="N108" s="378"/>
      <c r="O108" s="10"/>
      <c r="P108" s="10"/>
    </row>
    <row r="109" spans="1:16" x14ac:dyDescent="0.2">
      <c r="A109" s="386" t="s">
        <v>406</v>
      </c>
      <c r="B109" s="330"/>
      <c r="C109" s="380"/>
      <c r="D109" s="381"/>
      <c r="E109" s="381"/>
      <c r="F109" s="330"/>
      <c r="G109" s="382"/>
      <c r="H109" s="383"/>
      <c r="I109" s="384"/>
      <c r="J109" s="384"/>
      <c r="K109" s="385"/>
      <c r="L109" s="330"/>
      <c r="M109" s="330" t="s">
        <v>446</v>
      </c>
      <c r="N109" s="378"/>
      <c r="O109" s="10"/>
      <c r="P109" s="10"/>
    </row>
    <row r="110" spans="1:16" hidden="1" x14ac:dyDescent="0.2">
      <c r="A110" s="387" t="s">
        <v>50</v>
      </c>
      <c r="B110" s="388"/>
      <c r="C110" s="389"/>
      <c r="D110" s="389"/>
      <c r="E110" s="388"/>
      <c r="F110" s="388"/>
      <c r="G110" s="389"/>
      <c r="H110" s="389"/>
      <c r="I110" s="389"/>
      <c r="J110" s="389"/>
      <c r="K110" s="389"/>
      <c r="L110" s="12"/>
      <c r="M110" s="12"/>
      <c r="N110" s="390"/>
      <c r="O110" s="10"/>
      <c r="P110" s="10"/>
    </row>
    <row r="111" spans="1:16" hidden="1" x14ac:dyDescent="0.2">
      <c r="A111" s="391" t="s">
        <v>23</v>
      </c>
      <c r="B111" s="388"/>
      <c r="C111" s="389"/>
      <c r="D111" s="389"/>
      <c r="E111" s="388"/>
      <c r="F111" s="388"/>
      <c r="G111" s="389"/>
      <c r="H111" s="389"/>
      <c r="I111" s="389"/>
      <c r="J111" s="389"/>
      <c r="K111" s="389"/>
      <c r="L111" s="389"/>
      <c r="M111" s="389"/>
      <c r="N111" s="390"/>
      <c r="O111" s="10"/>
      <c r="P111" s="10"/>
    </row>
    <row r="112" spans="1:16" x14ac:dyDescent="0.2">
      <c r="A112" s="392" t="s">
        <v>51</v>
      </c>
      <c r="B112" s="392"/>
      <c r="C112" s="392"/>
      <c r="D112" s="392"/>
      <c r="E112" s="392"/>
      <c r="F112" s="392"/>
      <c r="G112" s="392"/>
      <c r="H112" s="393"/>
      <c r="I112" s="394" t="str">
        <f>HYPERLINK("https://webzone.ee/petank/juhendid/voka-9-kv-2022-juhend.pdf","Juhend")</f>
        <v>Juhend</v>
      </c>
      <c r="J112" s="12"/>
      <c r="L112" s="12"/>
      <c r="M112" s="12"/>
      <c r="N112" s="390"/>
      <c r="O112" s="10"/>
      <c r="P112" s="10"/>
    </row>
    <row r="113" spans="1:16" x14ac:dyDescent="0.2">
      <c r="A113" s="395" t="s">
        <v>448</v>
      </c>
      <c r="B113" s="12"/>
      <c r="C113" s="12"/>
      <c r="D113" s="12"/>
      <c r="E113" s="12"/>
      <c r="F113" s="12"/>
      <c r="G113" s="12"/>
      <c r="H113" s="12"/>
      <c r="I113" s="394" t="str">
        <f>HYPERLINK("https://www.petanque.ee/juhendid/reitinguarvestus-2022/","Juhend")</f>
        <v>Juhend</v>
      </c>
      <c r="J113" s="12"/>
      <c r="K113" s="12"/>
      <c r="L113" s="12"/>
      <c r="M113" s="12"/>
      <c r="N113" s="390"/>
      <c r="O113" s="10"/>
      <c r="P113" s="10"/>
    </row>
    <row r="114" spans="1:16" x14ac:dyDescent="0.2">
      <c r="A114" s="396" t="s">
        <v>449</v>
      </c>
      <c r="B114" s="12"/>
      <c r="C114" s="12"/>
      <c r="D114" s="12"/>
      <c r="E114" s="390"/>
      <c r="F114" s="390"/>
      <c r="G114" s="12"/>
      <c r="H114" s="12"/>
      <c r="I114" s="12"/>
      <c r="J114" s="12"/>
      <c r="K114" s="12"/>
      <c r="L114" s="12"/>
      <c r="M114" s="12"/>
      <c r="O114" s="10"/>
      <c r="P114" s="10"/>
    </row>
    <row r="115" spans="1:16" x14ac:dyDescent="0.2">
      <c r="A115" s="397" t="s">
        <v>450</v>
      </c>
      <c r="B115" s="12"/>
      <c r="C115" s="12"/>
      <c r="D115" s="12"/>
      <c r="E115" s="390"/>
      <c r="F115" s="390"/>
      <c r="G115" s="12"/>
      <c r="H115" s="12"/>
      <c r="I115" s="10"/>
      <c r="J115" s="10"/>
      <c r="K115" s="10"/>
      <c r="L115" s="12"/>
      <c r="M115" s="12"/>
      <c r="N115" s="398" t="s">
        <v>52</v>
      </c>
      <c r="O115" s="10"/>
      <c r="P115" s="10"/>
    </row>
    <row r="116" spans="1:16" x14ac:dyDescent="0.2">
      <c r="A116" s="21"/>
      <c r="B116" s="21"/>
      <c r="C116" s="21"/>
      <c r="D116" s="21"/>
      <c r="E116" s="21"/>
      <c r="F116" s="21"/>
      <c r="G116" s="250"/>
      <c r="H116" s="21"/>
      <c r="I116" s="21"/>
      <c r="J116" s="399"/>
      <c r="K116" s="21"/>
      <c r="L116" s="400"/>
      <c r="M116" s="355"/>
      <c r="N116" s="21"/>
      <c r="O116" s="10"/>
      <c r="P116" s="10"/>
    </row>
  </sheetData>
  <pageMargins left="0.35433070866141736" right="0.19685039370078741" top="0.27559055118110237" bottom="0.19685039370078741" header="0.27559055118110237" footer="0"/>
  <pageSetup paperSize="9" fitToHeight="0" orientation="portrait" r:id="rId1"/>
  <headerFooter>
    <oddHeader>&amp;R&amp;9Page &amp;P of &amp;N</oddHeader>
  </headerFooter>
  <rowBreaks count="1" manualBreakCount="1">
    <brk id="59"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customWidth="1"/>
    <col min="25" max="25" width="7.42578125" style="58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28.28515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UPPER((Kalend!E21)&amp;" - "&amp;(Kalend!C21)&amp;" - "&amp;(Kalend!D21))</f>
        <v>V4 - VOKA IX KV 4.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"&amp;(Kalend!A21)&amp;" kell "&amp;(Kalend!B21)</f>
        <v>Toimumisaeg: T, 05.07.2022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"&amp;(Kalend!F21)</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"&amp;(Kalend!G21)</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566</v>
      </c>
      <c r="C8" s="613">
        <v>13</v>
      </c>
      <c r="D8" s="614" t="s">
        <v>288</v>
      </c>
      <c r="E8" s="614">
        <v>7</v>
      </c>
      <c r="F8" s="636" t="s">
        <v>477</v>
      </c>
      <c r="G8" s="613">
        <v>13</v>
      </c>
      <c r="H8" s="614" t="s">
        <v>288</v>
      </c>
      <c r="I8" s="614">
        <v>8</v>
      </c>
      <c r="J8" s="636" t="s">
        <v>525</v>
      </c>
      <c r="K8" s="613">
        <v>13</v>
      </c>
      <c r="L8" s="614" t="s">
        <v>288</v>
      </c>
      <c r="M8" s="614">
        <v>6</v>
      </c>
      <c r="N8" s="636" t="s">
        <v>568</v>
      </c>
      <c r="O8" s="613">
        <v>13</v>
      </c>
      <c r="P8" s="614" t="s">
        <v>288</v>
      </c>
      <c r="Q8" s="614">
        <v>8</v>
      </c>
      <c r="R8" s="636" t="s">
        <v>482</v>
      </c>
      <c r="S8" s="613"/>
      <c r="T8" s="614" t="s">
        <v>288</v>
      </c>
      <c r="U8" s="614"/>
      <c r="V8" s="636"/>
      <c r="W8" s="637">
        <f>IF(C8&gt;E8,J$3,IF(C8&lt;E8,J$5,IF(ISNUMBER(C8),J$4,0)))+IF(G8&gt;I8,J$3,IF(G8&lt;I8,J$5,IF(ISNUMBER(G8),J$4,0)))+IF(K8&gt;M8,J$3,IF(K8&lt;M8,J$5,IF(ISNUMBER(K8),J$4,0)))+IF(O8&gt;Q8,J$3,IF(O8&lt;Q8,J$5,IF(ISNUMBER(O8),J$4,0)))+IF(S8&gt;U8,J$3,IF(S8&lt;U8,J$5,IF(ISNUMBER(S8),J$4,0)))</f>
        <v>4</v>
      </c>
      <c r="X8" s="612">
        <v>16</v>
      </c>
      <c r="Y8" s="730">
        <v>74</v>
      </c>
      <c r="Z8" s="613">
        <f>C8+G8+K8+O8+S8</f>
        <v>52</v>
      </c>
      <c r="AA8" s="614" t="s">
        <v>288</v>
      </c>
      <c r="AB8" s="615">
        <f>E8+I8+M8+Q8+U8</f>
        <v>29</v>
      </c>
      <c r="AC8" s="616">
        <f>Z8-AB8</f>
        <v>23</v>
      </c>
      <c r="AD8" s="617"/>
      <c r="AE8" s="731">
        <f t="shared" ref="AE8" si="0">SUM(AF8:AM8)</f>
        <v>180</v>
      </c>
      <c r="AF8" s="732">
        <f>IFERROR(INDEX(V!R$7:R$56,MATCH(AG8,V!L$7:L$56,0)),"")</f>
        <v>104</v>
      </c>
      <c r="AG8" s="733" t="str">
        <f t="shared" ref="AG8:AG18" si="1">IFERROR(LEFT(B8,(FIND(",",B8,1)-1)),"")</f>
        <v>Kaspar Mänd</v>
      </c>
      <c r="AH8" s="732">
        <f>IFERROR(INDEX(V!R$7:R$56,MATCH(AI8,V!L$7:L$56,0)),"")</f>
        <v>76</v>
      </c>
      <c r="AI8" s="733" t="str">
        <f t="shared" ref="AI8:AI18" si="2">IFERROR(MID(B8,FIND(", ",B8)+2,256),"")</f>
        <v>Olav Türk</v>
      </c>
      <c r="AJ8" s="732" t="str">
        <f>IFERROR(INDEX(V!R$7:R$56,MATCH(AK8,V!L$7:L$56,0)),"")</f>
        <v/>
      </c>
      <c r="AK8" s="733" t="str">
        <f t="shared" ref="AK8:AK18" si="3">IFERROR(MID(B8,FIND("^",SUBSTITUTE(B8,", ","^",1))+2,FIND("^",SUBSTITUTE(B8,", ","^",2))-FIND("^",SUBSTITUTE(B8,", ","^",1))-2),"")</f>
        <v/>
      </c>
      <c r="AL8" s="732" t="str">
        <f>IFERROR(INDEX(V!R$7:R$56,MATCH(AM8,V!L$7:L$56,0)),"")</f>
        <v/>
      </c>
      <c r="AM8" s="733" t="str">
        <f t="shared" ref="AM8:AM18" si="4">IFERROR(MID(B8,FIND(", ",B8,FIND(", ",B8,FIND(", ",B8))+1)+2,700),"")</f>
        <v/>
      </c>
      <c r="AN8" s="573"/>
    </row>
    <row r="9" spans="1:40" x14ac:dyDescent="0.2">
      <c r="A9" s="634">
        <v>2</v>
      </c>
      <c r="B9" s="635" t="s">
        <v>482</v>
      </c>
      <c r="C9" s="613">
        <v>13</v>
      </c>
      <c r="D9" s="614" t="s">
        <v>288</v>
      </c>
      <c r="E9" s="614">
        <v>7</v>
      </c>
      <c r="F9" s="636" t="s">
        <v>291</v>
      </c>
      <c r="G9" s="613">
        <v>13</v>
      </c>
      <c r="H9" s="614" t="s">
        <v>288</v>
      </c>
      <c r="I9" s="614">
        <v>4</v>
      </c>
      <c r="J9" s="636" t="s">
        <v>294</v>
      </c>
      <c r="K9" s="613">
        <v>13</v>
      </c>
      <c r="L9" s="614" t="s">
        <v>288</v>
      </c>
      <c r="M9" s="614">
        <v>7</v>
      </c>
      <c r="N9" s="636" t="s">
        <v>569</v>
      </c>
      <c r="O9" s="613">
        <v>8</v>
      </c>
      <c r="P9" s="614" t="s">
        <v>288</v>
      </c>
      <c r="Q9" s="614">
        <v>13</v>
      </c>
      <c r="R9" s="636" t="s">
        <v>566</v>
      </c>
      <c r="S9" s="613"/>
      <c r="T9" s="614" t="s">
        <v>288</v>
      </c>
      <c r="U9" s="614"/>
      <c r="V9" s="636"/>
      <c r="W9" s="637">
        <f t="shared" ref="W9:W18" si="5">IF(C9&gt;E9,J$3,IF(C9&lt;E9,J$5,IF(ISNUMBER(C9),J$4,0)))+IF(G9&gt;I9,J$3,IF(G9&lt;I9,J$5,IF(ISNUMBER(G9),J$4,0)))+IF(K9&gt;M9,J$3,IF(K9&lt;M9,J$5,IF(ISNUMBER(K9),J$4,0)))+IF(O9&gt;Q9,J$3,IF(O9&lt;Q9,J$5,IF(ISNUMBER(O9),J$4,0)))+IF(S9&gt;U9,J$3,IF(S9&lt;U9,J$5,IF(ISNUMBER(S9),J$4,0)))</f>
        <v>3</v>
      </c>
      <c r="X9" s="612">
        <v>18</v>
      </c>
      <c r="Y9" s="730">
        <v>50</v>
      </c>
      <c r="Z9" s="613">
        <f t="shared" ref="Z9:Z17" si="6">C9+G9+K9+O9+S9</f>
        <v>47</v>
      </c>
      <c r="AA9" s="614" t="s">
        <v>288</v>
      </c>
      <c r="AB9" s="615">
        <f t="shared" ref="AB9:AB17" si="7">E9+I9+M9+Q9+U9</f>
        <v>31</v>
      </c>
      <c r="AC9" s="616">
        <f t="shared" ref="AC9:AC18" si="8">Z9-AB9</f>
        <v>16</v>
      </c>
      <c r="AD9" s="617"/>
      <c r="AE9" s="731">
        <f t="shared" ref="AE9:AE18" si="9">SUM(AF9:AM9)</f>
        <v>104</v>
      </c>
      <c r="AF9" s="732">
        <f>IFERROR(INDEX(V!R$7:R$56,MATCH(AG9,V!L$7:L$56,0)),"")</f>
        <v>44</v>
      </c>
      <c r="AG9" s="733" t="str">
        <f t="shared" si="1"/>
        <v>Lemmit Toomra</v>
      </c>
      <c r="AH9" s="732">
        <f>IFERROR(INDEX(V!R$7:R$56,MATCH(AI9,V!L$7:L$56,0)),"")</f>
        <v>60</v>
      </c>
      <c r="AI9" s="733" t="str">
        <f t="shared" si="2"/>
        <v>Tõnu Kapper</v>
      </c>
      <c r="AJ9" s="732" t="str">
        <f>IFERROR(INDEX(V!R$7:R$56,MATCH(AK9,V!L$7:L$56,0)),"")</f>
        <v/>
      </c>
      <c r="AK9" s="733" t="str">
        <f t="shared" si="3"/>
        <v/>
      </c>
      <c r="AL9" s="732" t="str">
        <f>IFERROR(INDEX(V!R$7:R$56,MATCH(AM9,V!L$7:L$56,0)),"")</f>
        <v/>
      </c>
      <c r="AM9" s="733" t="str">
        <f t="shared" si="4"/>
        <v/>
      </c>
      <c r="AN9" s="573"/>
    </row>
    <row r="10" spans="1:40" x14ac:dyDescent="0.2">
      <c r="A10" s="634">
        <v>3</v>
      </c>
      <c r="B10" s="635" t="s">
        <v>294</v>
      </c>
      <c r="C10" s="613">
        <v>13</v>
      </c>
      <c r="D10" s="614" t="s">
        <v>288</v>
      </c>
      <c r="E10" s="614">
        <v>9</v>
      </c>
      <c r="F10" s="636" t="s">
        <v>538</v>
      </c>
      <c r="G10" s="613">
        <v>4</v>
      </c>
      <c r="H10" s="614" t="s">
        <v>288</v>
      </c>
      <c r="I10" s="614">
        <v>13</v>
      </c>
      <c r="J10" s="636" t="s">
        <v>482</v>
      </c>
      <c r="K10" s="613">
        <v>13</v>
      </c>
      <c r="L10" s="614" t="s">
        <v>288</v>
      </c>
      <c r="M10" s="614">
        <v>2</v>
      </c>
      <c r="N10" s="636" t="s">
        <v>484</v>
      </c>
      <c r="O10" s="613">
        <v>13</v>
      </c>
      <c r="P10" s="614" t="s">
        <v>288</v>
      </c>
      <c r="Q10" s="614">
        <v>5</v>
      </c>
      <c r="R10" s="636" t="s">
        <v>568</v>
      </c>
      <c r="S10" s="613"/>
      <c r="T10" s="614" t="s">
        <v>288</v>
      </c>
      <c r="U10" s="614"/>
      <c r="V10" s="636"/>
      <c r="W10" s="637">
        <f t="shared" si="5"/>
        <v>3</v>
      </c>
      <c r="X10" s="612">
        <v>16</v>
      </c>
      <c r="Y10" s="730">
        <v>66</v>
      </c>
      <c r="Z10" s="613">
        <f t="shared" si="6"/>
        <v>43</v>
      </c>
      <c r="AA10" s="614" t="s">
        <v>288</v>
      </c>
      <c r="AB10" s="615">
        <f t="shared" si="7"/>
        <v>29</v>
      </c>
      <c r="AC10" s="616">
        <f t="shared" si="8"/>
        <v>14</v>
      </c>
      <c r="AD10" s="617"/>
      <c r="AE10" s="731">
        <f t="shared" si="9"/>
        <v>188</v>
      </c>
      <c r="AF10" s="732">
        <f>IFERROR(INDEX(V!R$7:R$56,MATCH(AG10,V!L$7:L$56,0)),"")</f>
        <v>90</v>
      </c>
      <c r="AG10" s="733" t="str">
        <f t="shared" si="1"/>
        <v>Henri Mitt</v>
      </c>
      <c r="AH10" s="732">
        <f>IFERROR(INDEX(V!R$7:R$56,MATCH(AI10,V!L$7:L$56,0)),"")</f>
        <v>98</v>
      </c>
      <c r="AI10" s="733" t="str">
        <f t="shared" si="2"/>
        <v>Urmas Randlaine</v>
      </c>
      <c r="AJ10" s="732" t="str">
        <f>IFERROR(INDEX(V!R$7:R$56,MATCH(AK10,V!L$7:L$56,0)),"")</f>
        <v/>
      </c>
      <c r="AK10" s="733" t="str">
        <f t="shared" si="3"/>
        <v/>
      </c>
      <c r="AL10" s="732" t="str">
        <f>IFERROR(INDEX(V!R$7:R$56,MATCH(AM10,V!L$7:L$56,0)),"")</f>
        <v/>
      </c>
      <c r="AM10" s="733" t="str">
        <f t="shared" si="4"/>
        <v/>
      </c>
      <c r="AN10" s="573"/>
    </row>
    <row r="11" spans="1:40" x14ac:dyDescent="0.2">
      <c r="A11" s="634">
        <v>4</v>
      </c>
      <c r="B11" s="635" t="s">
        <v>567</v>
      </c>
      <c r="C11" s="613">
        <v>10</v>
      </c>
      <c r="D11" s="614" t="s">
        <v>288</v>
      </c>
      <c r="E11" s="614">
        <v>13</v>
      </c>
      <c r="F11" s="636" t="s">
        <v>569</v>
      </c>
      <c r="G11" s="613">
        <v>11</v>
      </c>
      <c r="H11" s="614" t="s">
        <v>288</v>
      </c>
      <c r="I11" s="614">
        <v>10</v>
      </c>
      <c r="J11" s="636" t="s">
        <v>538</v>
      </c>
      <c r="K11" s="613">
        <v>13</v>
      </c>
      <c r="L11" s="614" t="s">
        <v>288</v>
      </c>
      <c r="M11" s="614">
        <v>9</v>
      </c>
      <c r="N11" s="636" t="s">
        <v>292</v>
      </c>
      <c r="O11" s="613">
        <v>13</v>
      </c>
      <c r="P11" s="614" t="s">
        <v>288</v>
      </c>
      <c r="Q11" s="614">
        <v>10</v>
      </c>
      <c r="R11" s="636" t="s">
        <v>477</v>
      </c>
      <c r="S11" s="613"/>
      <c r="T11" s="614" t="s">
        <v>288</v>
      </c>
      <c r="U11" s="614"/>
      <c r="V11" s="636"/>
      <c r="W11" s="637">
        <f t="shared" si="5"/>
        <v>3</v>
      </c>
      <c r="X11" s="612">
        <v>14</v>
      </c>
      <c r="Y11" s="730">
        <v>62</v>
      </c>
      <c r="Z11" s="613">
        <f t="shared" si="6"/>
        <v>47</v>
      </c>
      <c r="AA11" s="614" t="s">
        <v>288</v>
      </c>
      <c r="AB11" s="615">
        <f t="shared" si="7"/>
        <v>42</v>
      </c>
      <c r="AC11" s="616">
        <f t="shared" si="8"/>
        <v>5</v>
      </c>
      <c r="AD11" s="617"/>
      <c r="AE11" s="731">
        <f t="shared" si="9"/>
        <v>208</v>
      </c>
      <c r="AF11" s="732">
        <f>IFERROR(INDEX(V!R$7:R$56,MATCH(AG11,V!L$7:L$56,0)),"")</f>
        <v>108</v>
      </c>
      <c r="AG11" s="733" t="str">
        <f t="shared" si="1"/>
        <v>Andres Veski</v>
      </c>
      <c r="AH11" s="732">
        <f>IFERROR(INDEX(V!R$7:R$56,MATCH(AI11,V!L$7:L$56,0)),"")</f>
        <v>100</v>
      </c>
      <c r="AI11" s="733" t="str">
        <f t="shared" si="2"/>
        <v>Svetlana Veski</v>
      </c>
      <c r="AJ11" s="732" t="str">
        <f>IFERROR(INDEX(V!R$7:R$56,MATCH(AK11,V!L$7:L$56,0)),"")</f>
        <v/>
      </c>
      <c r="AK11" s="733" t="str">
        <f t="shared" si="3"/>
        <v/>
      </c>
      <c r="AL11" s="732" t="str">
        <f>IFERROR(INDEX(V!R$7:R$56,MATCH(AM11,V!L$7:L$56,0)),"")</f>
        <v/>
      </c>
      <c r="AM11" s="733" t="str">
        <f t="shared" si="4"/>
        <v/>
      </c>
      <c r="AN11" s="573"/>
    </row>
    <row r="12" spans="1:40" x14ac:dyDescent="0.2">
      <c r="A12" s="634">
        <v>5</v>
      </c>
      <c r="B12" s="635" t="s">
        <v>568</v>
      </c>
      <c r="C12" s="613">
        <v>13</v>
      </c>
      <c r="D12" s="614" t="s">
        <v>288</v>
      </c>
      <c r="E12" s="614">
        <v>7</v>
      </c>
      <c r="F12" s="636" t="s">
        <v>484</v>
      </c>
      <c r="G12" s="613">
        <v>13</v>
      </c>
      <c r="H12" s="614" t="s">
        <v>288</v>
      </c>
      <c r="I12" s="614">
        <v>7</v>
      </c>
      <c r="J12" s="636" t="s">
        <v>569</v>
      </c>
      <c r="K12" s="613">
        <v>6</v>
      </c>
      <c r="L12" s="614" t="s">
        <v>288</v>
      </c>
      <c r="M12" s="614">
        <v>13</v>
      </c>
      <c r="N12" s="636" t="s">
        <v>566</v>
      </c>
      <c r="O12" s="613">
        <v>5</v>
      </c>
      <c r="P12" s="614" t="s">
        <v>288</v>
      </c>
      <c r="Q12" s="614">
        <v>13</v>
      </c>
      <c r="R12" s="636" t="s">
        <v>294</v>
      </c>
      <c r="S12" s="613"/>
      <c r="T12" s="614" t="s">
        <v>288</v>
      </c>
      <c r="U12" s="614"/>
      <c r="V12" s="636"/>
      <c r="W12" s="637">
        <f t="shared" si="5"/>
        <v>2</v>
      </c>
      <c r="X12" s="612">
        <v>20</v>
      </c>
      <c r="Y12" s="730">
        <v>64</v>
      </c>
      <c r="Z12" s="613">
        <f t="shared" si="6"/>
        <v>37</v>
      </c>
      <c r="AA12" s="614" t="s">
        <v>288</v>
      </c>
      <c r="AB12" s="615">
        <f t="shared" si="7"/>
        <v>40</v>
      </c>
      <c r="AC12" s="616">
        <f t="shared" si="8"/>
        <v>-3</v>
      </c>
      <c r="AD12" s="617"/>
      <c r="AE12" s="731">
        <f t="shared" si="9"/>
        <v>156</v>
      </c>
      <c r="AF12" s="732">
        <f>IFERROR(INDEX(V!R$7:R$56,MATCH(AG12,V!L$7:L$56,0)),"")</f>
        <v>80</v>
      </c>
      <c r="AG12" s="733" t="str">
        <f t="shared" si="1"/>
        <v>Meelis Luud</v>
      </c>
      <c r="AH12" s="732">
        <f>IFERROR(INDEX(V!R$7:R$56,MATCH(AI12,V!L$7:L$56,0)),"")</f>
        <v>76</v>
      </c>
      <c r="AI12" s="733" t="str">
        <f t="shared" si="2"/>
        <v>Sirje Maala</v>
      </c>
      <c r="AJ12" s="732" t="str">
        <f>IFERROR(INDEX(V!R$7:R$56,MATCH(AK12,V!L$7:L$56,0)),"")</f>
        <v/>
      </c>
      <c r="AK12" s="733" t="str">
        <f t="shared" si="3"/>
        <v/>
      </c>
      <c r="AL12" s="732" t="str">
        <f>IFERROR(INDEX(V!R$7:R$56,MATCH(AM12,V!L$7:L$56,0)),"")</f>
        <v/>
      </c>
      <c r="AM12" s="733" t="str">
        <f t="shared" si="4"/>
        <v/>
      </c>
      <c r="AN12" s="573"/>
    </row>
    <row r="13" spans="1:40" x14ac:dyDescent="0.2">
      <c r="A13" s="634">
        <v>6</v>
      </c>
      <c r="B13" s="635" t="s">
        <v>569</v>
      </c>
      <c r="C13" s="613">
        <v>13</v>
      </c>
      <c r="D13" s="614" t="s">
        <v>288</v>
      </c>
      <c r="E13" s="614">
        <v>10</v>
      </c>
      <c r="F13" s="636" t="s">
        <v>567</v>
      </c>
      <c r="G13" s="613">
        <v>7</v>
      </c>
      <c r="H13" s="614" t="s">
        <v>288</v>
      </c>
      <c r="I13" s="614">
        <v>13</v>
      </c>
      <c r="J13" s="636" t="s">
        <v>568</v>
      </c>
      <c r="K13" s="613">
        <v>7</v>
      </c>
      <c r="L13" s="614" t="s">
        <v>288</v>
      </c>
      <c r="M13" s="614">
        <v>13</v>
      </c>
      <c r="N13" s="636" t="s">
        <v>482</v>
      </c>
      <c r="O13" s="613">
        <v>13</v>
      </c>
      <c r="P13" s="614" t="s">
        <v>288</v>
      </c>
      <c r="Q13" s="614">
        <v>8</v>
      </c>
      <c r="R13" s="636" t="s">
        <v>525</v>
      </c>
      <c r="S13" s="613"/>
      <c r="T13" s="614" t="s">
        <v>288</v>
      </c>
      <c r="U13" s="614"/>
      <c r="V13" s="636"/>
      <c r="W13" s="637">
        <f t="shared" si="5"/>
        <v>2</v>
      </c>
      <c r="X13" s="612">
        <v>18</v>
      </c>
      <c r="Y13" s="730">
        <v>70</v>
      </c>
      <c r="Z13" s="613">
        <f t="shared" si="6"/>
        <v>40</v>
      </c>
      <c r="AA13" s="614" t="s">
        <v>288</v>
      </c>
      <c r="AB13" s="615">
        <f t="shared" si="7"/>
        <v>44</v>
      </c>
      <c r="AC13" s="616">
        <f t="shared" si="8"/>
        <v>-4</v>
      </c>
      <c r="AD13" s="617"/>
      <c r="AE13" s="731">
        <f t="shared" si="9"/>
        <v>96</v>
      </c>
      <c r="AF13" s="732">
        <f>IFERROR(INDEX(V!R$7:R$56,MATCH(AG13,V!L$7:L$56,0)),"")</f>
        <v>56</v>
      </c>
      <c r="AG13" s="733" t="str">
        <f t="shared" si="1"/>
        <v>Elmo Lageda</v>
      </c>
      <c r="AH13" s="732">
        <f>IFERROR(INDEX(V!R$7:R$56,MATCH(AI13,V!L$7:L$56,0)),"")</f>
        <v>40</v>
      </c>
      <c r="AI13" s="733" t="str">
        <f t="shared" si="2"/>
        <v>Enn Tokman</v>
      </c>
      <c r="AJ13" s="732" t="str">
        <f>IFERROR(INDEX(V!R$7:R$56,MATCH(AK13,V!L$7:L$56,0)),"")</f>
        <v/>
      </c>
      <c r="AK13" s="733" t="str">
        <f t="shared" si="3"/>
        <v/>
      </c>
      <c r="AL13" s="732" t="str">
        <f>IFERROR(INDEX(V!R$7:R$56,MATCH(AM13,V!L$7:L$56,0)),"")</f>
        <v/>
      </c>
      <c r="AM13" s="733" t="str">
        <f t="shared" si="4"/>
        <v/>
      </c>
      <c r="AN13" s="573"/>
    </row>
    <row r="14" spans="1:40" x14ac:dyDescent="0.2">
      <c r="A14" s="634">
        <v>7</v>
      </c>
      <c r="B14" s="638" t="s">
        <v>477</v>
      </c>
      <c r="C14" s="613">
        <v>7</v>
      </c>
      <c r="D14" s="614" t="s">
        <v>288</v>
      </c>
      <c r="E14" s="614">
        <v>13</v>
      </c>
      <c r="F14" s="636" t="s">
        <v>566</v>
      </c>
      <c r="G14" s="613">
        <v>13</v>
      </c>
      <c r="H14" s="614" t="s">
        <v>288</v>
      </c>
      <c r="I14" s="614">
        <v>8</v>
      </c>
      <c r="J14" s="636" t="s">
        <v>292</v>
      </c>
      <c r="K14" s="613">
        <v>13</v>
      </c>
      <c r="L14" s="614" t="s">
        <v>288</v>
      </c>
      <c r="M14" s="614">
        <v>1</v>
      </c>
      <c r="N14" s="636" t="s">
        <v>525</v>
      </c>
      <c r="O14" s="613">
        <v>10</v>
      </c>
      <c r="P14" s="614" t="s">
        <v>288</v>
      </c>
      <c r="Q14" s="614">
        <v>13</v>
      </c>
      <c r="R14" s="636" t="s">
        <v>567</v>
      </c>
      <c r="S14" s="613"/>
      <c r="T14" s="614" t="s">
        <v>288</v>
      </c>
      <c r="U14" s="614"/>
      <c r="V14" s="636"/>
      <c r="W14" s="637">
        <f t="shared" si="5"/>
        <v>2</v>
      </c>
      <c r="X14" s="612">
        <v>18</v>
      </c>
      <c r="Y14" s="730">
        <v>60</v>
      </c>
      <c r="Z14" s="613">
        <f t="shared" si="6"/>
        <v>43</v>
      </c>
      <c r="AA14" s="614" t="s">
        <v>288</v>
      </c>
      <c r="AB14" s="615">
        <f t="shared" si="7"/>
        <v>35</v>
      </c>
      <c r="AC14" s="616">
        <f t="shared" si="8"/>
        <v>8</v>
      </c>
      <c r="AD14" s="617"/>
      <c r="AE14" s="731">
        <f t="shared" si="9"/>
        <v>280</v>
      </c>
      <c r="AF14" s="732">
        <f>IFERROR(INDEX(V!R$7:R$56,MATCH(AG14,V!L$7:L$56,0)),"")</f>
        <v>140</v>
      </c>
      <c r="AG14" s="733" t="str">
        <f t="shared" si="1"/>
        <v>Kenneth Muusikus</v>
      </c>
      <c r="AH14" s="732">
        <f>IFERROR(INDEX(V!R$7:R$56,MATCH(AI14,V!L$7:L$56,0)),"")</f>
        <v>140</v>
      </c>
      <c r="AI14" s="733" t="str">
        <f t="shared" si="2"/>
        <v>Sander Rose</v>
      </c>
      <c r="AJ14" s="732" t="str">
        <f>IFERROR(INDEX(V!R$7:R$56,MATCH(AK14,V!L$7:L$56,0)),"")</f>
        <v/>
      </c>
      <c r="AK14" s="733" t="str">
        <f t="shared" si="3"/>
        <v/>
      </c>
      <c r="AL14" s="732" t="str">
        <f>IFERROR(INDEX(V!R$7:R$56,MATCH(AM14,V!L$7:L$56,0)),"")</f>
        <v/>
      </c>
      <c r="AM14" s="733" t="str">
        <f t="shared" si="4"/>
        <v/>
      </c>
      <c r="AN14" s="573"/>
    </row>
    <row r="15" spans="1:40" x14ac:dyDescent="0.2">
      <c r="A15" s="634">
        <v>8</v>
      </c>
      <c r="B15" s="638" t="s">
        <v>538</v>
      </c>
      <c r="C15" s="613">
        <v>9</v>
      </c>
      <c r="D15" s="614" t="s">
        <v>288</v>
      </c>
      <c r="E15" s="614">
        <v>13</v>
      </c>
      <c r="F15" s="636" t="s">
        <v>294</v>
      </c>
      <c r="G15" s="613">
        <v>10</v>
      </c>
      <c r="H15" s="614" t="s">
        <v>288</v>
      </c>
      <c r="I15" s="614">
        <v>11</v>
      </c>
      <c r="J15" s="636" t="s">
        <v>567</v>
      </c>
      <c r="K15" s="613">
        <v>13</v>
      </c>
      <c r="L15" s="614" t="s">
        <v>288</v>
      </c>
      <c r="M15" s="614">
        <v>7</v>
      </c>
      <c r="N15" s="636" t="s">
        <v>291</v>
      </c>
      <c r="O15" s="613">
        <v>13</v>
      </c>
      <c r="P15" s="614" t="s">
        <v>288</v>
      </c>
      <c r="Q15" s="614">
        <v>1</v>
      </c>
      <c r="R15" s="636" t="s">
        <v>484</v>
      </c>
      <c r="S15" s="613"/>
      <c r="T15" s="614" t="s">
        <v>288</v>
      </c>
      <c r="U15" s="614"/>
      <c r="V15" s="636"/>
      <c r="W15" s="637">
        <f t="shared" si="5"/>
        <v>2</v>
      </c>
      <c r="X15" s="612">
        <v>14</v>
      </c>
      <c r="Y15" s="730">
        <v>44</v>
      </c>
      <c r="Z15" s="613">
        <f t="shared" si="6"/>
        <v>45</v>
      </c>
      <c r="AA15" s="614" t="s">
        <v>288</v>
      </c>
      <c r="AB15" s="615">
        <f t="shared" si="7"/>
        <v>32</v>
      </c>
      <c r="AC15" s="616">
        <f t="shared" si="8"/>
        <v>13</v>
      </c>
      <c r="AD15" s="617"/>
      <c r="AE15" s="731">
        <f t="shared" si="9"/>
        <v>64</v>
      </c>
      <c r="AF15" s="732">
        <f>IFERROR(INDEX(V!R$7:R$56,MATCH(AG15,V!L$7:L$56,0)),"")</f>
        <v>8</v>
      </c>
      <c r="AG15" s="733" t="str">
        <f t="shared" si="1"/>
        <v>Erika Kirves</v>
      </c>
      <c r="AH15" s="732">
        <f>IFERROR(INDEX(V!R$7:R$56,MATCH(AI15,V!L$7:L$56,0)),"")</f>
        <v>56</v>
      </c>
      <c r="AI15" s="733" t="str">
        <f t="shared" si="2"/>
        <v>Jaan Saar</v>
      </c>
      <c r="AJ15" s="732" t="str">
        <f>IFERROR(INDEX(V!R$7:R$56,MATCH(AK15,V!L$7:L$56,0)),"")</f>
        <v/>
      </c>
      <c r="AK15" s="733" t="str">
        <f t="shared" si="3"/>
        <v/>
      </c>
      <c r="AL15" s="732" t="str">
        <f>IFERROR(INDEX(V!R$7:R$56,MATCH(AM15,V!L$7:L$56,0)),"")</f>
        <v/>
      </c>
      <c r="AM15" s="733" t="str">
        <f t="shared" si="4"/>
        <v/>
      </c>
      <c r="AN15" s="573"/>
    </row>
    <row r="16" spans="1:40" x14ac:dyDescent="0.2">
      <c r="A16" s="634">
        <v>9</v>
      </c>
      <c r="B16" s="635" t="s">
        <v>525</v>
      </c>
      <c r="C16" s="613">
        <v>11</v>
      </c>
      <c r="D16" s="614" t="s">
        <v>288</v>
      </c>
      <c r="E16" s="614">
        <v>8</v>
      </c>
      <c r="F16" s="636" t="s">
        <v>292</v>
      </c>
      <c r="G16" s="613">
        <v>8</v>
      </c>
      <c r="H16" s="614" t="s">
        <v>288</v>
      </c>
      <c r="I16" s="614">
        <v>13</v>
      </c>
      <c r="J16" s="636" t="s">
        <v>566</v>
      </c>
      <c r="K16" s="613">
        <v>1</v>
      </c>
      <c r="L16" s="614" t="s">
        <v>288</v>
      </c>
      <c r="M16" s="614">
        <v>13</v>
      </c>
      <c r="N16" s="636" t="s">
        <v>477</v>
      </c>
      <c r="O16" s="613">
        <v>8</v>
      </c>
      <c r="P16" s="614" t="s">
        <v>288</v>
      </c>
      <c r="Q16" s="614">
        <v>13</v>
      </c>
      <c r="R16" s="636" t="s">
        <v>569</v>
      </c>
      <c r="S16" s="613"/>
      <c r="T16" s="614" t="s">
        <v>288</v>
      </c>
      <c r="U16" s="614"/>
      <c r="V16" s="636"/>
      <c r="W16" s="637">
        <f t="shared" si="5"/>
        <v>1</v>
      </c>
      <c r="X16" s="612">
        <v>18</v>
      </c>
      <c r="Y16" s="730">
        <v>64</v>
      </c>
      <c r="Z16" s="613">
        <f t="shared" si="6"/>
        <v>28</v>
      </c>
      <c r="AA16" s="614" t="s">
        <v>288</v>
      </c>
      <c r="AB16" s="615">
        <f t="shared" si="7"/>
        <v>47</v>
      </c>
      <c r="AC16" s="616">
        <f t="shared" si="8"/>
        <v>-19</v>
      </c>
      <c r="AD16" s="617"/>
      <c r="AE16" s="731">
        <f t="shared" si="9"/>
        <v>82</v>
      </c>
      <c r="AF16" s="732">
        <f>IFERROR(INDEX(V!R$7:R$56,MATCH(AG16,V!L$7:L$56,0)),"")</f>
        <v>34</v>
      </c>
      <c r="AG16" s="733" t="str">
        <f t="shared" si="1"/>
        <v>Kristel Tihhonjuk</v>
      </c>
      <c r="AH16" s="732">
        <f>IFERROR(INDEX(V!R$7:R$56,MATCH(AI16,V!L$7:L$56,0)),"")</f>
        <v>48</v>
      </c>
      <c r="AI16" s="733" t="str">
        <f t="shared" si="2"/>
        <v>Vadim Tihhonjuk</v>
      </c>
      <c r="AJ16" s="732" t="str">
        <f>IFERROR(INDEX(V!R$7:R$56,MATCH(AK16,V!L$7:L$56,0)),"")</f>
        <v/>
      </c>
      <c r="AK16" s="733" t="str">
        <f t="shared" si="3"/>
        <v/>
      </c>
      <c r="AL16" s="732" t="str">
        <f>IFERROR(INDEX(V!R$7:R$56,MATCH(AM16,V!L$7:L$56,0)),"")</f>
        <v/>
      </c>
      <c r="AM16" s="733" t="str">
        <f t="shared" si="4"/>
        <v/>
      </c>
      <c r="AN16" s="573"/>
    </row>
    <row r="17" spans="1:40" x14ac:dyDescent="0.2">
      <c r="A17" s="634">
        <v>10</v>
      </c>
      <c r="B17" s="635" t="s">
        <v>484</v>
      </c>
      <c r="C17" s="613">
        <v>7</v>
      </c>
      <c r="D17" s="614" t="s">
        <v>288</v>
      </c>
      <c r="E17" s="614">
        <v>13</v>
      </c>
      <c r="F17" s="636" t="s">
        <v>568</v>
      </c>
      <c r="G17" s="613">
        <v>13</v>
      </c>
      <c r="H17" s="614" t="s">
        <v>288</v>
      </c>
      <c r="I17" s="614">
        <v>7</v>
      </c>
      <c r="J17" s="636" t="s">
        <v>291</v>
      </c>
      <c r="K17" s="613">
        <v>2</v>
      </c>
      <c r="L17" s="614" t="s">
        <v>288</v>
      </c>
      <c r="M17" s="614">
        <v>13</v>
      </c>
      <c r="N17" s="636" t="s">
        <v>294</v>
      </c>
      <c r="O17" s="613">
        <v>1</v>
      </c>
      <c r="P17" s="614" t="s">
        <v>288</v>
      </c>
      <c r="Q17" s="614">
        <v>13</v>
      </c>
      <c r="R17" s="636" t="s">
        <v>538</v>
      </c>
      <c r="S17" s="613"/>
      <c r="T17" s="614" t="s">
        <v>288</v>
      </c>
      <c r="U17" s="614"/>
      <c r="V17" s="636"/>
      <c r="W17" s="637">
        <f t="shared" si="5"/>
        <v>1</v>
      </c>
      <c r="X17" s="612">
        <v>14</v>
      </c>
      <c r="Y17" s="730">
        <v>50</v>
      </c>
      <c r="Z17" s="613">
        <f t="shared" si="6"/>
        <v>23</v>
      </c>
      <c r="AA17" s="614" t="s">
        <v>288</v>
      </c>
      <c r="AB17" s="615">
        <f t="shared" si="7"/>
        <v>46</v>
      </c>
      <c r="AC17" s="616">
        <f t="shared" si="8"/>
        <v>-23</v>
      </c>
      <c r="AD17" s="617"/>
      <c r="AE17" s="731">
        <f t="shared" si="9"/>
        <v>156</v>
      </c>
      <c r="AF17" s="732">
        <f>IFERROR(INDEX(V!R$7:R$56,MATCH(AG17,V!L$7:L$56,0)),"")</f>
        <v>108</v>
      </c>
      <c r="AG17" s="733" t="str">
        <f t="shared" si="1"/>
        <v>Hillar Neiland</v>
      </c>
      <c r="AH17" s="732">
        <f>IFERROR(INDEX(V!R$7:R$56,MATCH(AI17,V!L$7:L$56,0)),"")</f>
        <v>48</v>
      </c>
      <c r="AI17" s="733" t="str">
        <f t="shared" si="2"/>
        <v>Oliver Ojasalu</v>
      </c>
      <c r="AJ17" s="732" t="str">
        <f>IFERROR(INDEX(V!R$7:R$56,MATCH(AK17,V!L$7:L$56,0)),"")</f>
        <v/>
      </c>
      <c r="AK17" s="733" t="str">
        <f t="shared" si="3"/>
        <v/>
      </c>
      <c r="AL17" s="732" t="str">
        <f>IFERROR(INDEX(V!R$7:R$56,MATCH(AM17,V!L$7:L$56,0)),"")</f>
        <v/>
      </c>
      <c r="AM17" s="733" t="str">
        <f t="shared" si="4"/>
        <v/>
      </c>
      <c r="AN17" s="573"/>
    </row>
    <row r="18" spans="1:40" x14ac:dyDescent="0.2">
      <c r="A18" s="634">
        <v>11</v>
      </c>
      <c r="B18" s="635" t="s">
        <v>292</v>
      </c>
      <c r="C18" s="613">
        <v>8</v>
      </c>
      <c r="D18" s="614" t="s">
        <v>288</v>
      </c>
      <c r="E18" s="614">
        <v>11</v>
      </c>
      <c r="F18" s="636" t="s">
        <v>525</v>
      </c>
      <c r="G18" s="613">
        <v>8</v>
      </c>
      <c r="H18" s="614" t="s">
        <v>288</v>
      </c>
      <c r="I18" s="614">
        <v>13</v>
      </c>
      <c r="J18" s="636" t="s">
        <v>477</v>
      </c>
      <c r="K18" s="613">
        <v>9</v>
      </c>
      <c r="L18" s="614" t="s">
        <v>288</v>
      </c>
      <c r="M18" s="614">
        <v>13</v>
      </c>
      <c r="N18" s="636" t="s">
        <v>567</v>
      </c>
      <c r="O18" s="613">
        <v>13</v>
      </c>
      <c r="P18" s="614" t="s">
        <v>288</v>
      </c>
      <c r="Q18" s="614">
        <v>7</v>
      </c>
      <c r="R18" s="636" t="s">
        <v>291</v>
      </c>
      <c r="S18" s="613"/>
      <c r="T18" s="614" t="s">
        <v>288</v>
      </c>
      <c r="U18" s="614"/>
      <c r="V18" s="636"/>
      <c r="W18" s="637">
        <f t="shared" si="5"/>
        <v>1</v>
      </c>
      <c r="X18" s="612">
        <v>12</v>
      </c>
      <c r="Y18" s="730">
        <v>50</v>
      </c>
      <c r="Z18" s="613">
        <f t="shared" ref="Z18" si="10">C18+G18+K18+O18+S18</f>
        <v>38</v>
      </c>
      <c r="AA18" s="614" t="s">
        <v>288</v>
      </c>
      <c r="AB18" s="615">
        <f t="shared" ref="AB18" si="11">E18+I18+M18+Q18+U18</f>
        <v>44</v>
      </c>
      <c r="AC18" s="616">
        <f t="shared" si="8"/>
        <v>-6</v>
      </c>
      <c r="AD18" s="617"/>
      <c r="AE18" s="731">
        <f t="shared" si="9"/>
        <v>244</v>
      </c>
      <c r="AF18" s="732">
        <f>IFERROR(INDEX(V!R$7:R$56,MATCH(AG18,V!L$7:L$56,0)),"")</f>
        <v>122</v>
      </c>
      <c r="AG18" s="733" t="str">
        <f t="shared" si="1"/>
        <v>Oksana Rõndenkova</v>
      </c>
      <c r="AH18" s="732">
        <f>IFERROR(INDEX(V!R$7:R$56,MATCH(AI18,V!L$7:L$56,0)),"")</f>
        <v>122</v>
      </c>
      <c r="AI18" s="733" t="str">
        <f t="shared" si="2"/>
        <v>Oleg Rõndenkov</v>
      </c>
      <c r="AJ18" s="732" t="str">
        <f>IFERROR(INDEX(V!R$7:R$56,MATCH(AK18,V!L$7:L$56,0)),"")</f>
        <v/>
      </c>
      <c r="AK18" s="733" t="str">
        <f t="shared" si="3"/>
        <v/>
      </c>
      <c r="AL18" s="732" t="str">
        <f>IFERROR(INDEX(V!R$7:R$56,MATCH(AM18,V!L$7:L$56,0)),"")</f>
        <v/>
      </c>
      <c r="AM18" s="733" t="str">
        <f t="shared" si="4"/>
        <v/>
      </c>
      <c r="AN18" s="573"/>
    </row>
    <row r="19" spans="1:40" hidden="1"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hidden="1"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9" spans="1:40" x14ac:dyDescent="0.2">
      <c r="A299" s="573"/>
      <c r="B299" s="573"/>
      <c r="C299" s="584" t="s">
        <v>54</v>
      </c>
    </row>
    <row r="300" spans="1:40" x14ac:dyDescent="0.2">
      <c r="A300" s="627">
        <v>1</v>
      </c>
      <c r="B300" s="628" t="str">
        <f t="shared" ref="B300:B310" si="12">IFERROR(INDEX(B$1:B$85,MATCH(A300,A$1:A$85,0)),"")</f>
        <v>Kaspar Mänd, Olav Türk</v>
      </c>
      <c r="C300" s="734">
        <f>LARGE(A$300:A$400,1)*2+2-A300*2</f>
        <v>22</v>
      </c>
    </row>
    <row r="301" spans="1:40" x14ac:dyDescent="0.2">
      <c r="A301" s="627">
        <v>2</v>
      </c>
      <c r="B301" s="628" t="str">
        <f t="shared" si="12"/>
        <v>Lemmit Toomra, Tõnu Kapper</v>
      </c>
      <c r="C301" s="734">
        <f t="shared" ref="C301:C310" si="13">LARGE(A$300:A$400,1)*2+2-A301*2</f>
        <v>20</v>
      </c>
    </row>
    <row r="302" spans="1:40" x14ac:dyDescent="0.2">
      <c r="A302" s="627">
        <v>3</v>
      </c>
      <c r="B302" s="628" t="str">
        <f t="shared" si="12"/>
        <v>Henri Mitt, Urmas Randlaine</v>
      </c>
      <c r="C302" s="734">
        <f t="shared" si="13"/>
        <v>18</v>
      </c>
    </row>
    <row r="303" spans="1:40" x14ac:dyDescent="0.2">
      <c r="A303" s="627">
        <v>4</v>
      </c>
      <c r="B303" s="628" t="str">
        <f t="shared" si="12"/>
        <v>Andres Veski, Svetlana Veski</v>
      </c>
      <c r="C303" s="734">
        <f t="shared" si="13"/>
        <v>16</v>
      </c>
    </row>
    <row r="304" spans="1:40" x14ac:dyDescent="0.2">
      <c r="A304" s="627">
        <v>5</v>
      </c>
      <c r="B304" s="628" t="str">
        <f t="shared" si="12"/>
        <v>Meelis Luud, Sirje Maala</v>
      </c>
      <c r="C304" s="734">
        <f t="shared" si="13"/>
        <v>14</v>
      </c>
    </row>
    <row r="305" spans="1:3" x14ac:dyDescent="0.2">
      <c r="A305" s="627">
        <v>6</v>
      </c>
      <c r="B305" s="628" t="str">
        <f t="shared" si="12"/>
        <v>Elmo Lageda, Enn Tokman</v>
      </c>
      <c r="C305" s="734">
        <f t="shared" si="13"/>
        <v>12</v>
      </c>
    </row>
    <row r="306" spans="1:3" x14ac:dyDescent="0.2">
      <c r="A306" s="627">
        <v>7</v>
      </c>
      <c r="B306" s="628" t="str">
        <f t="shared" si="12"/>
        <v>Kenneth Muusikus, Sander Rose</v>
      </c>
      <c r="C306" s="734">
        <f t="shared" si="13"/>
        <v>10</v>
      </c>
    </row>
    <row r="307" spans="1:3" x14ac:dyDescent="0.2">
      <c r="A307" s="627">
        <v>8</v>
      </c>
      <c r="B307" s="628" t="str">
        <f t="shared" si="12"/>
        <v>Erika Kirves, Jaan Saar</v>
      </c>
      <c r="C307" s="734">
        <f t="shared" si="13"/>
        <v>8</v>
      </c>
    </row>
    <row r="308" spans="1:3" x14ac:dyDescent="0.2">
      <c r="A308" s="627">
        <v>9</v>
      </c>
      <c r="B308" s="628" t="str">
        <f t="shared" si="12"/>
        <v>Kristel Tihhonjuk, Vadim Tihhonjuk</v>
      </c>
      <c r="C308" s="734">
        <f t="shared" si="13"/>
        <v>6</v>
      </c>
    </row>
    <row r="309" spans="1:3" x14ac:dyDescent="0.2">
      <c r="A309" s="627">
        <v>10</v>
      </c>
      <c r="B309" s="628" t="str">
        <f t="shared" si="12"/>
        <v>Hillar Neiland, Oliver Ojasalu</v>
      </c>
      <c r="C309" s="734">
        <f t="shared" si="13"/>
        <v>4</v>
      </c>
    </row>
    <row r="310" spans="1:3" x14ac:dyDescent="0.2">
      <c r="A310" s="627">
        <v>11</v>
      </c>
      <c r="B310" s="628" t="str">
        <f t="shared" si="12"/>
        <v>Oksana Rõndenkova, Oleg Rõndenkov</v>
      </c>
      <c r="C310" s="734">
        <f t="shared" si="13"/>
        <v>2</v>
      </c>
    </row>
    <row r="311" spans="1:3" x14ac:dyDescent="0.2">
      <c r="C311" s="734"/>
    </row>
    <row r="312" spans="1:3" x14ac:dyDescent="0.2">
      <c r="C312" s="734"/>
    </row>
    <row r="313" spans="1:3" x14ac:dyDescent="0.2">
      <c r="C313" s="734"/>
    </row>
  </sheetData>
  <conditionalFormatting sqref="C8:C18">
    <cfRule type="expression" dxfId="501" priority="18">
      <formula>IF($C8&gt;$E8,TRUE)</formula>
    </cfRule>
  </conditionalFormatting>
  <conditionalFormatting sqref="E8:E18">
    <cfRule type="expression" dxfId="500" priority="19">
      <formula>IF($C8&lt;$E8,TRUE)</formula>
    </cfRule>
  </conditionalFormatting>
  <conditionalFormatting sqref="K8:K18">
    <cfRule type="expression" dxfId="499" priority="26">
      <formula>IF($K8&gt;$M8,TRUE)</formula>
    </cfRule>
  </conditionalFormatting>
  <conditionalFormatting sqref="M8:M18">
    <cfRule type="expression" dxfId="498" priority="27">
      <formula>IF($K8&lt;$M8,TRUE)</formula>
    </cfRule>
  </conditionalFormatting>
  <conditionalFormatting sqref="O8:O18">
    <cfRule type="expression" dxfId="497" priority="30">
      <formula>IF($O8&gt;$Q8,TRUE)</formula>
    </cfRule>
  </conditionalFormatting>
  <conditionalFormatting sqref="Q8:Q18">
    <cfRule type="expression" dxfId="496" priority="31">
      <formula>IF($O8&lt;$Q8,TRUE)</formula>
    </cfRule>
  </conditionalFormatting>
  <conditionalFormatting sqref="S8:S18">
    <cfRule type="expression" dxfId="495" priority="34">
      <formula>IF($S8&gt;$U8,TRUE)</formula>
    </cfRule>
  </conditionalFormatting>
  <conditionalFormatting sqref="U8:U18">
    <cfRule type="expression" dxfId="494" priority="35">
      <formula>IF($S8&lt;$U8,TRUE)</formula>
    </cfRule>
  </conditionalFormatting>
  <conditionalFormatting sqref="G8:G18">
    <cfRule type="expression" dxfId="493" priority="22">
      <formula>IF($G8&gt;$I8,TRUE)</formula>
    </cfRule>
  </conditionalFormatting>
  <conditionalFormatting sqref="I8:I18">
    <cfRule type="expression" dxfId="492" priority="23">
      <formula>IF($G8&lt;$I8,TRUE)</formula>
    </cfRule>
  </conditionalFormatting>
  <conditionalFormatting sqref="F8:F18">
    <cfRule type="containsText" dxfId="491" priority="9" operator="containsText" text="vaba voor">
      <formula>NOT(ISERROR(SEARCH("vaba voor",F8)))</formula>
    </cfRule>
  </conditionalFormatting>
  <conditionalFormatting sqref="N8:N18">
    <cfRule type="containsText" dxfId="490" priority="7" operator="containsText" text="vaba voor">
      <formula>NOT(ISERROR(SEARCH("vaba voor",N8)))</formula>
    </cfRule>
  </conditionalFormatting>
  <conditionalFormatting sqref="R8:R18">
    <cfRule type="containsText" dxfId="489" priority="10" operator="containsText" text="vaba voor">
      <formula>NOT(ISERROR(SEARCH("vaba voor",R8)))</formula>
    </cfRule>
  </conditionalFormatting>
  <conditionalFormatting sqref="V8:V18">
    <cfRule type="containsText" dxfId="488" priority="6" operator="containsText" text="vaba voor">
      <formula>NOT(ISERROR(SEARCH("vaba voor",V8)))</formula>
    </cfRule>
  </conditionalFormatting>
  <conditionalFormatting sqref="J8:J18">
    <cfRule type="containsText" dxfId="487" priority="8" operator="containsText" text="vaba voor">
      <formula>NOT(ISERROR(SEARCH("vaba voor",J8)))</formula>
    </cfRule>
  </conditionalFormatting>
  <conditionalFormatting sqref="C8:F18">
    <cfRule type="expression" dxfId="486" priority="14">
      <formula>IF(AND(ISNUMBER($C8),$C8=$E8),TRUE)</formula>
    </cfRule>
    <cfRule type="expression" dxfId="485" priority="16">
      <formula>IF($C8&gt;$E8,TRUE)</formula>
    </cfRule>
    <cfRule type="expression" dxfId="484" priority="17">
      <formula>IF($C8&lt;$E8,TRUE)</formula>
    </cfRule>
  </conditionalFormatting>
  <conditionalFormatting sqref="G8:J18">
    <cfRule type="expression" dxfId="483" priority="15">
      <formula>IF(AND(ISNUMBER($G8),$G8=$I8),TRUE)</formula>
    </cfRule>
    <cfRule type="expression" dxfId="482" priority="20">
      <formula>IF($G8&gt;$I8,TRUE)</formula>
    </cfRule>
    <cfRule type="expression" dxfId="481" priority="21">
      <formula>IF($G8&lt;$I8,TRUE)</formula>
    </cfRule>
  </conditionalFormatting>
  <conditionalFormatting sqref="K8:N18">
    <cfRule type="expression" dxfId="480" priority="13">
      <formula>IF(AND(ISNUMBER($K8),$K8=$M8),TRUE)</formula>
    </cfRule>
    <cfRule type="expression" dxfId="479" priority="24">
      <formula>IF($K8&gt;$M8,TRUE)</formula>
    </cfRule>
    <cfRule type="expression" dxfId="478" priority="25">
      <formula>IF($K8&lt;$M8,TRUE)</formula>
    </cfRule>
  </conditionalFormatting>
  <conditionalFormatting sqref="O8:R18">
    <cfRule type="expression" dxfId="477" priority="12">
      <formula>IF(AND(ISNUMBER($O8),$O8=$Q8),TRUE)</formula>
    </cfRule>
    <cfRule type="expression" dxfId="476" priority="28">
      <formula>IF($O8&gt;$Q8,TRUE)</formula>
    </cfRule>
    <cfRule type="expression" dxfId="475" priority="29">
      <formula>IF($O8&lt;$Q8,TRUE)</formula>
    </cfRule>
  </conditionalFormatting>
  <conditionalFormatting sqref="S8:V18">
    <cfRule type="expression" dxfId="474" priority="11">
      <formula>IF(AND(ISNUMBER($S8),$S8=$U8),TRUE)</formula>
    </cfRule>
    <cfRule type="expression" dxfId="473" priority="32">
      <formula>IF($S8&gt;$U8,TRUE)</formula>
    </cfRule>
    <cfRule type="expression" dxfId="472" priority="33">
      <formula>IF($S8&lt;$U8,TRUE)</formula>
    </cfRule>
  </conditionalFormatting>
  <conditionalFormatting sqref="C8:C18 G8:G18 K8:K18 O8:O18 S8:S18">
    <cfRule type="expression" dxfId="471" priority="4">
      <formula>AND(C8=0,E8=13)</formula>
    </cfRule>
  </conditionalFormatting>
  <conditionalFormatting sqref="E8:E18 I8:I18 M8:M18 Q8:Q18 U8:U18">
    <cfRule type="expression" dxfId="470" priority="5">
      <formula>AND(E8=0,C8=13)</formula>
    </cfRule>
  </conditionalFormatting>
  <conditionalFormatting sqref="AG8:AG18 AK8:AK18 AM8:AM18">
    <cfRule type="expression" dxfId="469" priority="1">
      <formula>AND(AF8="",COUNTIF(AG8,"*,*")=0)</formula>
    </cfRule>
  </conditionalFormatting>
  <conditionalFormatting sqref="AI8:AI18">
    <cfRule type="expression" dxfId="468" priority="2">
      <formula>AND(AH8="",FIND(",",AI8))</formula>
    </cfRule>
    <cfRule type="expression" dxfId="467" priority="3">
      <formula>AND(AH8="",COUNTIF(AI8,"*,*")=0)</formula>
    </cfRule>
  </conditionalFormatting>
  <conditionalFormatting sqref="A300:A310">
    <cfRule type="duplicateValues" dxfId="466" priority="36"/>
  </conditionalFormatting>
  <conditionalFormatting sqref="A8:A18">
    <cfRule type="duplicateValues" dxfId="465" priority="37"/>
  </conditionalFormatting>
  <conditionalFormatting sqref="B300:B310">
    <cfRule type="expression" dxfId="464" priority="38">
      <formula>A300=3</formula>
    </cfRule>
    <cfRule type="expression" dxfId="463" priority="39">
      <formula>A300=2</formula>
    </cfRule>
    <cfRule type="expression" dxfId="462" priority="40">
      <formula>A300=1</formula>
    </cfRule>
    <cfRule type="containsBlanks" dxfId="461" priority="41">
      <formula>LEN(TRIM(B300))=0</formula>
    </cfRule>
    <cfRule type="duplicateValues" dxfId="460" priority="4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2"/>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0.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6.5703125" style="581" hidden="1" customWidth="1"/>
    <col min="34" max="34" width="9.140625" style="581" hidden="1" customWidth="1"/>
    <col min="35" max="35" width="15.28515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UPPER((Kalend!E22)&amp;" - "&amp;(Kalend!C22)&amp;" - "&amp;(Kalend!D22))</f>
        <v>V5 - VOKA IX KV 5.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"&amp;(Kalend!A22)&amp;" kell "&amp;(Kalend!B22)</f>
        <v>Toimumisaeg: T, 12.07.2022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"&amp;(Kalend!F22)</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"&amp;(Kalend!G22)</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529</v>
      </c>
      <c r="C8" s="613">
        <v>13</v>
      </c>
      <c r="D8" s="614" t="s">
        <v>288</v>
      </c>
      <c r="E8" s="614">
        <v>5</v>
      </c>
      <c r="F8" s="636" t="s">
        <v>482</v>
      </c>
      <c r="G8" s="613">
        <v>13</v>
      </c>
      <c r="H8" s="614" t="s">
        <v>288</v>
      </c>
      <c r="I8" s="614">
        <v>9</v>
      </c>
      <c r="J8" s="636" t="s">
        <v>294</v>
      </c>
      <c r="K8" s="613">
        <v>13</v>
      </c>
      <c r="L8" s="614" t="s">
        <v>288</v>
      </c>
      <c r="M8" s="614">
        <v>6</v>
      </c>
      <c r="N8" s="636" t="s">
        <v>477</v>
      </c>
      <c r="O8" s="613">
        <v>13</v>
      </c>
      <c r="P8" s="614" t="s">
        <v>288</v>
      </c>
      <c r="Q8" s="614">
        <v>6</v>
      </c>
      <c r="R8" s="636" t="s">
        <v>567</v>
      </c>
      <c r="S8" s="613"/>
      <c r="T8" s="614" t="s">
        <v>288</v>
      </c>
      <c r="U8" s="614"/>
      <c r="V8" s="636"/>
      <c r="W8" s="637">
        <f>IF(C8&gt;E8,J$3,IF(C8&lt;E8,J$5,IF(ISNUMBER(C8),J$4,0)))+IF(G8&gt;I8,J$3,IF(G8&lt;I8,J$5,IF(ISNUMBER(G8),J$4,0)))+IF(K8&gt;M8,J$3,IF(K8&lt;M8,J$5,IF(ISNUMBER(K8),J$4,0)))+IF(O8&gt;Q8,J$3,IF(O8&lt;Q8,J$5,IF(ISNUMBER(O8),J$4,0)))+IF(S8&gt;U8,J$3,IF(S8&lt;U8,J$5,IF(ISNUMBER(S8),J$4,0)))</f>
        <v>4</v>
      </c>
      <c r="X8" s="612">
        <v>18</v>
      </c>
      <c r="Y8" s="730">
        <v>70</v>
      </c>
      <c r="Z8" s="613">
        <f t="shared" ref="Z8:Z17" si="0">C8+G8+K8+O8+S8</f>
        <v>52</v>
      </c>
      <c r="AA8" s="614" t="s">
        <v>288</v>
      </c>
      <c r="AB8" s="615">
        <f t="shared" ref="AB8:AB17" si="1">E8+I8+M8+Q8+U8</f>
        <v>26</v>
      </c>
      <c r="AC8" s="616">
        <f>Z8-AB8</f>
        <v>26</v>
      </c>
      <c r="AD8" s="617"/>
      <c r="AE8" s="731">
        <f t="shared" ref="AE8" si="2">SUM(AF8:AM8)</f>
        <v>204</v>
      </c>
      <c r="AF8" s="732">
        <f>IFERROR(INDEX(V!R$7:R$56,MATCH(AG8,V!L$7:L$56,0)),"")</f>
        <v>108</v>
      </c>
      <c r="AG8" s="733" t="str">
        <f t="shared" ref="AG8:AG17" si="3">IFERROR(LEFT(B8,(FIND(",",B8,1)-1)),"")</f>
        <v>Hillar Neiland</v>
      </c>
      <c r="AH8" s="732">
        <f>IFERROR(INDEX(V!R$7:R$56,MATCH(AI8,V!L$7:L$56,0)),"")</f>
        <v>96</v>
      </c>
      <c r="AI8" s="733" t="str">
        <f t="shared" ref="AI8:AI17" si="4">IFERROR(MID(B8,FIND(", ",B8)+2,256),"")</f>
        <v>Tõnis Neiland</v>
      </c>
      <c r="AJ8" s="732" t="str">
        <f>IFERROR(INDEX(V!R$7:R$56,MATCH(AK8,V!L$7:L$56,0)),"")</f>
        <v/>
      </c>
      <c r="AK8" s="733" t="str">
        <f t="shared" ref="AK8:AK17" si="5">IFERROR(MID(B8,FIND("^",SUBSTITUTE(B8,", ","^",1))+2,FIND("^",SUBSTITUTE(B8,", ","^",2))-FIND("^",SUBSTITUTE(B8,", ","^",1))-2),"")</f>
        <v/>
      </c>
      <c r="AL8" s="732" t="str">
        <f>IFERROR(INDEX(V!R$7:R$56,MATCH(AM8,V!L$7:L$56,0)),"")</f>
        <v/>
      </c>
      <c r="AM8" s="733" t="str">
        <f t="shared" ref="AM8:AM17" si="6">IFERROR(MID(B8,FIND(", ",B8,FIND(", ",B8,FIND(", ",B8))+1)+2,700),"")</f>
        <v/>
      </c>
      <c r="AN8" s="573"/>
    </row>
    <row r="9" spans="1:40" x14ac:dyDescent="0.2">
      <c r="A9" s="634">
        <v>2</v>
      </c>
      <c r="B9" s="635" t="s">
        <v>294</v>
      </c>
      <c r="C9" s="613">
        <v>13</v>
      </c>
      <c r="D9" s="614" t="s">
        <v>288</v>
      </c>
      <c r="E9" s="614">
        <v>6</v>
      </c>
      <c r="F9" s="636" t="s">
        <v>570</v>
      </c>
      <c r="G9" s="613">
        <v>9</v>
      </c>
      <c r="H9" s="614" t="s">
        <v>288</v>
      </c>
      <c r="I9" s="614">
        <v>13</v>
      </c>
      <c r="J9" s="636" t="s">
        <v>529</v>
      </c>
      <c r="K9" s="613">
        <v>13</v>
      </c>
      <c r="L9" s="614" t="s">
        <v>288</v>
      </c>
      <c r="M9" s="614">
        <v>11</v>
      </c>
      <c r="N9" s="636" t="s">
        <v>525</v>
      </c>
      <c r="O9" s="613">
        <v>13</v>
      </c>
      <c r="P9" s="614" t="s">
        <v>288</v>
      </c>
      <c r="Q9" s="614">
        <v>12</v>
      </c>
      <c r="R9" s="636" t="s">
        <v>477</v>
      </c>
      <c r="S9" s="613"/>
      <c r="T9" s="614" t="s">
        <v>288</v>
      </c>
      <c r="U9" s="614"/>
      <c r="V9" s="636"/>
      <c r="W9" s="637">
        <f t="shared" ref="W9:W17" si="7">IF(C9&gt;E9,J$3,IF(C9&lt;E9,J$5,IF(ISNUMBER(C9),J$4,0)))+IF(G9&gt;I9,J$3,IF(G9&lt;I9,J$5,IF(ISNUMBER(G9),J$4,0)))+IF(K9&gt;M9,J$3,IF(K9&lt;M9,J$5,IF(ISNUMBER(K9),J$4,0)))+IF(O9&gt;Q9,J$3,IF(O9&lt;Q9,J$5,IF(ISNUMBER(O9),J$4,0)))+IF(S9&gt;U9,J$3,IF(S9&lt;U9,J$5,IF(ISNUMBER(S9),J$4,0)))</f>
        <v>3</v>
      </c>
      <c r="X9" s="612">
        <v>18</v>
      </c>
      <c r="Y9" s="730">
        <v>72</v>
      </c>
      <c r="Z9" s="613">
        <f t="shared" si="0"/>
        <v>48</v>
      </c>
      <c r="AA9" s="614" t="s">
        <v>288</v>
      </c>
      <c r="AB9" s="615">
        <f t="shared" si="1"/>
        <v>42</v>
      </c>
      <c r="AC9" s="616">
        <f t="shared" ref="AC9:AC17" si="8">Z9-AB9</f>
        <v>6</v>
      </c>
      <c r="AD9" s="617"/>
      <c r="AE9" s="731">
        <f t="shared" ref="AE9:AE17" si="9">SUM(AF9:AM9)</f>
        <v>188</v>
      </c>
      <c r="AF9" s="732">
        <f>IFERROR(INDEX(V!R$7:R$56,MATCH(AG9,V!L$7:L$56,0)),"")</f>
        <v>90</v>
      </c>
      <c r="AG9" s="733" t="str">
        <f t="shared" si="3"/>
        <v>Henri Mitt</v>
      </c>
      <c r="AH9" s="732">
        <f>IFERROR(INDEX(V!R$7:R$56,MATCH(AI9,V!L$7:L$56,0)),"")</f>
        <v>98</v>
      </c>
      <c r="AI9" s="733" t="str">
        <f t="shared" si="4"/>
        <v>Urmas Randlaine</v>
      </c>
      <c r="AJ9" s="732" t="str">
        <f>IFERROR(INDEX(V!R$7:R$56,MATCH(AK9,V!L$7:L$56,0)),"")</f>
        <v/>
      </c>
      <c r="AK9" s="733" t="str">
        <f t="shared" si="5"/>
        <v/>
      </c>
      <c r="AL9" s="732" t="str">
        <f>IFERROR(INDEX(V!R$7:R$56,MATCH(AM9,V!L$7:L$56,0)),"")</f>
        <v/>
      </c>
      <c r="AM9" s="733" t="str">
        <f t="shared" si="6"/>
        <v/>
      </c>
      <c r="AN9" s="573"/>
    </row>
    <row r="10" spans="1:40" x14ac:dyDescent="0.2">
      <c r="A10" s="634">
        <v>3</v>
      </c>
      <c r="B10" s="635" t="s">
        <v>567</v>
      </c>
      <c r="C10" s="613">
        <v>13</v>
      </c>
      <c r="D10" s="614" t="s">
        <v>288</v>
      </c>
      <c r="E10" s="614">
        <v>11</v>
      </c>
      <c r="F10" s="636" t="s">
        <v>525</v>
      </c>
      <c r="G10" s="613">
        <v>12</v>
      </c>
      <c r="H10" s="614" t="s">
        <v>288</v>
      </c>
      <c r="I10" s="614">
        <v>11</v>
      </c>
      <c r="J10" s="636" t="s">
        <v>570</v>
      </c>
      <c r="K10" s="613">
        <v>13</v>
      </c>
      <c r="L10" s="614" t="s">
        <v>288</v>
      </c>
      <c r="M10" s="614">
        <v>10</v>
      </c>
      <c r="N10" s="636" t="s">
        <v>569</v>
      </c>
      <c r="O10" s="613">
        <v>6</v>
      </c>
      <c r="P10" s="614" t="s">
        <v>288</v>
      </c>
      <c r="Q10" s="614">
        <v>13</v>
      </c>
      <c r="R10" s="636" t="s">
        <v>529</v>
      </c>
      <c r="S10" s="613"/>
      <c r="T10" s="614" t="s">
        <v>288</v>
      </c>
      <c r="U10" s="614"/>
      <c r="V10" s="636"/>
      <c r="W10" s="637">
        <f t="shared" si="7"/>
        <v>3</v>
      </c>
      <c r="X10" s="612">
        <v>16</v>
      </c>
      <c r="Y10" s="730">
        <v>68</v>
      </c>
      <c r="Z10" s="613">
        <f t="shared" si="0"/>
        <v>44</v>
      </c>
      <c r="AA10" s="614" t="s">
        <v>288</v>
      </c>
      <c r="AB10" s="615">
        <f t="shared" si="1"/>
        <v>45</v>
      </c>
      <c r="AC10" s="616">
        <f t="shared" si="8"/>
        <v>-1</v>
      </c>
      <c r="AD10" s="617"/>
      <c r="AE10" s="731">
        <f t="shared" si="9"/>
        <v>208</v>
      </c>
      <c r="AF10" s="732">
        <f>IFERROR(INDEX(V!R$7:R$56,MATCH(AG10,V!L$7:L$56,0)),"")</f>
        <v>108</v>
      </c>
      <c r="AG10" s="733" t="str">
        <f t="shared" si="3"/>
        <v>Andres Veski</v>
      </c>
      <c r="AH10" s="732">
        <f>IFERROR(INDEX(V!R$7:R$56,MATCH(AI10,V!L$7:L$56,0)),"")</f>
        <v>100</v>
      </c>
      <c r="AI10" s="733" t="str">
        <f t="shared" si="4"/>
        <v>Svetlana Veski</v>
      </c>
      <c r="AJ10" s="732" t="str">
        <f>IFERROR(INDEX(V!R$7:R$56,MATCH(AK10,V!L$7:L$56,0)),"")</f>
        <v/>
      </c>
      <c r="AK10" s="733" t="str">
        <f t="shared" si="5"/>
        <v/>
      </c>
      <c r="AL10" s="732" t="str">
        <f>IFERROR(INDEX(V!R$7:R$56,MATCH(AM10,V!L$7:L$56,0)),"")</f>
        <v/>
      </c>
      <c r="AM10" s="733" t="str">
        <f t="shared" si="6"/>
        <v/>
      </c>
      <c r="AN10" s="573"/>
    </row>
    <row r="11" spans="1:40" x14ac:dyDescent="0.2">
      <c r="A11" s="634">
        <v>4</v>
      </c>
      <c r="B11" s="635" t="s">
        <v>477</v>
      </c>
      <c r="C11" s="613">
        <v>13</v>
      </c>
      <c r="D11" s="614" t="s">
        <v>288</v>
      </c>
      <c r="E11" s="614">
        <v>1</v>
      </c>
      <c r="F11" s="636" t="s">
        <v>366</v>
      </c>
      <c r="G11" s="613">
        <v>13</v>
      </c>
      <c r="H11" s="614" t="s">
        <v>288</v>
      </c>
      <c r="I11" s="614">
        <v>6</v>
      </c>
      <c r="J11" s="636" t="s">
        <v>569</v>
      </c>
      <c r="K11" s="613">
        <v>6</v>
      </c>
      <c r="L11" s="614" t="s">
        <v>288</v>
      </c>
      <c r="M11" s="614">
        <v>13</v>
      </c>
      <c r="N11" s="636" t="s">
        <v>529</v>
      </c>
      <c r="O11" s="613">
        <v>12</v>
      </c>
      <c r="P11" s="614" t="s">
        <v>288</v>
      </c>
      <c r="Q11" s="614">
        <v>13</v>
      </c>
      <c r="R11" s="636" t="s">
        <v>294</v>
      </c>
      <c r="S11" s="613"/>
      <c r="T11" s="614" t="s">
        <v>288</v>
      </c>
      <c r="U11" s="614"/>
      <c r="V11" s="636"/>
      <c r="W11" s="637">
        <f t="shared" si="7"/>
        <v>2</v>
      </c>
      <c r="X11" s="612">
        <v>20</v>
      </c>
      <c r="Y11" s="730">
        <v>62</v>
      </c>
      <c r="Z11" s="613">
        <f t="shared" si="0"/>
        <v>44</v>
      </c>
      <c r="AA11" s="614" t="s">
        <v>288</v>
      </c>
      <c r="AB11" s="615">
        <f t="shared" si="1"/>
        <v>33</v>
      </c>
      <c r="AC11" s="616">
        <f t="shared" si="8"/>
        <v>11</v>
      </c>
      <c r="AD11" s="617"/>
      <c r="AE11" s="731">
        <f t="shared" si="9"/>
        <v>280</v>
      </c>
      <c r="AF11" s="732">
        <f>IFERROR(INDEX(V!R$7:R$56,MATCH(AG11,V!L$7:L$56,0)),"")</f>
        <v>140</v>
      </c>
      <c r="AG11" s="733" t="str">
        <f t="shared" si="3"/>
        <v>Kenneth Muusikus</v>
      </c>
      <c r="AH11" s="732">
        <f>IFERROR(INDEX(V!R$7:R$56,MATCH(AI11,V!L$7:L$56,0)),"")</f>
        <v>140</v>
      </c>
      <c r="AI11" s="733" t="str">
        <f t="shared" si="4"/>
        <v>Sander Rose</v>
      </c>
      <c r="AJ11" s="732" t="str">
        <f>IFERROR(INDEX(V!R$7:R$56,MATCH(AK11,V!L$7:L$56,0)),"")</f>
        <v/>
      </c>
      <c r="AK11" s="733" t="str">
        <f t="shared" si="5"/>
        <v/>
      </c>
      <c r="AL11" s="732" t="str">
        <f>IFERROR(INDEX(V!R$7:R$56,MATCH(AM11,V!L$7:L$56,0)),"")</f>
        <v/>
      </c>
      <c r="AM11" s="733" t="str">
        <f t="shared" si="6"/>
        <v/>
      </c>
      <c r="AN11" s="573"/>
    </row>
    <row r="12" spans="1:40" x14ac:dyDescent="0.2">
      <c r="A12" s="634">
        <v>5</v>
      </c>
      <c r="B12" s="635" t="s">
        <v>570</v>
      </c>
      <c r="C12" s="613">
        <v>6</v>
      </c>
      <c r="D12" s="614" t="s">
        <v>288</v>
      </c>
      <c r="E12" s="614">
        <v>13</v>
      </c>
      <c r="F12" s="636" t="s">
        <v>294</v>
      </c>
      <c r="G12" s="613">
        <v>11</v>
      </c>
      <c r="H12" s="614" t="s">
        <v>288</v>
      </c>
      <c r="I12" s="614">
        <v>12</v>
      </c>
      <c r="J12" s="636" t="s">
        <v>567</v>
      </c>
      <c r="K12" s="613">
        <v>13</v>
      </c>
      <c r="L12" s="614" t="s">
        <v>288</v>
      </c>
      <c r="M12" s="614">
        <v>11</v>
      </c>
      <c r="N12" s="636" t="s">
        <v>568</v>
      </c>
      <c r="O12" s="613">
        <v>13</v>
      </c>
      <c r="P12" s="614" t="s">
        <v>288</v>
      </c>
      <c r="Q12" s="614">
        <v>4</v>
      </c>
      <c r="R12" s="636" t="s">
        <v>569</v>
      </c>
      <c r="S12" s="613"/>
      <c r="T12" s="614" t="s">
        <v>288</v>
      </c>
      <c r="U12" s="614"/>
      <c r="V12" s="636"/>
      <c r="W12" s="637">
        <f t="shared" si="7"/>
        <v>2</v>
      </c>
      <c r="X12" s="612">
        <v>16</v>
      </c>
      <c r="Y12" s="730">
        <v>62</v>
      </c>
      <c r="Z12" s="613">
        <f t="shared" si="0"/>
        <v>43</v>
      </c>
      <c r="AA12" s="614" t="s">
        <v>288</v>
      </c>
      <c r="AB12" s="615">
        <f t="shared" si="1"/>
        <v>40</v>
      </c>
      <c r="AC12" s="616">
        <f t="shared" si="8"/>
        <v>3</v>
      </c>
      <c r="AD12" s="617"/>
      <c r="AE12" s="731">
        <f t="shared" si="9"/>
        <v>80</v>
      </c>
      <c r="AF12" s="732">
        <f>IFERROR(INDEX(V!R$7:R$56,MATCH(AG12,V!L$7:L$56,0)),"")</f>
        <v>30</v>
      </c>
      <c r="AG12" s="733" t="str">
        <f t="shared" si="3"/>
        <v>Johannes Neiland</v>
      </c>
      <c r="AH12" s="732">
        <f>IFERROR(INDEX(V!R$7:R$56,MATCH(AI12,V!L$7:L$56,0)),"")</f>
        <v>50</v>
      </c>
      <c r="AI12" s="733" t="str">
        <f t="shared" si="4"/>
        <v>Urmas Jõeäär</v>
      </c>
      <c r="AJ12" s="732" t="str">
        <f>IFERROR(INDEX(V!R$7:R$56,MATCH(AK12,V!L$7:L$56,0)),"")</f>
        <v/>
      </c>
      <c r="AK12" s="733" t="str">
        <f t="shared" si="5"/>
        <v/>
      </c>
      <c r="AL12" s="732" t="str">
        <f>IFERROR(INDEX(V!R$7:R$56,MATCH(AM12,V!L$7:L$56,0)),"")</f>
        <v/>
      </c>
      <c r="AM12" s="733" t="str">
        <f t="shared" si="6"/>
        <v/>
      </c>
      <c r="AN12" s="573"/>
    </row>
    <row r="13" spans="1:40" x14ac:dyDescent="0.2">
      <c r="A13" s="634">
        <v>6</v>
      </c>
      <c r="B13" s="635" t="s">
        <v>366</v>
      </c>
      <c r="C13" s="613">
        <v>1</v>
      </c>
      <c r="D13" s="614" t="s">
        <v>288</v>
      </c>
      <c r="E13" s="614">
        <v>13</v>
      </c>
      <c r="F13" s="636" t="s">
        <v>477</v>
      </c>
      <c r="G13" s="613">
        <v>9</v>
      </c>
      <c r="H13" s="614" t="s">
        <v>288</v>
      </c>
      <c r="I13" s="614">
        <v>13</v>
      </c>
      <c r="J13" s="636" t="s">
        <v>568</v>
      </c>
      <c r="K13" s="613">
        <v>13</v>
      </c>
      <c r="L13" s="614" t="s">
        <v>288</v>
      </c>
      <c r="M13" s="614">
        <v>10</v>
      </c>
      <c r="N13" s="636" t="s">
        <v>482</v>
      </c>
      <c r="O13" s="613">
        <v>13</v>
      </c>
      <c r="P13" s="614" t="s">
        <v>288</v>
      </c>
      <c r="Q13" s="614">
        <v>10</v>
      </c>
      <c r="R13" s="636" t="s">
        <v>525</v>
      </c>
      <c r="S13" s="613"/>
      <c r="T13" s="614" t="s">
        <v>288</v>
      </c>
      <c r="U13" s="614"/>
      <c r="V13" s="636"/>
      <c r="W13" s="637">
        <f t="shared" si="7"/>
        <v>2</v>
      </c>
      <c r="X13" s="612">
        <v>10</v>
      </c>
      <c r="Y13" s="730">
        <v>66</v>
      </c>
      <c r="Z13" s="613">
        <f t="shared" si="0"/>
        <v>36</v>
      </c>
      <c r="AA13" s="614" t="s">
        <v>288</v>
      </c>
      <c r="AB13" s="615">
        <f t="shared" si="1"/>
        <v>46</v>
      </c>
      <c r="AC13" s="616">
        <f t="shared" si="8"/>
        <v>-10</v>
      </c>
      <c r="AD13" s="617"/>
      <c r="AE13" s="731">
        <f t="shared" si="9"/>
        <v>104</v>
      </c>
      <c r="AF13" s="732">
        <f>IFERROR(INDEX(V!R$7:R$56,MATCH(AG13,V!L$7:L$56,0)),"")</f>
        <v>52</v>
      </c>
      <c r="AG13" s="733" t="str">
        <f t="shared" si="3"/>
        <v>Ljudmila Varendi</v>
      </c>
      <c r="AH13" s="732">
        <f>IFERROR(INDEX(V!R$7:R$56,MATCH(AI13,V!L$7:L$56,0)),"")</f>
        <v>52</v>
      </c>
      <c r="AI13" s="733" t="str">
        <f t="shared" si="4"/>
        <v>Viktor Švarõgin</v>
      </c>
      <c r="AJ13" s="732" t="str">
        <f>IFERROR(INDEX(V!R$7:R$56,MATCH(AK13,V!L$7:L$56,0)),"")</f>
        <v/>
      </c>
      <c r="AK13" s="733" t="str">
        <f t="shared" si="5"/>
        <v/>
      </c>
      <c r="AL13" s="732" t="str">
        <f>IFERROR(INDEX(V!R$7:R$56,MATCH(AM13,V!L$7:L$56,0)),"")</f>
        <v/>
      </c>
      <c r="AM13" s="733" t="str">
        <f t="shared" si="6"/>
        <v/>
      </c>
      <c r="AN13" s="573"/>
    </row>
    <row r="14" spans="1:40" x14ac:dyDescent="0.2">
      <c r="A14" s="634">
        <v>7</v>
      </c>
      <c r="B14" s="638" t="s">
        <v>525</v>
      </c>
      <c r="C14" s="613">
        <v>11</v>
      </c>
      <c r="D14" s="614" t="s">
        <v>288</v>
      </c>
      <c r="E14" s="614">
        <v>13</v>
      </c>
      <c r="F14" s="636" t="s">
        <v>567</v>
      </c>
      <c r="G14" s="613">
        <v>13</v>
      </c>
      <c r="H14" s="614" t="s">
        <v>288</v>
      </c>
      <c r="I14" s="614">
        <v>9</v>
      </c>
      <c r="J14" s="636" t="s">
        <v>482</v>
      </c>
      <c r="K14" s="613">
        <v>11</v>
      </c>
      <c r="L14" s="614" t="s">
        <v>288</v>
      </c>
      <c r="M14" s="614">
        <v>13</v>
      </c>
      <c r="N14" s="636" t="s">
        <v>294</v>
      </c>
      <c r="O14" s="613">
        <v>10</v>
      </c>
      <c r="P14" s="614" t="s">
        <v>288</v>
      </c>
      <c r="Q14" s="614">
        <v>13</v>
      </c>
      <c r="R14" s="636" t="s">
        <v>366</v>
      </c>
      <c r="S14" s="613"/>
      <c r="T14" s="614" t="s">
        <v>288</v>
      </c>
      <c r="U14" s="614"/>
      <c r="V14" s="636"/>
      <c r="W14" s="637">
        <f t="shared" si="7"/>
        <v>1</v>
      </c>
      <c r="X14" s="612">
        <v>18</v>
      </c>
      <c r="Y14" s="730">
        <v>60</v>
      </c>
      <c r="Z14" s="613">
        <f t="shared" si="0"/>
        <v>45</v>
      </c>
      <c r="AA14" s="614" t="s">
        <v>288</v>
      </c>
      <c r="AB14" s="615">
        <f t="shared" si="1"/>
        <v>48</v>
      </c>
      <c r="AC14" s="616">
        <f t="shared" si="8"/>
        <v>-3</v>
      </c>
      <c r="AD14" s="617"/>
      <c r="AE14" s="731">
        <f t="shared" si="9"/>
        <v>82</v>
      </c>
      <c r="AF14" s="732">
        <f>IFERROR(INDEX(V!R$7:R$56,MATCH(AG14,V!L$7:L$56,0)),"")</f>
        <v>34</v>
      </c>
      <c r="AG14" s="733" t="str">
        <f t="shared" si="3"/>
        <v>Kristel Tihhonjuk</v>
      </c>
      <c r="AH14" s="732">
        <f>IFERROR(INDEX(V!R$7:R$56,MATCH(AI14,V!L$7:L$56,0)),"")</f>
        <v>48</v>
      </c>
      <c r="AI14" s="733" t="str">
        <f t="shared" si="4"/>
        <v>Vadim Tihhonjuk</v>
      </c>
      <c r="AJ14" s="732" t="str">
        <f>IFERROR(INDEX(V!R$7:R$56,MATCH(AK14,V!L$7:L$56,0)),"")</f>
        <v/>
      </c>
      <c r="AK14" s="733" t="str">
        <f t="shared" si="5"/>
        <v/>
      </c>
      <c r="AL14" s="732" t="str">
        <f>IFERROR(INDEX(V!R$7:R$56,MATCH(AM14,V!L$7:L$56,0)),"")</f>
        <v/>
      </c>
      <c r="AM14" s="733" t="str">
        <f t="shared" si="6"/>
        <v/>
      </c>
      <c r="AN14" s="573"/>
    </row>
    <row r="15" spans="1:40" x14ac:dyDescent="0.2">
      <c r="A15" s="634">
        <v>8</v>
      </c>
      <c r="B15" s="638" t="s">
        <v>569</v>
      </c>
      <c r="C15" s="613">
        <v>13</v>
      </c>
      <c r="D15" s="614" t="s">
        <v>288</v>
      </c>
      <c r="E15" s="614">
        <v>3</v>
      </c>
      <c r="F15" s="636" t="s">
        <v>568</v>
      </c>
      <c r="G15" s="613">
        <v>6</v>
      </c>
      <c r="H15" s="614" t="s">
        <v>288</v>
      </c>
      <c r="I15" s="614">
        <v>13</v>
      </c>
      <c r="J15" s="636" t="s">
        <v>477</v>
      </c>
      <c r="K15" s="613">
        <v>10</v>
      </c>
      <c r="L15" s="614" t="s">
        <v>288</v>
      </c>
      <c r="M15" s="614">
        <v>13</v>
      </c>
      <c r="N15" s="636" t="s">
        <v>567</v>
      </c>
      <c r="O15" s="613">
        <v>4</v>
      </c>
      <c r="P15" s="614" t="s">
        <v>288</v>
      </c>
      <c r="Q15" s="614">
        <v>13</v>
      </c>
      <c r="R15" s="636" t="s">
        <v>570</v>
      </c>
      <c r="S15" s="613"/>
      <c r="T15" s="614" t="s">
        <v>288</v>
      </c>
      <c r="U15" s="614"/>
      <c r="V15" s="636"/>
      <c r="W15" s="637">
        <f t="shared" si="7"/>
        <v>1</v>
      </c>
      <c r="X15" s="612">
        <v>16</v>
      </c>
      <c r="Y15" s="730">
        <v>64</v>
      </c>
      <c r="Z15" s="613">
        <f t="shared" si="0"/>
        <v>33</v>
      </c>
      <c r="AA15" s="614" t="s">
        <v>288</v>
      </c>
      <c r="AB15" s="615">
        <f t="shared" si="1"/>
        <v>42</v>
      </c>
      <c r="AC15" s="616">
        <f t="shared" si="8"/>
        <v>-9</v>
      </c>
      <c r="AD15" s="617"/>
      <c r="AE15" s="731">
        <f t="shared" si="9"/>
        <v>96</v>
      </c>
      <c r="AF15" s="732">
        <f>IFERROR(INDEX(V!R$7:R$56,MATCH(AG15,V!L$7:L$56,0)),"")</f>
        <v>56</v>
      </c>
      <c r="AG15" s="733" t="str">
        <f t="shared" si="3"/>
        <v>Elmo Lageda</v>
      </c>
      <c r="AH15" s="732">
        <f>IFERROR(INDEX(V!R$7:R$56,MATCH(AI15,V!L$7:L$56,0)),"")</f>
        <v>40</v>
      </c>
      <c r="AI15" s="733" t="str">
        <f t="shared" si="4"/>
        <v>Enn Tokman</v>
      </c>
      <c r="AJ15" s="732" t="str">
        <f>IFERROR(INDEX(V!R$7:R$56,MATCH(AK15,V!L$7:L$56,0)),"")</f>
        <v/>
      </c>
      <c r="AK15" s="733" t="str">
        <f t="shared" si="5"/>
        <v/>
      </c>
      <c r="AL15" s="732" t="str">
        <f>IFERROR(INDEX(V!R$7:R$56,MATCH(AM15,V!L$7:L$56,0)),"")</f>
        <v/>
      </c>
      <c r="AM15" s="733" t="str">
        <f t="shared" si="6"/>
        <v/>
      </c>
      <c r="AN15" s="573"/>
    </row>
    <row r="16" spans="1:40" x14ac:dyDescent="0.2">
      <c r="A16" s="634">
        <v>9</v>
      </c>
      <c r="B16" s="635" t="s">
        <v>482</v>
      </c>
      <c r="C16" s="613">
        <v>5</v>
      </c>
      <c r="D16" s="614" t="s">
        <v>288</v>
      </c>
      <c r="E16" s="614">
        <v>13</v>
      </c>
      <c r="F16" s="636" t="s">
        <v>529</v>
      </c>
      <c r="G16" s="613">
        <v>9</v>
      </c>
      <c r="H16" s="614" t="s">
        <v>288</v>
      </c>
      <c r="I16" s="614">
        <v>13</v>
      </c>
      <c r="J16" s="636" t="s">
        <v>525</v>
      </c>
      <c r="K16" s="613">
        <v>10</v>
      </c>
      <c r="L16" s="614" t="s">
        <v>288</v>
      </c>
      <c r="M16" s="614">
        <v>13</v>
      </c>
      <c r="N16" s="636" t="s">
        <v>366</v>
      </c>
      <c r="O16" s="613">
        <v>13</v>
      </c>
      <c r="P16" s="614" t="s">
        <v>288</v>
      </c>
      <c r="Q16" s="614">
        <v>12</v>
      </c>
      <c r="R16" s="636" t="s">
        <v>568</v>
      </c>
      <c r="S16" s="613"/>
      <c r="T16" s="614" t="s">
        <v>288</v>
      </c>
      <c r="U16" s="614"/>
      <c r="V16" s="636"/>
      <c r="W16" s="637">
        <f t="shared" si="7"/>
        <v>1</v>
      </c>
      <c r="X16" s="612">
        <v>16</v>
      </c>
      <c r="Y16" s="730">
        <v>58</v>
      </c>
      <c r="Z16" s="613">
        <f t="shared" si="0"/>
        <v>37</v>
      </c>
      <c r="AA16" s="614" t="s">
        <v>288</v>
      </c>
      <c r="AB16" s="615">
        <f t="shared" si="1"/>
        <v>51</v>
      </c>
      <c r="AC16" s="616">
        <f t="shared" si="8"/>
        <v>-14</v>
      </c>
      <c r="AD16" s="617"/>
      <c r="AE16" s="731">
        <f t="shared" si="9"/>
        <v>104</v>
      </c>
      <c r="AF16" s="732">
        <f>IFERROR(INDEX(V!R$7:R$56,MATCH(AG16,V!L$7:L$56,0)),"")</f>
        <v>44</v>
      </c>
      <c r="AG16" s="733" t="str">
        <f t="shared" si="3"/>
        <v>Lemmit Toomra</v>
      </c>
      <c r="AH16" s="732">
        <f>IFERROR(INDEX(V!R$7:R$56,MATCH(AI16,V!L$7:L$56,0)),"")</f>
        <v>60</v>
      </c>
      <c r="AI16" s="733" t="str">
        <f t="shared" si="4"/>
        <v>Tõnu Kapper</v>
      </c>
      <c r="AJ16" s="732" t="str">
        <f>IFERROR(INDEX(V!R$7:R$56,MATCH(AK16,V!L$7:L$56,0)),"")</f>
        <v/>
      </c>
      <c r="AK16" s="733" t="str">
        <f t="shared" si="5"/>
        <v/>
      </c>
      <c r="AL16" s="732" t="str">
        <f>IFERROR(INDEX(V!R$7:R$56,MATCH(AM16,V!L$7:L$56,0)),"")</f>
        <v/>
      </c>
      <c r="AM16" s="733" t="str">
        <f t="shared" si="6"/>
        <v/>
      </c>
      <c r="AN16" s="573"/>
    </row>
    <row r="17" spans="1:40" x14ac:dyDescent="0.2">
      <c r="A17" s="634">
        <v>10</v>
      </c>
      <c r="B17" s="635" t="s">
        <v>568</v>
      </c>
      <c r="C17" s="613">
        <v>3</v>
      </c>
      <c r="D17" s="614" t="s">
        <v>288</v>
      </c>
      <c r="E17" s="614">
        <v>13</v>
      </c>
      <c r="F17" s="636" t="s">
        <v>569</v>
      </c>
      <c r="G17" s="613">
        <v>13</v>
      </c>
      <c r="H17" s="614" t="s">
        <v>288</v>
      </c>
      <c r="I17" s="614">
        <v>9</v>
      </c>
      <c r="J17" s="636" t="s">
        <v>366</v>
      </c>
      <c r="K17" s="613">
        <v>11</v>
      </c>
      <c r="L17" s="614" t="s">
        <v>288</v>
      </c>
      <c r="M17" s="614">
        <v>13</v>
      </c>
      <c r="N17" s="636" t="s">
        <v>570</v>
      </c>
      <c r="O17" s="613">
        <v>12</v>
      </c>
      <c r="P17" s="614" t="s">
        <v>288</v>
      </c>
      <c r="Q17" s="614">
        <v>13</v>
      </c>
      <c r="R17" s="636" t="s">
        <v>482</v>
      </c>
      <c r="S17" s="613"/>
      <c r="T17" s="614" t="s">
        <v>288</v>
      </c>
      <c r="U17" s="614"/>
      <c r="V17" s="636"/>
      <c r="W17" s="637">
        <f t="shared" si="7"/>
        <v>1</v>
      </c>
      <c r="X17" s="612">
        <v>12</v>
      </c>
      <c r="Y17" s="730">
        <v>58</v>
      </c>
      <c r="Z17" s="613">
        <f t="shared" si="0"/>
        <v>39</v>
      </c>
      <c r="AA17" s="614" t="s">
        <v>288</v>
      </c>
      <c r="AB17" s="615">
        <f t="shared" si="1"/>
        <v>48</v>
      </c>
      <c r="AC17" s="616">
        <f t="shared" si="8"/>
        <v>-9</v>
      </c>
      <c r="AD17" s="617"/>
      <c r="AE17" s="731">
        <f t="shared" si="9"/>
        <v>156</v>
      </c>
      <c r="AF17" s="732">
        <f>IFERROR(INDEX(V!R$7:R$56,MATCH(AG17,V!L$7:L$56,0)),"")</f>
        <v>80</v>
      </c>
      <c r="AG17" s="733" t="str">
        <f t="shared" si="3"/>
        <v>Meelis Luud</v>
      </c>
      <c r="AH17" s="732">
        <f>IFERROR(INDEX(V!R$7:R$56,MATCH(AI17,V!L$7:L$56,0)),"")</f>
        <v>76</v>
      </c>
      <c r="AI17" s="733" t="str">
        <f t="shared" si="4"/>
        <v>Sirje Maala</v>
      </c>
      <c r="AJ17" s="732" t="str">
        <f>IFERROR(INDEX(V!R$7:R$56,MATCH(AK17,V!L$7:L$56,0)),"")</f>
        <v/>
      </c>
      <c r="AK17" s="733" t="str">
        <f t="shared" si="5"/>
        <v/>
      </c>
      <c r="AL17" s="732" t="str">
        <f>IFERROR(INDEX(V!R$7:R$56,MATCH(AM17,V!L$7:L$56,0)),"")</f>
        <v/>
      </c>
      <c r="AM17" s="733" t="str">
        <f t="shared" si="6"/>
        <v/>
      </c>
      <c r="AN17" s="573"/>
    </row>
    <row r="19" spans="1:40"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9" si="10">IFERROR(INDEX(B$1:B$85,MATCH(A300,A$1:A$85,0)),"")</f>
        <v>Hillar Neiland, Tõnis Neiland</v>
      </c>
      <c r="C300" s="734">
        <f>LARGE(A$300:A$400,1)*2+2-A300*2</f>
        <v>20</v>
      </c>
    </row>
    <row r="301" spans="1:40" x14ac:dyDescent="0.2">
      <c r="A301" s="627">
        <v>2</v>
      </c>
      <c r="B301" s="628" t="str">
        <f t="shared" si="10"/>
        <v>Henri Mitt, Urmas Randlaine</v>
      </c>
      <c r="C301" s="734">
        <f t="shared" ref="C301:C309" si="11">LARGE(A$300:A$400,1)*2+2-A301*2</f>
        <v>18</v>
      </c>
    </row>
    <row r="302" spans="1:40" x14ac:dyDescent="0.2">
      <c r="A302" s="627">
        <v>3</v>
      </c>
      <c r="B302" s="628" t="str">
        <f t="shared" si="10"/>
        <v>Andres Veski, Svetlana Veski</v>
      </c>
      <c r="C302" s="734">
        <f t="shared" si="11"/>
        <v>16</v>
      </c>
    </row>
    <row r="303" spans="1:40" x14ac:dyDescent="0.2">
      <c r="A303" s="627">
        <v>4</v>
      </c>
      <c r="B303" s="628" t="str">
        <f t="shared" si="10"/>
        <v>Kenneth Muusikus, Sander Rose</v>
      </c>
      <c r="C303" s="734">
        <f t="shared" si="11"/>
        <v>14</v>
      </c>
    </row>
    <row r="304" spans="1:40" x14ac:dyDescent="0.2">
      <c r="A304" s="627">
        <v>5</v>
      </c>
      <c r="B304" s="628" t="str">
        <f t="shared" si="10"/>
        <v>Johannes Neiland, Urmas Jõeäär</v>
      </c>
      <c r="C304" s="734">
        <f t="shared" si="11"/>
        <v>12</v>
      </c>
    </row>
    <row r="305" spans="1:3" x14ac:dyDescent="0.2">
      <c r="A305" s="627">
        <v>6</v>
      </c>
      <c r="B305" s="628" t="str">
        <f t="shared" si="10"/>
        <v>Ljudmila Varendi, Viktor Švarõgin</v>
      </c>
      <c r="C305" s="734">
        <f t="shared" si="11"/>
        <v>10</v>
      </c>
    </row>
    <row r="306" spans="1:3" x14ac:dyDescent="0.2">
      <c r="A306" s="627">
        <v>7</v>
      </c>
      <c r="B306" s="628" t="str">
        <f t="shared" si="10"/>
        <v>Kristel Tihhonjuk, Vadim Tihhonjuk</v>
      </c>
      <c r="C306" s="734">
        <f t="shared" si="11"/>
        <v>8</v>
      </c>
    </row>
    <row r="307" spans="1:3" x14ac:dyDescent="0.2">
      <c r="A307" s="627">
        <v>8</v>
      </c>
      <c r="B307" s="628" t="str">
        <f t="shared" si="10"/>
        <v>Elmo Lageda, Enn Tokman</v>
      </c>
      <c r="C307" s="734">
        <f t="shared" si="11"/>
        <v>6</v>
      </c>
    </row>
    <row r="308" spans="1:3" x14ac:dyDescent="0.2">
      <c r="A308" s="627">
        <v>9</v>
      </c>
      <c r="B308" s="628" t="str">
        <f t="shared" si="10"/>
        <v>Lemmit Toomra, Tõnu Kapper</v>
      </c>
      <c r="C308" s="734">
        <f t="shared" si="11"/>
        <v>4</v>
      </c>
    </row>
    <row r="309" spans="1:3" x14ac:dyDescent="0.2">
      <c r="A309" s="627">
        <v>10</v>
      </c>
      <c r="B309" s="628" t="str">
        <f t="shared" si="10"/>
        <v>Meelis Luud, Sirje Maala</v>
      </c>
      <c r="C309" s="734">
        <f t="shared" si="11"/>
        <v>2</v>
      </c>
    </row>
    <row r="310" spans="1:3" x14ac:dyDescent="0.2">
      <c r="C310" s="734"/>
    </row>
    <row r="311" spans="1:3" x14ac:dyDescent="0.2">
      <c r="C311" s="734"/>
    </row>
    <row r="312" spans="1:3" x14ac:dyDescent="0.2">
      <c r="C312" s="734"/>
    </row>
  </sheetData>
  <conditionalFormatting sqref="C8:C17">
    <cfRule type="expression" dxfId="459" priority="18">
      <formula>IF($C8&gt;$E8,TRUE)</formula>
    </cfRule>
  </conditionalFormatting>
  <conditionalFormatting sqref="E8:E17">
    <cfRule type="expression" dxfId="458" priority="19">
      <formula>IF($C8&lt;$E8,TRUE)</formula>
    </cfRule>
  </conditionalFormatting>
  <conditionalFormatting sqref="K8:K17">
    <cfRule type="expression" dxfId="457" priority="26">
      <formula>IF($K8&gt;$M8,TRUE)</formula>
    </cfRule>
  </conditionalFormatting>
  <conditionalFormatting sqref="M8:M17">
    <cfRule type="expression" dxfId="456" priority="27">
      <formula>IF($K8&lt;$M8,TRUE)</formula>
    </cfRule>
  </conditionalFormatting>
  <conditionalFormatting sqref="O8:O17">
    <cfRule type="expression" dxfId="455" priority="30">
      <formula>IF($O8&gt;$Q8,TRUE)</formula>
    </cfRule>
  </conditionalFormatting>
  <conditionalFormatting sqref="Q8:Q17">
    <cfRule type="expression" dxfId="454" priority="31">
      <formula>IF($O8&lt;$Q8,TRUE)</formula>
    </cfRule>
  </conditionalFormatting>
  <conditionalFormatting sqref="S8:S17">
    <cfRule type="expression" dxfId="453" priority="34">
      <formula>IF($S8&gt;$U8,TRUE)</formula>
    </cfRule>
  </conditionalFormatting>
  <conditionalFormatting sqref="U8:U17">
    <cfRule type="expression" dxfId="452" priority="35">
      <formula>IF($S8&lt;$U8,TRUE)</formula>
    </cfRule>
  </conditionalFormatting>
  <conditionalFormatting sqref="G8:G17">
    <cfRule type="expression" dxfId="451" priority="22">
      <formula>IF($G8&gt;$I8,TRUE)</formula>
    </cfRule>
  </conditionalFormatting>
  <conditionalFormatting sqref="I8:I17">
    <cfRule type="expression" dxfId="450" priority="23">
      <formula>IF($G8&lt;$I8,TRUE)</formula>
    </cfRule>
  </conditionalFormatting>
  <conditionalFormatting sqref="F8:F17">
    <cfRule type="containsText" dxfId="449" priority="9" operator="containsText" text="vaba voor">
      <formula>NOT(ISERROR(SEARCH("vaba voor",F8)))</formula>
    </cfRule>
  </conditionalFormatting>
  <conditionalFormatting sqref="N8:N17">
    <cfRule type="containsText" dxfId="448" priority="7" operator="containsText" text="vaba voor">
      <formula>NOT(ISERROR(SEARCH("vaba voor",N8)))</formula>
    </cfRule>
  </conditionalFormatting>
  <conditionalFormatting sqref="R8:R17">
    <cfRule type="containsText" dxfId="447" priority="10" operator="containsText" text="vaba voor">
      <formula>NOT(ISERROR(SEARCH("vaba voor",R8)))</formula>
    </cfRule>
  </conditionalFormatting>
  <conditionalFormatting sqref="V8:V17">
    <cfRule type="containsText" dxfId="446" priority="6" operator="containsText" text="vaba voor">
      <formula>NOT(ISERROR(SEARCH("vaba voor",V8)))</formula>
    </cfRule>
  </conditionalFormatting>
  <conditionalFormatting sqref="J8:J17">
    <cfRule type="containsText" dxfId="445" priority="8" operator="containsText" text="vaba voor">
      <formula>NOT(ISERROR(SEARCH("vaba voor",J8)))</formula>
    </cfRule>
  </conditionalFormatting>
  <conditionalFormatting sqref="C8:F17">
    <cfRule type="expression" dxfId="444" priority="14">
      <formula>IF(AND(ISNUMBER($C8),$C8=$E8),TRUE)</formula>
    </cfRule>
    <cfRule type="expression" dxfId="443" priority="16">
      <formula>IF($C8&gt;$E8,TRUE)</formula>
    </cfRule>
    <cfRule type="expression" dxfId="442" priority="17">
      <formula>IF($C8&lt;$E8,TRUE)</formula>
    </cfRule>
  </conditionalFormatting>
  <conditionalFormatting sqref="G8:J17">
    <cfRule type="expression" dxfId="441" priority="15">
      <formula>IF(AND(ISNUMBER($G8),$G8=$I8),TRUE)</formula>
    </cfRule>
    <cfRule type="expression" dxfId="440" priority="20">
      <formula>IF($G8&gt;$I8,TRUE)</formula>
    </cfRule>
    <cfRule type="expression" dxfId="439" priority="21">
      <formula>IF($G8&lt;$I8,TRUE)</formula>
    </cfRule>
  </conditionalFormatting>
  <conditionalFormatting sqref="K8:N17">
    <cfRule type="expression" dxfId="438" priority="13">
      <formula>IF(AND(ISNUMBER($K8),$K8=$M8),TRUE)</formula>
    </cfRule>
    <cfRule type="expression" dxfId="437" priority="24">
      <formula>IF($K8&gt;$M8,TRUE)</formula>
    </cfRule>
    <cfRule type="expression" dxfId="436" priority="25">
      <formula>IF($K8&lt;$M8,TRUE)</formula>
    </cfRule>
  </conditionalFormatting>
  <conditionalFormatting sqref="O8:R17">
    <cfRule type="expression" dxfId="435" priority="12">
      <formula>IF(AND(ISNUMBER($O8),$O8=$Q8),TRUE)</formula>
    </cfRule>
    <cfRule type="expression" dxfId="434" priority="28">
      <formula>IF($O8&gt;$Q8,TRUE)</formula>
    </cfRule>
    <cfRule type="expression" dxfId="433" priority="29">
      <formula>IF($O8&lt;$Q8,TRUE)</formula>
    </cfRule>
  </conditionalFormatting>
  <conditionalFormatting sqref="S8:V17">
    <cfRule type="expression" dxfId="432" priority="11">
      <formula>IF(AND(ISNUMBER($S8),$S8=$U8),TRUE)</formula>
    </cfRule>
    <cfRule type="expression" dxfId="431" priority="32">
      <formula>IF($S8&gt;$U8,TRUE)</formula>
    </cfRule>
    <cfRule type="expression" dxfId="430" priority="33">
      <formula>IF($S8&lt;$U8,TRUE)</formula>
    </cfRule>
  </conditionalFormatting>
  <conditionalFormatting sqref="C8:C17 G8:G17 K8:K17 O8:O17 S8:S17">
    <cfRule type="expression" dxfId="429" priority="4">
      <formula>AND(C8=0,E8=13)</formula>
    </cfRule>
  </conditionalFormatting>
  <conditionalFormatting sqref="E8:E17 I8:I17 M8:M17 Q8:Q17 U8:U17">
    <cfRule type="expression" dxfId="428" priority="5">
      <formula>AND(E8=0,C8=13)</formula>
    </cfRule>
  </conditionalFormatting>
  <conditionalFormatting sqref="AG8:AG17 AK8:AK17 AM8:AM17">
    <cfRule type="expression" dxfId="427" priority="1">
      <formula>AND(AF8="",COUNTIF(AG8,"*,*")=0)</formula>
    </cfRule>
  </conditionalFormatting>
  <conditionalFormatting sqref="AI8:AI17">
    <cfRule type="expression" dxfId="426" priority="2">
      <formula>AND(AH8="",FIND(",",AI8))</formula>
    </cfRule>
    <cfRule type="expression" dxfId="425" priority="3">
      <formula>AND(AH8="",COUNTIF(AI8,"*,*")=0)</formula>
    </cfRule>
  </conditionalFormatting>
  <conditionalFormatting sqref="A8:A17">
    <cfRule type="duplicateValues" dxfId="424" priority="36"/>
  </conditionalFormatting>
  <conditionalFormatting sqref="A300:A309">
    <cfRule type="duplicateValues" dxfId="423" priority="37"/>
  </conditionalFormatting>
  <conditionalFormatting sqref="B300:B309">
    <cfRule type="expression" dxfId="422" priority="38">
      <formula>A300=3</formula>
    </cfRule>
    <cfRule type="expression" dxfId="421" priority="39">
      <formula>A300=2</formula>
    </cfRule>
    <cfRule type="expression" dxfId="420" priority="40">
      <formula>A300=1</formula>
    </cfRule>
    <cfRule type="containsBlanks" dxfId="419" priority="41">
      <formula>LEN(TRIM(B300))=0</formula>
    </cfRule>
    <cfRule type="duplicateValues" dxfId="418" priority="4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2"/>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15.28515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UPPER((Kalend!E25)&amp;" - "&amp;(Kalend!C25)&amp;" - "&amp;(Kalend!D25))</f>
        <v>V6 - VOKA IX KV 6.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"&amp;(Kalend!A25)&amp;" kell "&amp;(Kalend!B25)</f>
        <v>Toimumisaeg: T, 26.07.2022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"&amp;(Kalend!F25)</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"&amp;(Kalend!G25)</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630</v>
      </c>
      <c r="C8" s="613">
        <v>13</v>
      </c>
      <c r="D8" s="614" t="s">
        <v>288</v>
      </c>
      <c r="E8" s="614">
        <v>1</v>
      </c>
      <c r="F8" s="636" t="s">
        <v>482</v>
      </c>
      <c r="G8" s="613">
        <v>13</v>
      </c>
      <c r="H8" s="614" t="s">
        <v>288</v>
      </c>
      <c r="I8" s="614">
        <v>8</v>
      </c>
      <c r="J8" s="636" t="s">
        <v>292</v>
      </c>
      <c r="K8" s="613">
        <v>13</v>
      </c>
      <c r="L8" s="614" t="s">
        <v>288</v>
      </c>
      <c r="M8" s="614">
        <v>5</v>
      </c>
      <c r="N8" s="636" t="s">
        <v>477</v>
      </c>
      <c r="O8" s="613">
        <v>13</v>
      </c>
      <c r="P8" s="614" t="s">
        <v>288</v>
      </c>
      <c r="Q8" s="614">
        <v>2</v>
      </c>
      <c r="R8" s="636" t="s">
        <v>631</v>
      </c>
      <c r="S8" s="613"/>
      <c r="T8" s="614" t="s">
        <v>288</v>
      </c>
      <c r="U8" s="614"/>
      <c r="V8" s="636"/>
      <c r="W8" s="637">
        <f>IF(C8&gt;E8,J$3,IF(C8&lt;E8,J$5,IF(ISNUMBER(C8),J$4,0)))+IF(G8&gt;I8,J$3,IF(G8&lt;I8,J$5,IF(ISNUMBER(G8),J$4,0)))+IF(K8&gt;M8,J$3,IF(K8&lt;M8,J$5,IF(ISNUMBER(K8),J$4,0)))+IF(O8&gt;Q8,J$3,IF(O8&lt;Q8,J$5,IF(ISNUMBER(O8),J$4,0)))+IF(S8&gt;U8,J$3,IF(S8&lt;U8,J$5,IF(ISNUMBER(S8),J$4,0)))</f>
        <v>4</v>
      </c>
      <c r="X8" s="612">
        <v>14</v>
      </c>
      <c r="Y8" s="730">
        <v>80</v>
      </c>
      <c r="Z8" s="613">
        <f t="shared" ref="Z8:Z17" si="0">C8+G8+K8+O8+S8</f>
        <v>52</v>
      </c>
      <c r="AA8" s="614" t="s">
        <v>288</v>
      </c>
      <c r="AB8" s="615">
        <f t="shared" ref="AB8:AB17" si="1">E8+I8+M8+Q8+U8</f>
        <v>16</v>
      </c>
      <c r="AC8" s="616">
        <f>Z8-AB8</f>
        <v>36</v>
      </c>
      <c r="AD8" s="617"/>
      <c r="AE8" s="731">
        <f t="shared" ref="AE8" si="2">SUM(AF8:AM8)</f>
        <v>116</v>
      </c>
      <c r="AF8" s="732">
        <f>IFERROR(INDEX(V!R$7:R$56,MATCH(AG8,V!L$7:L$56,0)),"")</f>
        <v>20</v>
      </c>
      <c r="AG8" s="733" t="str">
        <f t="shared" ref="AG8:AG17" si="3">IFERROR(LEFT(B8,(FIND(",",B8,1)-1)),"")</f>
        <v>Tanel Vähk</v>
      </c>
      <c r="AH8" s="732">
        <f>IFERROR(INDEX(V!R$7:R$56,MATCH(AI8,V!L$7:L$56,0)),"")</f>
        <v>96</v>
      </c>
      <c r="AI8" s="733" t="str">
        <f t="shared" ref="AI8:AI17" si="4">IFERROR(MID(B8,FIND(", ",B8)+2,256),"")</f>
        <v>Tõnis Neiland</v>
      </c>
      <c r="AJ8" s="732" t="str">
        <f>IFERROR(INDEX(V!R$7:R$56,MATCH(AK8,V!L$7:L$56,0)),"")</f>
        <v/>
      </c>
      <c r="AK8" s="733" t="str">
        <f t="shared" ref="AK8:AK17" si="5">IFERROR(MID(B8,FIND("^",SUBSTITUTE(B8,", ","^",1))+2,FIND("^",SUBSTITUTE(B8,", ","^",2))-FIND("^",SUBSTITUTE(B8,", ","^",1))-2),"")</f>
        <v/>
      </c>
      <c r="AL8" s="732" t="str">
        <f>IFERROR(INDEX(V!R$7:R$56,MATCH(AM8,V!L$7:L$56,0)),"")</f>
        <v/>
      </c>
      <c r="AM8" s="733" t="str">
        <f t="shared" ref="AM8:AM17" si="6">IFERROR(MID(B8,FIND(", ",B8,FIND(", ",B8,FIND(", ",B8))+1)+2,700),"")</f>
        <v/>
      </c>
      <c r="AN8" s="573"/>
    </row>
    <row r="9" spans="1:40" x14ac:dyDescent="0.2">
      <c r="A9" s="634">
        <v>2</v>
      </c>
      <c r="B9" s="635" t="s">
        <v>631</v>
      </c>
      <c r="C9" s="613">
        <v>13</v>
      </c>
      <c r="D9" s="614" t="s">
        <v>288</v>
      </c>
      <c r="E9" s="614">
        <v>4</v>
      </c>
      <c r="F9" s="636" t="s">
        <v>567</v>
      </c>
      <c r="G9" s="613">
        <v>12</v>
      </c>
      <c r="H9" s="614" t="s">
        <v>288</v>
      </c>
      <c r="I9" s="614">
        <v>11</v>
      </c>
      <c r="J9" s="636" t="s">
        <v>525</v>
      </c>
      <c r="K9" s="613">
        <v>13</v>
      </c>
      <c r="L9" s="614" t="s">
        <v>288</v>
      </c>
      <c r="M9" s="614">
        <v>5</v>
      </c>
      <c r="N9" s="636" t="s">
        <v>292</v>
      </c>
      <c r="O9" s="613">
        <v>2</v>
      </c>
      <c r="P9" s="614" t="s">
        <v>288</v>
      </c>
      <c r="Q9" s="614">
        <v>13</v>
      </c>
      <c r="R9" s="636" t="s">
        <v>630</v>
      </c>
      <c r="S9" s="613"/>
      <c r="T9" s="614" t="s">
        <v>288</v>
      </c>
      <c r="U9" s="614"/>
      <c r="V9" s="636"/>
      <c r="W9" s="637">
        <f t="shared" ref="W9:W17" si="7">IF(C9&gt;E9,J$3,IF(C9&lt;E9,J$5,IF(ISNUMBER(C9),J$4,0)))+IF(G9&gt;I9,J$3,IF(G9&lt;I9,J$5,IF(ISNUMBER(G9),J$4,0)))+IF(K9&gt;M9,J$3,IF(K9&lt;M9,J$5,IF(ISNUMBER(K9),J$4,0)))+IF(O9&gt;Q9,J$3,IF(O9&lt;Q9,J$5,IF(ISNUMBER(O9),J$4,0)))+IF(S9&gt;U9,J$3,IF(S9&lt;U9,J$5,IF(ISNUMBER(S9),J$4,0)))</f>
        <v>3</v>
      </c>
      <c r="X9" s="612">
        <v>20</v>
      </c>
      <c r="Y9" s="730">
        <v>66</v>
      </c>
      <c r="Z9" s="613">
        <f t="shared" si="0"/>
        <v>40</v>
      </c>
      <c r="AA9" s="614" t="s">
        <v>288</v>
      </c>
      <c r="AB9" s="615">
        <f t="shared" si="1"/>
        <v>33</v>
      </c>
      <c r="AC9" s="616">
        <f t="shared" ref="AC9:AC17" si="8">Z9-AB9</f>
        <v>7</v>
      </c>
      <c r="AD9" s="617"/>
      <c r="AE9" s="731">
        <f t="shared" ref="AE9:AE17" si="9">SUM(AF9:AM9)</f>
        <v>106</v>
      </c>
      <c r="AF9" s="732">
        <f>IFERROR(INDEX(V!R$7:R$56,MATCH(AG9,V!L$7:L$56,0)),"")</f>
        <v>56</v>
      </c>
      <c r="AG9" s="733" t="str">
        <f t="shared" si="3"/>
        <v>Jaan Saar</v>
      </c>
      <c r="AH9" s="732">
        <f>IFERROR(INDEX(V!R$7:R$56,MATCH(AI9,V!L$7:L$56,0)),"")</f>
        <v>50</v>
      </c>
      <c r="AI9" s="733" t="str">
        <f t="shared" si="4"/>
        <v>Urmas Jõeäär</v>
      </c>
      <c r="AJ9" s="732" t="str">
        <f>IFERROR(INDEX(V!R$7:R$56,MATCH(AK9,V!L$7:L$56,0)),"")</f>
        <v/>
      </c>
      <c r="AK9" s="733" t="str">
        <f t="shared" si="5"/>
        <v/>
      </c>
      <c r="AL9" s="732" t="str">
        <f>IFERROR(INDEX(V!R$7:R$56,MATCH(AM9,V!L$7:L$56,0)),"")</f>
        <v/>
      </c>
      <c r="AM9" s="733" t="str">
        <f t="shared" si="6"/>
        <v/>
      </c>
      <c r="AN9" s="573"/>
    </row>
    <row r="10" spans="1:40" x14ac:dyDescent="0.2">
      <c r="A10" s="634">
        <v>3</v>
      </c>
      <c r="B10" s="635" t="s">
        <v>292</v>
      </c>
      <c r="C10" s="613">
        <v>13</v>
      </c>
      <c r="D10" s="614" t="s">
        <v>288</v>
      </c>
      <c r="E10" s="614">
        <v>2</v>
      </c>
      <c r="F10" s="636" t="s">
        <v>568</v>
      </c>
      <c r="G10" s="613">
        <v>8</v>
      </c>
      <c r="H10" s="614" t="s">
        <v>288</v>
      </c>
      <c r="I10" s="614">
        <v>13</v>
      </c>
      <c r="J10" s="636" t="s">
        <v>630</v>
      </c>
      <c r="K10" s="613">
        <v>5</v>
      </c>
      <c r="L10" s="614" t="s">
        <v>288</v>
      </c>
      <c r="M10" s="614">
        <v>13</v>
      </c>
      <c r="N10" s="636" t="s">
        <v>631</v>
      </c>
      <c r="O10" s="613">
        <v>13</v>
      </c>
      <c r="P10" s="614" t="s">
        <v>288</v>
      </c>
      <c r="Q10" s="614">
        <v>11</v>
      </c>
      <c r="R10" s="636" t="s">
        <v>477</v>
      </c>
      <c r="S10" s="613"/>
      <c r="T10" s="614" t="s">
        <v>288</v>
      </c>
      <c r="U10" s="614"/>
      <c r="V10" s="636"/>
      <c r="W10" s="637">
        <f t="shared" si="7"/>
        <v>2</v>
      </c>
      <c r="X10" s="612">
        <v>22</v>
      </c>
      <c r="Y10" s="730">
        <v>64</v>
      </c>
      <c r="Z10" s="613">
        <f t="shared" si="0"/>
        <v>39</v>
      </c>
      <c r="AA10" s="614" t="s">
        <v>288</v>
      </c>
      <c r="AB10" s="615">
        <f t="shared" si="1"/>
        <v>39</v>
      </c>
      <c r="AC10" s="616">
        <f t="shared" si="8"/>
        <v>0</v>
      </c>
      <c r="AD10" s="617"/>
      <c r="AE10" s="731">
        <f t="shared" si="9"/>
        <v>244</v>
      </c>
      <c r="AF10" s="732">
        <f>IFERROR(INDEX(V!R$7:R$56,MATCH(AG10,V!L$7:L$56,0)),"")</f>
        <v>122</v>
      </c>
      <c r="AG10" s="733" t="str">
        <f t="shared" si="3"/>
        <v>Oksana Rõndenkova</v>
      </c>
      <c r="AH10" s="732">
        <f>IFERROR(INDEX(V!R$7:R$56,MATCH(AI10,V!L$7:L$56,0)),"")</f>
        <v>122</v>
      </c>
      <c r="AI10" s="733" t="str">
        <f t="shared" si="4"/>
        <v>Oleg Rõndenkov</v>
      </c>
      <c r="AJ10" s="732" t="str">
        <f>IFERROR(INDEX(V!R$7:R$56,MATCH(AK10,V!L$7:L$56,0)),"")</f>
        <v/>
      </c>
      <c r="AK10" s="733" t="str">
        <f t="shared" si="5"/>
        <v/>
      </c>
      <c r="AL10" s="732" t="str">
        <f>IFERROR(INDEX(V!R$7:R$56,MATCH(AM10,V!L$7:L$56,0)),"")</f>
        <v/>
      </c>
      <c r="AM10" s="733" t="str">
        <f t="shared" si="6"/>
        <v/>
      </c>
      <c r="AN10" s="573"/>
    </row>
    <row r="11" spans="1:40" x14ac:dyDescent="0.2">
      <c r="A11" s="634">
        <v>4</v>
      </c>
      <c r="B11" s="635" t="s">
        <v>477</v>
      </c>
      <c r="C11" s="613">
        <v>13</v>
      </c>
      <c r="D11" s="614" t="s">
        <v>288</v>
      </c>
      <c r="E11" s="614">
        <v>2</v>
      </c>
      <c r="F11" s="636" t="s">
        <v>525</v>
      </c>
      <c r="G11" s="613">
        <v>13</v>
      </c>
      <c r="H11" s="614" t="s">
        <v>288</v>
      </c>
      <c r="I11" s="614">
        <v>8</v>
      </c>
      <c r="J11" s="636" t="s">
        <v>294</v>
      </c>
      <c r="K11" s="613">
        <v>5</v>
      </c>
      <c r="L11" s="614" t="s">
        <v>288</v>
      </c>
      <c r="M11" s="614">
        <v>13</v>
      </c>
      <c r="N11" s="636" t="s">
        <v>630</v>
      </c>
      <c r="O11" s="613">
        <v>11</v>
      </c>
      <c r="P11" s="614" t="s">
        <v>288</v>
      </c>
      <c r="Q11" s="614">
        <v>13</v>
      </c>
      <c r="R11" s="636" t="s">
        <v>292</v>
      </c>
      <c r="S11" s="613"/>
      <c r="T11" s="614" t="s">
        <v>288</v>
      </c>
      <c r="U11" s="614"/>
      <c r="V11" s="636"/>
      <c r="W11" s="637">
        <f t="shared" si="7"/>
        <v>2</v>
      </c>
      <c r="X11" s="612">
        <v>20</v>
      </c>
      <c r="Y11" s="730">
        <v>68</v>
      </c>
      <c r="Z11" s="613">
        <f t="shared" si="0"/>
        <v>42</v>
      </c>
      <c r="AA11" s="614" t="s">
        <v>288</v>
      </c>
      <c r="AB11" s="615">
        <f t="shared" si="1"/>
        <v>36</v>
      </c>
      <c r="AC11" s="616">
        <f t="shared" si="8"/>
        <v>6</v>
      </c>
      <c r="AD11" s="617"/>
      <c r="AE11" s="731">
        <f t="shared" si="9"/>
        <v>280</v>
      </c>
      <c r="AF11" s="732">
        <f>IFERROR(INDEX(V!R$7:R$56,MATCH(AG11,V!L$7:L$56,0)),"")</f>
        <v>140</v>
      </c>
      <c r="AG11" s="733" t="str">
        <f t="shared" si="3"/>
        <v>Kenneth Muusikus</v>
      </c>
      <c r="AH11" s="732">
        <f>IFERROR(INDEX(V!R$7:R$56,MATCH(AI11,V!L$7:L$56,0)),"")</f>
        <v>140</v>
      </c>
      <c r="AI11" s="733" t="str">
        <f t="shared" si="4"/>
        <v>Sander Rose</v>
      </c>
      <c r="AJ11" s="732" t="str">
        <f>IFERROR(INDEX(V!R$7:R$56,MATCH(AK11,V!L$7:L$56,0)),"")</f>
        <v/>
      </c>
      <c r="AK11" s="733" t="str">
        <f t="shared" si="5"/>
        <v/>
      </c>
      <c r="AL11" s="732" t="str">
        <f>IFERROR(INDEX(V!R$7:R$56,MATCH(AM11,V!L$7:L$56,0)),"")</f>
        <v/>
      </c>
      <c r="AM11" s="733" t="str">
        <f t="shared" si="6"/>
        <v/>
      </c>
      <c r="AN11" s="573"/>
    </row>
    <row r="12" spans="1:40" x14ac:dyDescent="0.2">
      <c r="A12" s="634">
        <v>5</v>
      </c>
      <c r="B12" s="635" t="s">
        <v>525</v>
      </c>
      <c r="C12" s="613">
        <v>2</v>
      </c>
      <c r="D12" s="614" t="s">
        <v>288</v>
      </c>
      <c r="E12" s="614">
        <v>13</v>
      </c>
      <c r="F12" s="636" t="s">
        <v>477</v>
      </c>
      <c r="G12" s="613">
        <v>11</v>
      </c>
      <c r="H12" s="614" t="s">
        <v>288</v>
      </c>
      <c r="I12" s="614">
        <v>12</v>
      </c>
      <c r="J12" s="636" t="s">
        <v>631</v>
      </c>
      <c r="K12" s="613">
        <v>13</v>
      </c>
      <c r="L12" s="614" t="s">
        <v>288</v>
      </c>
      <c r="M12" s="614">
        <v>9</v>
      </c>
      <c r="N12" s="636" t="s">
        <v>568</v>
      </c>
      <c r="O12" s="613">
        <v>13</v>
      </c>
      <c r="P12" s="614" t="s">
        <v>288</v>
      </c>
      <c r="Q12" s="614">
        <v>4</v>
      </c>
      <c r="R12" s="636" t="s">
        <v>294</v>
      </c>
      <c r="S12" s="613"/>
      <c r="T12" s="614" t="s">
        <v>288</v>
      </c>
      <c r="U12" s="614"/>
      <c r="V12" s="636"/>
      <c r="W12" s="637">
        <f t="shared" si="7"/>
        <v>2</v>
      </c>
      <c r="X12" s="612">
        <v>18</v>
      </c>
      <c r="Y12" s="730">
        <v>64</v>
      </c>
      <c r="Z12" s="613">
        <f t="shared" si="0"/>
        <v>39</v>
      </c>
      <c r="AA12" s="614" t="s">
        <v>288</v>
      </c>
      <c r="AB12" s="615">
        <f t="shared" si="1"/>
        <v>38</v>
      </c>
      <c r="AC12" s="616">
        <f t="shared" si="8"/>
        <v>1</v>
      </c>
      <c r="AD12" s="617"/>
      <c r="AE12" s="731">
        <f t="shared" si="9"/>
        <v>82</v>
      </c>
      <c r="AF12" s="732">
        <f>IFERROR(INDEX(V!R$7:R$56,MATCH(AG12,V!L$7:L$56,0)),"")</f>
        <v>34</v>
      </c>
      <c r="AG12" s="733" t="str">
        <f t="shared" si="3"/>
        <v>Kristel Tihhonjuk</v>
      </c>
      <c r="AH12" s="732">
        <f>IFERROR(INDEX(V!R$7:R$56,MATCH(AI12,V!L$7:L$56,0)),"")</f>
        <v>48</v>
      </c>
      <c r="AI12" s="733" t="str">
        <f t="shared" si="4"/>
        <v>Vadim Tihhonjuk</v>
      </c>
      <c r="AJ12" s="732" t="str">
        <f>IFERROR(INDEX(V!R$7:R$56,MATCH(AK12,V!L$7:L$56,0)),"")</f>
        <v/>
      </c>
      <c r="AK12" s="733" t="str">
        <f t="shared" si="5"/>
        <v/>
      </c>
      <c r="AL12" s="732" t="str">
        <f>IFERROR(INDEX(V!R$7:R$56,MATCH(AM12,V!L$7:L$56,0)),"")</f>
        <v/>
      </c>
      <c r="AM12" s="733" t="str">
        <f t="shared" si="6"/>
        <v/>
      </c>
      <c r="AN12" s="573"/>
    </row>
    <row r="13" spans="1:40" x14ac:dyDescent="0.2">
      <c r="A13" s="634">
        <v>6</v>
      </c>
      <c r="B13" s="635" t="s">
        <v>294</v>
      </c>
      <c r="C13" s="613">
        <v>13</v>
      </c>
      <c r="D13" s="614" t="s">
        <v>288</v>
      </c>
      <c r="E13" s="614">
        <v>1</v>
      </c>
      <c r="F13" s="636" t="s">
        <v>632</v>
      </c>
      <c r="G13" s="613">
        <v>8</v>
      </c>
      <c r="H13" s="614" t="s">
        <v>288</v>
      </c>
      <c r="I13" s="614">
        <v>13</v>
      </c>
      <c r="J13" s="636" t="s">
        <v>477</v>
      </c>
      <c r="K13" s="613">
        <v>13</v>
      </c>
      <c r="L13" s="614" t="s">
        <v>288</v>
      </c>
      <c r="M13" s="614">
        <v>5</v>
      </c>
      <c r="N13" s="636" t="s">
        <v>567</v>
      </c>
      <c r="O13" s="613">
        <v>4</v>
      </c>
      <c r="P13" s="614" t="s">
        <v>288</v>
      </c>
      <c r="Q13" s="614">
        <v>13</v>
      </c>
      <c r="R13" s="636" t="s">
        <v>525</v>
      </c>
      <c r="S13" s="613"/>
      <c r="T13" s="614" t="s">
        <v>288</v>
      </c>
      <c r="U13" s="614"/>
      <c r="V13" s="636"/>
      <c r="W13" s="637">
        <f t="shared" si="7"/>
        <v>2</v>
      </c>
      <c r="X13" s="612">
        <v>14</v>
      </c>
      <c r="Y13" s="730">
        <v>62</v>
      </c>
      <c r="Z13" s="613">
        <f t="shared" si="0"/>
        <v>38</v>
      </c>
      <c r="AA13" s="614" t="s">
        <v>288</v>
      </c>
      <c r="AB13" s="615">
        <f t="shared" si="1"/>
        <v>32</v>
      </c>
      <c r="AC13" s="616">
        <f t="shared" si="8"/>
        <v>6</v>
      </c>
      <c r="AD13" s="617"/>
      <c r="AE13" s="731">
        <f t="shared" si="9"/>
        <v>188</v>
      </c>
      <c r="AF13" s="732">
        <f>IFERROR(INDEX(V!R$7:R$56,MATCH(AG13,V!L$7:L$56,0)),"")</f>
        <v>90</v>
      </c>
      <c r="AG13" s="733" t="str">
        <f t="shared" si="3"/>
        <v>Henri Mitt</v>
      </c>
      <c r="AH13" s="732">
        <f>IFERROR(INDEX(V!R$7:R$56,MATCH(AI13,V!L$7:L$56,0)),"")</f>
        <v>98</v>
      </c>
      <c r="AI13" s="733" t="str">
        <f t="shared" si="4"/>
        <v>Urmas Randlaine</v>
      </c>
      <c r="AJ13" s="732" t="str">
        <f>IFERROR(INDEX(V!R$7:R$56,MATCH(AK13,V!L$7:L$56,0)),"")</f>
        <v/>
      </c>
      <c r="AK13" s="733" t="str">
        <f t="shared" si="5"/>
        <v/>
      </c>
      <c r="AL13" s="732" t="str">
        <f>IFERROR(INDEX(V!R$7:R$56,MATCH(AM13,V!L$7:L$56,0)),"")</f>
        <v/>
      </c>
      <c r="AM13" s="733" t="str">
        <f t="shared" si="6"/>
        <v/>
      </c>
      <c r="AN13" s="573"/>
    </row>
    <row r="14" spans="1:40" x14ac:dyDescent="0.2">
      <c r="A14" s="634">
        <v>7</v>
      </c>
      <c r="B14" s="638" t="s">
        <v>567</v>
      </c>
      <c r="C14" s="613">
        <v>4</v>
      </c>
      <c r="D14" s="614" t="s">
        <v>288</v>
      </c>
      <c r="E14" s="614">
        <v>13</v>
      </c>
      <c r="F14" s="636" t="s">
        <v>631</v>
      </c>
      <c r="G14" s="613">
        <v>13</v>
      </c>
      <c r="H14" s="614" t="s">
        <v>288</v>
      </c>
      <c r="I14" s="614">
        <v>6</v>
      </c>
      <c r="J14" s="636" t="s">
        <v>632</v>
      </c>
      <c r="K14" s="613">
        <v>5</v>
      </c>
      <c r="L14" s="614" t="s">
        <v>288</v>
      </c>
      <c r="M14" s="614">
        <v>13</v>
      </c>
      <c r="N14" s="636" t="s">
        <v>294</v>
      </c>
      <c r="O14" s="613">
        <v>13</v>
      </c>
      <c r="P14" s="614" t="s">
        <v>288</v>
      </c>
      <c r="Q14" s="614">
        <v>4</v>
      </c>
      <c r="R14" s="636" t="s">
        <v>482</v>
      </c>
      <c r="S14" s="613"/>
      <c r="T14" s="614" t="s">
        <v>288</v>
      </c>
      <c r="U14" s="614"/>
      <c r="V14" s="636"/>
      <c r="W14" s="637">
        <f t="shared" si="7"/>
        <v>2</v>
      </c>
      <c r="X14" s="612">
        <v>12</v>
      </c>
      <c r="Y14" s="730">
        <v>64</v>
      </c>
      <c r="Z14" s="613">
        <f t="shared" si="0"/>
        <v>35</v>
      </c>
      <c r="AA14" s="614" t="s">
        <v>288</v>
      </c>
      <c r="AB14" s="615">
        <f t="shared" si="1"/>
        <v>36</v>
      </c>
      <c r="AC14" s="616">
        <f t="shared" si="8"/>
        <v>-1</v>
      </c>
      <c r="AD14" s="617"/>
      <c r="AE14" s="731">
        <f t="shared" si="9"/>
        <v>208</v>
      </c>
      <c r="AF14" s="732">
        <f>IFERROR(INDEX(V!R$7:R$56,MATCH(AG14,V!L$7:L$56,0)),"")</f>
        <v>108</v>
      </c>
      <c r="AG14" s="733" t="str">
        <f t="shared" si="3"/>
        <v>Andres Veski</v>
      </c>
      <c r="AH14" s="732">
        <f>IFERROR(INDEX(V!R$7:R$56,MATCH(AI14,V!L$7:L$56,0)),"")</f>
        <v>100</v>
      </c>
      <c r="AI14" s="733" t="str">
        <f t="shared" si="4"/>
        <v>Svetlana Veski</v>
      </c>
      <c r="AJ14" s="732" t="str">
        <f>IFERROR(INDEX(V!R$7:R$56,MATCH(AK14,V!L$7:L$56,0)),"")</f>
        <v/>
      </c>
      <c r="AK14" s="733" t="str">
        <f t="shared" si="5"/>
        <v/>
      </c>
      <c r="AL14" s="732" t="str">
        <f>IFERROR(INDEX(V!R$7:R$56,MATCH(AM14,V!L$7:L$56,0)),"")</f>
        <v/>
      </c>
      <c r="AM14" s="733" t="str">
        <f t="shared" si="6"/>
        <v/>
      </c>
      <c r="AN14" s="573"/>
    </row>
    <row r="15" spans="1:40" x14ac:dyDescent="0.2">
      <c r="A15" s="634">
        <v>8</v>
      </c>
      <c r="B15" s="638" t="s">
        <v>568</v>
      </c>
      <c r="C15" s="613">
        <v>2</v>
      </c>
      <c r="D15" s="614" t="s">
        <v>288</v>
      </c>
      <c r="E15" s="614">
        <v>13</v>
      </c>
      <c r="F15" s="636" t="s">
        <v>292</v>
      </c>
      <c r="G15" s="613">
        <v>13</v>
      </c>
      <c r="H15" s="614" t="s">
        <v>288</v>
      </c>
      <c r="I15" s="614">
        <v>8</v>
      </c>
      <c r="J15" s="636" t="s">
        <v>482</v>
      </c>
      <c r="K15" s="613">
        <v>9</v>
      </c>
      <c r="L15" s="614" t="s">
        <v>288</v>
      </c>
      <c r="M15" s="614">
        <v>13</v>
      </c>
      <c r="N15" s="636" t="s">
        <v>525</v>
      </c>
      <c r="O15" s="613">
        <v>13</v>
      </c>
      <c r="P15" s="614" t="s">
        <v>288</v>
      </c>
      <c r="Q15" s="614">
        <v>7</v>
      </c>
      <c r="R15" s="636" t="s">
        <v>632</v>
      </c>
      <c r="S15" s="613"/>
      <c r="T15" s="614" t="s">
        <v>288</v>
      </c>
      <c r="U15" s="614"/>
      <c r="V15" s="636"/>
      <c r="W15" s="637">
        <f t="shared" si="7"/>
        <v>2</v>
      </c>
      <c r="X15" s="612">
        <v>10</v>
      </c>
      <c r="Y15" s="730">
        <v>70</v>
      </c>
      <c r="Z15" s="613">
        <f t="shared" si="0"/>
        <v>37</v>
      </c>
      <c r="AA15" s="614" t="s">
        <v>288</v>
      </c>
      <c r="AB15" s="615">
        <f t="shared" si="1"/>
        <v>41</v>
      </c>
      <c r="AC15" s="616">
        <f t="shared" si="8"/>
        <v>-4</v>
      </c>
      <c r="AD15" s="617"/>
      <c r="AE15" s="731">
        <f t="shared" si="9"/>
        <v>156</v>
      </c>
      <c r="AF15" s="732">
        <f>IFERROR(INDEX(V!R$7:R$56,MATCH(AG15,V!L$7:L$56,0)),"")</f>
        <v>80</v>
      </c>
      <c r="AG15" s="733" t="str">
        <f t="shared" si="3"/>
        <v>Meelis Luud</v>
      </c>
      <c r="AH15" s="732">
        <f>IFERROR(INDEX(V!R$7:R$56,MATCH(AI15,V!L$7:L$56,0)),"")</f>
        <v>76</v>
      </c>
      <c r="AI15" s="733" t="str">
        <f t="shared" si="4"/>
        <v>Sirje Maala</v>
      </c>
      <c r="AJ15" s="732" t="str">
        <f>IFERROR(INDEX(V!R$7:R$56,MATCH(AK15,V!L$7:L$56,0)),"")</f>
        <v/>
      </c>
      <c r="AK15" s="733" t="str">
        <f t="shared" si="5"/>
        <v/>
      </c>
      <c r="AL15" s="732" t="str">
        <f>IFERROR(INDEX(V!R$7:R$56,MATCH(AM15,V!L$7:L$56,0)),"")</f>
        <v/>
      </c>
      <c r="AM15" s="733" t="str">
        <f t="shared" si="6"/>
        <v/>
      </c>
      <c r="AN15" s="573"/>
    </row>
    <row r="16" spans="1:40" x14ac:dyDescent="0.2">
      <c r="A16" s="634">
        <v>9</v>
      </c>
      <c r="B16" s="635" t="s">
        <v>632</v>
      </c>
      <c r="C16" s="613">
        <v>1</v>
      </c>
      <c r="D16" s="614" t="s">
        <v>288</v>
      </c>
      <c r="E16" s="614">
        <v>13</v>
      </c>
      <c r="F16" s="636" t="s">
        <v>294</v>
      </c>
      <c r="G16" s="613">
        <v>6</v>
      </c>
      <c r="H16" s="614" t="s">
        <v>288</v>
      </c>
      <c r="I16" s="614">
        <v>13</v>
      </c>
      <c r="J16" s="636" t="s">
        <v>567</v>
      </c>
      <c r="K16" s="613">
        <v>13</v>
      </c>
      <c r="L16" s="614" t="s">
        <v>288</v>
      </c>
      <c r="M16" s="614">
        <v>4</v>
      </c>
      <c r="N16" s="636" t="s">
        <v>482</v>
      </c>
      <c r="O16" s="613">
        <v>7</v>
      </c>
      <c r="P16" s="614" t="s">
        <v>288</v>
      </c>
      <c r="Q16" s="614">
        <v>13</v>
      </c>
      <c r="R16" s="636" t="s">
        <v>568</v>
      </c>
      <c r="S16" s="613"/>
      <c r="T16" s="614" t="s">
        <v>288</v>
      </c>
      <c r="U16" s="614"/>
      <c r="V16" s="636"/>
      <c r="W16" s="637">
        <f t="shared" si="7"/>
        <v>1</v>
      </c>
      <c r="X16" s="612">
        <v>12</v>
      </c>
      <c r="Y16" s="730">
        <v>54</v>
      </c>
      <c r="Z16" s="613">
        <f t="shared" si="0"/>
        <v>27</v>
      </c>
      <c r="AA16" s="614" t="s">
        <v>288</v>
      </c>
      <c r="AB16" s="615">
        <f t="shared" si="1"/>
        <v>43</v>
      </c>
      <c r="AC16" s="616">
        <f t="shared" si="8"/>
        <v>-16</v>
      </c>
      <c r="AD16" s="617"/>
      <c r="AE16" s="731">
        <f t="shared" si="9"/>
        <v>8</v>
      </c>
      <c r="AF16" s="732">
        <f>IFERROR(INDEX(V!R$7:R$56,MATCH(AG16,V!L$7:L$56,0)),"")</f>
        <v>4</v>
      </c>
      <c r="AG16" s="733" t="str">
        <f t="shared" si="3"/>
        <v>Joana Taalberg</v>
      </c>
      <c r="AH16" s="732">
        <f>IFERROR(INDEX(V!R$7:R$56,MATCH(AI16,V!L$7:L$56,0)),"")</f>
        <v>4</v>
      </c>
      <c r="AI16" s="733" t="str">
        <f t="shared" si="4"/>
        <v>Lennart Maala</v>
      </c>
      <c r="AJ16" s="732" t="str">
        <f>IFERROR(INDEX(V!R$7:R$56,MATCH(AK16,V!L$7:L$56,0)),"")</f>
        <v/>
      </c>
      <c r="AK16" s="733" t="str">
        <f t="shared" si="5"/>
        <v/>
      </c>
      <c r="AL16" s="732" t="str">
        <f>IFERROR(INDEX(V!R$7:R$56,MATCH(AM16,V!L$7:L$56,0)),"")</f>
        <v/>
      </c>
      <c r="AM16" s="733" t="str">
        <f t="shared" si="6"/>
        <v/>
      </c>
      <c r="AN16" s="573"/>
    </row>
    <row r="17" spans="1:40" x14ac:dyDescent="0.2">
      <c r="A17" s="634">
        <v>10</v>
      </c>
      <c r="B17" s="635" t="s">
        <v>482</v>
      </c>
      <c r="C17" s="613">
        <v>1</v>
      </c>
      <c r="D17" s="614" t="s">
        <v>288</v>
      </c>
      <c r="E17" s="614">
        <v>13</v>
      </c>
      <c r="F17" s="636" t="s">
        <v>630</v>
      </c>
      <c r="G17" s="613">
        <v>8</v>
      </c>
      <c r="H17" s="614" t="s">
        <v>288</v>
      </c>
      <c r="I17" s="614">
        <v>13</v>
      </c>
      <c r="J17" s="636" t="s">
        <v>568</v>
      </c>
      <c r="K17" s="613">
        <v>4</v>
      </c>
      <c r="L17" s="614" t="s">
        <v>288</v>
      </c>
      <c r="M17" s="614">
        <v>13</v>
      </c>
      <c r="N17" s="636" t="s">
        <v>632</v>
      </c>
      <c r="O17" s="613">
        <v>4</v>
      </c>
      <c r="P17" s="614" t="s">
        <v>288</v>
      </c>
      <c r="Q17" s="614">
        <v>13</v>
      </c>
      <c r="R17" s="636" t="s">
        <v>567</v>
      </c>
      <c r="S17" s="613"/>
      <c r="T17" s="614" t="s">
        <v>288</v>
      </c>
      <c r="U17" s="614"/>
      <c r="V17" s="636"/>
      <c r="W17" s="637">
        <f t="shared" si="7"/>
        <v>0</v>
      </c>
      <c r="X17" s="612">
        <v>18</v>
      </c>
      <c r="Y17" s="730">
        <v>48</v>
      </c>
      <c r="Z17" s="613">
        <f t="shared" si="0"/>
        <v>17</v>
      </c>
      <c r="AA17" s="614" t="s">
        <v>288</v>
      </c>
      <c r="AB17" s="615">
        <f t="shared" si="1"/>
        <v>52</v>
      </c>
      <c r="AC17" s="616">
        <f t="shared" si="8"/>
        <v>-35</v>
      </c>
      <c r="AD17" s="617"/>
      <c r="AE17" s="731">
        <f t="shared" si="9"/>
        <v>104</v>
      </c>
      <c r="AF17" s="732">
        <f>IFERROR(INDEX(V!R$7:R$56,MATCH(AG17,V!L$7:L$56,0)),"")</f>
        <v>44</v>
      </c>
      <c r="AG17" s="733" t="str">
        <f t="shared" si="3"/>
        <v>Lemmit Toomra</v>
      </c>
      <c r="AH17" s="732">
        <f>IFERROR(INDEX(V!R$7:R$56,MATCH(AI17,V!L$7:L$56,0)),"")</f>
        <v>60</v>
      </c>
      <c r="AI17" s="733" t="str">
        <f t="shared" si="4"/>
        <v>Tõnu Kapper</v>
      </c>
      <c r="AJ17" s="732" t="str">
        <f>IFERROR(INDEX(V!R$7:R$56,MATCH(AK17,V!L$7:L$56,0)),"")</f>
        <v/>
      </c>
      <c r="AK17" s="733" t="str">
        <f t="shared" si="5"/>
        <v/>
      </c>
      <c r="AL17" s="732" t="str">
        <f>IFERROR(INDEX(V!R$7:R$56,MATCH(AM17,V!L$7:L$56,0)),"")</f>
        <v/>
      </c>
      <c r="AM17" s="733" t="str">
        <f t="shared" si="6"/>
        <v/>
      </c>
      <c r="AN17" s="573"/>
    </row>
    <row r="19" spans="1:40"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9" si="10">IFERROR(INDEX(B$1:B$85,MATCH(A300,A$1:A$85,0)),"")</f>
        <v>Tanel Vähk, Tõnis Neiland</v>
      </c>
      <c r="C300" s="734">
        <f>LARGE(A$300:A$400,1)*2+2-A300*2</f>
        <v>20</v>
      </c>
    </row>
    <row r="301" spans="1:40" x14ac:dyDescent="0.2">
      <c r="A301" s="627">
        <v>2</v>
      </c>
      <c r="B301" s="628" t="str">
        <f t="shared" si="10"/>
        <v>Jaan Saar, Urmas Jõeäär</v>
      </c>
      <c r="C301" s="734">
        <f t="shared" ref="C301:C309" si="11">LARGE(A$300:A$400,1)*2+2-A301*2</f>
        <v>18</v>
      </c>
    </row>
    <row r="302" spans="1:40" x14ac:dyDescent="0.2">
      <c r="A302" s="627">
        <v>3</v>
      </c>
      <c r="B302" s="628" t="str">
        <f t="shared" si="10"/>
        <v>Oksana Rõndenkova, Oleg Rõndenkov</v>
      </c>
      <c r="C302" s="734">
        <f t="shared" si="11"/>
        <v>16</v>
      </c>
    </row>
    <row r="303" spans="1:40" x14ac:dyDescent="0.2">
      <c r="A303" s="627">
        <v>4</v>
      </c>
      <c r="B303" s="628" t="str">
        <f t="shared" si="10"/>
        <v>Kenneth Muusikus, Sander Rose</v>
      </c>
      <c r="C303" s="734">
        <f t="shared" si="11"/>
        <v>14</v>
      </c>
    </row>
    <row r="304" spans="1:40" x14ac:dyDescent="0.2">
      <c r="A304" s="627">
        <v>5</v>
      </c>
      <c r="B304" s="628" t="str">
        <f t="shared" si="10"/>
        <v>Kristel Tihhonjuk, Vadim Tihhonjuk</v>
      </c>
      <c r="C304" s="734">
        <f t="shared" si="11"/>
        <v>12</v>
      </c>
    </row>
    <row r="305" spans="1:3" x14ac:dyDescent="0.2">
      <c r="A305" s="627">
        <v>6</v>
      </c>
      <c r="B305" s="628" t="str">
        <f t="shared" si="10"/>
        <v>Henri Mitt, Urmas Randlaine</v>
      </c>
      <c r="C305" s="734">
        <f t="shared" si="11"/>
        <v>10</v>
      </c>
    </row>
    <row r="306" spans="1:3" x14ac:dyDescent="0.2">
      <c r="A306" s="627">
        <v>7</v>
      </c>
      <c r="B306" s="628" t="str">
        <f t="shared" si="10"/>
        <v>Andres Veski, Svetlana Veski</v>
      </c>
      <c r="C306" s="734">
        <f t="shared" si="11"/>
        <v>8</v>
      </c>
    </row>
    <row r="307" spans="1:3" x14ac:dyDescent="0.2">
      <c r="A307" s="627">
        <v>8</v>
      </c>
      <c r="B307" s="628" t="str">
        <f t="shared" si="10"/>
        <v>Meelis Luud, Sirje Maala</v>
      </c>
      <c r="C307" s="734">
        <f t="shared" si="11"/>
        <v>6</v>
      </c>
    </row>
    <row r="308" spans="1:3" x14ac:dyDescent="0.2">
      <c r="A308" s="627">
        <v>9</v>
      </c>
      <c r="B308" s="628" t="str">
        <f t="shared" si="10"/>
        <v>Joana Taalberg, Lennart Maala</v>
      </c>
      <c r="C308" s="734">
        <f t="shared" si="11"/>
        <v>4</v>
      </c>
    </row>
    <row r="309" spans="1:3" x14ac:dyDescent="0.2">
      <c r="A309" s="627">
        <v>10</v>
      </c>
      <c r="B309" s="628" t="str">
        <f t="shared" si="10"/>
        <v>Lemmit Toomra, Tõnu Kapper</v>
      </c>
      <c r="C309" s="734">
        <f t="shared" si="11"/>
        <v>2</v>
      </c>
    </row>
    <row r="310" spans="1:3" x14ac:dyDescent="0.2">
      <c r="C310" s="734"/>
    </row>
    <row r="311" spans="1:3" x14ac:dyDescent="0.2">
      <c r="C311" s="734"/>
    </row>
    <row r="312" spans="1:3" x14ac:dyDescent="0.2">
      <c r="C312" s="734"/>
    </row>
  </sheetData>
  <conditionalFormatting sqref="C8:C17">
    <cfRule type="expression" dxfId="417" priority="18">
      <formula>IF($C8&gt;$E8,TRUE)</formula>
    </cfRule>
  </conditionalFormatting>
  <conditionalFormatting sqref="E8:E17">
    <cfRule type="expression" dxfId="416" priority="19">
      <formula>IF($C8&lt;$E8,TRUE)</formula>
    </cfRule>
  </conditionalFormatting>
  <conditionalFormatting sqref="K8:K17">
    <cfRule type="expression" dxfId="415" priority="26">
      <formula>IF($K8&gt;$M8,TRUE)</formula>
    </cfRule>
  </conditionalFormatting>
  <conditionalFormatting sqref="M8:M17">
    <cfRule type="expression" dxfId="414" priority="27">
      <formula>IF($K8&lt;$M8,TRUE)</formula>
    </cfRule>
  </conditionalFormatting>
  <conditionalFormatting sqref="O8:O17">
    <cfRule type="expression" dxfId="413" priority="30">
      <formula>IF($O8&gt;$Q8,TRUE)</formula>
    </cfRule>
  </conditionalFormatting>
  <conditionalFormatting sqref="Q8:Q17">
    <cfRule type="expression" dxfId="412" priority="31">
      <formula>IF($O8&lt;$Q8,TRUE)</formula>
    </cfRule>
  </conditionalFormatting>
  <conditionalFormatting sqref="S8:S17">
    <cfRule type="expression" dxfId="411" priority="34">
      <formula>IF($S8&gt;$U8,TRUE)</formula>
    </cfRule>
  </conditionalFormatting>
  <conditionalFormatting sqref="U8:U17">
    <cfRule type="expression" dxfId="410" priority="35">
      <formula>IF($S8&lt;$U8,TRUE)</formula>
    </cfRule>
  </conditionalFormatting>
  <conditionalFormatting sqref="G8:G17">
    <cfRule type="expression" dxfId="409" priority="22">
      <formula>IF($G8&gt;$I8,TRUE)</formula>
    </cfRule>
  </conditionalFormatting>
  <conditionalFormatting sqref="I8:I17">
    <cfRule type="expression" dxfId="408" priority="23">
      <formula>IF($G8&lt;$I8,TRUE)</formula>
    </cfRule>
  </conditionalFormatting>
  <conditionalFormatting sqref="F8:F17">
    <cfRule type="containsText" dxfId="407" priority="9" operator="containsText" text="vaba voor">
      <formula>NOT(ISERROR(SEARCH("vaba voor",F8)))</formula>
    </cfRule>
  </conditionalFormatting>
  <conditionalFormatting sqref="N8:N17">
    <cfRule type="containsText" dxfId="406" priority="7" operator="containsText" text="vaba voor">
      <formula>NOT(ISERROR(SEARCH("vaba voor",N8)))</formula>
    </cfRule>
  </conditionalFormatting>
  <conditionalFormatting sqref="R8:R17">
    <cfRule type="containsText" dxfId="405" priority="10" operator="containsText" text="vaba voor">
      <formula>NOT(ISERROR(SEARCH("vaba voor",R8)))</formula>
    </cfRule>
  </conditionalFormatting>
  <conditionalFormatting sqref="V8:V17">
    <cfRule type="containsText" dxfId="404" priority="6" operator="containsText" text="vaba voor">
      <formula>NOT(ISERROR(SEARCH("vaba voor",V8)))</formula>
    </cfRule>
  </conditionalFormatting>
  <conditionalFormatting sqref="J8:J17">
    <cfRule type="containsText" dxfId="403" priority="8" operator="containsText" text="vaba voor">
      <formula>NOT(ISERROR(SEARCH("vaba voor",J8)))</formula>
    </cfRule>
  </conditionalFormatting>
  <conditionalFormatting sqref="C8:F17">
    <cfRule type="expression" dxfId="402" priority="14">
      <formula>IF(AND(ISNUMBER($C8),$C8=$E8),TRUE)</formula>
    </cfRule>
    <cfRule type="expression" dxfId="401" priority="16">
      <formula>IF($C8&gt;$E8,TRUE)</formula>
    </cfRule>
    <cfRule type="expression" dxfId="400" priority="17">
      <formula>IF($C8&lt;$E8,TRUE)</formula>
    </cfRule>
  </conditionalFormatting>
  <conditionalFormatting sqref="G8:J17">
    <cfRule type="expression" dxfId="399" priority="15">
      <formula>IF(AND(ISNUMBER($G8),$G8=$I8),TRUE)</formula>
    </cfRule>
    <cfRule type="expression" dxfId="398" priority="20">
      <formula>IF($G8&gt;$I8,TRUE)</formula>
    </cfRule>
    <cfRule type="expression" dxfId="397" priority="21">
      <formula>IF($G8&lt;$I8,TRUE)</formula>
    </cfRule>
  </conditionalFormatting>
  <conditionalFormatting sqref="K8:N17">
    <cfRule type="expression" dxfId="396" priority="13">
      <formula>IF(AND(ISNUMBER($K8),$K8=$M8),TRUE)</formula>
    </cfRule>
    <cfRule type="expression" dxfId="395" priority="24">
      <formula>IF($K8&gt;$M8,TRUE)</formula>
    </cfRule>
    <cfRule type="expression" dxfId="394" priority="25">
      <formula>IF($K8&lt;$M8,TRUE)</formula>
    </cfRule>
  </conditionalFormatting>
  <conditionalFormatting sqref="O8:R17">
    <cfRule type="expression" dxfId="393" priority="12">
      <formula>IF(AND(ISNUMBER($O8),$O8=$Q8),TRUE)</formula>
    </cfRule>
    <cfRule type="expression" dxfId="392" priority="28">
      <formula>IF($O8&gt;$Q8,TRUE)</formula>
    </cfRule>
    <cfRule type="expression" dxfId="391" priority="29">
      <formula>IF($O8&lt;$Q8,TRUE)</formula>
    </cfRule>
  </conditionalFormatting>
  <conditionalFormatting sqref="S8:V17">
    <cfRule type="expression" dxfId="390" priority="11">
      <formula>IF(AND(ISNUMBER($S8),$S8=$U8),TRUE)</formula>
    </cfRule>
    <cfRule type="expression" dxfId="389" priority="32">
      <formula>IF($S8&gt;$U8,TRUE)</formula>
    </cfRule>
    <cfRule type="expression" dxfId="388" priority="33">
      <formula>IF($S8&lt;$U8,TRUE)</formula>
    </cfRule>
  </conditionalFormatting>
  <conditionalFormatting sqref="C8:C17 G8:G17 K8:K17 O8:O17 S8:S17">
    <cfRule type="expression" dxfId="387" priority="4">
      <formula>AND(C8=0,E8=13)</formula>
    </cfRule>
  </conditionalFormatting>
  <conditionalFormatting sqref="E8:E17 I8:I17 M8:M17 Q8:Q17 U8:U17">
    <cfRule type="expression" dxfId="386" priority="5">
      <formula>AND(E8=0,C8=13)</formula>
    </cfRule>
  </conditionalFormatting>
  <conditionalFormatting sqref="AG8:AG17 AK8:AK17 AM8:AM17">
    <cfRule type="expression" dxfId="385" priority="1">
      <formula>AND(AF8="",COUNTIF(AG8,"*,*")=0)</formula>
    </cfRule>
  </conditionalFormatting>
  <conditionalFormatting sqref="AI8:AI17">
    <cfRule type="expression" dxfId="384" priority="2">
      <formula>AND(AH8="",FIND(",",AI8))</formula>
    </cfRule>
    <cfRule type="expression" dxfId="383" priority="3">
      <formula>AND(AH8="",COUNTIF(AI8,"*,*")=0)</formula>
    </cfRule>
  </conditionalFormatting>
  <conditionalFormatting sqref="A8:A17">
    <cfRule type="duplicateValues" dxfId="382" priority="36"/>
  </conditionalFormatting>
  <conditionalFormatting sqref="A300:A309">
    <cfRule type="duplicateValues" dxfId="381" priority="37"/>
  </conditionalFormatting>
  <conditionalFormatting sqref="B300:B309">
    <cfRule type="expression" dxfId="380" priority="38">
      <formula>A300=3</formula>
    </cfRule>
    <cfRule type="expression" dxfId="379" priority="39">
      <formula>A300=2</formula>
    </cfRule>
    <cfRule type="expression" dxfId="378" priority="40">
      <formula>A300=1</formula>
    </cfRule>
    <cfRule type="containsBlanks" dxfId="377" priority="41">
      <formula>LEN(TRIM(B300))=0</formula>
    </cfRule>
    <cfRule type="duplicateValues" dxfId="376" priority="4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9.5703125" style="739"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customWidth="1"/>
    <col min="26" max="26" width="2.7109375" style="581" customWidth="1"/>
    <col min="27" max="27" width="1.140625" style="581" customWidth="1"/>
    <col min="28" max="28" width="2.7109375" style="581" customWidth="1"/>
    <col min="29" max="29" width="4.7109375" style="581" customWidth="1"/>
    <col min="30" max="31" width="9.140625" style="581" hidden="1" customWidth="1"/>
    <col min="32" max="32" width="12.7109375" style="581" hidden="1" customWidth="1"/>
    <col min="33" max="33" width="17" style="581" hidden="1" customWidth="1"/>
    <col min="34" max="34" width="13.85546875" style="581" hidden="1" customWidth="1"/>
    <col min="35" max="35" width="33.28515625" style="581" hidden="1" customWidth="1"/>
    <col min="36" max="36" width="17.28515625" style="581" hidden="1" customWidth="1"/>
    <col min="37" max="37" width="18.28515625" style="581" hidden="1" customWidth="1"/>
    <col min="38" max="38" width="13.85546875" style="581" hidden="1" customWidth="1"/>
    <col min="39" max="39" width="14.5703125" style="581" hidden="1" customWidth="1"/>
    <col min="40" max="16384" width="9.140625" style="581"/>
  </cols>
  <sheetData>
    <row r="1" spans="1:40" x14ac:dyDescent="0.2">
      <c r="A1" s="572" t="str">
        <f>UPPER((Kalend!E27)&amp;" - "&amp;(Kalend!C27)&amp;" - "&amp;(Kalend!D27))</f>
        <v>V7 - VOKA IX KV 7. ETAPP - DUO</v>
      </c>
      <c r="B1" s="735"/>
      <c r="C1" s="574"/>
      <c r="D1" s="573"/>
      <c r="E1" s="573"/>
      <c r="F1" s="575"/>
      <c r="G1" s="575"/>
      <c r="H1" s="575"/>
      <c r="I1" s="575"/>
      <c r="J1" s="576"/>
      <c r="K1" s="577"/>
      <c r="L1" s="578"/>
      <c r="M1" s="579"/>
      <c r="N1" s="579"/>
      <c r="O1" s="573"/>
      <c r="P1" s="573"/>
      <c r="Q1" s="577"/>
      <c r="R1" s="577"/>
      <c r="S1" s="577"/>
      <c r="T1" s="578"/>
      <c r="U1" s="578"/>
      <c r="V1" s="578"/>
      <c r="W1" s="573"/>
      <c r="X1" s="574"/>
      <c r="Y1" s="573"/>
      <c r="Z1" s="573"/>
      <c r="AA1" s="573"/>
      <c r="AB1" s="573"/>
      <c r="AD1" s="582" t="s">
        <v>53</v>
      </c>
      <c r="AE1" s="580"/>
      <c r="AF1" s="580"/>
      <c r="AG1" s="580"/>
      <c r="AH1" s="580"/>
      <c r="AI1" s="580"/>
      <c r="AJ1" s="580"/>
      <c r="AK1" s="580"/>
      <c r="AL1" s="580"/>
      <c r="AM1" s="580"/>
    </row>
    <row r="2" spans="1:40" x14ac:dyDescent="0.2">
      <c r="A2" s="583" t="str">
        <f>"Toimumisaeg: "&amp;(Kalend!A27)&amp;" kell "&amp;(Kalend!B27)</f>
        <v>Toimumisaeg: T, 09.08.2022 kell 18:00</v>
      </c>
      <c r="B2" s="735"/>
      <c r="C2" s="573"/>
      <c r="D2" s="573"/>
      <c r="E2" s="573"/>
      <c r="F2" s="573"/>
      <c r="G2" s="573"/>
      <c r="H2" s="573"/>
      <c r="I2" s="573"/>
      <c r="J2" s="573"/>
      <c r="K2" s="573"/>
      <c r="L2" s="579"/>
      <c r="M2" s="579"/>
      <c r="N2" s="579"/>
      <c r="O2" s="573"/>
      <c r="P2" s="573"/>
      <c r="Q2" s="573"/>
      <c r="R2" s="573"/>
      <c r="S2" s="573"/>
      <c r="T2" s="579"/>
      <c r="U2" s="579"/>
      <c r="V2" s="579"/>
      <c r="W2" s="573"/>
      <c r="X2" s="573"/>
      <c r="Y2" s="573"/>
      <c r="Z2" s="573"/>
      <c r="AA2" s="721" t="s">
        <v>269</v>
      </c>
      <c r="AB2" s="573"/>
      <c r="AD2" s="573"/>
      <c r="AE2" s="573"/>
      <c r="AF2" s="573"/>
      <c r="AG2" s="573"/>
      <c r="AH2" s="573"/>
      <c r="AI2" s="573"/>
      <c r="AJ2" s="573"/>
      <c r="AK2" s="573"/>
      <c r="AL2" s="573"/>
      <c r="AM2" s="573"/>
    </row>
    <row r="3" spans="1:40" x14ac:dyDescent="0.2">
      <c r="A3" s="583" t="str">
        <f>"Toimumiskoht: "&amp;(Kalend!F27)</f>
        <v>Toimumiskoht: Voka staadion</v>
      </c>
      <c r="B3" s="735"/>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c r="AG3" s="573"/>
      <c r="AH3" s="573"/>
      <c r="AI3" s="573"/>
      <c r="AJ3" s="573"/>
      <c r="AK3" s="573"/>
      <c r="AL3" s="573"/>
      <c r="AM3" s="573"/>
    </row>
    <row r="4" spans="1:40" x14ac:dyDescent="0.2">
      <c r="A4" s="583" t="str">
        <f>"Korraldaja: "&amp;(Kalend!G27)</f>
        <v>Korraldaja: Johannes Neiland</v>
      </c>
      <c r="B4" s="735"/>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722" t="s">
        <v>273</v>
      </c>
      <c r="AE4" s="573"/>
      <c r="AF4" s="573"/>
      <c r="AG4" s="573"/>
      <c r="AH4" s="573"/>
      <c r="AI4" s="573"/>
      <c r="AJ4" s="573"/>
      <c r="AK4" s="573"/>
      <c r="AL4" s="573"/>
      <c r="AM4" s="573"/>
    </row>
    <row r="5" spans="1:40" x14ac:dyDescent="0.2">
      <c r="A5" s="573"/>
      <c r="B5" s="735"/>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723" t="s">
        <v>14</v>
      </c>
      <c r="AE5" s="724"/>
      <c r="AF5" s="725"/>
      <c r="AG5" s="724"/>
      <c r="AH5" s="726"/>
      <c r="AI5" s="724"/>
      <c r="AJ5" s="724"/>
      <c r="AK5" s="724"/>
      <c r="AL5" s="724"/>
      <c r="AM5" s="573"/>
    </row>
    <row r="6" spans="1:40" x14ac:dyDescent="0.2">
      <c r="A6" s="573"/>
      <c r="B6" s="735"/>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723" t="s">
        <v>275</v>
      </c>
      <c r="AE6" s="727"/>
      <c r="AF6" s="727" t="s">
        <v>276</v>
      </c>
      <c r="AG6" s="727"/>
      <c r="AH6" s="728" t="s">
        <v>277</v>
      </c>
      <c r="AI6" s="727"/>
      <c r="AJ6" s="727" t="s">
        <v>278</v>
      </c>
      <c r="AK6" s="618"/>
      <c r="AL6" s="727" t="s">
        <v>279</v>
      </c>
      <c r="AM6" s="573"/>
    </row>
    <row r="7" spans="1:40" x14ac:dyDescent="0.2">
      <c r="A7" s="630" t="s">
        <v>78</v>
      </c>
      <c r="B7" s="736"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D7" s="737"/>
      <c r="AE7" s="723" t="s">
        <v>287</v>
      </c>
      <c r="AF7" s="724"/>
      <c r="AG7" s="725"/>
      <c r="AH7" s="724"/>
      <c r="AI7" s="725"/>
      <c r="AJ7" s="729"/>
      <c r="AK7" s="729"/>
      <c r="AL7" s="729"/>
      <c r="AM7" s="729"/>
      <c r="AN7" s="573"/>
    </row>
    <row r="8" spans="1:40" ht="25.5" x14ac:dyDescent="0.2">
      <c r="A8" s="634">
        <v>1</v>
      </c>
      <c r="B8" s="635" t="s">
        <v>636</v>
      </c>
      <c r="C8" s="613">
        <v>13</v>
      </c>
      <c r="D8" s="614" t="s">
        <v>288</v>
      </c>
      <c r="E8" s="614">
        <v>9</v>
      </c>
      <c r="F8" s="636" t="s">
        <v>637</v>
      </c>
      <c r="G8" s="613">
        <v>13</v>
      </c>
      <c r="H8" s="614" t="s">
        <v>288</v>
      </c>
      <c r="I8" s="614">
        <v>5</v>
      </c>
      <c r="J8" s="636" t="s">
        <v>366</v>
      </c>
      <c r="K8" s="613">
        <v>13</v>
      </c>
      <c r="L8" s="614" t="s">
        <v>288</v>
      </c>
      <c r="M8" s="614">
        <v>2</v>
      </c>
      <c r="N8" s="636" t="s">
        <v>567</v>
      </c>
      <c r="O8" s="613">
        <v>13</v>
      </c>
      <c r="P8" s="614" t="s">
        <v>288</v>
      </c>
      <c r="Q8" s="614">
        <v>8</v>
      </c>
      <c r="R8" s="636" t="s">
        <v>477</v>
      </c>
      <c r="S8" s="613"/>
      <c r="T8" s="614" t="s">
        <v>288</v>
      </c>
      <c r="U8" s="614"/>
      <c r="V8" s="636"/>
      <c r="W8" s="637">
        <f>IF(C8&gt;E8,J$3,IF(C8&lt;E8,J$5,IF(ISNUMBER(C8),J$4,0)))+IF(G8&gt;I8,J$3,IF(G8&lt;I8,J$5,IF(ISNUMBER(G8),J$4,0)))+IF(K8&gt;M8,J$3,IF(K8&lt;M8,J$5,IF(ISNUMBER(K8),J$4,0)))+IF(O8&gt;Q8,J$3,IF(O8&lt;Q8,J$5,IF(ISNUMBER(O8),J$4,0)))+IF(S8&gt;U8,J$3,IF(S8&lt;U8,J$5,IF(ISNUMBER(S8),J$4,0)))</f>
        <v>4</v>
      </c>
      <c r="X8" s="612">
        <v>20</v>
      </c>
      <c r="Y8" s="730">
        <v>82</v>
      </c>
      <c r="Z8" s="613">
        <f t="shared" ref="Z8" si="0">C8+G8+K8+O8+S8</f>
        <v>52</v>
      </c>
      <c r="AA8" s="614" t="s">
        <v>288</v>
      </c>
      <c r="AB8" s="615">
        <f t="shared" ref="AB8" si="1">E8+I8+M8+Q8+U8</f>
        <v>24</v>
      </c>
      <c r="AC8" s="616">
        <f>Z8-AB8</f>
        <v>28</v>
      </c>
      <c r="AD8" s="738"/>
      <c r="AE8" s="731">
        <f t="shared" ref="AE8" si="2">SUM(AF8:AM8)</f>
        <v>270</v>
      </c>
      <c r="AF8" s="732">
        <f>IFERROR(INDEX(V!R$7:R$56,MATCH(AG8,V!L$7:L$56,0)),"")</f>
        <v>26</v>
      </c>
      <c r="AG8" s="733" t="str">
        <f t="shared" ref="AG8:AG17" si="3">IFERROR(LEFT(B8,(FIND(",",B8,1)-1)),"")</f>
        <v>Aleksander Korikov</v>
      </c>
      <c r="AH8" s="732" t="str">
        <f>IFERROR(INDEX(V!R$7:R$56,MATCH(AI8,V!L$7:L$56,0)),"")</f>
        <v/>
      </c>
      <c r="AI8" s="733" t="str">
        <f t="shared" ref="AI8:AI17" si="4">IFERROR(MID(B8,FIND(", ",B8)+2,256),"")</f>
        <v>Oksana Rõndenkova, Oleg Rõndenkov</v>
      </c>
      <c r="AJ8" s="732">
        <f>IFERROR(INDEX(V!R$7:R$56,MATCH(AK8,V!L$7:L$56,0)),"")</f>
        <v>122</v>
      </c>
      <c r="AK8" s="733" t="str">
        <f t="shared" ref="AK8:AK17" si="5">IFERROR(MID(B8,FIND("^",SUBSTITUTE(B8,", ","^",1))+2,FIND("^",SUBSTITUTE(B8,", ","^",2))-FIND("^",SUBSTITUTE(B8,", ","^",1))-2),"")</f>
        <v>Oksana Rõndenkova</v>
      </c>
      <c r="AL8" s="732">
        <f>IFERROR(INDEX(V!R$7:R$56,MATCH(AM8,V!L$7:L$56,0)),"")</f>
        <v>122</v>
      </c>
      <c r="AM8" s="733" t="str">
        <f t="shared" ref="AM8:AM17" si="6">IFERROR(MID(B8,FIND(", ",B8,FIND(", ",B8,FIND(", ",B8))+1)+2,700),"")</f>
        <v>Oleg Rõndenkov</v>
      </c>
      <c r="AN8" s="573"/>
    </row>
    <row r="9" spans="1:40" x14ac:dyDescent="0.2">
      <c r="A9" s="634">
        <v>2</v>
      </c>
      <c r="B9" s="635" t="s">
        <v>477</v>
      </c>
      <c r="C9" s="613">
        <v>13</v>
      </c>
      <c r="D9" s="614" t="s">
        <v>288</v>
      </c>
      <c r="E9" s="614">
        <v>8</v>
      </c>
      <c r="F9" s="636" t="s">
        <v>536</v>
      </c>
      <c r="G9" s="613">
        <v>13</v>
      </c>
      <c r="H9" s="614" t="s">
        <v>288</v>
      </c>
      <c r="I9" s="614">
        <v>10</v>
      </c>
      <c r="J9" s="636" t="s">
        <v>566</v>
      </c>
      <c r="K9" s="613">
        <v>13</v>
      </c>
      <c r="L9" s="614" t="s">
        <v>288</v>
      </c>
      <c r="M9" s="614">
        <v>8</v>
      </c>
      <c r="N9" s="636" t="s">
        <v>638</v>
      </c>
      <c r="O9" s="613">
        <v>8</v>
      </c>
      <c r="P9" s="614" t="s">
        <v>288</v>
      </c>
      <c r="Q9" s="614">
        <v>13</v>
      </c>
      <c r="R9" s="636" t="s">
        <v>636</v>
      </c>
      <c r="S9" s="613"/>
      <c r="T9" s="614" t="s">
        <v>288</v>
      </c>
      <c r="U9" s="614"/>
      <c r="V9" s="636"/>
      <c r="W9" s="637">
        <f t="shared" ref="W9:W18" si="7">IF(C9&gt;E9,J$3,IF(C9&lt;E9,J$5,IF(ISNUMBER(C9),J$4,0)))+IF(G9&gt;I9,J$3,IF(G9&lt;I9,J$5,IF(ISNUMBER(G9),J$4,0)))+IF(K9&gt;M9,J$3,IF(K9&lt;M9,J$5,IF(ISNUMBER(K9),J$4,0)))+IF(O9&gt;Q9,J$3,IF(O9&lt;Q9,J$5,IF(ISNUMBER(O9),J$4,0)))+IF(S9&gt;U9,J$3,IF(S9&lt;U9,J$5,IF(ISNUMBER(S9),J$4,0)))</f>
        <v>3</v>
      </c>
      <c r="X9" s="612">
        <v>22</v>
      </c>
      <c r="Y9" s="730">
        <v>66</v>
      </c>
      <c r="Z9" s="613">
        <f t="shared" ref="Z9:Z20" si="8">C9+G9+K9+O9+S9</f>
        <v>47</v>
      </c>
      <c r="AA9" s="614" t="s">
        <v>288</v>
      </c>
      <c r="AB9" s="615">
        <f t="shared" ref="AB9:AB20" si="9">E9+I9+M9+Q9+U9</f>
        <v>39</v>
      </c>
      <c r="AC9" s="616">
        <f t="shared" ref="AC9:AC20" si="10">Z9-AB9</f>
        <v>8</v>
      </c>
      <c r="AD9" s="738"/>
      <c r="AE9" s="731">
        <f t="shared" ref="AE9:AE17" si="11">SUM(AF9:AM9)</f>
        <v>280</v>
      </c>
      <c r="AF9" s="732">
        <f>IFERROR(INDEX(V!R$7:R$56,MATCH(AG9,V!L$7:L$56,0)),"")</f>
        <v>140</v>
      </c>
      <c r="AG9" s="733" t="str">
        <f t="shared" si="3"/>
        <v>Kenneth Muusikus</v>
      </c>
      <c r="AH9" s="732">
        <f>IFERROR(INDEX(V!R$7:R$56,MATCH(AI9,V!L$7:L$56,0)),"")</f>
        <v>140</v>
      </c>
      <c r="AI9" s="733" t="str">
        <f t="shared" si="4"/>
        <v>Sander Rose</v>
      </c>
      <c r="AJ9" s="732" t="str">
        <f>IFERROR(INDEX(V!R$7:R$56,MATCH(AK9,V!L$7:L$56,0)),"")</f>
        <v/>
      </c>
      <c r="AK9" s="733" t="str">
        <f t="shared" si="5"/>
        <v/>
      </c>
      <c r="AL9" s="732" t="str">
        <f>IFERROR(INDEX(V!R$7:R$56,MATCH(AM9,V!L$7:L$56,0)),"")</f>
        <v/>
      </c>
      <c r="AM9" s="733" t="str">
        <f t="shared" si="6"/>
        <v/>
      </c>
      <c r="AN9" s="573"/>
    </row>
    <row r="10" spans="1:40" x14ac:dyDescent="0.2">
      <c r="A10" s="634">
        <v>3</v>
      </c>
      <c r="B10" s="635" t="s">
        <v>566</v>
      </c>
      <c r="C10" s="613">
        <v>11</v>
      </c>
      <c r="D10" s="614" t="s">
        <v>288</v>
      </c>
      <c r="E10" s="614">
        <v>8</v>
      </c>
      <c r="F10" s="636" t="s">
        <v>640</v>
      </c>
      <c r="G10" s="613">
        <v>10</v>
      </c>
      <c r="H10" s="614" t="s">
        <v>288</v>
      </c>
      <c r="I10" s="614">
        <v>13</v>
      </c>
      <c r="J10" s="636" t="s">
        <v>477</v>
      </c>
      <c r="K10" s="613">
        <v>13</v>
      </c>
      <c r="L10" s="614" t="s">
        <v>288</v>
      </c>
      <c r="M10" s="614">
        <v>4</v>
      </c>
      <c r="N10" s="636" t="s">
        <v>637</v>
      </c>
      <c r="O10" s="613">
        <v>13</v>
      </c>
      <c r="P10" s="614" t="s">
        <v>288</v>
      </c>
      <c r="Q10" s="614">
        <v>1</v>
      </c>
      <c r="R10" s="636" t="s">
        <v>567</v>
      </c>
      <c r="S10" s="613"/>
      <c r="T10" s="614" t="s">
        <v>288</v>
      </c>
      <c r="U10" s="614"/>
      <c r="V10" s="636"/>
      <c r="W10" s="637">
        <f t="shared" si="7"/>
        <v>3</v>
      </c>
      <c r="X10" s="612">
        <v>18</v>
      </c>
      <c r="Y10" s="730">
        <v>76</v>
      </c>
      <c r="Z10" s="613">
        <f t="shared" si="8"/>
        <v>47</v>
      </c>
      <c r="AA10" s="614" t="s">
        <v>288</v>
      </c>
      <c r="AB10" s="615">
        <f t="shared" si="9"/>
        <v>26</v>
      </c>
      <c r="AC10" s="616">
        <f t="shared" si="10"/>
        <v>21</v>
      </c>
      <c r="AD10" s="738"/>
      <c r="AE10" s="731">
        <f t="shared" si="11"/>
        <v>180</v>
      </c>
      <c r="AF10" s="732">
        <f>IFERROR(INDEX(V!R$7:R$56,MATCH(AG10,V!L$7:L$56,0)),"")</f>
        <v>104</v>
      </c>
      <c r="AG10" s="733" t="str">
        <f t="shared" si="3"/>
        <v>Kaspar Mänd</v>
      </c>
      <c r="AH10" s="732">
        <f>IFERROR(INDEX(V!R$7:R$56,MATCH(AI10,V!L$7:L$56,0)),"")</f>
        <v>76</v>
      </c>
      <c r="AI10" s="733" t="str">
        <f t="shared" si="4"/>
        <v>Olav Türk</v>
      </c>
      <c r="AJ10" s="732" t="str">
        <f>IFERROR(INDEX(V!R$7:R$56,MATCH(AK10,V!L$7:L$56,0)),"")</f>
        <v/>
      </c>
      <c r="AK10" s="733" t="str">
        <f t="shared" si="5"/>
        <v/>
      </c>
      <c r="AL10" s="732" t="str">
        <f>IFERROR(INDEX(V!R$7:R$56,MATCH(AM10,V!L$7:L$56,0)),"")</f>
        <v/>
      </c>
      <c r="AM10" s="733" t="str">
        <f t="shared" si="6"/>
        <v/>
      </c>
      <c r="AN10" s="573"/>
    </row>
    <row r="11" spans="1:40" x14ac:dyDescent="0.2">
      <c r="A11" s="634">
        <v>4</v>
      </c>
      <c r="B11" s="635" t="s">
        <v>366</v>
      </c>
      <c r="C11" s="613">
        <v>13</v>
      </c>
      <c r="D11" s="614" t="s">
        <v>288</v>
      </c>
      <c r="E11" s="614">
        <v>12</v>
      </c>
      <c r="F11" s="636" t="s">
        <v>641</v>
      </c>
      <c r="G11" s="613">
        <v>5</v>
      </c>
      <c r="H11" s="614" t="s">
        <v>288</v>
      </c>
      <c r="I11" s="614">
        <v>13</v>
      </c>
      <c r="J11" s="636" t="s">
        <v>636</v>
      </c>
      <c r="K11" s="613">
        <v>13</v>
      </c>
      <c r="L11" s="614" t="s">
        <v>288</v>
      </c>
      <c r="M11" s="614">
        <v>5</v>
      </c>
      <c r="N11" s="636" t="s">
        <v>639</v>
      </c>
      <c r="O11" s="613">
        <v>11</v>
      </c>
      <c r="P11" s="614" t="s">
        <v>288</v>
      </c>
      <c r="Q11" s="614">
        <v>10</v>
      </c>
      <c r="R11" s="636" t="s">
        <v>638</v>
      </c>
      <c r="S11" s="613"/>
      <c r="T11" s="614" t="s">
        <v>288</v>
      </c>
      <c r="U11" s="614"/>
      <c r="V11" s="636"/>
      <c r="W11" s="637">
        <f t="shared" si="7"/>
        <v>3</v>
      </c>
      <c r="X11" s="612">
        <v>18</v>
      </c>
      <c r="Y11" s="730">
        <v>62</v>
      </c>
      <c r="Z11" s="613">
        <f t="shared" si="8"/>
        <v>42</v>
      </c>
      <c r="AA11" s="614" t="s">
        <v>288</v>
      </c>
      <c r="AB11" s="615">
        <f t="shared" si="9"/>
        <v>40</v>
      </c>
      <c r="AC11" s="616">
        <f t="shared" si="10"/>
        <v>2</v>
      </c>
      <c r="AD11" s="738"/>
      <c r="AE11" s="731">
        <f t="shared" si="11"/>
        <v>104</v>
      </c>
      <c r="AF11" s="732">
        <f>IFERROR(INDEX(V!R$7:R$56,MATCH(AG11,V!L$7:L$56,0)),"")</f>
        <v>52</v>
      </c>
      <c r="AG11" s="733" t="str">
        <f t="shared" si="3"/>
        <v>Ljudmila Varendi</v>
      </c>
      <c r="AH11" s="732">
        <f>IFERROR(INDEX(V!R$7:R$56,MATCH(AI11,V!L$7:L$56,0)),"")</f>
        <v>52</v>
      </c>
      <c r="AI11" s="733" t="str">
        <f t="shared" si="4"/>
        <v>Viktor Švarõgin</v>
      </c>
      <c r="AJ11" s="732" t="str">
        <f>IFERROR(INDEX(V!R$7:R$56,MATCH(AK11,V!L$7:L$56,0)),"")</f>
        <v/>
      </c>
      <c r="AK11" s="733" t="str">
        <f t="shared" si="5"/>
        <v/>
      </c>
      <c r="AL11" s="732" t="str">
        <f>IFERROR(INDEX(V!R$7:R$56,MATCH(AM11,V!L$7:L$56,0)),"")</f>
        <v/>
      </c>
      <c r="AM11" s="733" t="str">
        <f t="shared" si="6"/>
        <v/>
      </c>
      <c r="AN11" s="573"/>
    </row>
    <row r="12" spans="1:40" x14ac:dyDescent="0.2">
      <c r="A12" s="634">
        <v>5</v>
      </c>
      <c r="B12" s="635" t="s">
        <v>637</v>
      </c>
      <c r="C12" s="613">
        <v>9</v>
      </c>
      <c r="D12" s="614" t="s">
        <v>288</v>
      </c>
      <c r="E12" s="614">
        <v>13</v>
      </c>
      <c r="F12" s="636" t="s">
        <v>636</v>
      </c>
      <c r="G12" s="613">
        <v>9</v>
      </c>
      <c r="H12" s="614" t="s">
        <v>288</v>
      </c>
      <c r="I12" s="614">
        <v>7</v>
      </c>
      <c r="J12" s="636" t="s">
        <v>640</v>
      </c>
      <c r="K12" s="613">
        <v>4</v>
      </c>
      <c r="L12" s="614" t="s">
        <v>288</v>
      </c>
      <c r="M12" s="614">
        <v>13</v>
      </c>
      <c r="N12" s="636" t="s">
        <v>566</v>
      </c>
      <c r="O12" s="613">
        <v>13</v>
      </c>
      <c r="P12" s="614" t="s">
        <v>288</v>
      </c>
      <c r="Q12" s="614">
        <v>3</v>
      </c>
      <c r="R12" s="636" t="s">
        <v>536</v>
      </c>
      <c r="S12" s="613"/>
      <c r="T12" s="614" t="s">
        <v>288</v>
      </c>
      <c r="U12" s="614"/>
      <c r="V12" s="636"/>
      <c r="W12" s="637">
        <f t="shared" si="7"/>
        <v>2</v>
      </c>
      <c r="X12" s="612">
        <v>22</v>
      </c>
      <c r="Y12" s="730">
        <v>62</v>
      </c>
      <c r="Z12" s="613">
        <f t="shared" si="8"/>
        <v>35</v>
      </c>
      <c r="AA12" s="614" t="s">
        <v>288</v>
      </c>
      <c r="AB12" s="615">
        <f t="shared" si="9"/>
        <v>36</v>
      </c>
      <c r="AC12" s="616">
        <f t="shared" si="10"/>
        <v>-1</v>
      </c>
      <c r="AD12" s="738"/>
      <c r="AE12" s="731">
        <f t="shared" si="11"/>
        <v>94</v>
      </c>
      <c r="AF12" s="732">
        <f>IFERROR(INDEX(V!R$7:R$56,MATCH(AG12,V!L$7:L$56,0)),"")</f>
        <v>56</v>
      </c>
      <c r="AG12" s="733" t="str">
        <f t="shared" si="3"/>
        <v>Elmo Lageda</v>
      </c>
      <c r="AH12" s="732">
        <f>IFERROR(INDEX(V!R$7:R$56,MATCH(AI12,V!L$7:L$56,0)),"")</f>
        <v>38</v>
      </c>
      <c r="AI12" s="733" t="str">
        <f t="shared" si="4"/>
        <v>Boriss Klubov</v>
      </c>
      <c r="AJ12" s="732" t="str">
        <f>IFERROR(INDEX(V!R$7:R$56,MATCH(AK12,V!L$7:L$56,0)),"")</f>
        <v/>
      </c>
      <c r="AK12" s="733" t="str">
        <f t="shared" si="5"/>
        <v/>
      </c>
      <c r="AL12" s="732" t="str">
        <f>IFERROR(INDEX(V!R$7:R$56,MATCH(AM12,V!L$7:L$56,0)),"")</f>
        <v/>
      </c>
      <c r="AM12" s="733" t="str">
        <f t="shared" si="6"/>
        <v/>
      </c>
      <c r="AN12" s="573"/>
    </row>
    <row r="13" spans="1:40" x14ac:dyDescent="0.2">
      <c r="A13" s="634">
        <v>6</v>
      </c>
      <c r="B13" s="635" t="s">
        <v>567</v>
      </c>
      <c r="C13" s="613">
        <v>13</v>
      </c>
      <c r="D13" s="614" t="s">
        <v>288</v>
      </c>
      <c r="E13" s="614">
        <v>9</v>
      </c>
      <c r="F13" s="636" t="s">
        <v>639</v>
      </c>
      <c r="G13" s="613">
        <v>13</v>
      </c>
      <c r="H13" s="614" t="s">
        <v>288</v>
      </c>
      <c r="I13" s="614">
        <v>4</v>
      </c>
      <c r="J13" s="636" t="s">
        <v>525</v>
      </c>
      <c r="K13" s="613">
        <v>2</v>
      </c>
      <c r="L13" s="614" t="s">
        <v>288</v>
      </c>
      <c r="M13" s="614">
        <v>13</v>
      </c>
      <c r="N13" s="636" t="s">
        <v>636</v>
      </c>
      <c r="O13" s="613">
        <v>1</v>
      </c>
      <c r="P13" s="614" t="s">
        <v>288</v>
      </c>
      <c r="Q13" s="614">
        <v>13</v>
      </c>
      <c r="R13" s="636" t="s">
        <v>566</v>
      </c>
      <c r="S13" s="613"/>
      <c r="T13" s="614" t="s">
        <v>288</v>
      </c>
      <c r="U13" s="614"/>
      <c r="V13" s="636"/>
      <c r="W13" s="637">
        <f t="shared" si="7"/>
        <v>2</v>
      </c>
      <c r="X13" s="612">
        <v>20</v>
      </c>
      <c r="Y13" s="730">
        <v>64</v>
      </c>
      <c r="Z13" s="613">
        <f t="shared" si="8"/>
        <v>29</v>
      </c>
      <c r="AA13" s="614" t="s">
        <v>288</v>
      </c>
      <c r="AB13" s="615">
        <f t="shared" si="9"/>
        <v>39</v>
      </c>
      <c r="AC13" s="616">
        <f t="shared" si="10"/>
        <v>-10</v>
      </c>
      <c r="AD13" s="738"/>
      <c r="AE13" s="731">
        <f t="shared" si="11"/>
        <v>208</v>
      </c>
      <c r="AF13" s="732">
        <f>IFERROR(INDEX(V!R$7:R$56,MATCH(AG13,V!L$7:L$56,0)),"")</f>
        <v>108</v>
      </c>
      <c r="AG13" s="733" t="str">
        <f t="shared" si="3"/>
        <v>Andres Veski</v>
      </c>
      <c r="AH13" s="732">
        <f>IFERROR(INDEX(V!R$7:R$56,MATCH(AI13,V!L$7:L$56,0)),"")</f>
        <v>100</v>
      </c>
      <c r="AI13" s="733" t="str">
        <f t="shared" si="4"/>
        <v>Svetlana Veski</v>
      </c>
      <c r="AJ13" s="732" t="str">
        <f>IFERROR(INDEX(V!R$7:R$56,MATCH(AK13,V!L$7:L$56,0)),"")</f>
        <v/>
      </c>
      <c r="AK13" s="733" t="str">
        <f t="shared" si="5"/>
        <v/>
      </c>
      <c r="AL13" s="732" t="str">
        <f>IFERROR(INDEX(V!R$7:R$56,MATCH(AM13,V!L$7:L$56,0)),"")</f>
        <v/>
      </c>
      <c r="AM13" s="733" t="str">
        <f t="shared" si="6"/>
        <v/>
      </c>
      <c r="AN13" s="573"/>
    </row>
    <row r="14" spans="1:40" x14ac:dyDescent="0.2">
      <c r="A14" s="634">
        <v>7</v>
      </c>
      <c r="B14" s="638" t="s">
        <v>638</v>
      </c>
      <c r="C14" s="613">
        <v>9</v>
      </c>
      <c r="D14" s="614" t="s">
        <v>288</v>
      </c>
      <c r="E14" s="614">
        <v>8</v>
      </c>
      <c r="F14" s="636" t="s">
        <v>290</v>
      </c>
      <c r="G14" s="613">
        <v>13</v>
      </c>
      <c r="H14" s="614" t="s">
        <v>288</v>
      </c>
      <c r="I14" s="614">
        <v>3</v>
      </c>
      <c r="J14" s="636" t="s">
        <v>641</v>
      </c>
      <c r="K14" s="613">
        <v>8</v>
      </c>
      <c r="L14" s="614" t="s">
        <v>288</v>
      </c>
      <c r="M14" s="614">
        <v>13</v>
      </c>
      <c r="N14" s="636" t="s">
        <v>477</v>
      </c>
      <c r="O14" s="613">
        <v>10</v>
      </c>
      <c r="P14" s="614" t="s">
        <v>288</v>
      </c>
      <c r="Q14" s="614">
        <v>11</v>
      </c>
      <c r="R14" s="636" t="s">
        <v>366</v>
      </c>
      <c r="S14" s="613"/>
      <c r="T14" s="614" t="s">
        <v>288</v>
      </c>
      <c r="U14" s="614"/>
      <c r="V14" s="636"/>
      <c r="W14" s="637">
        <f t="shared" si="7"/>
        <v>2</v>
      </c>
      <c r="X14" s="612">
        <v>16</v>
      </c>
      <c r="Y14" s="730">
        <v>66</v>
      </c>
      <c r="Z14" s="613">
        <f t="shared" si="8"/>
        <v>40</v>
      </c>
      <c r="AA14" s="614" t="s">
        <v>288</v>
      </c>
      <c r="AB14" s="615">
        <f t="shared" si="9"/>
        <v>35</v>
      </c>
      <c r="AC14" s="616">
        <f t="shared" si="10"/>
        <v>5</v>
      </c>
      <c r="AD14" s="738"/>
      <c r="AE14" s="731">
        <f t="shared" si="11"/>
        <v>94</v>
      </c>
      <c r="AF14" s="732">
        <f>IFERROR(INDEX(V!R$7:R$56,MATCH(AG14,V!L$7:L$56,0)),"")</f>
        <v>14</v>
      </c>
      <c r="AG14" s="733" t="str">
        <f t="shared" si="3"/>
        <v>Lauri Vaino</v>
      </c>
      <c r="AH14" s="732">
        <f>IFERROR(INDEX(V!R$7:R$56,MATCH(AI14,V!L$7:L$56,0)),"")</f>
        <v>80</v>
      </c>
      <c r="AI14" s="733" t="str">
        <f t="shared" si="4"/>
        <v>Meelis Luud</v>
      </c>
      <c r="AJ14" s="732" t="str">
        <f>IFERROR(INDEX(V!R$7:R$56,MATCH(AK14,V!L$7:L$56,0)),"")</f>
        <v/>
      </c>
      <c r="AK14" s="733" t="str">
        <f t="shared" si="5"/>
        <v/>
      </c>
      <c r="AL14" s="732" t="str">
        <f>IFERROR(INDEX(V!R$7:R$56,MATCH(AM14,V!L$7:L$56,0)),"")</f>
        <v/>
      </c>
      <c r="AM14" s="733" t="str">
        <f t="shared" si="6"/>
        <v/>
      </c>
      <c r="AN14" s="573"/>
    </row>
    <row r="15" spans="1:40" x14ac:dyDescent="0.2">
      <c r="A15" s="634">
        <v>8</v>
      </c>
      <c r="B15" s="638" t="s">
        <v>639</v>
      </c>
      <c r="C15" s="613">
        <v>9</v>
      </c>
      <c r="D15" s="614" t="s">
        <v>288</v>
      </c>
      <c r="E15" s="614">
        <v>13</v>
      </c>
      <c r="F15" s="636" t="s">
        <v>567</v>
      </c>
      <c r="G15" s="613">
        <v>13</v>
      </c>
      <c r="H15" s="614" t="s">
        <v>288</v>
      </c>
      <c r="I15" s="614">
        <v>9</v>
      </c>
      <c r="J15" s="636" t="s">
        <v>290</v>
      </c>
      <c r="K15" s="613">
        <v>5</v>
      </c>
      <c r="L15" s="614" t="s">
        <v>288</v>
      </c>
      <c r="M15" s="614">
        <v>13</v>
      </c>
      <c r="N15" s="636" t="s">
        <v>366</v>
      </c>
      <c r="O15" s="613">
        <v>11</v>
      </c>
      <c r="P15" s="614" t="s">
        <v>288</v>
      </c>
      <c r="Q15" s="614">
        <v>7</v>
      </c>
      <c r="R15" s="636" t="s">
        <v>525</v>
      </c>
      <c r="S15" s="613"/>
      <c r="T15" s="614" t="s">
        <v>288</v>
      </c>
      <c r="U15" s="614"/>
      <c r="V15" s="636"/>
      <c r="W15" s="637">
        <f t="shared" si="7"/>
        <v>2</v>
      </c>
      <c r="X15" s="612">
        <v>14</v>
      </c>
      <c r="Y15" s="730">
        <v>64</v>
      </c>
      <c r="Z15" s="613">
        <f t="shared" si="8"/>
        <v>38</v>
      </c>
      <c r="AA15" s="614" t="s">
        <v>288</v>
      </c>
      <c r="AB15" s="615">
        <f t="shared" si="9"/>
        <v>42</v>
      </c>
      <c r="AC15" s="616">
        <f t="shared" si="10"/>
        <v>-4</v>
      </c>
      <c r="AD15" s="738"/>
      <c r="AE15" s="731">
        <f t="shared" si="11"/>
        <v>42</v>
      </c>
      <c r="AF15" s="732">
        <f>IFERROR(INDEX(V!R$7:R$56,MATCH(AG15,V!L$7:L$56,0)),"")</f>
        <v>30</v>
      </c>
      <c r="AG15" s="733" t="str">
        <f t="shared" si="3"/>
        <v>Johannes Neiland</v>
      </c>
      <c r="AH15" s="732">
        <f>IFERROR(INDEX(V!R$7:R$56,MATCH(AI15,V!L$7:L$56,0)),"")</f>
        <v>12</v>
      </c>
      <c r="AI15" s="733" t="str">
        <f t="shared" si="4"/>
        <v>Marta Bernat</v>
      </c>
      <c r="AJ15" s="732" t="str">
        <f>IFERROR(INDEX(V!R$7:R$56,MATCH(AK15,V!L$7:L$56,0)),"")</f>
        <v/>
      </c>
      <c r="AK15" s="733" t="str">
        <f t="shared" si="5"/>
        <v/>
      </c>
      <c r="AL15" s="732" t="str">
        <f>IFERROR(INDEX(V!R$7:R$56,MATCH(AM15,V!L$7:L$56,0)),"")</f>
        <v/>
      </c>
      <c r="AM15" s="733" t="str">
        <f t="shared" si="6"/>
        <v/>
      </c>
      <c r="AN15" s="573"/>
    </row>
    <row r="16" spans="1:40" x14ac:dyDescent="0.2">
      <c r="A16" s="634">
        <v>9</v>
      </c>
      <c r="B16" s="635" t="s">
        <v>536</v>
      </c>
      <c r="C16" s="613">
        <v>8</v>
      </c>
      <c r="D16" s="614" t="s">
        <v>288</v>
      </c>
      <c r="E16" s="614">
        <v>13</v>
      </c>
      <c r="F16" s="636" t="s">
        <v>477</v>
      </c>
      <c r="G16" s="613">
        <v>13</v>
      </c>
      <c r="H16" s="614" t="s">
        <v>288</v>
      </c>
      <c r="I16" s="614">
        <v>7</v>
      </c>
      <c r="J16" s="636" t="s">
        <v>291</v>
      </c>
      <c r="K16" s="613">
        <v>13</v>
      </c>
      <c r="L16" s="614" t="s">
        <v>288</v>
      </c>
      <c r="M16" s="614">
        <v>8</v>
      </c>
      <c r="N16" s="636" t="s">
        <v>525</v>
      </c>
      <c r="O16" s="613">
        <v>3</v>
      </c>
      <c r="P16" s="614" t="s">
        <v>288</v>
      </c>
      <c r="Q16" s="614">
        <v>13</v>
      </c>
      <c r="R16" s="636" t="s">
        <v>637</v>
      </c>
      <c r="S16" s="613"/>
      <c r="T16" s="614" t="s">
        <v>288</v>
      </c>
      <c r="U16" s="614"/>
      <c r="V16" s="636"/>
      <c r="W16" s="637">
        <f t="shared" si="7"/>
        <v>2</v>
      </c>
      <c r="X16" s="612">
        <v>12</v>
      </c>
      <c r="Y16" s="730">
        <v>56</v>
      </c>
      <c r="Z16" s="613">
        <f t="shared" si="8"/>
        <v>37</v>
      </c>
      <c r="AA16" s="614" t="s">
        <v>288</v>
      </c>
      <c r="AB16" s="615">
        <f t="shared" si="9"/>
        <v>41</v>
      </c>
      <c r="AC16" s="616">
        <f t="shared" si="10"/>
        <v>-4</v>
      </c>
      <c r="AD16" s="738"/>
      <c r="AE16" s="731">
        <f t="shared" si="11"/>
        <v>34</v>
      </c>
      <c r="AF16" s="732">
        <f>IFERROR(INDEX(V!R$7:R$56,MATCH(AG16,V!L$7:L$56,0)),"")</f>
        <v>18</v>
      </c>
      <c r="AG16" s="733" t="str">
        <f t="shared" si="3"/>
        <v>Liis Mägi</v>
      </c>
      <c r="AH16" s="732">
        <f>IFERROR(INDEX(V!R$7:R$56,MATCH(AI16,V!L$7:L$56,0)),"")</f>
        <v>16</v>
      </c>
      <c r="AI16" s="733" t="str">
        <f t="shared" si="4"/>
        <v>Marko Rooden</v>
      </c>
      <c r="AJ16" s="732" t="str">
        <f>IFERROR(INDEX(V!R$7:R$56,MATCH(AK16,V!L$7:L$56,0)),"")</f>
        <v/>
      </c>
      <c r="AK16" s="733" t="str">
        <f t="shared" si="5"/>
        <v/>
      </c>
      <c r="AL16" s="732" t="str">
        <f>IFERROR(INDEX(V!R$7:R$56,MATCH(AM16,V!L$7:L$56,0)),"")</f>
        <v/>
      </c>
      <c r="AM16" s="733" t="str">
        <f t="shared" si="6"/>
        <v/>
      </c>
      <c r="AN16" s="573"/>
    </row>
    <row r="17" spans="1:40" x14ac:dyDescent="0.2">
      <c r="A17" s="634">
        <v>10</v>
      </c>
      <c r="B17" s="635" t="s">
        <v>640</v>
      </c>
      <c r="C17" s="613">
        <v>8</v>
      </c>
      <c r="D17" s="614" t="s">
        <v>288</v>
      </c>
      <c r="E17" s="614">
        <v>11</v>
      </c>
      <c r="F17" s="636" t="s">
        <v>566</v>
      </c>
      <c r="G17" s="613">
        <v>7</v>
      </c>
      <c r="H17" s="614" t="s">
        <v>288</v>
      </c>
      <c r="I17" s="614">
        <v>9</v>
      </c>
      <c r="J17" s="636" t="s">
        <v>637</v>
      </c>
      <c r="K17" s="613">
        <v>13</v>
      </c>
      <c r="L17" s="614" t="s">
        <v>288</v>
      </c>
      <c r="M17" s="614">
        <v>7</v>
      </c>
      <c r="N17" s="636" t="s">
        <v>291</v>
      </c>
      <c r="O17" s="613">
        <v>13</v>
      </c>
      <c r="P17" s="614" t="s">
        <v>288</v>
      </c>
      <c r="Q17" s="614">
        <v>4</v>
      </c>
      <c r="R17" s="636" t="s">
        <v>290</v>
      </c>
      <c r="S17" s="613"/>
      <c r="T17" s="614" t="s">
        <v>288</v>
      </c>
      <c r="U17" s="614"/>
      <c r="V17" s="636"/>
      <c r="W17" s="637">
        <f t="shared" si="7"/>
        <v>2</v>
      </c>
      <c r="X17" s="612">
        <v>12</v>
      </c>
      <c r="Y17" s="730">
        <v>54</v>
      </c>
      <c r="Z17" s="613">
        <f t="shared" si="8"/>
        <v>41</v>
      </c>
      <c r="AA17" s="614" t="s">
        <v>288</v>
      </c>
      <c r="AB17" s="615">
        <f t="shared" si="9"/>
        <v>31</v>
      </c>
      <c r="AC17" s="616">
        <f t="shared" si="10"/>
        <v>10</v>
      </c>
      <c r="AD17" s="738"/>
      <c r="AE17" s="731">
        <f t="shared" si="11"/>
        <v>126</v>
      </c>
      <c r="AF17" s="732">
        <f>IFERROR(INDEX(V!R$7:R$56,MATCH(AG17,V!L$7:L$56,0)),"")</f>
        <v>50</v>
      </c>
      <c r="AG17" s="733" t="str">
        <f t="shared" si="3"/>
        <v>Andrei Grintšak</v>
      </c>
      <c r="AH17" s="732">
        <f>IFERROR(INDEX(V!R$7:R$56,MATCH(AI17,V!L$7:L$56,0)),"")</f>
        <v>76</v>
      </c>
      <c r="AI17" s="733" t="str">
        <f t="shared" si="4"/>
        <v>Sirje Maala</v>
      </c>
      <c r="AJ17" s="732" t="str">
        <f>IFERROR(INDEX(V!R$7:R$56,MATCH(AK17,V!L$7:L$56,0)),"")</f>
        <v/>
      </c>
      <c r="AK17" s="733" t="str">
        <f t="shared" si="5"/>
        <v/>
      </c>
      <c r="AL17" s="732" t="str">
        <f>IFERROR(INDEX(V!R$7:R$56,MATCH(AM17,V!L$7:L$56,0)),"")</f>
        <v/>
      </c>
      <c r="AM17" s="733" t="str">
        <f t="shared" si="6"/>
        <v/>
      </c>
      <c r="AN17" s="573"/>
    </row>
    <row r="18" spans="1:40" x14ac:dyDescent="0.2">
      <c r="A18" s="634">
        <v>11</v>
      </c>
      <c r="B18" s="635" t="s">
        <v>290</v>
      </c>
      <c r="C18" s="613">
        <v>8</v>
      </c>
      <c r="D18" s="614" t="s">
        <v>288</v>
      </c>
      <c r="E18" s="614">
        <v>9</v>
      </c>
      <c r="F18" s="636" t="s">
        <v>638</v>
      </c>
      <c r="G18" s="613">
        <v>9</v>
      </c>
      <c r="H18" s="614" t="s">
        <v>288</v>
      </c>
      <c r="I18" s="614">
        <v>13</v>
      </c>
      <c r="J18" s="636" t="s">
        <v>639</v>
      </c>
      <c r="K18" s="613">
        <v>13</v>
      </c>
      <c r="L18" s="614" t="s">
        <v>288</v>
      </c>
      <c r="M18" s="614">
        <v>6</v>
      </c>
      <c r="N18" s="636" t="s">
        <v>641</v>
      </c>
      <c r="O18" s="613">
        <v>4</v>
      </c>
      <c r="P18" s="614" t="s">
        <v>288</v>
      </c>
      <c r="Q18" s="614">
        <v>13</v>
      </c>
      <c r="R18" s="636" t="s">
        <v>640</v>
      </c>
      <c r="S18" s="613"/>
      <c r="T18" s="614" t="s">
        <v>288</v>
      </c>
      <c r="U18" s="614"/>
      <c r="V18" s="636"/>
      <c r="W18" s="637">
        <f t="shared" si="7"/>
        <v>1</v>
      </c>
      <c r="X18" s="612">
        <v>14</v>
      </c>
      <c r="Y18" s="730">
        <v>54</v>
      </c>
      <c r="Z18" s="613">
        <f t="shared" si="8"/>
        <v>34</v>
      </c>
      <c r="AA18" s="614" t="s">
        <v>288</v>
      </c>
      <c r="AB18" s="615">
        <f t="shared" si="9"/>
        <v>41</v>
      </c>
      <c r="AC18" s="616">
        <f t="shared" si="10"/>
        <v>-7</v>
      </c>
      <c r="AD18" s="738"/>
      <c r="AE18" s="731">
        <f t="shared" ref="AE18:AE20" si="12">SUM(AF18:AM18)</f>
        <v>68</v>
      </c>
      <c r="AF18" s="732">
        <f>IFERROR(INDEX(V!R$7:R$56,MATCH(AG18,V!L$7:L$56,0)),"")</f>
        <v>60</v>
      </c>
      <c r="AG18" s="733" t="str">
        <f t="shared" ref="AG18:AG20" si="13">IFERROR(LEFT(B18,(FIND(",",B18,1)-1)),"")</f>
        <v>Tõnu Kapper</v>
      </c>
      <c r="AH18" s="732">
        <f>IFERROR(INDEX(V!R$7:R$56,MATCH(AI18,V!L$7:L$56,0)),"")</f>
        <v>8</v>
      </c>
      <c r="AI18" s="733" t="str">
        <f t="shared" ref="AI18:AI20" si="14">IFERROR(MID(B18,FIND(", ",B18)+2,256),"")</f>
        <v>Vladimir Ogneštšikov</v>
      </c>
      <c r="AJ18" s="732" t="str">
        <f>IFERROR(INDEX(V!R$7:R$56,MATCH(AK18,V!L$7:L$56,0)),"")</f>
        <v/>
      </c>
      <c r="AK18" s="733" t="str">
        <f t="shared" ref="AK18:AK20" si="15">IFERROR(MID(B18,FIND("^",SUBSTITUTE(B18,", ","^",1))+2,FIND("^",SUBSTITUTE(B18,", ","^",2))-FIND("^",SUBSTITUTE(B18,", ","^",1))-2),"")</f>
        <v/>
      </c>
      <c r="AL18" s="732" t="str">
        <f>IFERROR(INDEX(V!R$7:R$56,MATCH(AM18,V!L$7:L$56,0)),"")</f>
        <v/>
      </c>
      <c r="AM18" s="733" t="str">
        <f t="shared" ref="AM18:AM20" si="16">IFERROR(MID(B18,FIND(", ",B18,FIND(", ",B18,FIND(", ",B18))+1)+2,700),"")</f>
        <v/>
      </c>
      <c r="AN18" s="573"/>
    </row>
    <row r="19" spans="1:40" x14ac:dyDescent="0.2">
      <c r="A19" s="634">
        <v>12</v>
      </c>
      <c r="B19" s="635" t="s">
        <v>641</v>
      </c>
      <c r="C19" s="613">
        <v>12</v>
      </c>
      <c r="D19" s="614" t="s">
        <v>288</v>
      </c>
      <c r="E19" s="614">
        <v>13</v>
      </c>
      <c r="F19" s="636" t="s">
        <v>366</v>
      </c>
      <c r="G19" s="613">
        <v>3</v>
      </c>
      <c r="H19" s="614" t="s">
        <v>288</v>
      </c>
      <c r="I19" s="614">
        <v>13</v>
      </c>
      <c r="J19" s="636" t="s">
        <v>638</v>
      </c>
      <c r="K19" s="613">
        <v>6</v>
      </c>
      <c r="L19" s="614" t="s">
        <v>288</v>
      </c>
      <c r="M19" s="614">
        <v>13</v>
      </c>
      <c r="N19" s="636" t="s">
        <v>290</v>
      </c>
      <c r="O19" s="613">
        <v>13</v>
      </c>
      <c r="P19" s="614" t="s">
        <v>288</v>
      </c>
      <c r="Q19" s="614">
        <v>7</v>
      </c>
      <c r="R19" s="636" t="s">
        <v>291</v>
      </c>
      <c r="S19" s="613"/>
      <c r="T19" s="614" t="s">
        <v>288</v>
      </c>
      <c r="U19" s="614"/>
      <c r="V19" s="636"/>
      <c r="W19" s="637">
        <f t="shared" ref="W19:W20" si="17">IF(C19&gt;E19,J$3,IF(C19&lt;E19,J$5,IF(ISNUMBER(C19),J$4,0)))+IF(G19&gt;I19,J$3,IF(G19&lt;I19,J$5,IF(ISNUMBER(G19),J$4,0)))+IF(K19&gt;M19,J$3,IF(K19&lt;M19,J$5,IF(ISNUMBER(K19),J$4,0)))+IF(O19&gt;Q19,J$3,IF(O19&lt;Q19,J$5,IF(ISNUMBER(O19),J$4,0)))+IF(S19&gt;U19,J$3,IF(S19&lt;U19,J$5,IF(ISNUMBER(S19),J$4,0)))</f>
        <v>1</v>
      </c>
      <c r="X19" s="612">
        <v>12</v>
      </c>
      <c r="Y19" s="730">
        <v>48</v>
      </c>
      <c r="Z19" s="613">
        <f t="shared" si="8"/>
        <v>34</v>
      </c>
      <c r="AA19" s="614" t="s">
        <v>288</v>
      </c>
      <c r="AB19" s="615">
        <f t="shared" si="9"/>
        <v>46</v>
      </c>
      <c r="AC19" s="616">
        <f t="shared" si="10"/>
        <v>-12</v>
      </c>
      <c r="AD19" s="738"/>
      <c r="AE19" s="731">
        <f t="shared" si="12"/>
        <v>154</v>
      </c>
      <c r="AF19" s="732">
        <f>IFERROR(INDEX(V!R$7:R$56,MATCH(AG19,V!L$7:L$56,0)),"")</f>
        <v>56</v>
      </c>
      <c r="AG19" s="733" t="str">
        <f t="shared" si="13"/>
        <v>Jaan Saar</v>
      </c>
      <c r="AH19" s="732">
        <f>IFERROR(INDEX(V!R$7:R$56,MATCH(AI19,V!L$7:L$56,0)),"")</f>
        <v>98</v>
      </c>
      <c r="AI19" s="733" t="str">
        <f t="shared" si="14"/>
        <v>Urmas Randlaine</v>
      </c>
      <c r="AJ19" s="732" t="str">
        <f>IFERROR(INDEX(V!R$7:R$56,MATCH(AK19,V!L$7:L$56,0)),"")</f>
        <v/>
      </c>
      <c r="AK19" s="733" t="str">
        <f t="shared" si="15"/>
        <v/>
      </c>
      <c r="AL19" s="732" t="str">
        <f>IFERROR(INDEX(V!R$7:R$56,MATCH(AM19,V!L$7:L$56,0)),"")</f>
        <v/>
      </c>
      <c r="AM19" s="733" t="str">
        <f t="shared" si="16"/>
        <v/>
      </c>
      <c r="AN19" s="573"/>
    </row>
    <row r="20" spans="1:40" x14ac:dyDescent="0.2">
      <c r="A20" s="634">
        <v>13</v>
      </c>
      <c r="B20" s="635" t="s">
        <v>525</v>
      </c>
      <c r="C20" s="613">
        <v>13</v>
      </c>
      <c r="D20" s="614" t="s">
        <v>288</v>
      </c>
      <c r="E20" s="614">
        <v>7</v>
      </c>
      <c r="F20" s="636" t="s">
        <v>291</v>
      </c>
      <c r="G20" s="613">
        <v>4</v>
      </c>
      <c r="H20" s="614" t="s">
        <v>288</v>
      </c>
      <c r="I20" s="614">
        <v>13</v>
      </c>
      <c r="J20" s="636" t="s">
        <v>567</v>
      </c>
      <c r="K20" s="613">
        <v>8</v>
      </c>
      <c r="L20" s="614" t="s">
        <v>288</v>
      </c>
      <c r="M20" s="614">
        <v>13</v>
      </c>
      <c r="N20" s="636" t="s">
        <v>536</v>
      </c>
      <c r="O20" s="613">
        <v>7</v>
      </c>
      <c r="P20" s="614" t="s">
        <v>288</v>
      </c>
      <c r="Q20" s="614">
        <v>11</v>
      </c>
      <c r="R20" s="636" t="s">
        <v>639</v>
      </c>
      <c r="S20" s="613"/>
      <c r="T20" s="614" t="s">
        <v>288</v>
      </c>
      <c r="U20" s="614"/>
      <c r="V20" s="636"/>
      <c r="W20" s="637">
        <f t="shared" si="17"/>
        <v>1</v>
      </c>
      <c r="X20" s="612">
        <v>12</v>
      </c>
      <c r="Y20" s="730">
        <v>46</v>
      </c>
      <c r="Z20" s="613">
        <f t="shared" si="8"/>
        <v>32</v>
      </c>
      <c r="AA20" s="614" t="s">
        <v>288</v>
      </c>
      <c r="AB20" s="615">
        <f t="shared" si="9"/>
        <v>44</v>
      </c>
      <c r="AC20" s="616">
        <f t="shared" si="10"/>
        <v>-12</v>
      </c>
      <c r="AD20" s="738"/>
      <c r="AE20" s="731">
        <f t="shared" si="12"/>
        <v>82</v>
      </c>
      <c r="AF20" s="732">
        <f>IFERROR(INDEX(V!R$7:R$56,MATCH(AG20,V!L$7:L$56,0)),"")</f>
        <v>34</v>
      </c>
      <c r="AG20" s="733" t="str">
        <f t="shared" si="13"/>
        <v>Kristel Tihhonjuk</v>
      </c>
      <c r="AH20" s="732">
        <f>IFERROR(INDEX(V!R$7:R$56,MATCH(AI20,V!L$7:L$56,0)),"")</f>
        <v>48</v>
      </c>
      <c r="AI20" s="733" t="str">
        <f t="shared" si="14"/>
        <v>Vadim Tihhonjuk</v>
      </c>
      <c r="AJ20" s="732" t="str">
        <f>IFERROR(INDEX(V!R$7:R$56,MATCH(AK20,V!L$7:L$56,0)),"")</f>
        <v/>
      </c>
      <c r="AK20" s="733" t="str">
        <f t="shared" si="15"/>
        <v/>
      </c>
      <c r="AL20" s="732" t="str">
        <f>IFERROR(INDEX(V!R$7:R$56,MATCH(AM20,V!L$7:L$56,0)),"")</f>
        <v/>
      </c>
      <c r="AM20" s="733" t="str">
        <f t="shared" si="16"/>
        <v/>
      </c>
      <c r="AN20" s="573"/>
    </row>
    <row r="21" spans="1:40" x14ac:dyDescent="0.2">
      <c r="A21" s="573"/>
      <c r="B21" s="735"/>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row>
    <row r="22" spans="1:40" x14ac:dyDescent="0.2">
      <c r="A22" s="573"/>
      <c r="B22" s="735"/>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row>
    <row r="23" spans="1:40" hidden="1" x14ac:dyDescent="0.2">
      <c r="A23" s="573"/>
      <c r="B23" s="735"/>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row>
    <row r="24" spans="1:40" hidden="1" x14ac:dyDescent="0.2">
      <c r="A24" s="573"/>
      <c r="B24" s="735"/>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row>
    <row r="25" spans="1:40" hidden="1" x14ac:dyDescent="0.2">
      <c r="A25" s="573"/>
      <c r="B25" s="735"/>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row>
    <row r="26" spans="1:40" hidden="1" x14ac:dyDescent="0.2">
      <c r="A26" s="573"/>
      <c r="B26" s="735"/>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row>
    <row r="27" spans="1:40" hidden="1" x14ac:dyDescent="0.2">
      <c r="A27" s="573"/>
      <c r="B27" s="735"/>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row>
    <row r="28" spans="1:40" hidden="1" x14ac:dyDescent="0.2">
      <c r="A28" s="573"/>
      <c r="B28" s="735"/>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row>
    <row r="29" spans="1:40" hidden="1" x14ac:dyDescent="0.2">
      <c r="A29" s="573"/>
      <c r="B29" s="735"/>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row>
    <row r="30" spans="1:40" hidden="1" x14ac:dyDescent="0.2">
      <c r="A30" s="573"/>
      <c r="B30" s="735"/>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row>
    <row r="31" spans="1:40" hidden="1" x14ac:dyDescent="0.2">
      <c r="A31" s="573"/>
      <c r="B31" s="735"/>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row>
    <row r="32" spans="1:40" hidden="1" x14ac:dyDescent="0.2">
      <c r="A32" s="573"/>
      <c r="B32" s="735"/>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row>
    <row r="33" spans="1:39" hidden="1" x14ac:dyDescent="0.2">
      <c r="A33" s="573"/>
      <c r="B33" s="735"/>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row>
    <row r="34" spans="1:39" hidden="1" x14ac:dyDescent="0.2">
      <c r="A34" s="573"/>
      <c r="B34" s="735"/>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row>
    <row r="35" spans="1:39" hidden="1" x14ac:dyDescent="0.2">
      <c r="A35" s="573"/>
      <c r="B35" s="735"/>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row>
    <row r="36" spans="1:39" hidden="1" x14ac:dyDescent="0.2">
      <c r="A36" s="573"/>
      <c r="B36" s="735"/>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row>
    <row r="37" spans="1:39" hidden="1" x14ac:dyDescent="0.2">
      <c r="A37" s="573"/>
      <c r="B37" s="735"/>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row>
    <row r="38" spans="1:39" hidden="1" x14ac:dyDescent="0.2">
      <c r="A38" s="573"/>
      <c r="B38" s="735"/>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row>
    <row r="39" spans="1:39" hidden="1" x14ac:dyDescent="0.2">
      <c r="A39" s="573"/>
      <c r="B39" s="735"/>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row>
    <row r="40" spans="1:39" hidden="1" x14ac:dyDescent="0.2">
      <c r="A40" s="573"/>
      <c r="B40" s="735"/>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row>
    <row r="41" spans="1:39" hidden="1" x14ac:dyDescent="0.2">
      <c r="A41" s="573"/>
      <c r="B41" s="735"/>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row>
    <row r="42" spans="1:39" hidden="1" x14ac:dyDescent="0.2">
      <c r="A42" s="573"/>
      <c r="B42" s="735"/>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row>
    <row r="43" spans="1:39" hidden="1" x14ac:dyDescent="0.2">
      <c r="A43" s="573"/>
      <c r="B43" s="735"/>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row>
    <row r="44" spans="1:39" hidden="1" x14ac:dyDescent="0.2">
      <c r="A44" s="573"/>
      <c r="B44" s="735"/>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row>
    <row r="45" spans="1:39" hidden="1" x14ac:dyDescent="0.2">
      <c r="A45" s="573"/>
      <c r="B45" s="735"/>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row>
    <row r="46" spans="1:39" hidden="1" x14ac:dyDescent="0.2">
      <c r="A46" s="573"/>
      <c r="B46" s="735"/>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row>
    <row r="47" spans="1:39" hidden="1" x14ac:dyDescent="0.2">
      <c r="A47" s="573"/>
      <c r="B47" s="735"/>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row>
    <row r="48" spans="1:39" hidden="1" x14ac:dyDescent="0.2">
      <c r="A48" s="573"/>
      <c r="B48" s="735"/>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row>
    <row r="49" spans="1:39" hidden="1" x14ac:dyDescent="0.2">
      <c r="A49" s="573"/>
      <c r="B49" s="735"/>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row>
    <row r="50" spans="1:39" hidden="1" x14ac:dyDescent="0.2">
      <c r="A50" s="573"/>
      <c r="B50" s="735"/>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row>
    <row r="51" spans="1:39" hidden="1" x14ac:dyDescent="0.2">
      <c r="A51" s="573"/>
      <c r="B51" s="735"/>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row>
    <row r="52" spans="1:39" hidden="1" x14ac:dyDescent="0.2">
      <c r="A52" s="573"/>
      <c r="B52" s="735"/>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row>
    <row r="53" spans="1:39" hidden="1" x14ac:dyDescent="0.2">
      <c r="A53" s="573"/>
      <c r="B53" s="735"/>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row>
    <row r="54" spans="1:39" hidden="1" x14ac:dyDescent="0.2">
      <c r="A54" s="573"/>
      <c r="B54" s="735"/>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row>
    <row r="55" spans="1:39" hidden="1" x14ac:dyDescent="0.2">
      <c r="A55" s="573"/>
      <c r="B55" s="735"/>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row>
    <row r="56" spans="1:39" hidden="1" x14ac:dyDescent="0.2">
      <c r="A56" s="573"/>
      <c r="B56" s="735"/>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row>
    <row r="57" spans="1:39" hidden="1" x14ac:dyDescent="0.2">
      <c r="A57" s="573"/>
      <c r="B57" s="735"/>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row>
    <row r="58" spans="1:39" hidden="1" x14ac:dyDescent="0.2">
      <c r="A58" s="573"/>
      <c r="B58" s="735"/>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row>
    <row r="59" spans="1:39" hidden="1" x14ac:dyDescent="0.2">
      <c r="A59" s="573"/>
      <c r="B59" s="735"/>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row>
    <row r="60" spans="1:39" hidden="1" x14ac:dyDescent="0.2">
      <c r="A60" s="573"/>
      <c r="B60" s="735"/>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row>
    <row r="61" spans="1:39" hidden="1" x14ac:dyDescent="0.2">
      <c r="A61" s="573"/>
      <c r="B61" s="735"/>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row>
    <row r="62" spans="1:39" hidden="1" x14ac:dyDescent="0.2">
      <c r="A62" s="573"/>
      <c r="B62" s="735"/>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row>
    <row r="63" spans="1:39" hidden="1" x14ac:dyDescent="0.2">
      <c r="A63" s="573"/>
      <c r="B63" s="735"/>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row>
    <row r="64" spans="1:39" hidden="1" x14ac:dyDescent="0.2">
      <c r="A64" s="573"/>
      <c r="B64" s="735"/>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row>
    <row r="65" spans="1:39" hidden="1" x14ac:dyDescent="0.2">
      <c r="A65" s="573"/>
      <c r="B65" s="735"/>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row>
    <row r="66" spans="1:39" hidden="1" x14ac:dyDescent="0.2">
      <c r="A66" s="573"/>
      <c r="B66" s="735"/>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row>
    <row r="67" spans="1:39" hidden="1" x14ac:dyDescent="0.2">
      <c r="A67" s="573"/>
      <c r="B67" s="735"/>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row>
    <row r="68" spans="1:39" hidden="1" x14ac:dyDescent="0.2">
      <c r="A68" s="573"/>
      <c r="B68" s="735"/>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row>
    <row r="69" spans="1:39" hidden="1" x14ac:dyDescent="0.2">
      <c r="A69" s="573"/>
      <c r="B69" s="735"/>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row>
    <row r="70" spans="1:39" hidden="1" x14ac:dyDescent="0.2">
      <c r="A70" s="573"/>
      <c r="B70" s="735"/>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row>
    <row r="71" spans="1:39" hidden="1" x14ac:dyDescent="0.2">
      <c r="A71" s="573"/>
      <c r="B71" s="735"/>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row>
    <row r="72" spans="1:39" hidden="1" x14ac:dyDescent="0.2">
      <c r="A72" s="573"/>
      <c r="B72" s="735"/>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row>
    <row r="73" spans="1:39" hidden="1" x14ac:dyDescent="0.2">
      <c r="A73" s="573"/>
      <c r="B73" s="735"/>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row>
    <row r="74" spans="1:39" hidden="1" x14ac:dyDescent="0.2">
      <c r="A74" s="573"/>
      <c r="B74" s="735"/>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row>
    <row r="75" spans="1:39" hidden="1" x14ac:dyDescent="0.2">
      <c r="A75" s="573"/>
      <c r="B75" s="735"/>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row>
    <row r="76" spans="1:39" hidden="1" x14ac:dyDescent="0.2">
      <c r="A76" s="573"/>
      <c r="B76" s="735"/>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row>
    <row r="77" spans="1:39" hidden="1" x14ac:dyDescent="0.2">
      <c r="A77" s="573"/>
      <c r="B77" s="735"/>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row>
    <row r="78" spans="1:39" hidden="1" x14ac:dyDescent="0.2">
      <c r="A78" s="573"/>
      <c r="B78" s="735"/>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row>
    <row r="79" spans="1:39" hidden="1" x14ac:dyDescent="0.2">
      <c r="A79" s="573"/>
      <c r="B79" s="735"/>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row>
    <row r="80" spans="1:39" hidden="1" x14ac:dyDescent="0.2">
      <c r="A80" s="573"/>
      <c r="B80" s="735"/>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row>
    <row r="81" spans="1:39" hidden="1" x14ac:dyDescent="0.2">
      <c r="A81" s="573"/>
      <c r="B81" s="735"/>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row>
    <row r="82" spans="1:39" hidden="1" x14ac:dyDescent="0.2">
      <c r="A82" s="573"/>
      <c r="B82" s="735"/>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row>
    <row r="83" spans="1:39" hidden="1" x14ac:dyDescent="0.2">
      <c r="A83" s="573"/>
      <c r="B83" s="735"/>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row>
    <row r="84" spans="1:39" hidden="1" x14ac:dyDescent="0.2">
      <c r="A84" s="573"/>
      <c r="B84" s="735"/>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row>
    <row r="85" spans="1:39" hidden="1" x14ac:dyDescent="0.2">
      <c r="A85" s="573"/>
      <c r="B85" s="735"/>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row>
    <row r="86" spans="1:39" hidden="1" x14ac:dyDescent="0.2">
      <c r="A86" s="573"/>
      <c r="B86" s="735"/>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row>
    <row r="87" spans="1:39" hidden="1" x14ac:dyDescent="0.2">
      <c r="A87" s="573"/>
      <c r="B87" s="735"/>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row>
    <row r="88" spans="1:39" hidden="1" x14ac:dyDescent="0.2">
      <c r="A88" s="573"/>
      <c r="B88" s="735"/>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row>
    <row r="89" spans="1:39" hidden="1" x14ac:dyDescent="0.2">
      <c r="A89" s="573"/>
      <c r="B89" s="735"/>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row>
    <row r="90" spans="1:39" hidden="1" x14ac:dyDescent="0.2">
      <c r="A90" s="573"/>
      <c r="B90" s="735"/>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row>
    <row r="91" spans="1:39" hidden="1" x14ac:dyDescent="0.2">
      <c r="A91" s="573"/>
      <c r="B91" s="735"/>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row>
    <row r="92" spans="1:39" hidden="1" x14ac:dyDescent="0.2">
      <c r="A92" s="573"/>
      <c r="B92" s="735"/>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row>
    <row r="93" spans="1:39" hidden="1" x14ac:dyDescent="0.2">
      <c r="A93" s="573"/>
      <c r="B93" s="735"/>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row>
    <row r="94" spans="1:39" hidden="1" x14ac:dyDescent="0.2">
      <c r="A94" s="573"/>
      <c r="B94" s="735"/>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row>
    <row r="95" spans="1:39" hidden="1" x14ac:dyDescent="0.2">
      <c r="A95" s="573"/>
      <c r="B95" s="735"/>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row>
    <row r="96" spans="1:39" hidden="1" x14ac:dyDescent="0.2">
      <c r="A96" s="573"/>
      <c r="B96" s="735"/>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row>
    <row r="97" spans="1:39" hidden="1" x14ac:dyDescent="0.2">
      <c r="A97" s="573"/>
      <c r="B97" s="735"/>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row>
    <row r="98" spans="1:39" hidden="1" x14ac:dyDescent="0.2">
      <c r="A98" s="573"/>
      <c r="B98" s="735"/>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row>
    <row r="99" spans="1:39" hidden="1" x14ac:dyDescent="0.2">
      <c r="A99" s="573"/>
      <c r="B99" s="735"/>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row>
    <row r="100" spans="1:39" hidden="1" x14ac:dyDescent="0.2">
      <c r="A100" s="573"/>
      <c r="B100" s="735"/>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row>
    <row r="101" spans="1:39" hidden="1" x14ac:dyDescent="0.2">
      <c r="A101" s="573"/>
      <c r="B101" s="735"/>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row>
    <row r="102" spans="1:39" hidden="1" x14ac:dyDescent="0.2">
      <c r="A102" s="573"/>
      <c r="B102" s="735"/>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row>
    <row r="103" spans="1:39" hidden="1" x14ac:dyDescent="0.2">
      <c r="A103" s="573"/>
      <c r="B103" s="735"/>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row>
    <row r="104" spans="1:39" hidden="1" x14ac:dyDescent="0.2">
      <c r="A104" s="573"/>
      <c r="B104" s="735"/>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row>
    <row r="105" spans="1:39" hidden="1" x14ac:dyDescent="0.2">
      <c r="A105" s="573"/>
      <c r="B105" s="735"/>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row>
    <row r="106" spans="1:39" hidden="1" x14ac:dyDescent="0.2">
      <c r="A106" s="573"/>
      <c r="B106" s="735"/>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row>
    <row r="107" spans="1:39" hidden="1" x14ac:dyDescent="0.2">
      <c r="A107" s="573"/>
      <c r="B107" s="735"/>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row>
    <row r="108" spans="1:39" hidden="1" x14ac:dyDescent="0.2">
      <c r="A108" s="573"/>
      <c r="B108" s="735"/>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row>
    <row r="109" spans="1:39" hidden="1" x14ac:dyDescent="0.2">
      <c r="A109" s="573"/>
      <c r="B109" s="735"/>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row>
    <row r="110" spans="1:39" hidden="1" x14ac:dyDescent="0.2">
      <c r="A110" s="573"/>
      <c r="B110" s="735"/>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row>
    <row r="111" spans="1:39" hidden="1" x14ac:dyDescent="0.2">
      <c r="A111" s="573"/>
      <c r="B111" s="735"/>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row>
    <row r="112" spans="1:39" hidden="1" x14ac:dyDescent="0.2">
      <c r="A112" s="573"/>
      <c r="B112" s="735"/>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row>
    <row r="113" spans="1:39" hidden="1" x14ac:dyDescent="0.2">
      <c r="A113" s="573"/>
      <c r="B113" s="735"/>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row>
    <row r="114" spans="1:39" hidden="1" x14ac:dyDescent="0.2">
      <c r="A114" s="573"/>
      <c r="B114" s="735"/>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row>
    <row r="115" spans="1:39" hidden="1" x14ac:dyDescent="0.2">
      <c r="A115" s="573"/>
      <c r="B115" s="735"/>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row>
    <row r="116" spans="1:39" hidden="1" x14ac:dyDescent="0.2">
      <c r="A116" s="573"/>
      <c r="B116" s="735"/>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row>
    <row r="117" spans="1:39" hidden="1" x14ac:dyDescent="0.2">
      <c r="A117" s="573"/>
      <c r="B117" s="735"/>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row>
    <row r="118" spans="1:39" hidden="1" x14ac:dyDescent="0.2">
      <c r="A118" s="573"/>
      <c r="B118" s="735"/>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row>
    <row r="119" spans="1:39" hidden="1" x14ac:dyDescent="0.2">
      <c r="A119" s="573"/>
      <c r="B119" s="735"/>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row>
    <row r="120" spans="1:39" hidden="1" x14ac:dyDescent="0.2">
      <c r="A120" s="573"/>
      <c r="B120" s="735"/>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row>
    <row r="121" spans="1:39" hidden="1" x14ac:dyDescent="0.2">
      <c r="A121" s="573"/>
      <c r="B121" s="735"/>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row>
    <row r="122" spans="1:39" hidden="1" x14ac:dyDescent="0.2">
      <c r="A122" s="573"/>
      <c r="B122" s="735"/>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row>
    <row r="123" spans="1:39" hidden="1" x14ac:dyDescent="0.2">
      <c r="A123" s="573"/>
      <c r="B123" s="735"/>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row>
    <row r="124" spans="1:39" hidden="1" x14ac:dyDescent="0.2">
      <c r="A124" s="573"/>
      <c r="B124" s="735"/>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row>
    <row r="125" spans="1:39" hidden="1" x14ac:dyDescent="0.2">
      <c r="A125" s="573"/>
      <c r="B125" s="735"/>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row>
    <row r="126" spans="1:39" hidden="1" x14ac:dyDescent="0.2">
      <c r="A126" s="573"/>
      <c r="B126" s="735"/>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row>
    <row r="127" spans="1:39" hidden="1" x14ac:dyDescent="0.2">
      <c r="A127" s="573"/>
      <c r="B127" s="735"/>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row>
    <row r="128" spans="1:39" hidden="1" x14ac:dyDescent="0.2">
      <c r="A128" s="573"/>
      <c r="B128" s="735"/>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row>
    <row r="129" spans="1:39" hidden="1" x14ac:dyDescent="0.2">
      <c r="A129" s="573"/>
      <c r="B129" s="735"/>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row>
    <row r="130" spans="1:39" hidden="1" x14ac:dyDescent="0.2">
      <c r="A130" s="573"/>
      <c r="B130" s="735"/>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row>
    <row r="131" spans="1:39" hidden="1" x14ac:dyDescent="0.2">
      <c r="A131" s="573"/>
      <c r="B131" s="735"/>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row>
    <row r="132" spans="1:39" hidden="1" x14ac:dyDescent="0.2">
      <c r="A132" s="573"/>
      <c r="B132" s="735"/>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row>
    <row r="133" spans="1:39" hidden="1" x14ac:dyDescent="0.2">
      <c r="A133" s="573"/>
      <c r="B133" s="735"/>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row>
    <row r="134" spans="1:39" hidden="1" x14ac:dyDescent="0.2">
      <c r="A134" s="573"/>
      <c r="B134" s="735"/>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row>
    <row r="135" spans="1:39" hidden="1" x14ac:dyDescent="0.2">
      <c r="A135" s="573"/>
      <c r="B135" s="735"/>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row>
    <row r="136" spans="1:39" hidden="1" x14ac:dyDescent="0.2">
      <c r="A136" s="573"/>
      <c r="B136" s="735"/>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row>
    <row r="137" spans="1:39" hidden="1" x14ac:dyDescent="0.2">
      <c r="A137" s="573"/>
      <c r="B137" s="735"/>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row>
    <row r="138" spans="1:39" hidden="1" x14ac:dyDescent="0.2">
      <c r="A138" s="573"/>
      <c r="B138" s="735"/>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row>
    <row r="139" spans="1:39" hidden="1" x14ac:dyDescent="0.2">
      <c r="A139" s="573"/>
      <c r="B139" s="735"/>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row>
    <row r="140" spans="1:39" hidden="1" x14ac:dyDescent="0.2">
      <c r="A140" s="573"/>
      <c r="B140" s="735"/>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row>
    <row r="141" spans="1:39" hidden="1" x14ac:dyDescent="0.2">
      <c r="A141" s="573"/>
      <c r="B141" s="735"/>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row>
    <row r="142" spans="1:39" hidden="1" x14ac:dyDescent="0.2">
      <c r="A142" s="573"/>
      <c r="B142" s="735"/>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row>
    <row r="143" spans="1:39" hidden="1" x14ac:dyDescent="0.2">
      <c r="A143" s="573"/>
      <c r="B143" s="735"/>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row>
    <row r="144" spans="1:39" hidden="1" x14ac:dyDescent="0.2">
      <c r="A144" s="573"/>
      <c r="B144" s="735"/>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row>
    <row r="145" spans="1:39" hidden="1" x14ac:dyDescent="0.2">
      <c r="A145" s="573"/>
      <c r="B145" s="735"/>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row>
    <row r="146" spans="1:39" hidden="1" x14ac:dyDescent="0.2">
      <c r="A146" s="573"/>
      <c r="B146" s="735"/>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row>
    <row r="147" spans="1:39" hidden="1" x14ac:dyDescent="0.2">
      <c r="A147" s="573"/>
      <c r="B147" s="735"/>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row>
    <row r="148" spans="1:39" hidden="1" x14ac:dyDescent="0.2">
      <c r="A148" s="573"/>
      <c r="B148" s="735"/>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row>
    <row r="149" spans="1:39" hidden="1" x14ac:dyDescent="0.2">
      <c r="A149" s="573"/>
      <c r="B149" s="735"/>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row>
    <row r="150" spans="1:39" hidden="1" x14ac:dyDescent="0.2">
      <c r="A150" s="573"/>
      <c r="B150" s="735"/>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row>
    <row r="151" spans="1:39" hidden="1" x14ac:dyDescent="0.2">
      <c r="A151" s="573"/>
      <c r="B151" s="735"/>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row>
    <row r="152" spans="1:39" hidden="1" x14ac:dyDescent="0.2">
      <c r="A152" s="573"/>
      <c r="B152" s="735"/>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row>
    <row r="153" spans="1:39" hidden="1" x14ac:dyDescent="0.2">
      <c r="A153" s="573"/>
      <c r="B153" s="735"/>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row>
    <row r="154" spans="1:39" hidden="1" x14ac:dyDescent="0.2">
      <c r="A154" s="573"/>
      <c r="B154" s="735"/>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row>
    <row r="155" spans="1:39" hidden="1" x14ac:dyDescent="0.2">
      <c r="A155" s="573"/>
      <c r="B155" s="735"/>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row>
    <row r="156" spans="1:39" hidden="1" x14ac:dyDescent="0.2">
      <c r="A156" s="573"/>
      <c r="B156" s="735"/>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row>
    <row r="157" spans="1:39" hidden="1" x14ac:dyDescent="0.2">
      <c r="A157" s="573"/>
      <c r="B157" s="735"/>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row>
    <row r="158" spans="1:39" hidden="1" x14ac:dyDescent="0.2">
      <c r="A158" s="573"/>
      <c r="B158" s="735"/>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row>
    <row r="159" spans="1:39" hidden="1" x14ac:dyDescent="0.2">
      <c r="A159" s="573"/>
      <c r="B159" s="735"/>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row>
    <row r="160" spans="1:39" hidden="1" x14ac:dyDescent="0.2">
      <c r="A160" s="573"/>
      <c r="B160" s="735"/>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row>
    <row r="161" spans="1:39" hidden="1" x14ac:dyDescent="0.2">
      <c r="A161" s="573"/>
      <c r="B161" s="735"/>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row>
    <row r="162" spans="1:39" hidden="1" x14ac:dyDescent="0.2">
      <c r="A162" s="573"/>
      <c r="B162" s="735"/>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row>
    <row r="163" spans="1:39" hidden="1" x14ac:dyDescent="0.2">
      <c r="A163" s="573"/>
      <c r="B163" s="735"/>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row>
    <row r="164" spans="1:39" hidden="1" x14ac:dyDescent="0.2">
      <c r="A164" s="573"/>
      <c r="B164" s="735"/>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row>
    <row r="165" spans="1:39" hidden="1" x14ac:dyDescent="0.2">
      <c r="A165" s="573"/>
      <c r="B165" s="735"/>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row>
    <row r="166" spans="1:39" hidden="1" x14ac:dyDescent="0.2">
      <c r="A166" s="573"/>
      <c r="B166" s="735"/>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row>
    <row r="167" spans="1:39" hidden="1" x14ac:dyDescent="0.2">
      <c r="A167" s="573"/>
      <c r="B167" s="735"/>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row>
    <row r="168" spans="1:39" hidden="1" x14ac:dyDescent="0.2">
      <c r="A168" s="573"/>
      <c r="B168" s="735"/>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row>
    <row r="169" spans="1:39" hidden="1" x14ac:dyDescent="0.2">
      <c r="A169" s="573"/>
      <c r="B169" s="735"/>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row>
    <row r="170" spans="1:39" hidden="1" x14ac:dyDescent="0.2">
      <c r="A170" s="573"/>
      <c r="B170" s="735"/>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row>
    <row r="171" spans="1:39" hidden="1" x14ac:dyDescent="0.2">
      <c r="A171" s="573"/>
      <c r="B171" s="735"/>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row>
    <row r="172" spans="1:39" hidden="1" x14ac:dyDescent="0.2">
      <c r="A172" s="573"/>
      <c r="B172" s="735"/>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row>
    <row r="173" spans="1:39" hidden="1" x14ac:dyDescent="0.2">
      <c r="A173" s="573"/>
      <c r="B173" s="735"/>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row>
    <row r="174" spans="1:39" hidden="1" x14ac:dyDescent="0.2">
      <c r="A174" s="573"/>
      <c r="B174" s="735"/>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row>
    <row r="175" spans="1:39" hidden="1" x14ac:dyDescent="0.2">
      <c r="A175" s="573"/>
      <c r="B175" s="735"/>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row>
    <row r="176" spans="1:39" hidden="1" x14ac:dyDescent="0.2">
      <c r="A176" s="573"/>
      <c r="B176" s="735"/>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row>
    <row r="177" spans="1:39" hidden="1" x14ac:dyDescent="0.2">
      <c r="A177" s="573"/>
      <c r="B177" s="735"/>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row>
    <row r="178" spans="1:39" hidden="1" x14ac:dyDescent="0.2">
      <c r="A178" s="573"/>
      <c r="B178" s="735"/>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row>
    <row r="179" spans="1:39" hidden="1" x14ac:dyDescent="0.2">
      <c r="A179" s="573"/>
      <c r="B179" s="735"/>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row>
    <row r="180" spans="1:39" hidden="1" x14ac:dyDescent="0.2">
      <c r="A180" s="573"/>
      <c r="B180" s="735"/>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row>
    <row r="181" spans="1:39" hidden="1" x14ac:dyDescent="0.2">
      <c r="A181" s="573"/>
      <c r="B181" s="735"/>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row>
    <row r="182" spans="1:39" hidden="1" x14ac:dyDescent="0.2">
      <c r="A182" s="573"/>
      <c r="B182" s="735"/>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row>
    <row r="183" spans="1:39" hidden="1" x14ac:dyDescent="0.2">
      <c r="A183" s="573"/>
      <c r="B183" s="735"/>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row>
    <row r="184" spans="1:39" hidden="1" x14ac:dyDescent="0.2">
      <c r="A184" s="573"/>
      <c r="B184" s="735"/>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row>
    <row r="185" spans="1:39" hidden="1" x14ac:dyDescent="0.2">
      <c r="A185" s="573"/>
      <c r="B185" s="735"/>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row>
    <row r="186" spans="1:39" hidden="1" x14ac:dyDescent="0.2">
      <c r="A186" s="573"/>
      <c r="B186" s="735"/>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row>
    <row r="187" spans="1:39" hidden="1" x14ac:dyDescent="0.2">
      <c r="A187" s="573"/>
      <c r="B187" s="735"/>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row>
    <row r="188" spans="1:39" hidden="1" x14ac:dyDescent="0.2">
      <c r="A188" s="573"/>
      <c r="B188" s="735"/>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row>
    <row r="189" spans="1:39" hidden="1" x14ac:dyDescent="0.2">
      <c r="A189" s="573"/>
      <c r="B189" s="735"/>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row>
    <row r="190" spans="1:39" hidden="1" x14ac:dyDescent="0.2">
      <c r="A190" s="573"/>
      <c r="B190" s="735"/>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row>
    <row r="191" spans="1:39" hidden="1" x14ac:dyDescent="0.2">
      <c r="A191" s="573"/>
      <c r="B191" s="735"/>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row>
    <row r="192" spans="1:39" hidden="1" x14ac:dyDescent="0.2">
      <c r="A192" s="573"/>
      <c r="B192" s="735"/>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row>
    <row r="193" spans="1:39" hidden="1" x14ac:dyDescent="0.2">
      <c r="A193" s="573"/>
      <c r="B193" s="735"/>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row>
    <row r="194" spans="1:39" hidden="1" x14ac:dyDescent="0.2">
      <c r="A194" s="573"/>
      <c r="B194" s="735"/>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row>
    <row r="195" spans="1:39" hidden="1" x14ac:dyDescent="0.2">
      <c r="A195" s="573"/>
      <c r="B195" s="735"/>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row>
    <row r="196" spans="1:39" hidden="1" x14ac:dyDescent="0.2">
      <c r="A196" s="573"/>
      <c r="B196" s="735"/>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row>
    <row r="197" spans="1:39" hidden="1" x14ac:dyDescent="0.2">
      <c r="A197" s="573"/>
      <c r="B197" s="735"/>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row>
    <row r="198" spans="1:39" hidden="1" x14ac:dyDescent="0.2">
      <c r="A198" s="573"/>
      <c r="B198" s="735"/>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row>
    <row r="199" spans="1:39" hidden="1" x14ac:dyDescent="0.2">
      <c r="A199" s="573"/>
      <c r="B199" s="735"/>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row>
    <row r="200" spans="1:39" hidden="1" x14ac:dyDescent="0.2">
      <c r="A200" s="573"/>
      <c r="B200" s="735"/>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row>
    <row r="201" spans="1:39" hidden="1" x14ac:dyDescent="0.2">
      <c r="A201" s="573"/>
      <c r="B201" s="735"/>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row>
    <row r="202" spans="1:39" hidden="1" x14ac:dyDescent="0.2">
      <c r="A202" s="573"/>
      <c r="B202" s="735"/>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row>
    <row r="203" spans="1:39" hidden="1" x14ac:dyDescent="0.2">
      <c r="A203" s="573"/>
      <c r="B203" s="735"/>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row>
    <row r="204" spans="1:39" hidden="1" x14ac:dyDescent="0.2">
      <c r="A204" s="573"/>
      <c r="B204" s="735"/>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row>
    <row r="205" spans="1:39" hidden="1" x14ac:dyDescent="0.2">
      <c r="A205" s="573"/>
      <c r="B205" s="735"/>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row>
    <row r="206" spans="1:39" hidden="1" x14ac:dyDescent="0.2">
      <c r="A206" s="573"/>
      <c r="B206" s="735"/>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row>
    <row r="207" spans="1:39" hidden="1" x14ac:dyDescent="0.2">
      <c r="A207" s="573"/>
      <c r="B207" s="735"/>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row>
    <row r="208" spans="1:39" hidden="1" x14ac:dyDescent="0.2">
      <c r="A208" s="573"/>
      <c r="B208" s="735"/>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row>
    <row r="209" spans="1:39" hidden="1" x14ac:dyDescent="0.2">
      <c r="A209" s="573"/>
      <c r="B209" s="735"/>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row>
    <row r="210" spans="1:39" hidden="1" x14ac:dyDescent="0.2">
      <c r="A210" s="573"/>
      <c r="B210" s="735"/>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row>
    <row r="211" spans="1:39" hidden="1" x14ac:dyDescent="0.2">
      <c r="A211" s="573"/>
      <c r="B211" s="735"/>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row>
    <row r="212" spans="1:39" hidden="1" x14ac:dyDescent="0.2">
      <c r="A212" s="573"/>
      <c r="B212" s="735"/>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row>
    <row r="213" spans="1:39" hidden="1" x14ac:dyDescent="0.2">
      <c r="A213" s="573"/>
      <c r="B213" s="735"/>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row>
    <row r="214" spans="1:39" hidden="1" x14ac:dyDescent="0.2">
      <c r="A214" s="573"/>
      <c r="B214" s="735"/>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row>
    <row r="215" spans="1:39" hidden="1" x14ac:dyDescent="0.2">
      <c r="A215" s="573"/>
      <c r="B215" s="735"/>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row>
    <row r="216" spans="1:39" hidden="1" x14ac:dyDescent="0.2">
      <c r="A216" s="573"/>
      <c r="B216" s="735"/>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row>
    <row r="217" spans="1:39" hidden="1" x14ac:dyDescent="0.2">
      <c r="A217" s="573"/>
      <c r="B217" s="735"/>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row>
    <row r="218" spans="1:39" hidden="1" x14ac:dyDescent="0.2">
      <c r="A218" s="573"/>
      <c r="B218" s="735"/>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row>
    <row r="219" spans="1:39" hidden="1" x14ac:dyDescent="0.2">
      <c r="A219" s="573"/>
      <c r="B219" s="735"/>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row>
    <row r="220" spans="1:39" hidden="1" x14ac:dyDescent="0.2">
      <c r="A220" s="573"/>
      <c r="B220" s="735"/>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row>
    <row r="221" spans="1:39" hidden="1" x14ac:dyDescent="0.2">
      <c r="A221" s="573"/>
      <c r="B221" s="735"/>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row>
    <row r="222" spans="1:39" hidden="1" x14ac:dyDescent="0.2">
      <c r="A222" s="573"/>
      <c r="B222" s="735"/>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row>
    <row r="223" spans="1:39" hidden="1" x14ac:dyDescent="0.2">
      <c r="A223" s="573"/>
      <c r="B223" s="735"/>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row>
    <row r="224" spans="1:39" hidden="1" x14ac:dyDescent="0.2">
      <c r="A224" s="573"/>
      <c r="B224" s="735"/>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row>
    <row r="225" spans="1:39" hidden="1" x14ac:dyDescent="0.2">
      <c r="A225" s="573"/>
      <c r="B225" s="735"/>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row>
    <row r="226" spans="1:39" hidden="1" x14ac:dyDescent="0.2">
      <c r="A226" s="573"/>
      <c r="B226" s="735"/>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row>
    <row r="227" spans="1:39" hidden="1" x14ac:dyDescent="0.2">
      <c r="A227" s="573"/>
      <c r="B227" s="735"/>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row>
    <row r="228" spans="1:39" hidden="1" x14ac:dyDescent="0.2">
      <c r="A228" s="573"/>
      <c r="B228" s="735"/>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row>
    <row r="229" spans="1:39" hidden="1" x14ac:dyDescent="0.2">
      <c r="A229" s="573"/>
      <c r="B229" s="735"/>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row>
    <row r="230" spans="1:39" hidden="1" x14ac:dyDescent="0.2">
      <c r="A230" s="573"/>
      <c r="B230" s="735"/>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row>
    <row r="231" spans="1:39" hidden="1" x14ac:dyDescent="0.2">
      <c r="A231" s="573"/>
      <c r="B231" s="735"/>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row>
    <row r="232" spans="1:39" hidden="1" x14ac:dyDescent="0.2">
      <c r="A232" s="573"/>
      <c r="B232" s="735"/>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row>
    <row r="233" spans="1:39" hidden="1" x14ac:dyDescent="0.2">
      <c r="A233" s="573"/>
      <c r="B233" s="735"/>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row>
    <row r="234" spans="1:39" hidden="1" x14ac:dyDescent="0.2">
      <c r="A234" s="573"/>
      <c r="B234" s="735"/>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row>
    <row r="235" spans="1:39" hidden="1" x14ac:dyDescent="0.2">
      <c r="A235" s="573"/>
      <c r="B235" s="735"/>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row>
    <row r="236" spans="1:39" hidden="1" x14ac:dyDescent="0.2">
      <c r="A236" s="573"/>
      <c r="B236" s="735"/>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row>
    <row r="237" spans="1:39" hidden="1" x14ac:dyDescent="0.2">
      <c r="A237" s="573"/>
      <c r="B237" s="735"/>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row>
    <row r="238" spans="1:39" hidden="1" x14ac:dyDescent="0.2">
      <c r="A238" s="573"/>
      <c r="B238" s="735"/>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row>
    <row r="239" spans="1:39" hidden="1" x14ac:dyDescent="0.2">
      <c r="A239" s="573"/>
      <c r="B239" s="735"/>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row>
    <row r="240" spans="1:39" hidden="1" x14ac:dyDescent="0.2">
      <c r="A240" s="573"/>
      <c r="B240" s="735"/>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row>
    <row r="241" spans="1:39" hidden="1" x14ac:dyDescent="0.2">
      <c r="A241" s="573"/>
      <c r="B241" s="735"/>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row>
    <row r="242" spans="1:39" hidden="1" x14ac:dyDescent="0.2">
      <c r="A242" s="573"/>
      <c r="B242" s="735"/>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row>
    <row r="243" spans="1:39" hidden="1" x14ac:dyDescent="0.2">
      <c r="A243" s="573"/>
      <c r="B243" s="735"/>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row>
    <row r="244" spans="1:39" hidden="1" x14ac:dyDescent="0.2">
      <c r="A244" s="573"/>
      <c r="B244" s="735"/>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row>
    <row r="245" spans="1:39" hidden="1" x14ac:dyDescent="0.2">
      <c r="A245" s="573"/>
      <c r="B245" s="735"/>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row>
    <row r="246" spans="1:39" hidden="1" x14ac:dyDescent="0.2">
      <c r="A246" s="573"/>
      <c r="B246" s="735"/>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row>
    <row r="247" spans="1:39" hidden="1" x14ac:dyDescent="0.2">
      <c r="A247" s="573"/>
      <c r="B247" s="735"/>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row>
    <row r="248" spans="1:39" hidden="1" x14ac:dyDescent="0.2">
      <c r="A248" s="573"/>
      <c r="B248" s="735"/>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row>
    <row r="249" spans="1:39" hidden="1" x14ac:dyDescent="0.2">
      <c r="A249" s="573"/>
      <c r="B249" s="735"/>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row>
    <row r="250" spans="1:39" hidden="1" x14ac:dyDescent="0.2">
      <c r="A250" s="573"/>
      <c r="B250" s="735"/>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row>
    <row r="251" spans="1:39" hidden="1" x14ac:dyDescent="0.2">
      <c r="A251" s="573"/>
      <c r="B251" s="735"/>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row>
    <row r="252" spans="1:39" hidden="1" x14ac:dyDescent="0.2">
      <c r="A252" s="573"/>
      <c r="B252" s="735"/>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row>
    <row r="253" spans="1:39" hidden="1" x14ac:dyDescent="0.2">
      <c r="A253" s="573"/>
      <c r="B253" s="735"/>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row>
    <row r="254" spans="1:39" hidden="1" x14ac:dyDescent="0.2">
      <c r="A254" s="573"/>
      <c r="B254" s="735"/>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row>
    <row r="255" spans="1:39" hidden="1" x14ac:dyDescent="0.2">
      <c r="A255" s="573"/>
      <c r="B255" s="735"/>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row>
    <row r="256" spans="1:39" hidden="1" x14ac:dyDescent="0.2">
      <c r="A256" s="573"/>
      <c r="B256" s="735"/>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row>
    <row r="257" spans="1:39" hidden="1" x14ac:dyDescent="0.2">
      <c r="A257" s="573"/>
      <c r="B257" s="735"/>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row>
    <row r="258" spans="1:39" hidden="1" x14ac:dyDescent="0.2">
      <c r="A258" s="573"/>
      <c r="B258" s="735"/>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row>
    <row r="259" spans="1:39" hidden="1" x14ac:dyDescent="0.2">
      <c r="A259" s="573"/>
      <c r="B259" s="735"/>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row>
    <row r="260" spans="1:39" hidden="1" x14ac:dyDescent="0.2">
      <c r="A260" s="573"/>
      <c r="B260" s="735"/>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row>
    <row r="261" spans="1:39" hidden="1" x14ac:dyDescent="0.2">
      <c r="A261" s="573"/>
      <c r="B261" s="735"/>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row>
    <row r="262" spans="1:39" hidden="1" x14ac:dyDescent="0.2">
      <c r="A262" s="573"/>
      <c r="B262" s="735"/>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row>
    <row r="263" spans="1:39" hidden="1" x14ac:dyDescent="0.2">
      <c r="A263" s="573"/>
      <c r="B263" s="735"/>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row>
    <row r="264" spans="1:39" hidden="1" x14ac:dyDescent="0.2">
      <c r="A264" s="573"/>
      <c r="B264" s="735"/>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row>
    <row r="265" spans="1:39" hidden="1" x14ac:dyDescent="0.2">
      <c r="A265" s="573"/>
      <c r="B265" s="735"/>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row>
    <row r="266" spans="1:39" hidden="1" x14ac:dyDescent="0.2">
      <c r="A266" s="573"/>
      <c r="B266" s="735"/>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row>
    <row r="267" spans="1:39" hidden="1" x14ac:dyDescent="0.2">
      <c r="A267" s="573"/>
      <c r="B267" s="735"/>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row>
    <row r="268" spans="1:39" hidden="1" x14ac:dyDescent="0.2">
      <c r="A268" s="573"/>
      <c r="B268" s="735"/>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row>
    <row r="269" spans="1:39" hidden="1" x14ac:dyDescent="0.2">
      <c r="A269" s="573"/>
      <c r="B269" s="735"/>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row>
    <row r="270" spans="1:39" hidden="1" x14ac:dyDescent="0.2">
      <c r="A270" s="573"/>
      <c r="B270" s="735"/>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row>
    <row r="271" spans="1:39" hidden="1" x14ac:dyDescent="0.2">
      <c r="A271" s="573"/>
      <c r="B271" s="735"/>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row>
    <row r="272" spans="1:39" hidden="1" x14ac:dyDescent="0.2">
      <c r="A272" s="573"/>
      <c r="B272" s="735"/>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row>
    <row r="273" spans="1:39" hidden="1" x14ac:dyDescent="0.2">
      <c r="A273" s="573"/>
      <c r="B273" s="735"/>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row>
    <row r="274" spans="1:39" hidden="1" x14ac:dyDescent="0.2">
      <c r="A274" s="573"/>
      <c r="B274" s="735"/>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row>
    <row r="275" spans="1:39" hidden="1" x14ac:dyDescent="0.2">
      <c r="A275" s="573"/>
      <c r="B275" s="735"/>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row>
    <row r="276" spans="1:39" hidden="1" x14ac:dyDescent="0.2">
      <c r="A276" s="573"/>
      <c r="B276" s="735"/>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row>
    <row r="277" spans="1:39" hidden="1" x14ac:dyDescent="0.2">
      <c r="A277" s="573"/>
      <c r="B277" s="735"/>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row>
    <row r="278" spans="1:39" hidden="1" x14ac:dyDescent="0.2">
      <c r="A278" s="573"/>
      <c r="B278" s="735"/>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row>
    <row r="279" spans="1:39" hidden="1" x14ac:dyDescent="0.2">
      <c r="A279" s="573"/>
      <c r="B279" s="735"/>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row>
    <row r="280" spans="1:39" hidden="1" x14ac:dyDescent="0.2">
      <c r="A280" s="573"/>
      <c r="B280" s="735"/>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row>
    <row r="281" spans="1:39" hidden="1" x14ac:dyDescent="0.2">
      <c r="A281" s="573"/>
      <c r="B281" s="735"/>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row>
    <row r="282" spans="1:39" hidden="1" x14ac:dyDescent="0.2">
      <c r="A282" s="573"/>
      <c r="B282" s="735"/>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row>
    <row r="283" spans="1:39" hidden="1" x14ac:dyDescent="0.2">
      <c r="A283" s="573"/>
      <c r="B283" s="735"/>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row>
    <row r="284" spans="1:39"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row>
    <row r="285" spans="1:39"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row>
    <row r="286" spans="1:39"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row>
    <row r="287" spans="1:39"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row>
    <row r="288" spans="1:39"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row>
    <row r="289" spans="1:39"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row>
    <row r="290" spans="1:39"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row>
    <row r="291" spans="1:39"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row>
    <row r="292" spans="1:39"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row>
    <row r="293" spans="1:39"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row>
    <row r="294" spans="1:39" hidden="1" x14ac:dyDescent="0.2"/>
    <row r="295" spans="1:39" hidden="1" x14ac:dyDescent="0.2"/>
    <row r="296" spans="1:39" hidden="1" x14ac:dyDescent="0.2"/>
    <row r="297" spans="1:39" hidden="1" x14ac:dyDescent="0.2"/>
    <row r="298" spans="1:39" hidden="1" x14ac:dyDescent="0.2"/>
    <row r="299" spans="1:39" x14ac:dyDescent="0.2">
      <c r="A299" s="573"/>
      <c r="B299" s="735"/>
      <c r="C299" s="584" t="s">
        <v>54</v>
      </c>
    </row>
    <row r="300" spans="1:39" ht="25.5" x14ac:dyDescent="0.2">
      <c r="A300" s="627">
        <v>1</v>
      </c>
      <c r="B300" s="628" t="str">
        <f t="shared" ref="B300:B310" si="18">IFERROR(INDEX(B$1:B$85,MATCH(A300,A$1:A$85,0)),"")</f>
        <v>Aleksander Korikov, Oksana Rõndenkova, Oleg Rõndenkov</v>
      </c>
      <c r="C300" s="734">
        <f>LARGE(A$300:A$400,1)*2+2-A300*2</f>
        <v>26</v>
      </c>
    </row>
    <row r="301" spans="1:39" x14ac:dyDescent="0.2">
      <c r="A301" s="627">
        <v>2</v>
      </c>
      <c r="B301" s="628" t="str">
        <f t="shared" si="18"/>
        <v>Kenneth Muusikus, Sander Rose</v>
      </c>
      <c r="C301" s="734">
        <f t="shared" ref="C301:C310" si="19">LARGE(A$300:A$400,1)*2+2-A301*2</f>
        <v>24</v>
      </c>
    </row>
    <row r="302" spans="1:39" x14ac:dyDescent="0.2">
      <c r="A302" s="627">
        <v>3</v>
      </c>
      <c r="B302" s="628" t="str">
        <f t="shared" si="18"/>
        <v>Kaspar Mänd, Olav Türk</v>
      </c>
      <c r="C302" s="734">
        <f t="shared" si="19"/>
        <v>22</v>
      </c>
    </row>
    <row r="303" spans="1:39" x14ac:dyDescent="0.2">
      <c r="A303" s="627">
        <v>4</v>
      </c>
      <c r="B303" s="628" t="str">
        <f t="shared" si="18"/>
        <v>Ljudmila Varendi, Viktor Švarõgin</v>
      </c>
      <c r="C303" s="734">
        <f t="shared" si="19"/>
        <v>20</v>
      </c>
    </row>
    <row r="304" spans="1:39" x14ac:dyDescent="0.2">
      <c r="A304" s="627">
        <v>5</v>
      </c>
      <c r="B304" s="628" t="str">
        <f t="shared" si="18"/>
        <v>Elmo Lageda, Boriss Klubov</v>
      </c>
      <c r="C304" s="734">
        <f t="shared" si="19"/>
        <v>18</v>
      </c>
    </row>
    <row r="305" spans="1:3" x14ac:dyDescent="0.2">
      <c r="A305" s="627">
        <v>6</v>
      </c>
      <c r="B305" s="628" t="str">
        <f t="shared" si="18"/>
        <v>Andres Veski, Svetlana Veski</v>
      </c>
      <c r="C305" s="734">
        <f t="shared" si="19"/>
        <v>16</v>
      </c>
    </row>
    <row r="306" spans="1:3" x14ac:dyDescent="0.2">
      <c r="A306" s="627">
        <v>7</v>
      </c>
      <c r="B306" s="628" t="str">
        <f t="shared" si="18"/>
        <v>Lauri Vaino, Meelis Luud</v>
      </c>
      <c r="C306" s="734">
        <f t="shared" si="19"/>
        <v>14</v>
      </c>
    </row>
    <row r="307" spans="1:3" x14ac:dyDescent="0.2">
      <c r="A307" s="627">
        <v>8</v>
      </c>
      <c r="B307" s="628" t="str">
        <f t="shared" si="18"/>
        <v>Johannes Neiland, Marta Bernat</v>
      </c>
      <c r="C307" s="734">
        <f t="shared" si="19"/>
        <v>12</v>
      </c>
    </row>
    <row r="308" spans="1:3" x14ac:dyDescent="0.2">
      <c r="A308" s="627">
        <v>9</v>
      </c>
      <c r="B308" s="628" t="str">
        <f t="shared" si="18"/>
        <v>Liis Mägi, Marko Rooden</v>
      </c>
      <c r="C308" s="734">
        <f t="shared" si="19"/>
        <v>10</v>
      </c>
    </row>
    <row r="309" spans="1:3" x14ac:dyDescent="0.2">
      <c r="A309" s="627">
        <v>10</v>
      </c>
      <c r="B309" s="628" t="str">
        <f t="shared" si="18"/>
        <v>Andrei Grintšak, Sirje Maala</v>
      </c>
      <c r="C309" s="734">
        <f t="shared" si="19"/>
        <v>8</v>
      </c>
    </row>
    <row r="310" spans="1:3" x14ac:dyDescent="0.2">
      <c r="A310" s="627">
        <v>11</v>
      </c>
      <c r="B310" s="628" t="str">
        <f t="shared" si="18"/>
        <v>Tõnu Kapper, Vladimir Ogneštšikov</v>
      </c>
      <c r="C310" s="734">
        <f t="shared" si="19"/>
        <v>6</v>
      </c>
    </row>
    <row r="311" spans="1:3" x14ac:dyDescent="0.2">
      <c r="A311" s="627">
        <v>12</v>
      </c>
      <c r="B311" s="628" t="str">
        <f t="shared" ref="B311:B312" si="20">IFERROR(INDEX(B$1:B$85,MATCH(A311,A$1:A$85,0)),"")</f>
        <v>Jaan Saar, Urmas Randlaine</v>
      </c>
      <c r="C311" s="734">
        <f t="shared" ref="C311:C312" si="21">LARGE(A$300:A$400,1)*2+2-A311*2</f>
        <v>4</v>
      </c>
    </row>
    <row r="312" spans="1:3" x14ac:dyDescent="0.2">
      <c r="A312" s="627">
        <v>13</v>
      </c>
      <c r="B312" s="628" t="str">
        <f t="shared" si="20"/>
        <v>Kristel Tihhonjuk, Vadim Tihhonjuk</v>
      </c>
      <c r="C312" s="734">
        <f t="shared" si="21"/>
        <v>2</v>
      </c>
    </row>
    <row r="313" spans="1:3" x14ac:dyDescent="0.2">
      <c r="C313" s="734"/>
    </row>
  </sheetData>
  <conditionalFormatting sqref="C8:C20">
    <cfRule type="expression" dxfId="375" priority="21">
      <formula>IF($C8&gt;$E8,TRUE)</formula>
    </cfRule>
  </conditionalFormatting>
  <conditionalFormatting sqref="E8:E20">
    <cfRule type="expression" dxfId="374" priority="22">
      <formula>IF($C8&lt;$E8,TRUE)</formula>
    </cfRule>
  </conditionalFormatting>
  <conditionalFormatting sqref="K8:K20">
    <cfRule type="expression" dxfId="373" priority="29">
      <formula>IF($K8&gt;$M8,TRUE)</formula>
    </cfRule>
  </conditionalFormatting>
  <conditionalFormatting sqref="M8:M20">
    <cfRule type="expression" dxfId="372" priority="30">
      <formula>IF($K8&lt;$M8,TRUE)</formula>
    </cfRule>
  </conditionalFormatting>
  <conditionalFormatting sqref="O8:O20">
    <cfRule type="expression" dxfId="371" priority="33">
      <formula>IF($O8&gt;$Q8,TRUE)</formula>
    </cfRule>
  </conditionalFormatting>
  <conditionalFormatting sqref="Q8:Q20">
    <cfRule type="expression" dxfId="370" priority="34">
      <formula>IF($O8&lt;$Q8,TRUE)</formula>
    </cfRule>
  </conditionalFormatting>
  <conditionalFormatting sqref="S8:S20">
    <cfRule type="expression" dxfId="369" priority="37">
      <formula>IF($S8&gt;$U8,TRUE)</formula>
    </cfRule>
  </conditionalFormatting>
  <conditionalFormatting sqref="U8:U20">
    <cfRule type="expression" dxfId="368" priority="38">
      <formula>IF($S8&lt;$U8,TRUE)</formula>
    </cfRule>
  </conditionalFormatting>
  <conditionalFormatting sqref="G8:G20">
    <cfRule type="expression" dxfId="367" priority="25">
      <formula>IF($G8&gt;$I8,TRUE)</formula>
    </cfRule>
  </conditionalFormatting>
  <conditionalFormatting sqref="I8:I20">
    <cfRule type="expression" dxfId="366" priority="26">
      <formula>IF($G8&lt;$I8,TRUE)</formula>
    </cfRule>
  </conditionalFormatting>
  <conditionalFormatting sqref="F8:F20">
    <cfRule type="containsText" dxfId="365" priority="12" operator="containsText" text="vaba voor">
      <formula>NOT(ISERROR(SEARCH("vaba voor",F8)))</formula>
    </cfRule>
  </conditionalFormatting>
  <conditionalFormatting sqref="N8:N20">
    <cfRule type="containsText" dxfId="364" priority="10" operator="containsText" text="vaba voor">
      <formula>NOT(ISERROR(SEARCH("vaba voor",N8)))</formula>
    </cfRule>
  </conditionalFormatting>
  <conditionalFormatting sqref="R8:R20">
    <cfRule type="containsText" dxfId="363" priority="13" operator="containsText" text="vaba voor">
      <formula>NOT(ISERROR(SEARCH("vaba voor",R8)))</formula>
    </cfRule>
  </conditionalFormatting>
  <conditionalFormatting sqref="V8:V20">
    <cfRule type="containsText" dxfId="362" priority="9" operator="containsText" text="vaba voor">
      <formula>NOT(ISERROR(SEARCH("vaba voor",V8)))</formula>
    </cfRule>
  </conditionalFormatting>
  <conditionalFormatting sqref="J8:J20">
    <cfRule type="containsText" dxfId="361" priority="11" operator="containsText" text="vaba voor">
      <formula>NOT(ISERROR(SEARCH("vaba voor",J8)))</formula>
    </cfRule>
  </conditionalFormatting>
  <conditionalFormatting sqref="C8:F20">
    <cfRule type="expression" dxfId="360" priority="17">
      <formula>IF(AND(ISNUMBER($C8),$C8=$E8),TRUE)</formula>
    </cfRule>
    <cfRule type="expression" dxfId="359" priority="19">
      <formula>IF($C8&gt;$E8,TRUE)</formula>
    </cfRule>
    <cfRule type="expression" dxfId="358" priority="20">
      <formula>IF($C8&lt;$E8,TRUE)</formula>
    </cfRule>
  </conditionalFormatting>
  <conditionalFormatting sqref="G8:J20">
    <cfRule type="expression" dxfId="357" priority="18">
      <formula>IF(AND(ISNUMBER($G8),$G8=$I8),TRUE)</formula>
    </cfRule>
    <cfRule type="expression" dxfId="356" priority="23">
      <formula>IF($G8&gt;$I8,TRUE)</formula>
    </cfRule>
    <cfRule type="expression" dxfId="355" priority="24">
      <formula>IF($G8&lt;$I8,TRUE)</formula>
    </cfRule>
  </conditionalFormatting>
  <conditionalFormatting sqref="K8:N20">
    <cfRule type="expression" dxfId="354" priority="16">
      <formula>IF(AND(ISNUMBER($K8),$K8=$M8),TRUE)</formula>
    </cfRule>
    <cfRule type="expression" dxfId="353" priority="27">
      <formula>IF($K8&gt;$M8,TRUE)</formula>
    </cfRule>
    <cfRule type="expression" dxfId="352" priority="28">
      <formula>IF($K8&lt;$M8,TRUE)</formula>
    </cfRule>
  </conditionalFormatting>
  <conditionalFormatting sqref="O8:R20">
    <cfRule type="expression" dxfId="351" priority="15">
      <formula>IF(AND(ISNUMBER($O8),$O8=$Q8),TRUE)</formula>
    </cfRule>
    <cfRule type="expression" dxfId="350" priority="31">
      <formula>IF($O8&gt;$Q8,TRUE)</formula>
    </cfRule>
    <cfRule type="expression" dxfId="349" priority="32">
      <formula>IF($O8&lt;$Q8,TRUE)</formula>
    </cfRule>
  </conditionalFormatting>
  <conditionalFormatting sqref="S8:V20">
    <cfRule type="expression" dxfId="348" priority="14">
      <formula>IF(AND(ISNUMBER($S8),$S8=$U8),TRUE)</formula>
    </cfRule>
    <cfRule type="expression" dxfId="347" priority="35">
      <formula>IF($S8&gt;$U8,TRUE)</formula>
    </cfRule>
    <cfRule type="expression" dxfId="346" priority="36">
      <formula>IF($S8&lt;$U8,TRUE)</formula>
    </cfRule>
  </conditionalFormatting>
  <conditionalFormatting sqref="C8:C20 G8:G20 K8:K20 O8:O20 S8:S20">
    <cfRule type="expression" dxfId="345" priority="7">
      <formula>AND(C8=0,E8=13)</formula>
    </cfRule>
  </conditionalFormatting>
  <conditionalFormatting sqref="E8:E20 I8:I20 M8:M20 Q8:Q20 U8:U20">
    <cfRule type="expression" dxfId="344" priority="8">
      <formula>AND(E8=0,C8=13)</formula>
    </cfRule>
  </conditionalFormatting>
  <conditionalFormatting sqref="A300:A312">
    <cfRule type="duplicateValues" dxfId="343" priority="39"/>
  </conditionalFormatting>
  <conditionalFormatting sqref="A8:A20">
    <cfRule type="duplicateValues" dxfId="342" priority="40"/>
  </conditionalFormatting>
  <conditionalFormatting sqref="B300:B312">
    <cfRule type="expression" dxfId="341" priority="41">
      <formula>A300=3</formula>
    </cfRule>
    <cfRule type="expression" dxfId="340" priority="42">
      <formula>A300=2</formula>
    </cfRule>
    <cfRule type="expression" dxfId="339" priority="43">
      <formula>A300=1</formula>
    </cfRule>
    <cfRule type="containsBlanks" dxfId="338" priority="44">
      <formula>LEN(TRIM(B300))=0</formula>
    </cfRule>
    <cfRule type="duplicateValues" dxfId="337" priority="45"/>
  </conditionalFormatting>
  <conditionalFormatting sqref="AG8:AG20 AK8:AK20 AM8:AM20">
    <cfRule type="expression" dxfId="336" priority="1">
      <formula>AND(AF8="",COUNTIF(AG8,"*,*")=0)</formula>
    </cfRule>
  </conditionalFormatting>
  <conditionalFormatting sqref="AI8:AI20">
    <cfRule type="expression" dxfId="335" priority="2">
      <formula>AND(AH8="",FIND(",",AI8))</formula>
    </cfRule>
    <cfRule type="expression" dxfId="334" priority="3">
      <formula>AND(AH8="",COUNTIF(AI8,"*,*")=0)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M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customWidth="1"/>
    <col min="25" max="25" width="7.42578125" style="581" customWidth="1"/>
    <col min="26" max="26" width="2.7109375" style="581" customWidth="1"/>
    <col min="27" max="27" width="1.7109375" style="581" customWidth="1"/>
    <col min="28" max="28" width="2.7109375" style="581" customWidth="1"/>
    <col min="29" max="29" width="4.7109375" style="581" customWidth="1"/>
    <col min="30" max="31" width="9.140625" style="581" hidden="1" customWidth="1"/>
    <col min="32" max="32" width="18.28515625" style="581" hidden="1" customWidth="1"/>
    <col min="33" max="33" width="9.140625" style="581" hidden="1" customWidth="1"/>
    <col min="34" max="34" width="15.28515625" style="581" hidden="1" customWidth="1"/>
    <col min="35" max="35" width="9.140625" style="581" hidden="1" customWidth="1"/>
    <col min="36" max="36" width="17.28515625" style="581" hidden="1" customWidth="1"/>
    <col min="37" max="37" width="9.140625" style="581" hidden="1" customWidth="1"/>
    <col min="38" max="38" width="13.85546875" style="581" hidden="1" customWidth="1"/>
    <col min="39" max="16384" width="9.140625" style="581"/>
  </cols>
  <sheetData>
    <row r="1" spans="1:39" x14ac:dyDescent="0.2">
      <c r="A1" s="572" t="str">
        <f>UPPER((Kalend!E29)&amp;" - "&amp;(Kalend!C29)&amp;" - "&amp;(Kalend!D29))</f>
        <v>V8 - VOKA IX KV 8. ETAPP - DUO</v>
      </c>
      <c r="B1" s="573"/>
      <c r="C1" s="574"/>
      <c r="D1" s="573"/>
      <c r="E1" s="573"/>
      <c r="F1" s="575"/>
      <c r="G1" s="575"/>
      <c r="H1" s="575"/>
      <c r="I1" s="575"/>
      <c r="J1" s="576"/>
      <c r="K1" s="577"/>
      <c r="L1" s="578"/>
      <c r="M1" s="579"/>
      <c r="N1" s="579"/>
      <c r="O1" s="573"/>
      <c r="P1" s="573"/>
      <c r="Q1" s="577"/>
      <c r="R1" s="577"/>
      <c r="S1" s="577"/>
      <c r="T1" s="578"/>
      <c r="U1" s="578"/>
      <c r="V1" s="578"/>
      <c r="W1" s="573"/>
      <c r="X1" s="574"/>
      <c r="Y1" s="573"/>
      <c r="Z1" s="573"/>
      <c r="AA1" s="573"/>
      <c r="AB1" s="573"/>
      <c r="AD1" s="582" t="s">
        <v>53</v>
      </c>
      <c r="AE1" s="580"/>
      <c r="AF1" s="580"/>
      <c r="AG1" s="580"/>
      <c r="AH1" s="580"/>
      <c r="AI1" s="580"/>
      <c r="AJ1" s="580"/>
      <c r="AK1" s="580"/>
      <c r="AL1" s="580"/>
      <c r="AM1" s="573"/>
    </row>
    <row r="2" spans="1:39" x14ac:dyDescent="0.2">
      <c r="A2" s="583" t="str">
        <f>"Toimumisaeg: "&amp;(Kalend!A29)&amp;" kell "&amp;(Kalend!B29)</f>
        <v>Toimumisaeg: T, 23.08.2022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721" t="s">
        <v>269</v>
      </c>
      <c r="AB2" s="573"/>
      <c r="AD2" s="573"/>
      <c r="AE2" s="573"/>
      <c r="AF2" s="573"/>
      <c r="AG2" s="573"/>
      <c r="AH2" s="573"/>
      <c r="AI2" s="573"/>
      <c r="AJ2" s="573"/>
      <c r="AK2" s="573"/>
      <c r="AL2" s="573"/>
      <c r="AM2" s="573"/>
    </row>
    <row r="3" spans="1:39" x14ac:dyDescent="0.2">
      <c r="A3" s="583" t="str">
        <f>"Toimumiskoht: "&amp;(Kalend!F29)</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c r="AG3" s="573"/>
      <c r="AH3" s="573"/>
      <c r="AI3" s="573"/>
      <c r="AJ3" s="573"/>
      <c r="AK3" s="573"/>
      <c r="AL3" s="573"/>
      <c r="AM3" s="573"/>
    </row>
    <row r="4" spans="1:39" x14ac:dyDescent="0.2">
      <c r="A4" s="583" t="str">
        <f>"Korraldaja: "&amp;(Kalend!G29)</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722" t="s">
        <v>273</v>
      </c>
      <c r="AE4" s="573"/>
      <c r="AF4" s="573"/>
      <c r="AG4" s="573"/>
      <c r="AH4" s="573"/>
      <c r="AI4" s="573"/>
      <c r="AJ4" s="573"/>
      <c r="AK4" s="573"/>
      <c r="AL4" s="573"/>
      <c r="AM4" s="573"/>
    </row>
    <row r="5" spans="1:39"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723" t="s">
        <v>14</v>
      </c>
      <c r="AE5" s="724"/>
      <c r="AF5" s="725"/>
      <c r="AG5" s="724"/>
      <c r="AH5" s="726"/>
      <c r="AI5" s="724"/>
      <c r="AJ5" s="724"/>
      <c r="AK5" s="724"/>
      <c r="AL5" s="724"/>
      <c r="AM5" s="573"/>
    </row>
    <row r="6" spans="1:39"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723" t="s">
        <v>275</v>
      </c>
      <c r="AE6" s="727"/>
      <c r="AF6" s="727" t="s">
        <v>276</v>
      </c>
      <c r="AG6" s="727"/>
      <c r="AH6" s="728" t="s">
        <v>277</v>
      </c>
      <c r="AI6" s="727"/>
      <c r="AJ6" s="727" t="s">
        <v>278</v>
      </c>
      <c r="AK6" s="618"/>
      <c r="AL6" s="727" t="s">
        <v>279</v>
      </c>
      <c r="AM6" s="573"/>
    </row>
    <row r="7" spans="1:39"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D7" s="723" t="s">
        <v>287</v>
      </c>
      <c r="AE7" s="724"/>
      <c r="AF7" s="725"/>
      <c r="AG7" s="724"/>
      <c r="AH7" s="725"/>
      <c r="AI7" s="729"/>
      <c r="AJ7" s="729"/>
      <c r="AK7" s="729"/>
      <c r="AL7" s="729"/>
      <c r="AM7" s="573"/>
    </row>
    <row r="8" spans="1:39" x14ac:dyDescent="0.2">
      <c r="A8" s="634">
        <v>1</v>
      </c>
      <c r="B8" s="635" t="s">
        <v>366</v>
      </c>
      <c r="C8" s="613">
        <v>13</v>
      </c>
      <c r="D8" s="614" t="s">
        <v>288</v>
      </c>
      <c r="E8" s="614">
        <v>9</v>
      </c>
      <c r="F8" s="636" t="s">
        <v>567</v>
      </c>
      <c r="G8" s="613">
        <v>13</v>
      </c>
      <c r="H8" s="614" t="s">
        <v>288</v>
      </c>
      <c r="I8" s="614">
        <v>10</v>
      </c>
      <c r="J8" s="636" t="s">
        <v>660</v>
      </c>
      <c r="K8" s="613">
        <v>13</v>
      </c>
      <c r="L8" s="614" t="s">
        <v>288</v>
      </c>
      <c r="M8" s="614">
        <v>12</v>
      </c>
      <c r="N8" s="636" t="s">
        <v>661</v>
      </c>
      <c r="O8" s="613">
        <v>13</v>
      </c>
      <c r="P8" s="614" t="s">
        <v>288</v>
      </c>
      <c r="Q8" s="614">
        <v>12</v>
      </c>
      <c r="R8" s="636" t="s">
        <v>662</v>
      </c>
      <c r="S8" s="613"/>
      <c r="T8" s="614" t="s">
        <v>288</v>
      </c>
      <c r="U8" s="614"/>
      <c r="V8" s="636"/>
      <c r="W8" s="637">
        <f>IF(C8&gt;E8,J$3,IF(C8&lt;E8,J$5,IF(ISNUMBER(C8),J$4,0)))+IF(G8&gt;I8,J$3,IF(G8&lt;I8,J$5,IF(ISNUMBER(G8),J$4,0)))+IF(K8&gt;M8,J$3,IF(K8&lt;M8,J$5,IF(ISNUMBER(K8),J$4,0)))+IF(O8&gt;Q8,J$3,IF(O8&lt;Q8,J$5,IF(ISNUMBER(O8),J$4,0)))+IF(S8&gt;U8,J$3,IF(S8&lt;U8,J$5,IF(ISNUMBER(S8),J$4,0)))</f>
        <v>4</v>
      </c>
      <c r="X8" s="612"/>
      <c r="Y8" s="730">
        <v>82</v>
      </c>
      <c r="Z8" s="613">
        <f t="shared" ref="Z8:Z18" si="0">C8+G8+K8+O8+S8</f>
        <v>52</v>
      </c>
      <c r="AA8" s="614" t="s">
        <v>288</v>
      </c>
      <c r="AB8" s="615">
        <f t="shared" ref="AB8:AB18" si="1">E8+I8+M8+Q8+U8</f>
        <v>43</v>
      </c>
      <c r="AC8" s="616">
        <f>Z8-AB8</f>
        <v>9</v>
      </c>
      <c r="AD8" s="731">
        <f t="shared" ref="AD8" si="2">SUM(AE8:AL8)</f>
        <v>104</v>
      </c>
      <c r="AE8" s="732">
        <f>IFERROR(INDEX(V!R$7:R$56,MATCH(AF8,V!L$7:L$56,0)),"")</f>
        <v>52</v>
      </c>
      <c r="AF8" s="733" t="str">
        <f t="shared" ref="AF8:AF18" si="3">IFERROR(LEFT(B8,(FIND(",",B8,1)-1)),"")</f>
        <v>Ljudmila Varendi</v>
      </c>
      <c r="AG8" s="732">
        <f>IFERROR(INDEX(V!R$7:R$56,MATCH(AH8,V!L$7:L$56,0)),"")</f>
        <v>52</v>
      </c>
      <c r="AH8" s="733" t="str">
        <f t="shared" ref="AH8:AH18" si="4">IFERROR(MID(B8,FIND(", ",B8)+2,256),"")</f>
        <v>Viktor Švarõgin</v>
      </c>
      <c r="AI8" s="732" t="str">
        <f>IFERROR(INDEX(V!R$7:R$56,MATCH(AJ8,V!L$7:L$56,0)),"")</f>
        <v/>
      </c>
      <c r="AJ8" s="733" t="str">
        <f t="shared" ref="AJ8:AJ18" si="5">IFERROR(MID(B8,FIND("^",SUBSTITUTE(B8,", ","^",1))+2,FIND("^",SUBSTITUTE(B8,", ","^",2))-FIND("^",SUBSTITUTE(B8,", ","^",1))-2),"")</f>
        <v/>
      </c>
      <c r="AK8" s="732" t="str">
        <f>IFERROR(INDEX(V!R$7:R$56,MATCH(AL8,V!L$7:L$56,0)),"")</f>
        <v/>
      </c>
      <c r="AL8" s="733" t="str">
        <f t="shared" ref="AL8:AL18" si="6">IFERROR(MID(B8,FIND(", ",B8,FIND(", ",B8,FIND(", ",B8))+1)+2,700),"")</f>
        <v/>
      </c>
      <c r="AM8" s="573"/>
    </row>
    <row r="9" spans="1:39" x14ac:dyDescent="0.2">
      <c r="A9" s="634">
        <v>2</v>
      </c>
      <c r="B9" s="635" t="s">
        <v>660</v>
      </c>
      <c r="C9" s="613">
        <v>13</v>
      </c>
      <c r="D9" s="614" t="s">
        <v>288</v>
      </c>
      <c r="E9" s="614">
        <v>3</v>
      </c>
      <c r="F9" s="636" t="s">
        <v>655</v>
      </c>
      <c r="G9" s="613">
        <v>10</v>
      </c>
      <c r="H9" s="614" t="s">
        <v>288</v>
      </c>
      <c r="I9" s="614">
        <v>13</v>
      </c>
      <c r="J9" s="636" t="s">
        <v>366</v>
      </c>
      <c r="K9" s="613">
        <v>13</v>
      </c>
      <c r="L9" s="614" t="s">
        <v>288</v>
      </c>
      <c r="M9" s="614">
        <v>5</v>
      </c>
      <c r="N9" s="636" t="s">
        <v>662</v>
      </c>
      <c r="O9" s="613">
        <v>13</v>
      </c>
      <c r="P9" s="614" t="s">
        <v>288</v>
      </c>
      <c r="Q9" s="614">
        <v>10</v>
      </c>
      <c r="R9" s="636" t="s">
        <v>661</v>
      </c>
      <c r="S9" s="613"/>
      <c r="T9" s="614" t="s">
        <v>288</v>
      </c>
      <c r="U9" s="614"/>
      <c r="V9" s="636"/>
      <c r="W9" s="637">
        <f t="shared" ref="W9:W18" si="7">IF(C9&gt;E9,J$3,IF(C9&lt;E9,J$5,IF(ISNUMBER(C9),J$4,0)))+IF(G9&gt;I9,J$3,IF(G9&lt;I9,J$5,IF(ISNUMBER(G9),J$4,0)))+IF(K9&gt;M9,J$3,IF(K9&lt;M9,J$5,IF(ISNUMBER(K9),J$4,0)))+IF(O9&gt;Q9,J$3,IF(O9&lt;Q9,J$5,IF(ISNUMBER(O9),J$4,0)))+IF(S9&gt;U9,J$3,IF(S9&lt;U9,J$5,IF(ISNUMBER(S9),J$4,0)))</f>
        <v>3</v>
      </c>
      <c r="X9" s="612"/>
      <c r="Y9" s="730">
        <v>66</v>
      </c>
      <c r="Z9" s="613">
        <f t="shared" si="0"/>
        <v>49</v>
      </c>
      <c r="AA9" s="614" t="s">
        <v>288</v>
      </c>
      <c r="AB9" s="615">
        <f t="shared" si="1"/>
        <v>31</v>
      </c>
      <c r="AC9" s="616">
        <f t="shared" ref="AC9:AC18" si="8">Z9-AB9</f>
        <v>18</v>
      </c>
      <c r="AD9" s="731">
        <f t="shared" ref="AD9:AD18" si="9">SUM(AE9:AL9)</f>
        <v>144</v>
      </c>
      <c r="AE9" s="732">
        <f>IFERROR(INDEX(V!R$7:R$56,MATCH(AF9,V!L$7:L$56,0)),"")</f>
        <v>48</v>
      </c>
      <c r="AF9" s="733" t="str">
        <f t="shared" si="3"/>
        <v>Oliver Ojasalu</v>
      </c>
      <c r="AG9" s="732">
        <f>IFERROR(INDEX(V!R$7:R$56,MATCH(AH9,V!L$7:L$56,0)),"")</f>
        <v>96</v>
      </c>
      <c r="AH9" s="733" t="str">
        <f t="shared" si="4"/>
        <v>Tõnis Neiland</v>
      </c>
      <c r="AI9" s="732" t="str">
        <f>IFERROR(INDEX(V!R$7:R$56,MATCH(AJ9,V!L$7:L$56,0)),"")</f>
        <v/>
      </c>
      <c r="AJ9" s="733" t="str">
        <f t="shared" si="5"/>
        <v/>
      </c>
      <c r="AK9" s="732" t="str">
        <f>IFERROR(INDEX(V!R$7:R$56,MATCH(AL9,V!L$7:L$56,0)),"")</f>
        <v/>
      </c>
      <c r="AL9" s="733" t="str">
        <f t="shared" si="6"/>
        <v/>
      </c>
      <c r="AM9" s="573"/>
    </row>
    <row r="10" spans="1:39" x14ac:dyDescent="0.2">
      <c r="A10" s="634">
        <v>3</v>
      </c>
      <c r="B10" s="635" t="s">
        <v>292</v>
      </c>
      <c r="C10" s="613">
        <v>13</v>
      </c>
      <c r="D10" s="614" t="s">
        <v>288</v>
      </c>
      <c r="E10" s="614">
        <v>12</v>
      </c>
      <c r="F10" s="636" t="s">
        <v>656</v>
      </c>
      <c r="G10" s="613">
        <v>9</v>
      </c>
      <c r="H10" s="614" t="s">
        <v>288</v>
      </c>
      <c r="I10" s="614">
        <v>11</v>
      </c>
      <c r="J10" s="636" t="s">
        <v>661</v>
      </c>
      <c r="K10" s="613">
        <v>13</v>
      </c>
      <c r="L10" s="614" t="s">
        <v>288</v>
      </c>
      <c r="M10" s="614">
        <v>12</v>
      </c>
      <c r="N10" s="636" t="s">
        <v>567</v>
      </c>
      <c r="O10" s="613">
        <v>12</v>
      </c>
      <c r="P10" s="614" t="s">
        <v>288</v>
      </c>
      <c r="Q10" s="614">
        <v>10</v>
      </c>
      <c r="R10" s="636" t="s">
        <v>663</v>
      </c>
      <c r="S10" s="613"/>
      <c r="T10" s="614" t="s">
        <v>288</v>
      </c>
      <c r="U10" s="614"/>
      <c r="V10" s="636"/>
      <c r="W10" s="637">
        <f t="shared" si="7"/>
        <v>3</v>
      </c>
      <c r="X10" s="612"/>
      <c r="Y10" s="730">
        <v>76</v>
      </c>
      <c r="Z10" s="613">
        <f t="shared" si="0"/>
        <v>47</v>
      </c>
      <c r="AA10" s="614" t="s">
        <v>288</v>
      </c>
      <c r="AB10" s="615">
        <f t="shared" si="1"/>
        <v>45</v>
      </c>
      <c r="AC10" s="616">
        <f t="shared" si="8"/>
        <v>2</v>
      </c>
      <c r="AD10" s="731">
        <f t="shared" si="9"/>
        <v>244</v>
      </c>
      <c r="AE10" s="732">
        <f>IFERROR(INDEX(V!R$7:R$56,MATCH(AF10,V!L$7:L$56,0)),"")</f>
        <v>122</v>
      </c>
      <c r="AF10" s="733" t="str">
        <f t="shared" si="3"/>
        <v>Oksana Rõndenkova</v>
      </c>
      <c r="AG10" s="732">
        <f>IFERROR(INDEX(V!R$7:R$56,MATCH(AH10,V!L$7:L$56,0)),"")</f>
        <v>122</v>
      </c>
      <c r="AH10" s="733" t="str">
        <f t="shared" si="4"/>
        <v>Oleg Rõndenkov</v>
      </c>
      <c r="AI10" s="732" t="str">
        <f>IFERROR(INDEX(V!R$7:R$56,MATCH(AJ10,V!L$7:L$56,0)),"")</f>
        <v/>
      </c>
      <c r="AJ10" s="733" t="str">
        <f t="shared" si="5"/>
        <v/>
      </c>
      <c r="AK10" s="732" t="str">
        <f>IFERROR(INDEX(V!R$7:R$56,MATCH(AL10,V!L$7:L$56,0)),"")</f>
        <v/>
      </c>
      <c r="AL10" s="733" t="str">
        <f t="shared" si="6"/>
        <v/>
      </c>
      <c r="AM10" s="573"/>
    </row>
    <row r="11" spans="1:39" x14ac:dyDescent="0.2">
      <c r="A11" s="634">
        <v>4</v>
      </c>
      <c r="B11" s="635" t="s">
        <v>655</v>
      </c>
      <c r="C11" s="613">
        <v>3</v>
      </c>
      <c r="D11" s="614" t="s">
        <v>288</v>
      </c>
      <c r="E11" s="614">
        <v>13</v>
      </c>
      <c r="F11" s="636" t="s">
        <v>660</v>
      </c>
      <c r="G11" s="613">
        <v>13</v>
      </c>
      <c r="H11" s="614" t="s">
        <v>288</v>
      </c>
      <c r="I11" s="614">
        <v>7</v>
      </c>
      <c r="J11" s="636" t="s">
        <v>291</v>
      </c>
      <c r="K11" s="613">
        <v>13</v>
      </c>
      <c r="L11" s="614" t="s">
        <v>288</v>
      </c>
      <c r="M11" s="614">
        <v>1</v>
      </c>
      <c r="N11" s="636" t="s">
        <v>658</v>
      </c>
      <c r="O11" s="613">
        <v>13</v>
      </c>
      <c r="P11" s="614" t="s">
        <v>288</v>
      </c>
      <c r="Q11" s="614">
        <v>11</v>
      </c>
      <c r="R11" s="636" t="s">
        <v>656</v>
      </c>
      <c r="S11" s="613"/>
      <c r="T11" s="614" t="s">
        <v>288</v>
      </c>
      <c r="U11" s="614"/>
      <c r="V11" s="636"/>
      <c r="W11" s="637">
        <f t="shared" si="7"/>
        <v>3</v>
      </c>
      <c r="X11" s="612"/>
      <c r="Y11" s="730">
        <v>62</v>
      </c>
      <c r="Z11" s="613">
        <f t="shared" si="0"/>
        <v>42</v>
      </c>
      <c r="AA11" s="614" t="s">
        <v>288</v>
      </c>
      <c r="AB11" s="615">
        <f t="shared" si="1"/>
        <v>32</v>
      </c>
      <c r="AC11" s="616">
        <f t="shared" si="8"/>
        <v>10</v>
      </c>
      <c r="AD11" s="731">
        <f t="shared" si="9"/>
        <v>212</v>
      </c>
      <c r="AE11" s="732">
        <f>IFERROR(INDEX(V!R$7:R$56,MATCH(AF11,V!L$7:L$56,0)),"")</f>
        <v>108</v>
      </c>
      <c r="AF11" s="733" t="str">
        <f t="shared" si="3"/>
        <v>Hillar Neiland</v>
      </c>
      <c r="AG11" s="732">
        <f>IFERROR(INDEX(V!R$7:R$56,MATCH(AH11,V!L$7:L$56,0)),"")</f>
        <v>104</v>
      </c>
      <c r="AH11" s="733" t="str">
        <f t="shared" si="4"/>
        <v>Kaspar Mänd</v>
      </c>
      <c r="AI11" s="732" t="str">
        <f>IFERROR(INDEX(V!R$7:R$56,MATCH(AJ11,V!L$7:L$56,0)),"")</f>
        <v/>
      </c>
      <c r="AJ11" s="733" t="str">
        <f t="shared" si="5"/>
        <v/>
      </c>
      <c r="AK11" s="732" t="str">
        <f>IFERROR(INDEX(V!R$7:R$56,MATCH(AL11,V!L$7:L$56,0)),"")</f>
        <v/>
      </c>
      <c r="AL11" s="733" t="str">
        <f t="shared" si="6"/>
        <v/>
      </c>
      <c r="AM11" s="573"/>
    </row>
    <row r="12" spans="1:39" x14ac:dyDescent="0.2">
      <c r="A12" s="634">
        <v>5</v>
      </c>
      <c r="B12" s="635" t="s">
        <v>661</v>
      </c>
      <c r="C12" s="613">
        <v>13</v>
      </c>
      <c r="D12" s="614" t="s">
        <v>288</v>
      </c>
      <c r="E12" s="614">
        <v>3</v>
      </c>
      <c r="F12" s="636" t="s">
        <v>658</v>
      </c>
      <c r="G12" s="613">
        <v>11</v>
      </c>
      <c r="H12" s="614" t="s">
        <v>288</v>
      </c>
      <c r="I12" s="614">
        <v>9</v>
      </c>
      <c r="J12" s="636" t="s">
        <v>292</v>
      </c>
      <c r="K12" s="613">
        <v>12</v>
      </c>
      <c r="L12" s="614" t="s">
        <v>288</v>
      </c>
      <c r="M12" s="614">
        <v>13</v>
      </c>
      <c r="N12" s="636" t="s">
        <v>366</v>
      </c>
      <c r="O12" s="613">
        <v>10</v>
      </c>
      <c r="P12" s="614" t="s">
        <v>288</v>
      </c>
      <c r="Q12" s="614">
        <v>13</v>
      </c>
      <c r="R12" s="636" t="s">
        <v>660</v>
      </c>
      <c r="S12" s="613"/>
      <c r="T12" s="614" t="s">
        <v>288</v>
      </c>
      <c r="U12" s="614"/>
      <c r="V12" s="636"/>
      <c r="W12" s="637">
        <f t="shared" si="7"/>
        <v>2</v>
      </c>
      <c r="X12" s="612"/>
      <c r="Y12" s="730">
        <v>62</v>
      </c>
      <c r="Z12" s="613">
        <f t="shared" si="0"/>
        <v>46</v>
      </c>
      <c r="AA12" s="614" t="s">
        <v>288</v>
      </c>
      <c r="AB12" s="615">
        <f t="shared" si="1"/>
        <v>38</v>
      </c>
      <c r="AC12" s="616">
        <f t="shared" si="8"/>
        <v>8</v>
      </c>
      <c r="AD12" s="731">
        <f t="shared" si="9"/>
        <v>98</v>
      </c>
      <c r="AE12" s="732">
        <f>IFERROR(INDEX(V!R$7:R$56,MATCH(AF12,V!L$7:L$56,0)),"")</f>
        <v>50</v>
      </c>
      <c r="AF12" s="733" t="str">
        <f t="shared" si="3"/>
        <v>Andrei Grintšak</v>
      </c>
      <c r="AG12" s="732">
        <f>IFERROR(INDEX(V!R$7:R$56,MATCH(AH12,V!L$7:L$56,0)),"")</f>
        <v>48</v>
      </c>
      <c r="AH12" s="733" t="str">
        <f t="shared" si="4"/>
        <v>Vadim Tihhonjuk</v>
      </c>
      <c r="AI12" s="732" t="str">
        <f>IFERROR(INDEX(V!R$7:R$56,MATCH(AJ12,V!L$7:L$56,0)),"")</f>
        <v/>
      </c>
      <c r="AJ12" s="733" t="str">
        <f t="shared" si="5"/>
        <v/>
      </c>
      <c r="AK12" s="732" t="str">
        <f>IFERROR(INDEX(V!R$7:R$56,MATCH(AL12,V!L$7:L$56,0)),"")</f>
        <v/>
      </c>
      <c r="AL12" s="733" t="str">
        <f t="shared" si="6"/>
        <v/>
      </c>
      <c r="AM12" s="573"/>
    </row>
    <row r="13" spans="1:39" x14ac:dyDescent="0.2">
      <c r="A13" s="634">
        <v>6</v>
      </c>
      <c r="B13" s="635" t="s">
        <v>477</v>
      </c>
      <c r="C13" s="613">
        <v>13</v>
      </c>
      <c r="D13" s="614" t="s">
        <v>288</v>
      </c>
      <c r="E13" s="614">
        <v>6</v>
      </c>
      <c r="F13" s="636" t="s">
        <v>664</v>
      </c>
      <c r="G13" s="613">
        <v>13</v>
      </c>
      <c r="H13" s="614" t="s">
        <v>288</v>
      </c>
      <c r="I13" s="614">
        <v>3</v>
      </c>
      <c r="J13" s="636" t="s">
        <v>663</v>
      </c>
      <c r="K13" s="613">
        <v>5</v>
      </c>
      <c r="L13" s="614" t="s">
        <v>288</v>
      </c>
      <c r="M13" s="614">
        <v>13</v>
      </c>
      <c r="N13" s="636" t="s">
        <v>660</v>
      </c>
      <c r="O13" s="613">
        <v>12</v>
      </c>
      <c r="P13" s="614" t="s">
        <v>288</v>
      </c>
      <c r="Q13" s="614">
        <v>13</v>
      </c>
      <c r="R13" s="636" t="s">
        <v>366</v>
      </c>
      <c r="S13" s="613"/>
      <c r="T13" s="614" t="s">
        <v>288</v>
      </c>
      <c r="U13" s="614"/>
      <c r="V13" s="636"/>
      <c r="W13" s="637">
        <f t="shared" si="7"/>
        <v>2</v>
      </c>
      <c r="X13" s="612"/>
      <c r="Y13" s="730">
        <v>64</v>
      </c>
      <c r="Z13" s="613">
        <f t="shared" si="0"/>
        <v>43</v>
      </c>
      <c r="AA13" s="614" t="s">
        <v>288</v>
      </c>
      <c r="AB13" s="615">
        <f t="shared" si="1"/>
        <v>35</v>
      </c>
      <c r="AC13" s="616">
        <f t="shared" si="8"/>
        <v>8</v>
      </c>
      <c r="AD13" s="731">
        <f t="shared" si="9"/>
        <v>280</v>
      </c>
      <c r="AE13" s="732">
        <f>IFERROR(INDEX(V!R$7:R$56,MATCH(AF13,V!L$7:L$56,0)),"")</f>
        <v>140</v>
      </c>
      <c r="AF13" s="733" t="str">
        <f t="shared" si="3"/>
        <v>Kenneth Muusikus</v>
      </c>
      <c r="AG13" s="732">
        <f>IFERROR(INDEX(V!R$7:R$56,MATCH(AH13,V!L$7:L$56,0)),"")</f>
        <v>140</v>
      </c>
      <c r="AH13" s="733" t="str">
        <f t="shared" si="4"/>
        <v>Sander Rose</v>
      </c>
      <c r="AI13" s="732" t="str">
        <f>IFERROR(INDEX(V!R$7:R$56,MATCH(AJ13,V!L$7:L$56,0)),"")</f>
        <v/>
      </c>
      <c r="AJ13" s="733" t="str">
        <f t="shared" si="5"/>
        <v/>
      </c>
      <c r="AK13" s="732" t="str">
        <f>IFERROR(INDEX(V!R$7:R$56,MATCH(AL13,V!L$7:L$56,0)),"")</f>
        <v/>
      </c>
      <c r="AL13" s="733" t="str">
        <f t="shared" si="6"/>
        <v/>
      </c>
      <c r="AM13" s="573"/>
    </row>
    <row r="14" spans="1:39" x14ac:dyDescent="0.2">
      <c r="A14" s="634">
        <v>7</v>
      </c>
      <c r="B14" s="638" t="s">
        <v>567</v>
      </c>
      <c r="C14" s="613">
        <v>9</v>
      </c>
      <c r="D14" s="614" t="s">
        <v>288</v>
      </c>
      <c r="E14" s="614">
        <v>13</v>
      </c>
      <c r="F14" s="636" t="s">
        <v>366</v>
      </c>
      <c r="G14" s="613">
        <v>13</v>
      </c>
      <c r="H14" s="614" t="s">
        <v>288</v>
      </c>
      <c r="I14" s="614">
        <v>5</v>
      </c>
      <c r="J14" s="636" t="s">
        <v>658</v>
      </c>
      <c r="K14" s="613">
        <v>12</v>
      </c>
      <c r="L14" s="614" t="s">
        <v>288</v>
      </c>
      <c r="M14" s="614">
        <v>13</v>
      </c>
      <c r="N14" s="636" t="s">
        <v>292</v>
      </c>
      <c r="O14" s="613">
        <v>13</v>
      </c>
      <c r="P14" s="614" t="s">
        <v>288</v>
      </c>
      <c r="Q14" s="614">
        <v>4</v>
      </c>
      <c r="R14" s="636" t="s">
        <v>664</v>
      </c>
      <c r="S14" s="613"/>
      <c r="T14" s="614" t="s">
        <v>288</v>
      </c>
      <c r="U14" s="614"/>
      <c r="V14" s="636"/>
      <c r="W14" s="637">
        <f t="shared" si="7"/>
        <v>2</v>
      </c>
      <c r="X14" s="612"/>
      <c r="Y14" s="730">
        <v>66</v>
      </c>
      <c r="Z14" s="613">
        <f t="shared" si="0"/>
        <v>47</v>
      </c>
      <c r="AA14" s="614" t="s">
        <v>288</v>
      </c>
      <c r="AB14" s="615">
        <f t="shared" si="1"/>
        <v>35</v>
      </c>
      <c r="AC14" s="616">
        <f t="shared" si="8"/>
        <v>12</v>
      </c>
      <c r="AD14" s="731">
        <f t="shared" si="9"/>
        <v>208</v>
      </c>
      <c r="AE14" s="732">
        <f>IFERROR(INDEX(V!R$7:R$56,MATCH(AF14,V!L$7:L$56,0)),"")</f>
        <v>108</v>
      </c>
      <c r="AF14" s="733" t="str">
        <f t="shared" si="3"/>
        <v>Andres Veski</v>
      </c>
      <c r="AG14" s="732">
        <f>IFERROR(INDEX(V!R$7:R$56,MATCH(AH14,V!L$7:L$56,0)),"")</f>
        <v>100</v>
      </c>
      <c r="AH14" s="733" t="str">
        <f t="shared" si="4"/>
        <v>Svetlana Veski</v>
      </c>
      <c r="AI14" s="732" t="str">
        <f>IFERROR(INDEX(V!R$7:R$56,MATCH(AJ14,V!L$7:L$56,0)),"")</f>
        <v/>
      </c>
      <c r="AJ14" s="733" t="str">
        <f t="shared" si="5"/>
        <v/>
      </c>
      <c r="AK14" s="732" t="str">
        <f>IFERROR(INDEX(V!R$7:R$56,MATCH(AL14,V!L$7:L$56,0)),"")</f>
        <v/>
      </c>
      <c r="AL14" s="733" t="str">
        <f t="shared" si="6"/>
        <v/>
      </c>
      <c r="AM14" s="573"/>
    </row>
    <row r="15" spans="1:39" x14ac:dyDescent="0.2">
      <c r="A15" s="634">
        <v>8</v>
      </c>
      <c r="B15" s="638" t="s">
        <v>649</v>
      </c>
      <c r="C15" s="613">
        <v>13</v>
      </c>
      <c r="D15" s="614" t="s">
        <v>288</v>
      </c>
      <c r="E15" s="614">
        <v>7</v>
      </c>
      <c r="F15" s="636" t="s">
        <v>291</v>
      </c>
      <c r="G15" s="613">
        <v>3</v>
      </c>
      <c r="H15" s="614" t="s">
        <v>288</v>
      </c>
      <c r="I15" s="614">
        <v>13</v>
      </c>
      <c r="J15" s="636" t="s">
        <v>662</v>
      </c>
      <c r="K15" s="613">
        <v>13</v>
      </c>
      <c r="L15" s="614" t="s">
        <v>288</v>
      </c>
      <c r="M15" s="614">
        <v>3</v>
      </c>
      <c r="N15" s="636" t="s">
        <v>656</v>
      </c>
      <c r="O15" s="613">
        <v>10</v>
      </c>
      <c r="P15" s="614" t="s">
        <v>288</v>
      </c>
      <c r="Q15" s="614">
        <v>12</v>
      </c>
      <c r="R15" s="636" t="s">
        <v>292</v>
      </c>
      <c r="S15" s="613"/>
      <c r="T15" s="614" t="s">
        <v>288</v>
      </c>
      <c r="U15" s="614"/>
      <c r="V15" s="636"/>
      <c r="W15" s="637">
        <f t="shared" si="7"/>
        <v>2</v>
      </c>
      <c r="X15" s="612"/>
      <c r="Y15" s="730">
        <v>64</v>
      </c>
      <c r="Z15" s="613">
        <f t="shared" si="0"/>
        <v>39</v>
      </c>
      <c r="AA15" s="614" t="s">
        <v>288</v>
      </c>
      <c r="AB15" s="615">
        <f t="shared" si="1"/>
        <v>35</v>
      </c>
      <c r="AC15" s="616">
        <f t="shared" si="8"/>
        <v>4</v>
      </c>
      <c r="AD15" s="731">
        <f t="shared" si="9"/>
        <v>132</v>
      </c>
      <c r="AE15" s="732">
        <f>IFERROR(INDEX(V!R$7:R$56,MATCH(AF15,V!L$7:L$56,0)),"")</f>
        <v>56</v>
      </c>
      <c r="AF15" s="733" t="str">
        <f t="shared" si="3"/>
        <v>Jaan Saar</v>
      </c>
      <c r="AG15" s="732">
        <f>IFERROR(INDEX(V!R$7:R$56,MATCH(AH15,V!L$7:L$56,0)),"")</f>
        <v>76</v>
      </c>
      <c r="AH15" s="733" t="str">
        <f t="shared" si="4"/>
        <v>Sirje Maala</v>
      </c>
      <c r="AI15" s="732" t="str">
        <f>IFERROR(INDEX(V!R$7:R$56,MATCH(AJ15,V!L$7:L$56,0)),"")</f>
        <v/>
      </c>
      <c r="AJ15" s="733" t="str">
        <f t="shared" si="5"/>
        <v/>
      </c>
      <c r="AK15" s="732" t="str">
        <f>IFERROR(INDEX(V!R$7:R$56,MATCH(AL15,V!L$7:L$56,0)),"")</f>
        <v/>
      </c>
      <c r="AL15" s="733" t="str">
        <f t="shared" si="6"/>
        <v/>
      </c>
      <c r="AM15" s="573"/>
    </row>
    <row r="16" spans="1:39" x14ac:dyDescent="0.2">
      <c r="A16" s="634">
        <v>9</v>
      </c>
      <c r="B16" s="635" t="s">
        <v>656</v>
      </c>
      <c r="C16" s="613">
        <v>12</v>
      </c>
      <c r="D16" s="614" t="s">
        <v>288</v>
      </c>
      <c r="E16" s="614">
        <v>13</v>
      </c>
      <c r="F16" s="636" t="s">
        <v>292</v>
      </c>
      <c r="G16" s="613">
        <v>13</v>
      </c>
      <c r="H16" s="614" t="s">
        <v>288</v>
      </c>
      <c r="I16" s="614">
        <v>10</v>
      </c>
      <c r="J16" s="636" t="s">
        <v>664</v>
      </c>
      <c r="K16" s="613">
        <v>3</v>
      </c>
      <c r="L16" s="614" t="s">
        <v>288</v>
      </c>
      <c r="M16" s="614">
        <v>13</v>
      </c>
      <c r="N16" s="636" t="s">
        <v>663</v>
      </c>
      <c r="O16" s="613">
        <v>11</v>
      </c>
      <c r="P16" s="614" t="s">
        <v>288</v>
      </c>
      <c r="Q16" s="614">
        <v>13</v>
      </c>
      <c r="R16" s="636" t="s">
        <v>655</v>
      </c>
      <c r="S16" s="613"/>
      <c r="T16" s="614" t="s">
        <v>288</v>
      </c>
      <c r="U16" s="614"/>
      <c r="V16" s="636"/>
      <c r="W16" s="637">
        <f t="shared" si="7"/>
        <v>1</v>
      </c>
      <c r="X16" s="612"/>
      <c r="Y16" s="730">
        <v>56</v>
      </c>
      <c r="Z16" s="613">
        <f t="shared" si="0"/>
        <v>39</v>
      </c>
      <c r="AA16" s="614" t="s">
        <v>288</v>
      </c>
      <c r="AB16" s="615">
        <f t="shared" si="1"/>
        <v>49</v>
      </c>
      <c r="AC16" s="616">
        <f t="shared" si="8"/>
        <v>-10</v>
      </c>
      <c r="AD16" s="731">
        <f t="shared" si="9"/>
        <v>70</v>
      </c>
      <c r="AE16" s="732">
        <f>IFERROR(INDEX(V!R$7:R$56,MATCH(AF16,V!L$7:L$56,0)),"")</f>
        <v>20</v>
      </c>
      <c r="AF16" s="733" t="str">
        <f t="shared" si="3"/>
        <v>Ronald Jõeäär</v>
      </c>
      <c r="AG16" s="732">
        <f>IFERROR(INDEX(V!R$7:R$56,MATCH(AH16,V!L$7:L$56,0)),"")</f>
        <v>50</v>
      </c>
      <c r="AH16" s="733" t="str">
        <f t="shared" si="4"/>
        <v>Urmas Jõeäär</v>
      </c>
      <c r="AI16" s="732" t="str">
        <f>IFERROR(INDEX(V!R$7:R$56,MATCH(AJ16,V!L$7:L$56,0)),"")</f>
        <v/>
      </c>
      <c r="AJ16" s="733" t="str">
        <f t="shared" si="5"/>
        <v/>
      </c>
      <c r="AK16" s="732" t="str">
        <f>IFERROR(INDEX(V!R$7:R$56,MATCH(AL16,V!L$7:L$56,0)),"")</f>
        <v/>
      </c>
      <c r="AL16" s="733" t="str">
        <f t="shared" si="6"/>
        <v/>
      </c>
      <c r="AM16" s="573"/>
    </row>
    <row r="17" spans="1:39" x14ac:dyDescent="0.2">
      <c r="A17" s="634">
        <v>10</v>
      </c>
      <c r="B17" s="635" t="s">
        <v>658</v>
      </c>
      <c r="C17" s="613">
        <v>3</v>
      </c>
      <c r="D17" s="614" t="s">
        <v>288</v>
      </c>
      <c r="E17" s="614">
        <v>13</v>
      </c>
      <c r="F17" s="636" t="s">
        <v>661</v>
      </c>
      <c r="G17" s="613">
        <v>5</v>
      </c>
      <c r="H17" s="614" t="s">
        <v>288</v>
      </c>
      <c r="I17" s="614">
        <v>13</v>
      </c>
      <c r="J17" s="636" t="s">
        <v>567</v>
      </c>
      <c r="K17" s="613">
        <v>1</v>
      </c>
      <c r="L17" s="614" t="s">
        <v>288</v>
      </c>
      <c r="M17" s="614">
        <v>13</v>
      </c>
      <c r="N17" s="636" t="s">
        <v>655</v>
      </c>
      <c r="O17" s="613">
        <v>13</v>
      </c>
      <c r="P17" s="614" t="s">
        <v>288</v>
      </c>
      <c r="Q17" s="614">
        <v>7</v>
      </c>
      <c r="R17" s="636" t="s">
        <v>291</v>
      </c>
      <c r="S17" s="613"/>
      <c r="T17" s="614" t="s">
        <v>288</v>
      </c>
      <c r="U17" s="614"/>
      <c r="V17" s="636"/>
      <c r="W17" s="637">
        <f t="shared" si="7"/>
        <v>1</v>
      </c>
      <c r="X17" s="612"/>
      <c r="Y17" s="730">
        <v>54</v>
      </c>
      <c r="Z17" s="613">
        <f t="shared" si="0"/>
        <v>22</v>
      </c>
      <c r="AA17" s="614" t="s">
        <v>288</v>
      </c>
      <c r="AB17" s="615">
        <f t="shared" si="1"/>
        <v>46</v>
      </c>
      <c r="AC17" s="616">
        <f t="shared" si="8"/>
        <v>-24</v>
      </c>
      <c r="AD17" s="731">
        <f t="shared" si="9"/>
        <v>178</v>
      </c>
      <c r="AE17" s="732">
        <f>IFERROR(INDEX(V!R$7:R$56,MATCH(AF17,V!L$7:L$56,0)),"")</f>
        <v>80</v>
      </c>
      <c r="AF17" s="733" t="str">
        <f t="shared" si="3"/>
        <v>Meelis Luud</v>
      </c>
      <c r="AG17" s="732">
        <f>IFERROR(INDEX(V!R$7:R$56,MATCH(AH17,V!L$7:L$56,0)),"")</f>
        <v>98</v>
      </c>
      <c r="AH17" s="733" t="str">
        <f t="shared" si="4"/>
        <v>Urmas Randlaine</v>
      </c>
      <c r="AI17" s="732" t="str">
        <f>IFERROR(INDEX(V!R$7:R$56,MATCH(AJ17,V!L$7:L$56,0)),"")</f>
        <v/>
      </c>
      <c r="AJ17" s="733" t="str">
        <f t="shared" si="5"/>
        <v/>
      </c>
      <c r="AK17" s="732" t="str">
        <f>IFERROR(INDEX(V!R$7:R$56,MATCH(AL17,V!L$7:L$56,0)),"")</f>
        <v/>
      </c>
      <c r="AL17" s="733" t="str">
        <f t="shared" si="6"/>
        <v/>
      </c>
      <c r="AM17" s="573"/>
    </row>
    <row r="18" spans="1:39" x14ac:dyDescent="0.2">
      <c r="A18" s="634">
        <v>11</v>
      </c>
      <c r="B18" s="635" t="s">
        <v>664</v>
      </c>
      <c r="C18" s="613">
        <v>6</v>
      </c>
      <c r="D18" s="614" t="s">
        <v>288</v>
      </c>
      <c r="E18" s="614">
        <v>13</v>
      </c>
      <c r="F18" s="636" t="s">
        <v>662</v>
      </c>
      <c r="G18" s="613">
        <v>10</v>
      </c>
      <c r="H18" s="614" t="s">
        <v>288</v>
      </c>
      <c r="I18" s="614">
        <v>13</v>
      </c>
      <c r="J18" s="636" t="s">
        <v>656</v>
      </c>
      <c r="K18" s="613">
        <v>13</v>
      </c>
      <c r="L18" s="614" t="s">
        <v>288</v>
      </c>
      <c r="M18" s="614">
        <v>7</v>
      </c>
      <c r="N18" s="636" t="s">
        <v>291</v>
      </c>
      <c r="O18" s="613">
        <v>4</v>
      </c>
      <c r="P18" s="614" t="s">
        <v>288</v>
      </c>
      <c r="Q18" s="614">
        <v>13</v>
      </c>
      <c r="R18" s="636" t="s">
        <v>567</v>
      </c>
      <c r="S18" s="613"/>
      <c r="T18" s="614" t="s">
        <v>288</v>
      </c>
      <c r="U18" s="614"/>
      <c r="V18" s="636"/>
      <c r="W18" s="637">
        <f t="shared" si="7"/>
        <v>1</v>
      </c>
      <c r="X18" s="612"/>
      <c r="Y18" s="730">
        <v>54</v>
      </c>
      <c r="Z18" s="613">
        <f t="shared" si="0"/>
        <v>33</v>
      </c>
      <c r="AA18" s="614" t="s">
        <v>288</v>
      </c>
      <c r="AB18" s="615">
        <f t="shared" si="1"/>
        <v>46</v>
      </c>
      <c r="AC18" s="616">
        <f t="shared" si="8"/>
        <v>-13</v>
      </c>
      <c r="AD18" s="731">
        <f t="shared" si="9"/>
        <v>20</v>
      </c>
      <c r="AE18" s="732">
        <f>IFERROR(INDEX(V!R$7:R$56,MATCH(AF18,V!L$7:L$56,0)),"")</f>
        <v>2</v>
      </c>
      <c r="AF18" s="733" t="str">
        <f t="shared" si="3"/>
        <v>Berit Kuusmann</v>
      </c>
      <c r="AG18" s="732">
        <f>IFERROR(INDEX(V!R$7:R$56,MATCH(AH18,V!L$7:L$56,0)),"")</f>
        <v>18</v>
      </c>
      <c r="AH18" s="733" t="str">
        <f t="shared" si="4"/>
        <v>Liis Mägi</v>
      </c>
      <c r="AI18" s="732" t="str">
        <f>IFERROR(INDEX(V!R$7:R$56,MATCH(AJ18,V!L$7:L$56,0)),"")</f>
        <v/>
      </c>
      <c r="AJ18" s="733" t="str">
        <f t="shared" si="5"/>
        <v/>
      </c>
      <c r="AK18" s="732" t="str">
        <f>IFERROR(INDEX(V!R$7:R$56,MATCH(AL18,V!L$7:L$56,0)),"")</f>
        <v/>
      </c>
      <c r="AL18" s="733" t="str">
        <f t="shared" si="6"/>
        <v/>
      </c>
      <c r="AM18" s="573"/>
    </row>
    <row r="19" spans="1:39"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row>
    <row r="20" spans="1:39"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row>
    <row r="21" spans="1:39"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row>
    <row r="22" spans="1:39"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row>
    <row r="23" spans="1:39"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row>
    <row r="24" spans="1:39"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row>
    <row r="25" spans="1:39"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row>
    <row r="26" spans="1:39"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row>
    <row r="27" spans="1:39"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row>
    <row r="28" spans="1:39"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row>
    <row r="29" spans="1:39"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row>
    <row r="30" spans="1:39"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row>
    <row r="31" spans="1:39"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row>
    <row r="32" spans="1:39"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row>
    <row r="33" spans="1:39"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row>
    <row r="34" spans="1:39"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row>
    <row r="35" spans="1:39"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row>
    <row r="36" spans="1:39"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row>
    <row r="37" spans="1:39"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row>
    <row r="38" spans="1:39"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row>
    <row r="39" spans="1:39"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row>
    <row r="40" spans="1:39"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row>
    <row r="41" spans="1:39"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row>
    <row r="42" spans="1:39"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row>
    <row r="43" spans="1:39"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row>
    <row r="44" spans="1:39"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row>
    <row r="45" spans="1:39"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row>
    <row r="46" spans="1:39"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row>
    <row r="47" spans="1:39"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row>
    <row r="48" spans="1:39"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row>
    <row r="49" spans="1:39"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row>
    <row r="50" spans="1:39"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row>
    <row r="51" spans="1:39"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row>
    <row r="52" spans="1:39"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row>
    <row r="53" spans="1:39"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row>
    <row r="54" spans="1:39"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row>
    <row r="55" spans="1:39"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row>
    <row r="56" spans="1:39"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row>
    <row r="57" spans="1:39"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row>
    <row r="58" spans="1:39"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row>
    <row r="59" spans="1:39"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row>
    <row r="60" spans="1:39"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row>
    <row r="61" spans="1:39"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row>
    <row r="62" spans="1:39"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row>
    <row r="63" spans="1:39"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row>
    <row r="64" spans="1:39"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row>
    <row r="65" spans="1:39"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row>
    <row r="66" spans="1:39"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row>
    <row r="67" spans="1:39"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row>
    <row r="68" spans="1:39"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row>
    <row r="69" spans="1:39"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row>
    <row r="70" spans="1:39"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row>
    <row r="71" spans="1:39"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row>
    <row r="72" spans="1:39"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row>
    <row r="73" spans="1:39"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row>
    <row r="74" spans="1:39"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row>
    <row r="75" spans="1:39"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row>
    <row r="76" spans="1:39"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row>
    <row r="77" spans="1:39"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row>
    <row r="78" spans="1:39"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row>
    <row r="79" spans="1:39"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row>
    <row r="80" spans="1:39"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row>
    <row r="81" spans="1:39"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row>
    <row r="82" spans="1:39"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row>
    <row r="83" spans="1:39"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row>
    <row r="84" spans="1:39"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row>
    <row r="85" spans="1:39"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row>
    <row r="86" spans="1:39"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row>
    <row r="87" spans="1:39"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row>
    <row r="88" spans="1:39"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row>
    <row r="89" spans="1:39"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row>
    <row r="90" spans="1:39"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row>
    <row r="91" spans="1:39"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row>
    <row r="92" spans="1:39"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row>
    <row r="93" spans="1:39"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row>
    <row r="94" spans="1:39"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row>
    <row r="95" spans="1:39"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row>
    <row r="96" spans="1:39"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row>
    <row r="97" spans="1:39"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row>
    <row r="98" spans="1:39"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row>
    <row r="99" spans="1:39"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row>
    <row r="100" spans="1:39"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row>
    <row r="101" spans="1:39"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row>
    <row r="102" spans="1:39"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row>
    <row r="103" spans="1:39"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row>
    <row r="104" spans="1:39"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row>
    <row r="105" spans="1:39"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row>
    <row r="106" spans="1:39"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row>
    <row r="107" spans="1:39"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row>
    <row r="108" spans="1:39"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row>
    <row r="109" spans="1:39"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row>
    <row r="110" spans="1:39"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row>
    <row r="111" spans="1:39"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row>
    <row r="112" spans="1:39"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row>
    <row r="113" spans="1:39"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row>
    <row r="114" spans="1:39"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row>
    <row r="115" spans="1:39"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row>
    <row r="116" spans="1:39"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row>
    <row r="117" spans="1:39"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row>
    <row r="118" spans="1:39"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row>
    <row r="119" spans="1:39"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row>
    <row r="120" spans="1:39"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row>
    <row r="121" spans="1:39"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row>
    <row r="122" spans="1:39"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row>
    <row r="123" spans="1:39"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row>
    <row r="124" spans="1:39"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row>
    <row r="125" spans="1:39"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row>
    <row r="126" spans="1:39"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row>
    <row r="127" spans="1:39"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row>
    <row r="128" spans="1:39"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row>
    <row r="129" spans="1:39"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row>
    <row r="130" spans="1:39"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row>
    <row r="131" spans="1:39"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row>
    <row r="132" spans="1:39"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row>
    <row r="133" spans="1:39"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row>
    <row r="134" spans="1:39"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row>
    <row r="135" spans="1:39"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row>
    <row r="136" spans="1:39"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row>
    <row r="137" spans="1:39"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row>
    <row r="138" spans="1:39"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row>
    <row r="139" spans="1:39"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row>
    <row r="140" spans="1:39"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row>
    <row r="141" spans="1:39"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row>
    <row r="142" spans="1:39"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row>
    <row r="143" spans="1:39"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row>
    <row r="144" spans="1:39"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row>
    <row r="145" spans="1:39"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row>
    <row r="146" spans="1:39"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row>
    <row r="147" spans="1:39"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row>
    <row r="148" spans="1:39"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row>
    <row r="149" spans="1:39"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row>
    <row r="150" spans="1:39"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row>
    <row r="151" spans="1:39"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row>
    <row r="152" spans="1:39"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row>
    <row r="153" spans="1:39"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row>
    <row r="154" spans="1:39"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row>
    <row r="155" spans="1:39"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row>
    <row r="156" spans="1:39"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row>
    <row r="157" spans="1:39"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row>
    <row r="158" spans="1:39"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row>
    <row r="159" spans="1:39"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row>
    <row r="160" spans="1:39"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row>
    <row r="161" spans="1:39"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row>
    <row r="162" spans="1:39"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row>
    <row r="163" spans="1:39"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row>
    <row r="164" spans="1:39"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row>
    <row r="165" spans="1:39"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row>
    <row r="166" spans="1:39"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row>
    <row r="167" spans="1:39"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row>
    <row r="168" spans="1:39"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row>
    <row r="169" spans="1:39"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row>
    <row r="170" spans="1:39"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row>
    <row r="171" spans="1:39"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row>
    <row r="172" spans="1:39"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row>
    <row r="173" spans="1:39"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row>
    <row r="174" spans="1:39"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row>
    <row r="175" spans="1:39"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row>
    <row r="176" spans="1:39"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row>
    <row r="177" spans="1:39"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row>
    <row r="178" spans="1:39"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row>
    <row r="179" spans="1:39"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row>
    <row r="180" spans="1:39"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row>
    <row r="181" spans="1:39"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row>
    <row r="182" spans="1:39"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row>
    <row r="183" spans="1:39"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row>
    <row r="184" spans="1:39"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row>
    <row r="185" spans="1:39"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row>
    <row r="186" spans="1:39"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row>
    <row r="187" spans="1:39"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row>
    <row r="188" spans="1:39"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row>
    <row r="189" spans="1:39"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row>
    <row r="190" spans="1:39"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row>
    <row r="191" spans="1:39"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row>
    <row r="192" spans="1:39"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row>
    <row r="193" spans="1:39"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row>
    <row r="194" spans="1:39"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row>
    <row r="195" spans="1:39"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row>
    <row r="196" spans="1:39"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row>
    <row r="197" spans="1:39"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row>
    <row r="198" spans="1:39"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row>
    <row r="199" spans="1:39"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row>
    <row r="200" spans="1:39"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row>
    <row r="201" spans="1:39"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row>
    <row r="202" spans="1:39"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row>
    <row r="203" spans="1:39"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row>
    <row r="204" spans="1:39"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row>
    <row r="205" spans="1:39"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row>
    <row r="206" spans="1:39"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row>
    <row r="207" spans="1:39"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row>
    <row r="208" spans="1:39"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row>
    <row r="209" spans="1:39"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row>
    <row r="210" spans="1:39"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row>
    <row r="211" spans="1:39"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row>
    <row r="212" spans="1:39"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row>
    <row r="213" spans="1:39"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row>
    <row r="214" spans="1:39"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row>
    <row r="215" spans="1:39"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row>
    <row r="216" spans="1:39"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row>
    <row r="217" spans="1:39"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row>
    <row r="218" spans="1:39"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row>
    <row r="219" spans="1:39"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row>
    <row r="220" spans="1:39"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row>
    <row r="221" spans="1:39"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row>
    <row r="222" spans="1:39"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row>
    <row r="223" spans="1:39"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row>
    <row r="224" spans="1:39"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row>
    <row r="225" spans="1:39"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row>
    <row r="226" spans="1:39"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row>
    <row r="227" spans="1:39"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row>
    <row r="228" spans="1:39"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row>
    <row r="229" spans="1:39"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row>
    <row r="230" spans="1:39"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row>
    <row r="231" spans="1:39"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row>
    <row r="232" spans="1:39"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row>
    <row r="233" spans="1:39"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row>
    <row r="234" spans="1:39"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row>
    <row r="235" spans="1:39"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row>
    <row r="236" spans="1:39"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row>
    <row r="237" spans="1:39"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row>
    <row r="238" spans="1:39"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row>
    <row r="239" spans="1:39"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row>
    <row r="240" spans="1:39"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row>
    <row r="241" spans="1:39"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row>
    <row r="242" spans="1:39"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row>
    <row r="243" spans="1:39"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row>
    <row r="244" spans="1:39"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row>
    <row r="245" spans="1:39"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row>
    <row r="246" spans="1:39"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row>
    <row r="247" spans="1:39"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row>
    <row r="248" spans="1:39"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row>
    <row r="249" spans="1:39"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row>
    <row r="250" spans="1:39"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row>
    <row r="251" spans="1:39"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row>
    <row r="252" spans="1:39"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row>
    <row r="253" spans="1:39"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row>
    <row r="254" spans="1:39"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row>
    <row r="255" spans="1:39"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row>
    <row r="256" spans="1:39"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row>
    <row r="257" spans="1:39"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row>
    <row r="258" spans="1:39"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row>
    <row r="259" spans="1:39"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row>
    <row r="260" spans="1:39"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row>
    <row r="261" spans="1:39"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row>
    <row r="262" spans="1:39"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row>
    <row r="263" spans="1:39"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row>
    <row r="264" spans="1:39"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row>
    <row r="265" spans="1:39"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row>
    <row r="266" spans="1:39"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row>
    <row r="267" spans="1:39"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row>
    <row r="268" spans="1:39"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row>
    <row r="269" spans="1:39"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row>
    <row r="270" spans="1:39"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row>
    <row r="271" spans="1:39"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row>
    <row r="272" spans="1:39"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row>
    <row r="273" spans="1:39"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row>
    <row r="274" spans="1:39"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row>
    <row r="275" spans="1:39"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row>
    <row r="276" spans="1:39"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row>
    <row r="277" spans="1:39"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row>
    <row r="278" spans="1:39"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row>
    <row r="279" spans="1:39"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row>
    <row r="280" spans="1:39"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row>
    <row r="281" spans="1:39"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row>
    <row r="282" spans="1:39"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row>
    <row r="283" spans="1:39"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row>
    <row r="284" spans="1:39"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row>
    <row r="285" spans="1:39"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row>
    <row r="286" spans="1:39"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row>
    <row r="287" spans="1:39"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row>
    <row r="288" spans="1:39"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row>
    <row r="289" spans="1:39"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row>
    <row r="290" spans="1:39"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row>
    <row r="291" spans="1:39"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row>
    <row r="292" spans="1:39"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row>
    <row r="293" spans="1:39"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row>
    <row r="294" spans="1:39" hidden="1" x14ac:dyDescent="0.2"/>
    <row r="295" spans="1:39" hidden="1" x14ac:dyDescent="0.2"/>
    <row r="296" spans="1:39" hidden="1" x14ac:dyDescent="0.2"/>
    <row r="297" spans="1:39" hidden="1" x14ac:dyDescent="0.2"/>
    <row r="298" spans="1:39" hidden="1" x14ac:dyDescent="0.2"/>
    <row r="299" spans="1:39" x14ac:dyDescent="0.2">
      <c r="A299" s="573"/>
      <c r="B299" s="573"/>
      <c r="C299" s="584" t="s">
        <v>54</v>
      </c>
    </row>
    <row r="300" spans="1:39" x14ac:dyDescent="0.2">
      <c r="A300" s="627">
        <v>1</v>
      </c>
      <c r="B300" s="628" t="str">
        <f t="shared" ref="B300:B310" si="10">IFERROR(INDEX(B$1:B$85,MATCH(A300,A$1:A$85,0)),"")</f>
        <v>Ljudmila Varendi, Viktor Švarõgin</v>
      </c>
      <c r="C300" s="734">
        <f>LARGE(A$300:A$400,1)*2+2-A300*2</f>
        <v>22</v>
      </c>
    </row>
    <row r="301" spans="1:39" x14ac:dyDescent="0.2">
      <c r="A301" s="627">
        <v>2</v>
      </c>
      <c r="B301" s="628" t="str">
        <f t="shared" si="10"/>
        <v>Oliver Ojasalu, Tõnis Neiland</v>
      </c>
      <c r="C301" s="734">
        <f t="shared" ref="C301:C310" si="11">LARGE(A$300:A$400,1)*2+2-A301*2</f>
        <v>20</v>
      </c>
    </row>
    <row r="302" spans="1:39" x14ac:dyDescent="0.2">
      <c r="A302" s="627">
        <v>3</v>
      </c>
      <c r="B302" s="628" t="str">
        <f t="shared" si="10"/>
        <v>Oksana Rõndenkova, Oleg Rõndenkov</v>
      </c>
      <c r="C302" s="734">
        <f t="shared" si="11"/>
        <v>18</v>
      </c>
    </row>
    <row r="303" spans="1:39" x14ac:dyDescent="0.2">
      <c r="A303" s="627">
        <v>4</v>
      </c>
      <c r="B303" s="628" t="str">
        <f t="shared" si="10"/>
        <v>Hillar Neiland, Kaspar Mänd</v>
      </c>
      <c r="C303" s="734">
        <f t="shared" si="11"/>
        <v>16</v>
      </c>
    </row>
    <row r="304" spans="1:39" x14ac:dyDescent="0.2">
      <c r="A304" s="627">
        <v>5</v>
      </c>
      <c r="B304" s="628" t="str">
        <f t="shared" si="10"/>
        <v>Andrei Grintšak, Vadim Tihhonjuk</v>
      </c>
      <c r="C304" s="734">
        <f t="shared" si="11"/>
        <v>14</v>
      </c>
    </row>
    <row r="305" spans="1:3" x14ac:dyDescent="0.2">
      <c r="A305" s="627">
        <v>6</v>
      </c>
      <c r="B305" s="628" t="str">
        <f t="shared" si="10"/>
        <v>Kenneth Muusikus, Sander Rose</v>
      </c>
      <c r="C305" s="734">
        <f t="shared" si="11"/>
        <v>12</v>
      </c>
    </row>
    <row r="306" spans="1:3" x14ac:dyDescent="0.2">
      <c r="A306" s="627">
        <v>7</v>
      </c>
      <c r="B306" s="628" t="str">
        <f t="shared" si="10"/>
        <v>Andres Veski, Svetlana Veski</v>
      </c>
      <c r="C306" s="734">
        <f t="shared" si="11"/>
        <v>10</v>
      </c>
    </row>
    <row r="307" spans="1:3" x14ac:dyDescent="0.2">
      <c r="A307" s="627">
        <v>8</v>
      </c>
      <c r="B307" s="628" t="str">
        <f t="shared" si="10"/>
        <v>Jaan Saar, Sirje Maala</v>
      </c>
      <c r="C307" s="734">
        <f t="shared" si="11"/>
        <v>8</v>
      </c>
    </row>
    <row r="308" spans="1:3" x14ac:dyDescent="0.2">
      <c r="A308" s="627">
        <v>9</v>
      </c>
      <c r="B308" s="628" t="str">
        <f t="shared" si="10"/>
        <v>Ronald Jõeäär, Urmas Jõeäär</v>
      </c>
      <c r="C308" s="734">
        <f t="shared" si="11"/>
        <v>6</v>
      </c>
    </row>
    <row r="309" spans="1:3" x14ac:dyDescent="0.2">
      <c r="A309" s="627">
        <v>10</v>
      </c>
      <c r="B309" s="628" t="str">
        <f t="shared" si="10"/>
        <v>Meelis Luud, Urmas Randlaine</v>
      </c>
      <c r="C309" s="734">
        <f t="shared" si="11"/>
        <v>4</v>
      </c>
    </row>
    <row r="310" spans="1:3" x14ac:dyDescent="0.2">
      <c r="A310" s="627">
        <v>11</v>
      </c>
      <c r="B310" s="628" t="str">
        <f t="shared" si="10"/>
        <v>Berit Kuusmann, Liis Mägi</v>
      </c>
      <c r="C310" s="734">
        <f t="shared" si="11"/>
        <v>2</v>
      </c>
    </row>
    <row r="311" spans="1:3" x14ac:dyDescent="0.2">
      <c r="C311" s="734"/>
    </row>
    <row r="312" spans="1:3" x14ac:dyDescent="0.2">
      <c r="C312" s="734"/>
    </row>
    <row r="313" spans="1:3" x14ac:dyDescent="0.2">
      <c r="C313" s="734"/>
    </row>
  </sheetData>
  <conditionalFormatting sqref="C8:C18">
    <cfRule type="expression" dxfId="333" priority="18">
      <formula>IF($C8&gt;$E8,TRUE)</formula>
    </cfRule>
  </conditionalFormatting>
  <conditionalFormatting sqref="E8:E18">
    <cfRule type="expression" dxfId="332" priority="19">
      <formula>IF($C8&lt;$E8,TRUE)</formula>
    </cfRule>
  </conditionalFormatting>
  <conditionalFormatting sqref="K8:K18">
    <cfRule type="expression" dxfId="331" priority="26">
      <formula>IF($K8&gt;$M8,TRUE)</formula>
    </cfRule>
  </conditionalFormatting>
  <conditionalFormatting sqref="M8:M18">
    <cfRule type="expression" dxfId="330" priority="27">
      <formula>IF($K8&lt;$M8,TRUE)</formula>
    </cfRule>
  </conditionalFormatting>
  <conditionalFormatting sqref="O8:O18">
    <cfRule type="expression" dxfId="329" priority="30">
      <formula>IF($O8&gt;$Q8,TRUE)</formula>
    </cfRule>
  </conditionalFormatting>
  <conditionalFormatting sqref="Q8:Q18">
    <cfRule type="expression" dxfId="328" priority="31">
      <formula>IF($O8&lt;$Q8,TRUE)</formula>
    </cfRule>
  </conditionalFormatting>
  <conditionalFormatting sqref="S8:S18">
    <cfRule type="expression" dxfId="327" priority="34">
      <formula>IF($S8&gt;$U8,TRUE)</formula>
    </cfRule>
  </conditionalFormatting>
  <conditionalFormatting sqref="U8:U18">
    <cfRule type="expression" dxfId="326" priority="35">
      <formula>IF($S8&lt;$U8,TRUE)</formula>
    </cfRule>
  </conditionalFormatting>
  <conditionalFormatting sqref="G8:G18">
    <cfRule type="expression" dxfId="325" priority="22">
      <formula>IF($G8&gt;$I8,TRUE)</formula>
    </cfRule>
  </conditionalFormatting>
  <conditionalFormatting sqref="I8:I18">
    <cfRule type="expression" dxfId="324" priority="23">
      <formula>IF($G8&lt;$I8,TRUE)</formula>
    </cfRule>
  </conditionalFormatting>
  <conditionalFormatting sqref="F8:F18">
    <cfRule type="containsText" dxfId="323" priority="9" operator="containsText" text="vaba voor">
      <formula>NOT(ISERROR(SEARCH("vaba voor",F8)))</formula>
    </cfRule>
  </conditionalFormatting>
  <conditionalFormatting sqref="N8:N18">
    <cfRule type="containsText" dxfId="322" priority="7" operator="containsText" text="vaba voor">
      <formula>NOT(ISERROR(SEARCH("vaba voor",N8)))</formula>
    </cfRule>
  </conditionalFormatting>
  <conditionalFormatting sqref="R8:R18">
    <cfRule type="containsText" dxfId="321" priority="10" operator="containsText" text="vaba voor">
      <formula>NOT(ISERROR(SEARCH("vaba voor",R8)))</formula>
    </cfRule>
  </conditionalFormatting>
  <conditionalFormatting sqref="V8:V18">
    <cfRule type="containsText" dxfId="320" priority="6" operator="containsText" text="vaba voor">
      <formula>NOT(ISERROR(SEARCH("vaba voor",V8)))</formula>
    </cfRule>
  </conditionalFormatting>
  <conditionalFormatting sqref="J8:J18">
    <cfRule type="containsText" dxfId="319" priority="8" operator="containsText" text="vaba voor">
      <formula>NOT(ISERROR(SEARCH("vaba voor",J8)))</formula>
    </cfRule>
  </conditionalFormatting>
  <conditionalFormatting sqref="C8:F18">
    <cfRule type="expression" dxfId="318" priority="14">
      <formula>IF(AND(ISNUMBER($C8),$C8=$E8),TRUE)</formula>
    </cfRule>
    <cfRule type="expression" dxfId="317" priority="16">
      <formula>IF($C8&gt;$E8,TRUE)</formula>
    </cfRule>
    <cfRule type="expression" dxfId="316" priority="17">
      <formula>IF($C8&lt;$E8,TRUE)</formula>
    </cfRule>
  </conditionalFormatting>
  <conditionalFormatting sqref="G8:J18">
    <cfRule type="expression" dxfId="315" priority="15">
      <formula>IF(AND(ISNUMBER($G8),$G8=$I8),TRUE)</formula>
    </cfRule>
    <cfRule type="expression" dxfId="314" priority="20">
      <formula>IF($G8&gt;$I8,TRUE)</formula>
    </cfRule>
    <cfRule type="expression" dxfId="313" priority="21">
      <formula>IF($G8&lt;$I8,TRUE)</formula>
    </cfRule>
  </conditionalFormatting>
  <conditionalFormatting sqref="K8:N18">
    <cfRule type="expression" dxfId="312" priority="13">
      <formula>IF(AND(ISNUMBER($K8),$K8=$M8),TRUE)</formula>
    </cfRule>
    <cfRule type="expression" dxfId="311" priority="24">
      <formula>IF($K8&gt;$M8,TRUE)</formula>
    </cfRule>
    <cfRule type="expression" dxfId="310" priority="25">
      <formula>IF($K8&lt;$M8,TRUE)</formula>
    </cfRule>
  </conditionalFormatting>
  <conditionalFormatting sqref="O8:R18">
    <cfRule type="expression" dxfId="309" priority="12">
      <formula>IF(AND(ISNUMBER($O8),$O8=$Q8),TRUE)</formula>
    </cfRule>
    <cfRule type="expression" dxfId="308" priority="28">
      <formula>IF($O8&gt;$Q8,TRUE)</formula>
    </cfRule>
    <cfRule type="expression" dxfId="307" priority="29">
      <formula>IF($O8&lt;$Q8,TRUE)</formula>
    </cfRule>
  </conditionalFormatting>
  <conditionalFormatting sqref="S8:V18">
    <cfRule type="expression" dxfId="306" priority="11">
      <formula>IF(AND(ISNUMBER($S8),$S8=$U8),TRUE)</formula>
    </cfRule>
    <cfRule type="expression" dxfId="305" priority="32">
      <formula>IF($S8&gt;$U8,TRUE)</formula>
    </cfRule>
    <cfRule type="expression" dxfId="304" priority="33">
      <formula>IF($S8&lt;$U8,TRUE)</formula>
    </cfRule>
  </conditionalFormatting>
  <conditionalFormatting sqref="C8:C18 G8:G18 K8:K18 O8:O18 S8:S18">
    <cfRule type="expression" dxfId="303" priority="4">
      <formula>AND(C8=0,E8=13)</formula>
    </cfRule>
  </conditionalFormatting>
  <conditionalFormatting sqref="E8:E18 I8:I18 M8:M18 Q8:Q18 U8:U18">
    <cfRule type="expression" dxfId="302" priority="5">
      <formula>AND(E8=0,C8=13)</formula>
    </cfRule>
  </conditionalFormatting>
  <conditionalFormatting sqref="AF8:AF18 AJ8:AJ18 AL8:AL18">
    <cfRule type="expression" dxfId="301" priority="1">
      <formula>AND(AE8="",COUNTIF(AF8,"*,*")=0)</formula>
    </cfRule>
  </conditionalFormatting>
  <conditionalFormatting sqref="AH8:AH18">
    <cfRule type="expression" dxfId="300" priority="2">
      <formula>AND(AG8="",FIND(",",AH8))</formula>
    </cfRule>
    <cfRule type="expression" dxfId="299" priority="3">
      <formula>AND(AG8="",COUNTIF(AH8,"*,*")=0)</formula>
    </cfRule>
  </conditionalFormatting>
  <conditionalFormatting sqref="A300:A310">
    <cfRule type="duplicateValues" dxfId="298" priority="36"/>
  </conditionalFormatting>
  <conditionalFormatting sqref="A8:A18">
    <cfRule type="duplicateValues" dxfId="297" priority="37"/>
  </conditionalFormatting>
  <conditionalFormatting sqref="B300:B310">
    <cfRule type="expression" dxfId="296" priority="38">
      <formula>A300=3</formula>
    </cfRule>
    <cfRule type="expression" dxfId="295" priority="39">
      <formula>A300=2</formula>
    </cfRule>
    <cfRule type="expression" dxfId="294" priority="40">
      <formula>A300=1</formula>
    </cfRule>
    <cfRule type="containsBlanks" dxfId="293" priority="41">
      <formula>LEN(TRIM(B300))=0</formula>
    </cfRule>
    <cfRule type="duplicateValues" dxfId="292" priority="4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XFD311"/>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40.710937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15.28515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UPPER((Kalend!E34)&amp;" - "&amp;(Kalend!C34)&amp;" - "&amp;(Kalend!D34))</f>
        <v>V9 - VOKA IX KV 9.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"&amp;(Kalend!A34)&amp;" kell "&amp;(Kalend!B34)</f>
        <v>Toimumisaeg: T, 06.09.2022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"&amp;(Kalend!F34)</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"&amp;(Kalend!G34)</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655</v>
      </c>
      <c r="C8" s="613">
        <v>12</v>
      </c>
      <c r="D8" s="614" t="s">
        <v>288</v>
      </c>
      <c r="E8" s="614">
        <v>11</v>
      </c>
      <c r="F8" s="636" t="s">
        <v>675</v>
      </c>
      <c r="G8" s="613">
        <v>13</v>
      </c>
      <c r="H8" s="614" t="s">
        <v>288</v>
      </c>
      <c r="I8" s="614">
        <v>12</v>
      </c>
      <c r="J8" s="636" t="s">
        <v>294</v>
      </c>
      <c r="K8" s="613">
        <v>9</v>
      </c>
      <c r="L8" s="614" t="s">
        <v>288</v>
      </c>
      <c r="M8" s="614">
        <v>13</v>
      </c>
      <c r="N8" s="636" t="s">
        <v>477</v>
      </c>
      <c r="O8" s="613">
        <v>13</v>
      </c>
      <c r="P8" s="614" t="s">
        <v>288</v>
      </c>
      <c r="Q8" s="614">
        <v>8</v>
      </c>
      <c r="R8" s="636" t="s">
        <v>676</v>
      </c>
      <c r="S8" s="613"/>
      <c r="T8" s="614" t="s">
        <v>288</v>
      </c>
      <c r="U8" s="614"/>
      <c r="V8" s="636"/>
      <c r="W8" s="637">
        <f>IF(C8&gt;E8,J$3,IF(C8&lt;E8,J$5,IF(ISNUMBER(C8),J$4,0)))+IF(G8&gt;I8,J$3,IF(G8&lt;I8,J$5,IF(ISNUMBER(G8),J$4,0)))+IF(K8&gt;M8,J$3,IF(K8&lt;M8,J$5,IF(ISNUMBER(K8),J$4,0)))+IF(O8&gt;Q8,J$3,IF(O8&lt;Q8,J$5,IF(ISNUMBER(O8),J$4,0)))+IF(S8&gt;U8,J$3,IF(S8&lt;U8,J$5,IF(ISNUMBER(S8),J$4,0)))</f>
        <v>3</v>
      </c>
      <c r="X8" s="612">
        <v>20</v>
      </c>
      <c r="Y8" s="730">
        <v>66</v>
      </c>
      <c r="Z8" s="613">
        <f t="shared" ref="Z8:Z15" si="0">C8+G8+K8+O8+S8</f>
        <v>47</v>
      </c>
      <c r="AA8" s="614" t="s">
        <v>288</v>
      </c>
      <c r="AB8" s="615">
        <f t="shared" ref="AB8:AB15" si="1">E8+I8+M8+Q8+U8</f>
        <v>44</v>
      </c>
      <c r="AC8" s="616">
        <f>Z8-AB8</f>
        <v>3</v>
      </c>
      <c r="AD8" s="617"/>
      <c r="AE8" s="731">
        <f t="shared" ref="AE8" si="2">SUM(AF8:AM8)</f>
        <v>212</v>
      </c>
      <c r="AF8" s="732">
        <f>IFERROR(INDEX(V!R$7:R$56,MATCH(AG8,V!L$7:L$56,0)),"")</f>
        <v>108</v>
      </c>
      <c r="AG8" s="733" t="str">
        <f t="shared" ref="AG8:AG15" si="3">IFERROR(LEFT(B8,(FIND(",",B8,1)-1)),"")</f>
        <v>Hillar Neiland</v>
      </c>
      <c r="AH8" s="732">
        <f>IFERROR(INDEX(V!R$7:R$56,MATCH(AI8,V!L$7:L$56,0)),"")</f>
        <v>104</v>
      </c>
      <c r="AI8" s="733" t="str">
        <f t="shared" ref="AI8:AI15" si="4">IFERROR(MID(B8,FIND(", ",B8)+2,256),"")</f>
        <v>Kaspar Mänd</v>
      </c>
      <c r="AJ8" s="732" t="str">
        <f>IFERROR(INDEX(V!R$7:R$56,MATCH(AK8,V!L$7:L$56,0)),"")</f>
        <v/>
      </c>
      <c r="AK8" s="733" t="str">
        <f t="shared" ref="AK8:AK15" si="5">IFERROR(MID(B8,FIND("^",SUBSTITUTE(B8,", ","^",1))+2,FIND("^",SUBSTITUTE(B8,", ","^",2))-FIND("^",SUBSTITUTE(B8,", ","^",1))-2),"")</f>
        <v/>
      </c>
      <c r="AL8" s="732" t="str">
        <f>IFERROR(INDEX(V!R$7:R$56,MATCH(AM8,V!L$7:L$56,0)),"")</f>
        <v/>
      </c>
      <c r="AM8" s="733" t="str">
        <f t="shared" ref="AM8:AM15" si="6">IFERROR(MID(B8,FIND(", ",B8,FIND(", ",B8,FIND(", ",B8))+1)+2,700),"")</f>
        <v/>
      </c>
      <c r="AN8" s="573"/>
    </row>
    <row r="9" spans="1:40" x14ac:dyDescent="0.2">
      <c r="A9" s="634">
        <v>2</v>
      </c>
      <c r="B9" s="635" t="s">
        <v>477</v>
      </c>
      <c r="C9" s="613">
        <v>13</v>
      </c>
      <c r="D9" s="614" t="s">
        <v>288</v>
      </c>
      <c r="E9" s="614">
        <v>11</v>
      </c>
      <c r="F9" s="636" t="s">
        <v>647</v>
      </c>
      <c r="G9" s="613">
        <v>13</v>
      </c>
      <c r="H9" s="614" t="s">
        <v>288</v>
      </c>
      <c r="I9" s="614">
        <v>1</v>
      </c>
      <c r="J9" s="636" t="s">
        <v>676</v>
      </c>
      <c r="K9" s="613">
        <v>13</v>
      </c>
      <c r="L9" s="614" t="s">
        <v>288</v>
      </c>
      <c r="M9" s="614">
        <v>9</v>
      </c>
      <c r="N9" s="636" t="s">
        <v>655</v>
      </c>
      <c r="O9" s="613">
        <v>8</v>
      </c>
      <c r="P9" s="614" t="s">
        <v>288</v>
      </c>
      <c r="Q9" s="614">
        <v>13</v>
      </c>
      <c r="R9" s="636" t="s">
        <v>294</v>
      </c>
      <c r="S9" s="613"/>
      <c r="T9" s="614" t="s">
        <v>288</v>
      </c>
      <c r="U9" s="614"/>
      <c r="V9" s="636"/>
      <c r="W9" s="637">
        <f t="shared" ref="W9:W15" si="7">IF(C9&gt;E9,J$3,IF(C9&lt;E9,J$5,IF(ISNUMBER(C9),J$4,0)))+IF(G9&gt;I9,J$3,IF(G9&lt;I9,J$5,IF(ISNUMBER(G9),J$4,0)))+IF(K9&gt;M9,J$3,IF(K9&lt;M9,J$5,IF(ISNUMBER(K9),J$4,0)))+IF(O9&gt;Q9,J$3,IF(O9&lt;Q9,J$5,IF(ISNUMBER(O9),J$4,0)))+IF(S9&gt;U9,J$3,IF(S9&lt;U9,J$5,IF(ISNUMBER(S9),J$4,0)))</f>
        <v>3</v>
      </c>
      <c r="X9" s="612">
        <v>18</v>
      </c>
      <c r="Y9" s="730">
        <v>70</v>
      </c>
      <c r="Z9" s="613">
        <f t="shared" si="0"/>
        <v>47</v>
      </c>
      <c r="AA9" s="614" t="s">
        <v>288</v>
      </c>
      <c r="AB9" s="615">
        <f t="shared" si="1"/>
        <v>34</v>
      </c>
      <c r="AC9" s="616">
        <f t="shared" ref="AC9:AC15" si="8">Z9-AB9</f>
        <v>13</v>
      </c>
      <c r="AD9" s="617"/>
      <c r="AE9" s="731">
        <f t="shared" ref="AE9:AE15" si="9">SUM(AF9:AM9)</f>
        <v>280</v>
      </c>
      <c r="AF9" s="732">
        <f>IFERROR(INDEX(V!R$7:R$56,MATCH(AG9,V!L$7:L$56,0)),"")</f>
        <v>140</v>
      </c>
      <c r="AG9" s="733" t="str">
        <f t="shared" si="3"/>
        <v>Kenneth Muusikus</v>
      </c>
      <c r="AH9" s="732">
        <f>IFERROR(INDEX(V!R$7:R$56,MATCH(AI9,V!L$7:L$56,0)),"")</f>
        <v>140</v>
      </c>
      <c r="AI9" s="733" t="str">
        <f t="shared" si="4"/>
        <v>Sander Rose</v>
      </c>
      <c r="AJ9" s="732" t="str">
        <f>IFERROR(INDEX(V!R$7:R$56,MATCH(AK9,V!L$7:L$56,0)),"")</f>
        <v/>
      </c>
      <c r="AK9" s="733" t="str">
        <f t="shared" si="5"/>
        <v/>
      </c>
      <c r="AL9" s="732" t="str">
        <f>IFERROR(INDEX(V!R$7:R$56,MATCH(AM9,V!L$7:L$56,0)),"")</f>
        <v/>
      </c>
      <c r="AM9" s="733" t="str">
        <f t="shared" si="6"/>
        <v/>
      </c>
      <c r="AN9" s="573"/>
    </row>
    <row r="10" spans="1:40" x14ac:dyDescent="0.2">
      <c r="A10" s="634">
        <v>3</v>
      </c>
      <c r="B10" s="635" t="s">
        <v>294</v>
      </c>
      <c r="C10" s="613">
        <v>13</v>
      </c>
      <c r="D10" s="614" t="s">
        <v>288</v>
      </c>
      <c r="E10" s="614">
        <v>11</v>
      </c>
      <c r="F10" s="636" t="s">
        <v>649</v>
      </c>
      <c r="G10" s="613">
        <v>12</v>
      </c>
      <c r="H10" s="614" t="s">
        <v>288</v>
      </c>
      <c r="I10" s="614">
        <v>13</v>
      </c>
      <c r="J10" s="636" t="s">
        <v>655</v>
      </c>
      <c r="K10" s="613">
        <v>13</v>
      </c>
      <c r="L10" s="614" t="s">
        <v>288</v>
      </c>
      <c r="M10" s="614">
        <v>8</v>
      </c>
      <c r="N10" s="636" t="s">
        <v>525</v>
      </c>
      <c r="O10" s="613">
        <v>13</v>
      </c>
      <c r="P10" s="614" t="s">
        <v>288</v>
      </c>
      <c r="Q10" s="614">
        <v>8</v>
      </c>
      <c r="R10" s="636" t="s">
        <v>477</v>
      </c>
      <c r="S10" s="613"/>
      <c r="T10" s="614" t="s">
        <v>288</v>
      </c>
      <c r="U10" s="614"/>
      <c r="V10" s="636"/>
      <c r="W10" s="637">
        <f t="shared" si="7"/>
        <v>3</v>
      </c>
      <c r="X10" s="612">
        <v>16</v>
      </c>
      <c r="Y10" s="730">
        <v>66</v>
      </c>
      <c r="Z10" s="613">
        <f t="shared" si="0"/>
        <v>51</v>
      </c>
      <c r="AA10" s="614" t="s">
        <v>288</v>
      </c>
      <c r="AB10" s="615">
        <f t="shared" si="1"/>
        <v>40</v>
      </c>
      <c r="AC10" s="616">
        <f t="shared" si="8"/>
        <v>11</v>
      </c>
      <c r="AD10" s="617"/>
      <c r="AE10" s="731">
        <f t="shared" si="9"/>
        <v>188</v>
      </c>
      <c r="AF10" s="732">
        <f>IFERROR(INDEX(V!R$7:R$56,MATCH(AG10,V!L$7:L$56,0)),"")</f>
        <v>90</v>
      </c>
      <c r="AG10" s="733" t="str">
        <f t="shared" si="3"/>
        <v>Henri Mitt</v>
      </c>
      <c r="AH10" s="732">
        <f>IFERROR(INDEX(V!R$7:R$56,MATCH(AI10,V!L$7:L$56,0)),"")</f>
        <v>98</v>
      </c>
      <c r="AI10" s="733" t="str">
        <f t="shared" si="4"/>
        <v>Urmas Randlaine</v>
      </c>
      <c r="AJ10" s="732" t="str">
        <f>IFERROR(INDEX(V!R$7:R$56,MATCH(AK10,V!L$7:L$56,0)),"")</f>
        <v/>
      </c>
      <c r="AK10" s="733" t="str">
        <f t="shared" si="5"/>
        <v/>
      </c>
      <c r="AL10" s="732" t="str">
        <f>IFERROR(INDEX(V!R$7:R$56,MATCH(AM10,V!L$7:L$56,0)),"")</f>
        <v/>
      </c>
      <c r="AM10" s="733" t="str">
        <f t="shared" si="6"/>
        <v/>
      </c>
      <c r="AN10" s="573"/>
    </row>
    <row r="11" spans="1:40" x14ac:dyDescent="0.2">
      <c r="A11" s="634">
        <v>4</v>
      </c>
      <c r="B11" s="635" t="s">
        <v>292</v>
      </c>
      <c r="C11" s="613">
        <v>13</v>
      </c>
      <c r="D11" s="614" t="s">
        <v>288</v>
      </c>
      <c r="E11" s="614">
        <v>5</v>
      </c>
      <c r="F11" s="636" t="s">
        <v>525</v>
      </c>
      <c r="G11" s="613">
        <v>1</v>
      </c>
      <c r="H11" s="614" t="s">
        <v>288</v>
      </c>
      <c r="I11" s="614">
        <v>13</v>
      </c>
      <c r="J11" s="636" t="s">
        <v>477</v>
      </c>
      <c r="K11" s="613">
        <v>13</v>
      </c>
      <c r="L11" s="614" t="s">
        <v>288</v>
      </c>
      <c r="M11" s="614">
        <v>11</v>
      </c>
      <c r="N11" s="636" t="s">
        <v>675</v>
      </c>
      <c r="O11" s="613">
        <v>8</v>
      </c>
      <c r="P11" s="614" t="s">
        <v>288</v>
      </c>
      <c r="Q11" s="614">
        <v>13</v>
      </c>
      <c r="R11" s="636" t="s">
        <v>655</v>
      </c>
      <c r="S11" s="613"/>
      <c r="T11" s="614" t="s">
        <v>288</v>
      </c>
      <c r="U11" s="614"/>
      <c r="V11" s="636"/>
      <c r="W11" s="637">
        <f t="shared" si="7"/>
        <v>2</v>
      </c>
      <c r="X11" s="612">
        <v>20</v>
      </c>
      <c r="Y11" s="730">
        <v>62</v>
      </c>
      <c r="Z11" s="613">
        <f t="shared" si="0"/>
        <v>35</v>
      </c>
      <c r="AA11" s="614" t="s">
        <v>288</v>
      </c>
      <c r="AB11" s="615">
        <f t="shared" si="1"/>
        <v>42</v>
      </c>
      <c r="AC11" s="616">
        <f t="shared" si="8"/>
        <v>-7</v>
      </c>
      <c r="AD11" s="617"/>
      <c r="AE11" s="731">
        <f t="shared" si="9"/>
        <v>244</v>
      </c>
      <c r="AF11" s="732">
        <f>IFERROR(INDEX(V!R$7:R$56,MATCH(AG11,V!L$7:L$56,0)),"")</f>
        <v>122</v>
      </c>
      <c r="AG11" s="733" t="str">
        <f t="shared" si="3"/>
        <v>Oksana Rõndenkova</v>
      </c>
      <c r="AH11" s="732">
        <f>IFERROR(INDEX(V!R$7:R$56,MATCH(AI11,V!L$7:L$56,0)),"")</f>
        <v>122</v>
      </c>
      <c r="AI11" s="733" t="str">
        <f t="shared" si="4"/>
        <v>Oleg Rõndenkov</v>
      </c>
      <c r="AJ11" s="732" t="str">
        <f>IFERROR(INDEX(V!R$7:R$56,MATCH(AK11,V!L$7:L$56,0)),"")</f>
        <v/>
      </c>
      <c r="AK11" s="733" t="str">
        <f t="shared" si="5"/>
        <v/>
      </c>
      <c r="AL11" s="732" t="str">
        <f>IFERROR(INDEX(V!R$7:R$56,MATCH(AM11,V!L$7:L$56,0)),"")</f>
        <v/>
      </c>
      <c r="AM11" s="733" t="str">
        <f t="shared" si="6"/>
        <v/>
      </c>
      <c r="AN11" s="573"/>
    </row>
    <row r="12" spans="1:40" x14ac:dyDescent="0.2">
      <c r="A12" s="634">
        <v>5</v>
      </c>
      <c r="B12" s="635" t="s">
        <v>675</v>
      </c>
      <c r="C12" s="613">
        <v>11</v>
      </c>
      <c r="D12" s="614" t="s">
        <v>288</v>
      </c>
      <c r="E12" s="614">
        <v>12</v>
      </c>
      <c r="F12" s="636" t="s">
        <v>655</v>
      </c>
      <c r="G12" s="613">
        <v>13</v>
      </c>
      <c r="H12" s="614" t="s">
        <v>288</v>
      </c>
      <c r="I12" s="614">
        <v>8</v>
      </c>
      <c r="J12" s="636" t="s">
        <v>647</v>
      </c>
      <c r="K12" s="613">
        <v>11</v>
      </c>
      <c r="L12" s="614" t="s">
        <v>288</v>
      </c>
      <c r="M12" s="614">
        <v>13</v>
      </c>
      <c r="N12" s="636" t="s">
        <v>676</v>
      </c>
      <c r="O12" s="613">
        <v>13</v>
      </c>
      <c r="P12" s="614" t="s">
        <v>288</v>
      </c>
      <c r="Q12" s="614">
        <v>10</v>
      </c>
      <c r="R12" s="636" t="s">
        <v>649</v>
      </c>
      <c r="S12" s="613"/>
      <c r="T12" s="614" t="s">
        <v>288</v>
      </c>
      <c r="U12" s="614"/>
      <c r="V12" s="636"/>
      <c r="W12" s="637">
        <f t="shared" si="7"/>
        <v>2</v>
      </c>
      <c r="X12" s="612">
        <v>12</v>
      </c>
      <c r="Y12" s="730">
        <v>70</v>
      </c>
      <c r="Z12" s="613">
        <f t="shared" si="0"/>
        <v>48</v>
      </c>
      <c r="AA12" s="614" t="s">
        <v>288</v>
      </c>
      <c r="AB12" s="615">
        <f t="shared" si="1"/>
        <v>43</v>
      </c>
      <c r="AC12" s="616">
        <f t="shared" si="8"/>
        <v>5</v>
      </c>
      <c r="AD12" s="617"/>
      <c r="AE12" s="731">
        <f t="shared" si="9"/>
        <v>168</v>
      </c>
      <c r="AF12" s="732">
        <f>IFERROR(INDEX(V!R$7:R$56,MATCH(AG12,V!L$7:L$56,0)),"")</f>
        <v>108</v>
      </c>
      <c r="AG12" s="733" t="str">
        <f t="shared" si="3"/>
        <v>Andres Veski</v>
      </c>
      <c r="AH12" s="732">
        <f>IFERROR(INDEX(V!R$7:R$56,MATCH(AI12,V!L$7:L$56,0)),"")</f>
        <v>60</v>
      </c>
      <c r="AI12" s="733" t="str">
        <f t="shared" si="4"/>
        <v>Tõnu Kapper</v>
      </c>
      <c r="AJ12" s="732" t="str">
        <f>IFERROR(INDEX(V!R$7:R$56,MATCH(AK12,V!L$7:L$56,0)),"")</f>
        <v/>
      </c>
      <c r="AK12" s="733" t="str">
        <f t="shared" si="5"/>
        <v/>
      </c>
      <c r="AL12" s="732" t="str">
        <f>IFERROR(INDEX(V!R$7:R$56,MATCH(AM12,V!L$7:L$56,0)),"")</f>
        <v/>
      </c>
      <c r="AM12" s="733" t="str">
        <f t="shared" si="6"/>
        <v/>
      </c>
      <c r="AN12" s="573"/>
    </row>
    <row r="13" spans="1:40" x14ac:dyDescent="0.2">
      <c r="A13" s="634">
        <v>6</v>
      </c>
      <c r="B13" s="635" t="s">
        <v>525</v>
      </c>
      <c r="C13" s="613">
        <v>5</v>
      </c>
      <c r="D13" s="614" t="s">
        <v>288</v>
      </c>
      <c r="E13" s="614">
        <v>13</v>
      </c>
      <c r="F13" s="636" t="s">
        <v>676</v>
      </c>
      <c r="G13" s="613">
        <v>13</v>
      </c>
      <c r="H13" s="614" t="s">
        <v>288</v>
      </c>
      <c r="I13" s="614">
        <v>2</v>
      </c>
      <c r="J13" s="636" t="s">
        <v>649</v>
      </c>
      <c r="K13" s="613">
        <v>8</v>
      </c>
      <c r="L13" s="614" t="s">
        <v>288</v>
      </c>
      <c r="M13" s="614">
        <v>13</v>
      </c>
      <c r="N13" s="636" t="s">
        <v>294</v>
      </c>
      <c r="O13" s="613">
        <v>13</v>
      </c>
      <c r="P13" s="614" t="s">
        <v>288</v>
      </c>
      <c r="Q13" s="614">
        <v>8</v>
      </c>
      <c r="R13" s="636" t="s">
        <v>647</v>
      </c>
      <c r="S13" s="613"/>
      <c r="T13" s="614" t="s">
        <v>288</v>
      </c>
      <c r="U13" s="614"/>
      <c r="V13" s="636"/>
      <c r="W13" s="637">
        <f t="shared" si="7"/>
        <v>2</v>
      </c>
      <c r="X13" s="612">
        <v>12</v>
      </c>
      <c r="Y13" s="730">
        <v>66</v>
      </c>
      <c r="Z13" s="613">
        <f t="shared" si="0"/>
        <v>39</v>
      </c>
      <c r="AA13" s="614" t="s">
        <v>288</v>
      </c>
      <c r="AB13" s="615">
        <f t="shared" si="1"/>
        <v>36</v>
      </c>
      <c r="AC13" s="616">
        <f t="shared" si="8"/>
        <v>3</v>
      </c>
      <c r="AD13" s="617"/>
      <c r="AE13" s="731">
        <f t="shared" si="9"/>
        <v>82</v>
      </c>
      <c r="AF13" s="732">
        <f>IFERROR(INDEX(V!R$7:R$56,MATCH(AG13,V!L$7:L$56,0)),"")</f>
        <v>34</v>
      </c>
      <c r="AG13" s="733" t="str">
        <f t="shared" si="3"/>
        <v>Kristel Tihhonjuk</v>
      </c>
      <c r="AH13" s="732">
        <f>IFERROR(INDEX(V!R$7:R$56,MATCH(AI13,V!L$7:L$56,0)),"")</f>
        <v>48</v>
      </c>
      <c r="AI13" s="733" t="str">
        <f t="shared" si="4"/>
        <v>Vadim Tihhonjuk</v>
      </c>
      <c r="AJ13" s="732" t="str">
        <f>IFERROR(INDEX(V!R$7:R$56,MATCH(AK13,V!L$7:L$56,0)),"")</f>
        <v/>
      </c>
      <c r="AK13" s="733" t="str">
        <f t="shared" si="5"/>
        <v/>
      </c>
      <c r="AL13" s="732" t="str">
        <f>IFERROR(INDEX(V!R$7:R$56,MATCH(AM13,V!L$7:L$56,0)),"")</f>
        <v/>
      </c>
      <c r="AM13" s="733" t="str">
        <f t="shared" si="6"/>
        <v/>
      </c>
      <c r="AN13" s="573"/>
    </row>
    <row r="14" spans="1:40" x14ac:dyDescent="0.2">
      <c r="A14" s="634">
        <v>7</v>
      </c>
      <c r="B14" s="638" t="s">
        <v>684</v>
      </c>
      <c r="C14" s="613">
        <v>11</v>
      </c>
      <c r="D14" s="614" t="s">
        <v>288</v>
      </c>
      <c r="E14" s="614">
        <v>13</v>
      </c>
      <c r="F14" s="636" t="s">
        <v>477</v>
      </c>
      <c r="G14" s="613">
        <v>8</v>
      </c>
      <c r="H14" s="614" t="s">
        <v>288</v>
      </c>
      <c r="I14" s="614">
        <v>13</v>
      </c>
      <c r="J14" s="636" t="s">
        <v>675</v>
      </c>
      <c r="K14" s="613">
        <v>13</v>
      </c>
      <c r="L14" s="614" t="s">
        <v>288</v>
      </c>
      <c r="M14" s="614">
        <v>10</v>
      </c>
      <c r="N14" s="636" t="s">
        <v>649</v>
      </c>
      <c r="O14" s="613">
        <v>8</v>
      </c>
      <c r="P14" s="614" t="s">
        <v>288</v>
      </c>
      <c r="Q14" s="614">
        <v>13</v>
      </c>
      <c r="R14" s="636" t="s">
        <v>525</v>
      </c>
      <c r="S14" s="613"/>
      <c r="T14" s="614" t="s">
        <v>288</v>
      </c>
      <c r="U14" s="614"/>
      <c r="V14" s="636"/>
      <c r="W14" s="637">
        <f t="shared" si="7"/>
        <v>1</v>
      </c>
      <c r="X14" s="612">
        <v>14</v>
      </c>
      <c r="Y14" s="730">
        <v>58</v>
      </c>
      <c r="Z14" s="613">
        <f t="shared" si="0"/>
        <v>40</v>
      </c>
      <c r="AA14" s="614" t="s">
        <v>288</v>
      </c>
      <c r="AB14" s="615">
        <f t="shared" si="1"/>
        <v>49</v>
      </c>
      <c r="AC14" s="616">
        <f t="shared" si="8"/>
        <v>-9</v>
      </c>
      <c r="AD14" s="617"/>
      <c r="AE14" s="731">
        <f t="shared" si="9"/>
        <v>118</v>
      </c>
      <c r="AF14" s="732">
        <f>IFERROR(INDEX(V!R$7:R$56,MATCH(AG14,V!L$7:L$56,0)),"")</f>
        <v>40</v>
      </c>
      <c r="AG14" s="733" t="str">
        <f t="shared" si="3"/>
        <v>Enn Tokman</v>
      </c>
      <c r="AH14" s="732" t="str">
        <f>IFERROR(INDEX(V!R$7:R$56,MATCH(AI14,V!L$7:L$56,0)),"")</f>
        <v/>
      </c>
      <c r="AI14" s="733" t="str">
        <f t="shared" si="4"/>
        <v>Johannes Neiland, Oliver Ojasalu</v>
      </c>
      <c r="AJ14" s="732">
        <f>IFERROR(INDEX(V!R$7:R$56,MATCH(AK14,V!L$7:L$56,0)),"")</f>
        <v>30</v>
      </c>
      <c r="AK14" s="733" t="str">
        <f t="shared" si="5"/>
        <v>Johannes Neiland</v>
      </c>
      <c r="AL14" s="732">
        <f>IFERROR(INDEX(V!R$7:R$56,MATCH(AM14,V!L$7:L$56,0)),"")</f>
        <v>48</v>
      </c>
      <c r="AM14" s="733" t="str">
        <f t="shared" si="6"/>
        <v>Oliver Ojasalu</v>
      </c>
      <c r="AN14" s="573"/>
    </row>
    <row r="15" spans="1:40" x14ac:dyDescent="0.2">
      <c r="A15" s="634">
        <v>8</v>
      </c>
      <c r="B15" s="638" t="s">
        <v>649</v>
      </c>
      <c r="C15" s="613">
        <v>11</v>
      </c>
      <c r="D15" s="614" t="s">
        <v>288</v>
      </c>
      <c r="E15" s="614">
        <v>13</v>
      </c>
      <c r="F15" s="636" t="s">
        <v>294</v>
      </c>
      <c r="G15" s="613">
        <v>2</v>
      </c>
      <c r="H15" s="614" t="s">
        <v>288</v>
      </c>
      <c r="I15" s="614">
        <v>13</v>
      </c>
      <c r="J15" s="636" t="s">
        <v>525</v>
      </c>
      <c r="K15" s="613">
        <v>10</v>
      </c>
      <c r="L15" s="614" t="s">
        <v>288</v>
      </c>
      <c r="M15" s="614">
        <v>13</v>
      </c>
      <c r="N15" s="636" t="s">
        <v>647</v>
      </c>
      <c r="O15" s="613">
        <v>10</v>
      </c>
      <c r="P15" s="614" t="s">
        <v>288</v>
      </c>
      <c r="Q15" s="614">
        <v>13</v>
      </c>
      <c r="R15" s="636" t="s">
        <v>675</v>
      </c>
      <c r="S15" s="613"/>
      <c r="T15" s="614" t="s">
        <v>288</v>
      </c>
      <c r="U15" s="614"/>
      <c r="V15" s="636"/>
      <c r="W15" s="637">
        <f t="shared" si="7"/>
        <v>0</v>
      </c>
      <c r="X15" s="612">
        <v>16</v>
      </c>
      <c r="Y15" s="730">
        <v>54</v>
      </c>
      <c r="Z15" s="613">
        <f t="shared" si="0"/>
        <v>33</v>
      </c>
      <c r="AA15" s="614" t="s">
        <v>288</v>
      </c>
      <c r="AB15" s="615">
        <f t="shared" si="1"/>
        <v>52</v>
      </c>
      <c r="AC15" s="616">
        <f t="shared" si="8"/>
        <v>-19</v>
      </c>
      <c r="AD15" s="617"/>
      <c r="AE15" s="731">
        <f t="shared" si="9"/>
        <v>132</v>
      </c>
      <c r="AF15" s="732">
        <f>IFERROR(INDEX(V!R$7:R$56,MATCH(AG15,V!L$7:L$56,0)),"")</f>
        <v>56</v>
      </c>
      <c r="AG15" s="733" t="str">
        <f t="shared" si="3"/>
        <v>Jaan Saar</v>
      </c>
      <c r="AH15" s="732">
        <f>IFERROR(INDEX(V!R$7:R$56,MATCH(AI15,V!L$7:L$56,0)),"")</f>
        <v>76</v>
      </c>
      <c r="AI15" s="733" t="str">
        <f t="shared" si="4"/>
        <v>Sirje Maala</v>
      </c>
      <c r="AJ15" s="732" t="str">
        <f>IFERROR(INDEX(V!R$7:R$56,MATCH(AK15,V!L$7:L$56,0)),"")</f>
        <v/>
      </c>
      <c r="AK15" s="733" t="str">
        <f t="shared" si="5"/>
        <v/>
      </c>
      <c r="AL15" s="732" t="str">
        <f>IFERROR(INDEX(V!R$7:R$56,MATCH(AM15,V!L$7:L$56,0)),"")</f>
        <v/>
      </c>
      <c r="AM15" s="733" t="str">
        <f t="shared" si="6"/>
        <v/>
      </c>
      <c r="AN15" s="573"/>
    </row>
    <row r="17" spans="1:16384" x14ac:dyDescent="0.2">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3"/>
      <c r="CM17" s="573"/>
      <c r="CN17" s="573"/>
      <c r="CO17" s="573"/>
      <c r="CP17" s="573"/>
      <c r="CQ17" s="573"/>
      <c r="CR17" s="573"/>
      <c r="CS17" s="573"/>
      <c r="CT17" s="573"/>
      <c r="CU17" s="573"/>
      <c r="CV17" s="573"/>
      <c r="CW17" s="573"/>
      <c r="CX17" s="573"/>
      <c r="CY17" s="573"/>
      <c r="CZ17" s="573"/>
      <c r="DA17" s="573"/>
      <c r="DB17" s="573"/>
      <c r="DC17" s="573"/>
      <c r="DD17" s="573"/>
      <c r="DE17" s="573"/>
      <c r="DF17" s="573"/>
      <c r="DG17" s="573"/>
      <c r="DH17" s="573"/>
      <c r="DI17" s="573"/>
      <c r="DJ17" s="573"/>
      <c r="DK17" s="573"/>
      <c r="DL17" s="573"/>
      <c r="DM17" s="573"/>
      <c r="DN17" s="573"/>
      <c r="DO17" s="573"/>
      <c r="DP17" s="573"/>
      <c r="DQ17" s="573"/>
      <c r="DR17" s="573"/>
      <c r="DS17" s="573"/>
      <c r="DT17" s="573"/>
      <c r="DU17" s="573"/>
      <c r="DV17" s="573"/>
      <c r="DW17" s="573"/>
      <c r="DX17" s="573"/>
      <c r="DY17" s="573"/>
      <c r="DZ17" s="573"/>
      <c r="EA17" s="573"/>
      <c r="EB17" s="573"/>
      <c r="EC17" s="573"/>
      <c r="ED17" s="573"/>
      <c r="EE17" s="573"/>
      <c r="EF17" s="573"/>
      <c r="EG17" s="573"/>
      <c r="EH17" s="573"/>
      <c r="EI17" s="573"/>
      <c r="EJ17" s="573"/>
      <c r="EK17" s="573"/>
      <c r="EL17" s="573"/>
      <c r="EM17" s="573"/>
      <c r="EN17" s="573"/>
      <c r="EO17" s="573"/>
      <c r="EP17" s="573"/>
      <c r="EQ17" s="573"/>
      <c r="ER17" s="573"/>
      <c r="ES17" s="573"/>
      <c r="ET17" s="573"/>
      <c r="EU17" s="573"/>
      <c r="EV17" s="573"/>
      <c r="EW17" s="573"/>
      <c r="EX17" s="573"/>
      <c r="EY17" s="573"/>
      <c r="EZ17" s="573"/>
      <c r="FA17" s="573"/>
      <c r="FB17" s="573"/>
      <c r="FC17" s="573"/>
      <c r="FD17" s="573"/>
      <c r="FE17" s="573"/>
      <c r="FF17" s="573"/>
      <c r="FG17" s="573"/>
      <c r="FH17" s="573"/>
      <c r="FI17" s="573"/>
      <c r="FJ17" s="573"/>
      <c r="FK17" s="573"/>
      <c r="FL17" s="573"/>
      <c r="FM17" s="573"/>
      <c r="FN17" s="573"/>
      <c r="FO17" s="573"/>
      <c r="FP17" s="573"/>
      <c r="FQ17" s="573"/>
      <c r="FR17" s="573"/>
      <c r="FS17" s="573"/>
      <c r="FT17" s="573"/>
      <c r="FU17" s="573"/>
      <c r="FV17" s="573"/>
      <c r="FW17" s="573"/>
      <c r="FX17" s="573"/>
      <c r="FY17" s="573"/>
      <c r="FZ17" s="573"/>
      <c r="GA17" s="573"/>
      <c r="GB17" s="573"/>
      <c r="GC17" s="573"/>
      <c r="GD17" s="573"/>
      <c r="GE17" s="573"/>
      <c r="GF17" s="573"/>
      <c r="GG17" s="573"/>
      <c r="GH17" s="573"/>
      <c r="GI17" s="573"/>
      <c r="GJ17" s="573"/>
      <c r="GK17" s="573"/>
      <c r="GL17" s="573"/>
      <c r="GM17" s="573"/>
      <c r="GN17" s="573"/>
      <c r="GO17" s="573"/>
      <c r="GP17" s="573"/>
      <c r="GQ17" s="573"/>
      <c r="GR17" s="573"/>
      <c r="GS17" s="573"/>
      <c r="GT17" s="573"/>
      <c r="GU17" s="573"/>
      <c r="GV17" s="573"/>
      <c r="GW17" s="573"/>
      <c r="GX17" s="573"/>
      <c r="GY17" s="573"/>
      <c r="GZ17" s="573"/>
      <c r="HA17" s="573"/>
      <c r="HB17" s="573"/>
      <c r="HC17" s="573"/>
      <c r="HD17" s="573"/>
      <c r="HE17" s="573"/>
      <c r="HF17" s="573"/>
      <c r="HG17" s="573"/>
      <c r="HH17" s="573"/>
      <c r="HI17" s="573"/>
      <c r="HJ17" s="573"/>
      <c r="HK17" s="573"/>
      <c r="HL17" s="573"/>
      <c r="HM17" s="573"/>
      <c r="HN17" s="573"/>
      <c r="HO17" s="573"/>
      <c r="HP17" s="573"/>
      <c r="HQ17" s="573"/>
      <c r="HR17" s="573"/>
      <c r="HS17" s="573"/>
      <c r="HT17" s="573"/>
      <c r="HU17" s="573"/>
      <c r="HV17" s="573"/>
      <c r="HW17" s="573"/>
      <c r="HX17" s="573"/>
      <c r="HY17" s="573"/>
      <c r="HZ17" s="573"/>
      <c r="IA17" s="573"/>
      <c r="IB17" s="573"/>
      <c r="IC17" s="573"/>
      <c r="ID17" s="573"/>
      <c r="IE17" s="573"/>
      <c r="IF17" s="573"/>
      <c r="IG17" s="573"/>
      <c r="IH17" s="573"/>
      <c r="II17" s="573"/>
      <c r="IJ17" s="573"/>
      <c r="IK17" s="573"/>
      <c r="IL17" s="573"/>
      <c r="IM17" s="573"/>
      <c r="IN17" s="573"/>
      <c r="IO17" s="573"/>
      <c r="IP17" s="573"/>
      <c r="IQ17" s="573"/>
      <c r="IR17" s="573"/>
      <c r="IS17" s="573"/>
      <c r="IT17" s="573"/>
      <c r="IU17" s="573"/>
      <c r="IV17" s="573"/>
      <c r="IW17" s="573"/>
      <c r="IX17" s="573"/>
      <c r="IY17" s="573"/>
      <c r="IZ17" s="573"/>
      <c r="JA17" s="573"/>
      <c r="JB17" s="573"/>
      <c r="JC17" s="573"/>
      <c r="JD17" s="573"/>
      <c r="JE17" s="573"/>
      <c r="JF17" s="573"/>
      <c r="JG17" s="573"/>
      <c r="JH17" s="573"/>
      <c r="JI17" s="573"/>
      <c r="JJ17" s="573"/>
      <c r="JK17" s="573"/>
      <c r="JL17" s="573"/>
      <c r="JM17" s="573"/>
      <c r="JN17" s="573"/>
      <c r="JO17" s="573"/>
      <c r="JP17" s="573"/>
      <c r="JQ17" s="573"/>
      <c r="JR17" s="573"/>
      <c r="JS17" s="573"/>
      <c r="JT17" s="573"/>
      <c r="JU17" s="573"/>
      <c r="JV17" s="573"/>
      <c r="JW17" s="573"/>
      <c r="JX17" s="573"/>
      <c r="JY17" s="573"/>
      <c r="JZ17" s="573"/>
      <c r="KA17" s="573"/>
      <c r="KB17" s="573"/>
      <c r="KC17" s="573"/>
      <c r="KD17" s="573"/>
      <c r="KE17" s="573"/>
      <c r="KF17" s="573"/>
      <c r="KG17" s="573"/>
      <c r="KH17" s="573"/>
      <c r="KI17" s="573"/>
      <c r="KJ17" s="573"/>
      <c r="KK17" s="573"/>
      <c r="KL17" s="573"/>
      <c r="KM17" s="573"/>
      <c r="KN17" s="573"/>
      <c r="KO17" s="573"/>
      <c r="KP17" s="573"/>
      <c r="KQ17" s="573"/>
      <c r="KR17" s="573"/>
      <c r="KS17" s="573"/>
      <c r="KT17" s="573"/>
      <c r="KU17" s="573"/>
      <c r="KV17" s="573"/>
      <c r="KW17" s="573"/>
      <c r="KX17" s="573"/>
      <c r="KY17" s="573"/>
      <c r="KZ17" s="573"/>
      <c r="LA17" s="573"/>
      <c r="LB17" s="573"/>
      <c r="LC17" s="573"/>
      <c r="LD17" s="573"/>
      <c r="LE17" s="573"/>
      <c r="LF17" s="573"/>
      <c r="LG17" s="573"/>
      <c r="LH17" s="573"/>
      <c r="LI17" s="573"/>
      <c r="LJ17" s="573"/>
      <c r="LK17" s="573"/>
      <c r="LL17" s="573"/>
      <c r="LM17" s="573"/>
      <c r="LN17" s="573"/>
      <c r="LO17" s="573"/>
      <c r="LP17" s="573"/>
      <c r="LQ17" s="573"/>
      <c r="LR17" s="573"/>
      <c r="LS17" s="573"/>
      <c r="LT17" s="573"/>
      <c r="LU17" s="573"/>
      <c r="LV17" s="573"/>
      <c r="LW17" s="573"/>
      <c r="LX17" s="573"/>
      <c r="LY17" s="573"/>
      <c r="LZ17" s="573"/>
      <c r="MA17" s="573"/>
      <c r="MB17" s="573"/>
      <c r="MC17" s="573"/>
      <c r="MD17" s="573"/>
      <c r="ME17" s="573"/>
      <c r="MF17" s="573"/>
      <c r="MG17" s="573"/>
      <c r="MH17" s="573"/>
      <c r="MI17" s="573"/>
      <c r="MJ17" s="573"/>
      <c r="MK17" s="573"/>
      <c r="ML17" s="573"/>
      <c r="MM17" s="573"/>
      <c r="MN17" s="573"/>
      <c r="MO17" s="573"/>
      <c r="MP17" s="573"/>
      <c r="MQ17" s="573"/>
      <c r="MR17" s="573"/>
      <c r="MS17" s="573"/>
      <c r="MT17" s="573"/>
      <c r="MU17" s="573"/>
      <c r="MV17" s="573"/>
      <c r="MW17" s="573"/>
      <c r="MX17" s="573"/>
      <c r="MY17" s="573"/>
      <c r="MZ17" s="573"/>
      <c r="NA17" s="573"/>
      <c r="NB17" s="573"/>
      <c r="NC17" s="573"/>
      <c r="ND17" s="573"/>
      <c r="NE17" s="573"/>
      <c r="NF17" s="573"/>
      <c r="NG17" s="573"/>
      <c r="NH17" s="573"/>
      <c r="NI17" s="573"/>
      <c r="NJ17" s="573"/>
      <c r="NK17" s="573"/>
      <c r="NL17" s="573"/>
      <c r="NM17" s="573"/>
      <c r="NN17" s="573"/>
      <c r="NO17" s="573"/>
      <c r="NP17" s="573"/>
      <c r="NQ17" s="573"/>
      <c r="NR17" s="573"/>
      <c r="NS17" s="573"/>
      <c r="NT17" s="573"/>
      <c r="NU17" s="573"/>
      <c r="NV17" s="573"/>
      <c r="NW17" s="573"/>
      <c r="NX17" s="573"/>
      <c r="NY17" s="573"/>
      <c r="NZ17" s="573"/>
      <c r="OA17" s="573"/>
      <c r="OB17" s="573"/>
      <c r="OC17" s="573"/>
      <c r="OD17" s="573"/>
      <c r="OE17" s="573"/>
      <c r="OF17" s="573"/>
      <c r="OG17" s="573"/>
      <c r="OH17" s="573"/>
      <c r="OI17" s="573"/>
      <c r="OJ17" s="573"/>
      <c r="OK17" s="573"/>
      <c r="OL17" s="573"/>
      <c r="OM17" s="573"/>
      <c r="ON17" s="573"/>
      <c r="OO17" s="573"/>
      <c r="OP17" s="573"/>
      <c r="OQ17" s="573"/>
      <c r="OR17" s="573"/>
      <c r="OS17" s="573"/>
      <c r="OT17" s="573"/>
      <c r="OU17" s="573"/>
      <c r="OV17" s="573"/>
      <c r="OW17" s="573"/>
      <c r="OX17" s="573"/>
      <c r="OY17" s="573"/>
      <c r="OZ17" s="573"/>
      <c r="PA17" s="573"/>
      <c r="PB17" s="573"/>
      <c r="PC17" s="573"/>
      <c r="PD17" s="573"/>
      <c r="PE17" s="573"/>
      <c r="PF17" s="573"/>
      <c r="PG17" s="573"/>
      <c r="PH17" s="573"/>
      <c r="PI17" s="573"/>
      <c r="PJ17" s="573"/>
      <c r="PK17" s="573"/>
      <c r="PL17" s="573"/>
      <c r="PM17" s="573"/>
      <c r="PN17" s="573"/>
      <c r="PO17" s="573"/>
      <c r="PP17" s="573"/>
      <c r="PQ17" s="573"/>
      <c r="PR17" s="573"/>
      <c r="PS17" s="573"/>
      <c r="PT17" s="573"/>
      <c r="PU17" s="573"/>
      <c r="PV17" s="573"/>
      <c r="PW17" s="573"/>
      <c r="PX17" s="573"/>
      <c r="PY17" s="573"/>
      <c r="PZ17" s="573"/>
      <c r="QA17" s="573"/>
      <c r="QB17" s="573"/>
      <c r="QC17" s="573"/>
      <c r="QD17" s="573"/>
      <c r="QE17" s="573"/>
      <c r="QF17" s="573"/>
      <c r="QG17" s="573"/>
      <c r="QH17" s="573"/>
      <c r="QI17" s="573"/>
      <c r="QJ17" s="573"/>
      <c r="QK17" s="573"/>
      <c r="QL17" s="573"/>
      <c r="QM17" s="573"/>
      <c r="QN17" s="573"/>
      <c r="QO17" s="573"/>
      <c r="QP17" s="573"/>
      <c r="QQ17" s="573"/>
      <c r="QR17" s="573"/>
      <c r="QS17" s="573"/>
      <c r="QT17" s="573"/>
      <c r="QU17" s="573"/>
      <c r="QV17" s="573"/>
      <c r="QW17" s="573"/>
      <c r="QX17" s="573"/>
      <c r="QY17" s="573"/>
      <c r="QZ17" s="573"/>
      <c r="RA17" s="573"/>
      <c r="RB17" s="573"/>
      <c r="RC17" s="573"/>
      <c r="RD17" s="573"/>
      <c r="RE17" s="573"/>
      <c r="RF17" s="573"/>
      <c r="RG17" s="573"/>
      <c r="RH17" s="573"/>
      <c r="RI17" s="573"/>
      <c r="RJ17" s="573"/>
      <c r="RK17" s="573"/>
      <c r="RL17" s="573"/>
      <c r="RM17" s="573"/>
      <c r="RN17" s="573"/>
      <c r="RO17" s="573"/>
      <c r="RP17" s="573"/>
      <c r="RQ17" s="573"/>
      <c r="RR17" s="573"/>
      <c r="RS17" s="573"/>
      <c r="RT17" s="573"/>
      <c r="RU17" s="573"/>
      <c r="RV17" s="573"/>
      <c r="RW17" s="573"/>
      <c r="RX17" s="573"/>
      <c r="RY17" s="573"/>
      <c r="RZ17" s="573"/>
      <c r="SA17" s="573"/>
      <c r="SB17" s="573"/>
      <c r="SC17" s="573"/>
      <c r="SD17" s="573"/>
      <c r="SE17" s="573"/>
      <c r="SF17" s="573"/>
      <c r="SG17" s="573"/>
      <c r="SH17" s="573"/>
      <c r="SI17" s="573"/>
      <c r="SJ17" s="573"/>
      <c r="SK17" s="573"/>
      <c r="SL17" s="573"/>
      <c r="SM17" s="573"/>
      <c r="SN17" s="573"/>
      <c r="SO17" s="573"/>
      <c r="SP17" s="573"/>
      <c r="SQ17" s="573"/>
      <c r="SR17" s="573"/>
      <c r="SS17" s="573"/>
      <c r="ST17" s="573"/>
      <c r="SU17" s="573"/>
      <c r="SV17" s="573"/>
      <c r="SW17" s="573"/>
      <c r="SX17" s="573"/>
      <c r="SY17" s="573"/>
      <c r="SZ17" s="573"/>
      <c r="TA17" s="573"/>
      <c r="TB17" s="573"/>
      <c r="TC17" s="573"/>
      <c r="TD17" s="573"/>
      <c r="TE17" s="573"/>
      <c r="TF17" s="573"/>
      <c r="TG17" s="573"/>
      <c r="TH17" s="573"/>
      <c r="TI17" s="573"/>
      <c r="TJ17" s="573"/>
      <c r="TK17" s="573"/>
      <c r="TL17" s="573"/>
      <c r="TM17" s="573"/>
      <c r="TN17" s="573"/>
      <c r="TO17" s="573"/>
      <c r="TP17" s="573"/>
      <c r="TQ17" s="573"/>
      <c r="TR17" s="573"/>
      <c r="TS17" s="573"/>
      <c r="TT17" s="573"/>
      <c r="TU17" s="573"/>
      <c r="TV17" s="573"/>
      <c r="TW17" s="573"/>
      <c r="TX17" s="573"/>
      <c r="TY17" s="573"/>
      <c r="TZ17" s="573"/>
      <c r="UA17" s="573"/>
      <c r="UB17" s="573"/>
      <c r="UC17" s="573"/>
      <c r="UD17" s="573"/>
      <c r="UE17" s="573"/>
      <c r="UF17" s="573"/>
      <c r="UG17" s="573"/>
      <c r="UH17" s="573"/>
      <c r="UI17" s="573"/>
      <c r="UJ17" s="573"/>
      <c r="UK17" s="573"/>
      <c r="UL17" s="573"/>
      <c r="UM17" s="573"/>
      <c r="UN17" s="573"/>
      <c r="UO17" s="573"/>
      <c r="UP17" s="573"/>
      <c r="UQ17" s="573"/>
      <c r="UR17" s="573"/>
      <c r="US17" s="573"/>
      <c r="UT17" s="573"/>
      <c r="UU17" s="573"/>
      <c r="UV17" s="573"/>
      <c r="UW17" s="573"/>
      <c r="UX17" s="573"/>
      <c r="UY17" s="573"/>
      <c r="UZ17" s="573"/>
      <c r="VA17" s="573"/>
      <c r="VB17" s="573"/>
      <c r="VC17" s="573"/>
      <c r="VD17" s="573"/>
      <c r="VE17" s="573"/>
      <c r="VF17" s="573"/>
      <c r="VG17" s="573"/>
      <c r="VH17" s="573"/>
      <c r="VI17" s="573"/>
      <c r="VJ17" s="573"/>
      <c r="VK17" s="573"/>
      <c r="VL17" s="573"/>
      <c r="VM17" s="573"/>
      <c r="VN17" s="573"/>
      <c r="VO17" s="573"/>
      <c r="VP17" s="573"/>
      <c r="VQ17" s="573"/>
      <c r="VR17" s="573"/>
      <c r="VS17" s="573"/>
      <c r="VT17" s="573"/>
      <c r="VU17" s="573"/>
      <c r="VV17" s="573"/>
      <c r="VW17" s="573"/>
      <c r="VX17" s="573"/>
      <c r="VY17" s="573"/>
      <c r="VZ17" s="573"/>
      <c r="WA17" s="573"/>
      <c r="WB17" s="573"/>
      <c r="WC17" s="573"/>
      <c r="WD17" s="573"/>
      <c r="WE17" s="573"/>
      <c r="WF17" s="573"/>
      <c r="WG17" s="573"/>
      <c r="WH17" s="573"/>
      <c r="WI17" s="573"/>
      <c r="WJ17" s="573"/>
      <c r="WK17" s="573"/>
      <c r="WL17" s="573"/>
      <c r="WM17" s="573"/>
      <c r="WN17" s="573"/>
      <c r="WO17" s="573"/>
      <c r="WP17" s="573"/>
      <c r="WQ17" s="573"/>
      <c r="WR17" s="573"/>
      <c r="WS17" s="573"/>
      <c r="WT17" s="573"/>
      <c r="WU17" s="573"/>
      <c r="WV17" s="573"/>
      <c r="WW17" s="573"/>
      <c r="WX17" s="573"/>
      <c r="WY17" s="573"/>
      <c r="WZ17" s="573"/>
      <c r="XA17" s="573"/>
      <c r="XB17" s="573"/>
      <c r="XC17" s="573"/>
      <c r="XD17" s="573"/>
      <c r="XE17" s="573"/>
      <c r="XF17" s="573"/>
      <c r="XG17" s="573"/>
      <c r="XH17" s="573"/>
      <c r="XI17" s="573"/>
      <c r="XJ17" s="573"/>
      <c r="XK17" s="573"/>
      <c r="XL17" s="573"/>
      <c r="XM17" s="573"/>
      <c r="XN17" s="573"/>
      <c r="XO17" s="573"/>
      <c r="XP17" s="573"/>
      <c r="XQ17" s="573"/>
      <c r="XR17" s="573"/>
      <c r="XS17" s="573"/>
      <c r="XT17" s="573"/>
      <c r="XU17" s="573"/>
      <c r="XV17" s="573"/>
      <c r="XW17" s="573"/>
      <c r="XX17" s="573"/>
      <c r="XY17" s="573"/>
      <c r="XZ17" s="573"/>
      <c r="YA17" s="573"/>
      <c r="YB17" s="573"/>
      <c r="YC17" s="573"/>
      <c r="YD17" s="573"/>
      <c r="YE17" s="573"/>
      <c r="YF17" s="573"/>
      <c r="YG17" s="573"/>
      <c r="YH17" s="573"/>
      <c r="YI17" s="573"/>
      <c r="YJ17" s="573"/>
      <c r="YK17" s="573"/>
      <c r="YL17" s="573"/>
      <c r="YM17" s="573"/>
      <c r="YN17" s="573"/>
      <c r="YO17" s="573"/>
      <c r="YP17" s="573"/>
      <c r="YQ17" s="573"/>
      <c r="YR17" s="573"/>
      <c r="YS17" s="573"/>
      <c r="YT17" s="573"/>
      <c r="YU17" s="573"/>
      <c r="YV17" s="573"/>
      <c r="YW17" s="573"/>
      <c r="YX17" s="573"/>
      <c r="YY17" s="573"/>
      <c r="YZ17" s="573"/>
      <c r="ZA17" s="573"/>
      <c r="ZB17" s="573"/>
      <c r="ZC17" s="573"/>
      <c r="ZD17" s="573"/>
      <c r="ZE17" s="573"/>
      <c r="ZF17" s="573"/>
      <c r="ZG17" s="573"/>
      <c r="ZH17" s="573"/>
      <c r="ZI17" s="573"/>
      <c r="ZJ17" s="573"/>
      <c r="ZK17" s="573"/>
      <c r="ZL17" s="573"/>
      <c r="ZM17" s="573"/>
      <c r="ZN17" s="573"/>
      <c r="ZO17" s="573"/>
      <c r="ZP17" s="573"/>
      <c r="ZQ17" s="573"/>
      <c r="ZR17" s="573"/>
      <c r="ZS17" s="573"/>
      <c r="ZT17" s="573"/>
      <c r="ZU17" s="573"/>
      <c r="ZV17" s="573"/>
      <c r="ZW17" s="573"/>
      <c r="ZX17" s="573"/>
      <c r="ZY17" s="573"/>
      <c r="ZZ17" s="573"/>
      <c r="AAA17" s="573"/>
      <c r="AAB17" s="573"/>
      <c r="AAC17" s="573"/>
      <c r="AAD17" s="573"/>
      <c r="AAE17" s="573"/>
      <c r="AAF17" s="573"/>
      <c r="AAG17" s="573"/>
      <c r="AAH17" s="573"/>
      <c r="AAI17" s="573"/>
      <c r="AAJ17" s="573"/>
      <c r="AAK17" s="573"/>
      <c r="AAL17" s="573"/>
      <c r="AAM17" s="573"/>
      <c r="AAN17" s="573"/>
      <c r="AAO17" s="573"/>
      <c r="AAP17" s="573"/>
      <c r="AAQ17" s="573"/>
      <c r="AAR17" s="573"/>
      <c r="AAS17" s="573"/>
      <c r="AAT17" s="573"/>
      <c r="AAU17" s="573"/>
      <c r="AAV17" s="573"/>
      <c r="AAW17" s="573"/>
      <c r="AAX17" s="573"/>
      <c r="AAY17" s="573"/>
      <c r="AAZ17" s="573"/>
      <c r="ABA17" s="573"/>
      <c r="ABB17" s="573"/>
      <c r="ABC17" s="573"/>
      <c r="ABD17" s="573"/>
      <c r="ABE17" s="573"/>
      <c r="ABF17" s="573"/>
      <c r="ABG17" s="573"/>
      <c r="ABH17" s="573"/>
      <c r="ABI17" s="573"/>
      <c r="ABJ17" s="573"/>
      <c r="ABK17" s="573"/>
      <c r="ABL17" s="573"/>
      <c r="ABM17" s="573"/>
      <c r="ABN17" s="573"/>
      <c r="ABO17" s="573"/>
      <c r="ABP17" s="573"/>
      <c r="ABQ17" s="573"/>
      <c r="ABR17" s="573"/>
      <c r="ABS17" s="573"/>
      <c r="ABT17" s="573"/>
      <c r="ABU17" s="573"/>
      <c r="ABV17" s="573"/>
      <c r="ABW17" s="573"/>
      <c r="ABX17" s="573"/>
      <c r="ABY17" s="573"/>
      <c r="ABZ17" s="573"/>
      <c r="ACA17" s="573"/>
      <c r="ACB17" s="573"/>
      <c r="ACC17" s="573"/>
      <c r="ACD17" s="573"/>
      <c r="ACE17" s="573"/>
      <c r="ACF17" s="573"/>
      <c r="ACG17" s="573"/>
      <c r="ACH17" s="573"/>
      <c r="ACI17" s="573"/>
      <c r="ACJ17" s="573"/>
      <c r="ACK17" s="573"/>
      <c r="ACL17" s="573"/>
      <c r="ACM17" s="573"/>
      <c r="ACN17" s="573"/>
      <c r="ACO17" s="573"/>
      <c r="ACP17" s="573"/>
      <c r="ACQ17" s="573"/>
      <c r="ACR17" s="573"/>
      <c r="ACS17" s="573"/>
      <c r="ACT17" s="573"/>
      <c r="ACU17" s="573"/>
      <c r="ACV17" s="573"/>
      <c r="ACW17" s="573"/>
      <c r="ACX17" s="573"/>
      <c r="ACY17" s="573"/>
      <c r="ACZ17" s="573"/>
      <c r="ADA17" s="573"/>
      <c r="ADB17" s="573"/>
      <c r="ADC17" s="573"/>
      <c r="ADD17" s="573"/>
      <c r="ADE17" s="573"/>
      <c r="ADF17" s="573"/>
      <c r="ADG17" s="573"/>
      <c r="ADH17" s="573"/>
      <c r="ADI17" s="573"/>
      <c r="ADJ17" s="573"/>
      <c r="ADK17" s="573"/>
      <c r="ADL17" s="573"/>
      <c r="ADM17" s="573"/>
      <c r="ADN17" s="573"/>
      <c r="ADO17" s="573"/>
      <c r="ADP17" s="573"/>
      <c r="ADQ17" s="573"/>
      <c r="ADR17" s="573"/>
      <c r="ADS17" s="573"/>
      <c r="ADT17" s="573"/>
      <c r="ADU17" s="573"/>
      <c r="ADV17" s="573"/>
      <c r="ADW17" s="573"/>
      <c r="ADX17" s="573"/>
      <c r="ADY17" s="573"/>
      <c r="ADZ17" s="573"/>
      <c r="AEA17" s="573"/>
      <c r="AEB17" s="573"/>
      <c r="AEC17" s="573"/>
      <c r="AED17" s="573"/>
      <c r="AEE17" s="573"/>
      <c r="AEF17" s="573"/>
      <c r="AEG17" s="573"/>
      <c r="AEH17" s="573"/>
      <c r="AEI17" s="573"/>
      <c r="AEJ17" s="573"/>
      <c r="AEK17" s="573"/>
      <c r="AEL17" s="573"/>
      <c r="AEM17" s="573"/>
      <c r="AEN17" s="573"/>
      <c r="AEO17" s="573"/>
      <c r="AEP17" s="573"/>
      <c r="AEQ17" s="573"/>
      <c r="AER17" s="573"/>
      <c r="AES17" s="573"/>
      <c r="AET17" s="573"/>
      <c r="AEU17" s="573"/>
      <c r="AEV17" s="573"/>
      <c r="AEW17" s="573"/>
      <c r="AEX17" s="573"/>
      <c r="AEY17" s="573"/>
      <c r="AEZ17" s="573"/>
      <c r="AFA17" s="573"/>
      <c r="AFB17" s="573"/>
      <c r="AFC17" s="573"/>
      <c r="AFD17" s="573"/>
      <c r="AFE17" s="573"/>
      <c r="AFF17" s="573"/>
      <c r="AFG17" s="573"/>
      <c r="AFH17" s="573"/>
      <c r="AFI17" s="573"/>
      <c r="AFJ17" s="573"/>
      <c r="AFK17" s="573"/>
      <c r="AFL17" s="573"/>
      <c r="AFM17" s="573"/>
      <c r="AFN17" s="573"/>
      <c r="AFO17" s="573"/>
      <c r="AFP17" s="573"/>
      <c r="AFQ17" s="573"/>
      <c r="AFR17" s="573"/>
      <c r="AFS17" s="573"/>
      <c r="AFT17" s="573"/>
      <c r="AFU17" s="573"/>
      <c r="AFV17" s="573"/>
      <c r="AFW17" s="573"/>
      <c r="AFX17" s="573"/>
      <c r="AFY17" s="573"/>
      <c r="AFZ17" s="573"/>
      <c r="AGA17" s="573"/>
      <c r="AGB17" s="573"/>
      <c r="AGC17" s="573"/>
      <c r="AGD17" s="573"/>
      <c r="AGE17" s="573"/>
      <c r="AGF17" s="573"/>
      <c r="AGG17" s="573"/>
      <c r="AGH17" s="573"/>
      <c r="AGI17" s="573"/>
      <c r="AGJ17" s="573"/>
      <c r="AGK17" s="573"/>
      <c r="AGL17" s="573"/>
      <c r="AGM17" s="573"/>
      <c r="AGN17" s="573"/>
      <c r="AGO17" s="573"/>
      <c r="AGP17" s="573"/>
      <c r="AGQ17" s="573"/>
      <c r="AGR17" s="573"/>
      <c r="AGS17" s="573"/>
      <c r="AGT17" s="573"/>
      <c r="AGU17" s="573"/>
      <c r="AGV17" s="573"/>
      <c r="AGW17" s="573"/>
      <c r="AGX17" s="573"/>
      <c r="AGY17" s="573"/>
      <c r="AGZ17" s="573"/>
      <c r="AHA17" s="573"/>
      <c r="AHB17" s="573"/>
      <c r="AHC17" s="573"/>
      <c r="AHD17" s="573"/>
      <c r="AHE17" s="573"/>
      <c r="AHF17" s="573"/>
      <c r="AHG17" s="573"/>
      <c r="AHH17" s="573"/>
      <c r="AHI17" s="573"/>
      <c r="AHJ17" s="573"/>
      <c r="AHK17" s="573"/>
      <c r="AHL17" s="573"/>
      <c r="AHM17" s="573"/>
      <c r="AHN17" s="573"/>
      <c r="AHO17" s="573"/>
      <c r="AHP17" s="573"/>
      <c r="AHQ17" s="573"/>
      <c r="AHR17" s="573"/>
      <c r="AHS17" s="573"/>
      <c r="AHT17" s="573"/>
      <c r="AHU17" s="573"/>
      <c r="AHV17" s="573"/>
      <c r="AHW17" s="573"/>
      <c r="AHX17" s="573"/>
      <c r="AHY17" s="573"/>
      <c r="AHZ17" s="573"/>
      <c r="AIA17" s="573"/>
      <c r="AIB17" s="573"/>
      <c r="AIC17" s="573"/>
      <c r="AID17" s="573"/>
      <c r="AIE17" s="573"/>
      <c r="AIF17" s="573"/>
      <c r="AIG17" s="573"/>
      <c r="AIH17" s="573"/>
      <c r="AII17" s="573"/>
      <c r="AIJ17" s="573"/>
      <c r="AIK17" s="573"/>
      <c r="AIL17" s="573"/>
      <c r="AIM17" s="573"/>
      <c r="AIN17" s="573"/>
      <c r="AIO17" s="573"/>
      <c r="AIP17" s="573"/>
      <c r="AIQ17" s="573"/>
      <c r="AIR17" s="573"/>
      <c r="AIS17" s="573"/>
      <c r="AIT17" s="573"/>
      <c r="AIU17" s="573"/>
      <c r="AIV17" s="573"/>
      <c r="AIW17" s="573"/>
      <c r="AIX17" s="573"/>
      <c r="AIY17" s="573"/>
      <c r="AIZ17" s="573"/>
      <c r="AJA17" s="573"/>
      <c r="AJB17" s="573"/>
      <c r="AJC17" s="573"/>
      <c r="AJD17" s="573"/>
      <c r="AJE17" s="573"/>
      <c r="AJF17" s="573"/>
      <c r="AJG17" s="573"/>
      <c r="AJH17" s="573"/>
      <c r="AJI17" s="573"/>
      <c r="AJJ17" s="573"/>
      <c r="AJK17" s="573"/>
      <c r="AJL17" s="573"/>
      <c r="AJM17" s="573"/>
      <c r="AJN17" s="573"/>
      <c r="AJO17" s="573"/>
      <c r="AJP17" s="573"/>
      <c r="AJQ17" s="573"/>
      <c r="AJR17" s="573"/>
      <c r="AJS17" s="573"/>
      <c r="AJT17" s="573"/>
      <c r="AJU17" s="573"/>
      <c r="AJV17" s="573"/>
      <c r="AJW17" s="573"/>
      <c r="AJX17" s="573"/>
      <c r="AJY17" s="573"/>
      <c r="AJZ17" s="573"/>
      <c r="AKA17" s="573"/>
      <c r="AKB17" s="573"/>
      <c r="AKC17" s="573"/>
      <c r="AKD17" s="573"/>
      <c r="AKE17" s="573"/>
      <c r="AKF17" s="573"/>
      <c r="AKG17" s="573"/>
      <c r="AKH17" s="573"/>
      <c r="AKI17" s="573"/>
      <c r="AKJ17" s="573"/>
      <c r="AKK17" s="573"/>
      <c r="AKL17" s="573"/>
      <c r="AKM17" s="573"/>
      <c r="AKN17" s="573"/>
      <c r="AKO17" s="573"/>
      <c r="AKP17" s="573"/>
      <c r="AKQ17" s="573"/>
      <c r="AKR17" s="573"/>
      <c r="AKS17" s="573"/>
      <c r="AKT17" s="573"/>
      <c r="AKU17" s="573"/>
      <c r="AKV17" s="573"/>
      <c r="AKW17" s="573"/>
      <c r="AKX17" s="573"/>
      <c r="AKY17" s="573"/>
      <c r="AKZ17" s="573"/>
      <c r="ALA17" s="573"/>
      <c r="ALB17" s="573"/>
      <c r="ALC17" s="573"/>
      <c r="ALD17" s="573"/>
      <c r="ALE17" s="573"/>
      <c r="ALF17" s="573"/>
      <c r="ALG17" s="573"/>
      <c r="ALH17" s="573"/>
      <c r="ALI17" s="573"/>
      <c r="ALJ17" s="573"/>
      <c r="ALK17" s="573"/>
      <c r="ALL17" s="573"/>
      <c r="ALM17" s="573"/>
      <c r="ALN17" s="573"/>
      <c r="ALO17" s="573"/>
      <c r="ALP17" s="573"/>
      <c r="ALQ17" s="573"/>
      <c r="ALR17" s="573"/>
      <c r="ALS17" s="573"/>
      <c r="ALT17" s="573"/>
      <c r="ALU17" s="573"/>
      <c r="ALV17" s="573"/>
      <c r="ALW17" s="573"/>
      <c r="ALX17" s="573"/>
      <c r="ALY17" s="573"/>
      <c r="ALZ17" s="573"/>
      <c r="AMA17" s="573"/>
      <c r="AMB17" s="573"/>
      <c r="AMC17" s="573"/>
      <c r="AMD17" s="573"/>
      <c r="AME17" s="573"/>
      <c r="AMF17" s="573"/>
      <c r="AMG17" s="573"/>
      <c r="AMH17" s="573"/>
      <c r="AMI17" s="573"/>
      <c r="AMJ17" s="573"/>
      <c r="AMK17" s="573"/>
      <c r="AML17" s="573"/>
      <c r="AMM17" s="573"/>
      <c r="AMN17" s="573"/>
      <c r="AMO17" s="573"/>
      <c r="AMP17" s="573"/>
      <c r="AMQ17" s="573"/>
      <c r="AMR17" s="573"/>
      <c r="AMS17" s="573"/>
      <c r="AMT17" s="573"/>
      <c r="AMU17" s="573"/>
      <c r="AMV17" s="573"/>
      <c r="AMW17" s="573"/>
      <c r="AMX17" s="573"/>
      <c r="AMY17" s="573"/>
      <c r="AMZ17" s="573"/>
      <c r="ANA17" s="573"/>
      <c r="ANB17" s="573"/>
      <c r="ANC17" s="573"/>
      <c r="AND17" s="573"/>
      <c r="ANE17" s="573"/>
      <c r="ANF17" s="573"/>
      <c r="ANG17" s="573"/>
      <c r="ANH17" s="573"/>
      <c r="ANI17" s="573"/>
      <c r="ANJ17" s="573"/>
      <c r="ANK17" s="573"/>
      <c r="ANL17" s="573"/>
      <c r="ANM17" s="573"/>
      <c r="ANN17" s="573"/>
      <c r="ANO17" s="573"/>
      <c r="ANP17" s="573"/>
      <c r="ANQ17" s="573"/>
      <c r="ANR17" s="573"/>
      <c r="ANS17" s="573"/>
      <c r="ANT17" s="573"/>
      <c r="ANU17" s="573"/>
      <c r="ANV17" s="573"/>
      <c r="ANW17" s="573"/>
      <c r="ANX17" s="573"/>
      <c r="ANY17" s="573"/>
      <c r="ANZ17" s="573"/>
      <c r="AOA17" s="573"/>
      <c r="AOB17" s="573"/>
      <c r="AOC17" s="573"/>
      <c r="AOD17" s="573"/>
      <c r="AOE17" s="573"/>
      <c r="AOF17" s="573"/>
      <c r="AOG17" s="573"/>
      <c r="AOH17" s="573"/>
      <c r="AOI17" s="573"/>
      <c r="AOJ17" s="573"/>
      <c r="AOK17" s="573"/>
      <c r="AOL17" s="573"/>
      <c r="AOM17" s="573"/>
      <c r="AON17" s="573"/>
      <c r="AOO17" s="573"/>
      <c r="AOP17" s="573"/>
      <c r="AOQ17" s="573"/>
      <c r="AOR17" s="573"/>
      <c r="AOS17" s="573"/>
      <c r="AOT17" s="573"/>
      <c r="AOU17" s="573"/>
      <c r="AOV17" s="573"/>
      <c r="AOW17" s="573"/>
      <c r="AOX17" s="573"/>
      <c r="AOY17" s="573"/>
      <c r="AOZ17" s="573"/>
      <c r="APA17" s="573"/>
      <c r="APB17" s="573"/>
      <c r="APC17" s="573"/>
      <c r="APD17" s="573"/>
      <c r="APE17" s="573"/>
      <c r="APF17" s="573"/>
      <c r="APG17" s="573"/>
      <c r="APH17" s="573"/>
      <c r="API17" s="573"/>
      <c r="APJ17" s="573"/>
      <c r="APK17" s="573"/>
      <c r="APL17" s="573"/>
      <c r="APM17" s="573"/>
      <c r="APN17" s="573"/>
      <c r="APO17" s="573"/>
      <c r="APP17" s="573"/>
      <c r="APQ17" s="573"/>
      <c r="APR17" s="573"/>
      <c r="APS17" s="573"/>
      <c r="APT17" s="573"/>
      <c r="APU17" s="573"/>
      <c r="APV17" s="573"/>
      <c r="APW17" s="573"/>
      <c r="APX17" s="573"/>
      <c r="APY17" s="573"/>
      <c r="APZ17" s="573"/>
      <c r="AQA17" s="573"/>
      <c r="AQB17" s="573"/>
      <c r="AQC17" s="573"/>
      <c r="AQD17" s="573"/>
      <c r="AQE17" s="573"/>
      <c r="AQF17" s="573"/>
      <c r="AQG17" s="573"/>
      <c r="AQH17" s="573"/>
      <c r="AQI17" s="573"/>
      <c r="AQJ17" s="573"/>
      <c r="AQK17" s="573"/>
      <c r="AQL17" s="573"/>
      <c r="AQM17" s="573"/>
      <c r="AQN17" s="573"/>
      <c r="AQO17" s="573"/>
      <c r="AQP17" s="573"/>
      <c r="AQQ17" s="573"/>
      <c r="AQR17" s="573"/>
      <c r="AQS17" s="573"/>
      <c r="AQT17" s="573"/>
      <c r="AQU17" s="573"/>
      <c r="AQV17" s="573"/>
      <c r="AQW17" s="573"/>
      <c r="AQX17" s="573"/>
      <c r="AQY17" s="573"/>
      <c r="AQZ17" s="573"/>
      <c r="ARA17" s="573"/>
      <c r="ARB17" s="573"/>
      <c r="ARC17" s="573"/>
      <c r="ARD17" s="573"/>
      <c r="ARE17" s="573"/>
      <c r="ARF17" s="573"/>
      <c r="ARG17" s="573"/>
      <c r="ARH17" s="573"/>
      <c r="ARI17" s="573"/>
      <c r="ARJ17" s="573"/>
      <c r="ARK17" s="573"/>
      <c r="ARL17" s="573"/>
      <c r="ARM17" s="573"/>
      <c r="ARN17" s="573"/>
      <c r="ARO17" s="573"/>
      <c r="ARP17" s="573"/>
      <c r="ARQ17" s="573"/>
      <c r="ARR17" s="573"/>
      <c r="ARS17" s="573"/>
      <c r="ART17" s="573"/>
      <c r="ARU17" s="573"/>
      <c r="ARV17" s="573"/>
      <c r="ARW17" s="573"/>
      <c r="ARX17" s="573"/>
      <c r="ARY17" s="573"/>
      <c r="ARZ17" s="573"/>
      <c r="ASA17" s="573"/>
      <c r="ASB17" s="573"/>
      <c r="ASC17" s="573"/>
      <c r="ASD17" s="573"/>
      <c r="ASE17" s="573"/>
      <c r="ASF17" s="573"/>
      <c r="ASG17" s="573"/>
      <c r="ASH17" s="573"/>
      <c r="ASI17" s="573"/>
      <c r="ASJ17" s="573"/>
      <c r="ASK17" s="573"/>
      <c r="ASL17" s="573"/>
      <c r="ASM17" s="573"/>
      <c r="ASN17" s="573"/>
      <c r="ASO17" s="573"/>
      <c r="ASP17" s="573"/>
      <c r="ASQ17" s="573"/>
      <c r="ASR17" s="573"/>
      <c r="ASS17" s="573"/>
      <c r="AST17" s="573"/>
      <c r="ASU17" s="573"/>
      <c r="ASV17" s="573"/>
      <c r="ASW17" s="573"/>
      <c r="ASX17" s="573"/>
      <c r="ASY17" s="573"/>
      <c r="ASZ17" s="573"/>
      <c r="ATA17" s="573"/>
      <c r="ATB17" s="573"/>
      <c r="ATC17" s="573"/>
      <c r="ATD17" s="573"/>
      <c r="ATE17" s="573"/>
      <c r="ATF17" s="573"/>
      <c r="ATG17" s="573"/>
      <c r="ATH17" s="573"/>
      <c r="ATI17" s="573"/>
      <c r="ATJ17" s="573"/>
      <c r="ATK17" s="573"/>
      <c r="ATL17" s="573"/>
      <c r="ATM17" s="573"/>
      <c r="ATN17" s="573"/>
      <c r="ATO17" s="573"/>
      <c r="ATP17" s="573"/>
      <c r="ATQ17" s="573"/>
      <c r="ATR17" s="573"/>
      <c r="ATS17" s="573"/>
      <c r="ATT17" s="573"/>
      <c r="ATU17" s="573"/>
      <c r="ATV17" s="573"/>
      <c r="ATW17" s="573"/>
      <c r="ATX17" s="573"/>
      <c r="ATY17" s="573"/>
      <c r="ATZ17" s="573"/>
      <c r="AUA17" s="573"/>
      <c r="AUB17" s="573"/>
      <c r="AUC17" s="573"/>
      <c r="AUD17" s="573"/>
      <c r="AUE17" s="573"/>
      <c r="AUF17" s="573"/>
      <c r="AUG17" s="573"/>
      <c r="AUH17" s="573"/>
      <c r="AUI17" s="573"/>
      <c r="AUJ17" s="573"/>
      <c r="AUK17" s="573"/>
      <c r="AUL17" s="573"/>
      <c r="AUM17" s="573"/>
      <c r="AUN17" s="573"/>
      <c r="AUO17" s="573"/>
      <c r="AUP17" s="573"/>
      <c r="AUQ17" s="573"/>
      <c r="AUR17" s="573"/>
      <c r="AUS17" s="573"/>
      <c r="AUT17" s="573"/>
      <c r="AUU17" s="573"/>
      <c r="AUV17" s="573"/>
      <c r="AUW17" s="573"/>
      <c r="AUX17" s="573"/>
      <c r="AUY17" s="573"/>
      <c r="AUZ17" s="573"/>
      <c r="AVA17" s="573"/>
      <c r="AVB17" s="573"/>
      <c r="AVC17" s="573"/>
      <c r="AVD17" s="573"/>
      <c r="AVE17" s="573"/>
      <c r="AVF17" s="573"/>
      <c r="AVG17" s="573"/>
      <c r="AVH17" s="573"/>
      <c r="AVI17" s="573"/>
      <c r="AVJ17" s="573"/>
      <c r="AVK17" s="573"/>
      <c r="AVL17" s="573"/>
      <c r="AVM17" s="573"/>
      <c r="AVN17" s="573"/>
      <c r="AVO17" s="573"/>
      <c r="AVP17" s="573"/>
      <c r="AVQ17" s="573"/>
      <c r="AVR17" s="573"/>
      <c r="AVS17" s="573"/>
      <c r="AVT17" s="573"/>
      <c r="AVU17" s="573"/>
      <c r="AVV17" s="573"/>
      <c r="AVW17" s="573"/>
      <c r="AVX17" s="573"/>
      <c r="AVY17" s="573"/>
      <c r="AVZ17" s="573"/>
      <c r="AWA17" s="573"/>
      <c r="AWB17" s="573"/>
      <c r="AWC17" s="573"/>
      <c r="AWD17" s="573"/>
      <c r="AWE17" s="573"/>
      <c r="AWF17" s="573"/>
      <c r="AWG17" s="573"/>
      <c r="AWH17" s="573"/>
      <c r="AWI17" s="573"/>
      <c r="AWJ17" s="573"/>
      <c r="AWK17" s="573"/>
      <c r="AWL17" s="573"/>
      <c r="AWM17" s="573"/>
      <c r="AWN17" s="573"/>
      <c r="AWO17" s="573"/>
      <c r="AWP17" s="573"/>
      <c r="AWQ17" s="573"/>
      <c r="AWR17" s="573"/>
      <c r="AWS17" s="573"/>
      <c r="AWT17" s="573"/>
      <c r="AWU17" s="573"/>
      <c r="AWV17" s="573"/>
      <c r="AWW17" s="573"/>
      <c r="AWX17" s="573"/>
      <c r="AWY17" s="573"/>
      <c r="AWZ17" s="573"/>
      <c r="AXA17" s="573"/>
      <c r="AXB17" s="573"/>
      <c r="AXC17" s="573"/>
      <c r="AXD17" s="573"/>
      <c r="AXE17" s="573"/>
      <c r="AXF17" s="573"/>
      <c r="AXG17" s="573"/>
      <c r="AXH17" s="573"/>
      <c r="AXI17" s="573"/>
      <c r="AXJ17" s="573"/>
      <c r="AXK17" s="573"/>
      <c r="AXL17" s="573"/>
      <c r="AXM17" s="573"/>
      <c r="AXN17" s="573"/>
      <c r="AXO17" s="573"/>
      <c r="AXP17" s="573"/>
      <c r="AXQ17" s="573"/>
      <c r="AXR17" s="573"/>
      <c r="AXS17" s="573"/>
      <c r="AXT17" s="573"/>
      <c r="AXU17" s="573"/>
      <c r="AXV17" s="573"/>
      <c r="AXW17" s="573"/>
      <c r="AXX17" s="573"/>
      <c r="AXY17" s="573"/>
      <c r="AXZ17" s="573"/>
      <c r="AYA17" s="573"/>
      <c r="AYB17" s="573"/>
      <c r="AYC17" s="573"/>
      <c r="AYD17" s="573"/>
      <c r="AYE17" s="573"/>
      <c r="AYF17" s="573"/>
      <c r="AYG17" s="573"/>
      <c r="AYH17" s="573"/>
      <c r="AYI17" s="573"/>
      <c r="AYJ17" s="573"/>
      <c r="AYK17" s="573"/>
      <c r="AYL17" s="573"/>
      <c r="AYM17" s="573"/>
      <c r="AYN17" s="573"/>
      <c r="AYO17" s="573"/>
      <c r="AYP17" s="573"/>
      <c r="AYQ17" s="573"/>
      <c r="AYR17" s="573"/>
      <c r="AYS17" s="573"/>
      <c r="AYT17" s="573"/>
      <c r="AYU17" s="573"/>
      <c r="AYV17" s="573"/>
      <c r="AYW17" s="573"/>
      <c r="AYX17" s="573"/>
      <c r="AYY17" s="573"/>
      <c r="AYZ17" s="573"/>
      <c r="AZA17" s="573"/>
      <c r="AZB17" s="573"/>
      <c r="AZC17" s="573"/>
      <c r="AZD17" s="573"/>
      <c r="AZE17" s="573"/>
      <c r="AZF17" s="573"/>
      <c r="AZG17" s="573"/>
      <c r="AZH17" s="573"/>
      <c r="AZI17" s="573"/>
      <c r="AZJ17" s="573"/>
      <c r="AZK17" s="573"/>
      <c r="AZL17" s="573"/>
      <c r="AZM17" s="573"/>
      <c r="AZN17" s="573"/>
      <c r="AZO17" s="573"/>
      <c r="AZP17" s="573"/>
      <c r="AZQ17" s="573"/>
      <c r="AZR17" s="573"/>
      <c r="AZS17" s="573"/>
      <c r="AZT17" s="573"/>
      <c r="AZU17" s="573"/>
      <c r="AZV17" s="573"/>
      <c r="AZW17" s="573"/>
      <c r="AZX17" s="573"/>
      <c r="AZY17" s="573"/>
      <c r="AZZ17" s="573"/>
      <c r="BAA17" s="573"/>
      <c r="BAB17" s="573"/>
      <c r="BAC17" s="573"/>
      <c r="BAD17" s="573"/>
      <c r="BAE17" s="573"/>
      <c r="BAF17" s="573"/>
      <c r="BAG17" s="573"/>
      <c r="BAH17" s="573"/>
      <c r="BAI17" s="573"/>
      <c r="BAJ17" s="573"/>
      <c r="BAK17" s="573"/>
      <c r="BAL17" s="573"/>
      <c r="BAM17" s="573"/>
      <c r="BAN17" s="573"/>
      <c r="BAO17" s="573"/>
      <c r="BAP17" s="573"/>
      <c r="BAQ17" s="573"/>
      <c r="BAR17" s="573"/>
      <c r="BAS17" s="573"/>
      <c r="BAT17" s="573"/>
      <c r="BAU17" s="573"/>
      <c r="BAV17" s="573"/>
      <c r="BAW17" s="573"/>
      <c r="BAX17" s="573"/>
      <c r="BAY17" s="573"/>
      <c r="BAZ17" s="573"/>
      <c r="BBA17" s="573"/>
      <c r="BBB17" s="573"/>
      <c r="BBC17" s="573"/>
      <c r="BBD17" s="573"/>
      <c r="BBE17" s="573"/>
      <c r="BBF17" s="573"/>
      <c r="BBG17" s="573"/>
      <c r="BBH17" s="573"/>
      <c r="BBI17" s="573"/>
      <c r="BBJ17" s="573"/>
      <c r="BBK17" s="573"/>
      <c r="BBL17" s="573"/>
      <c r="BBM17" s="573"/>
      <c r="BBN17" s="573"/>
      <c r="BBO17" s="573"/>
      <c r="BBP17" s="573"/>
      <c r="BBQ17" s="573"/>
      <c r="BBR17" s="573"/>
      <c r="BBS17" s="573"/>
      <c r="BBT17" s="573"/>
      <c r="BBU17" s="573"/>
      <c r="BBV17" s="573"/>
      <c r="BBW17" s="573"/>
      <c r="BBX17" s="573"/>
      <c r="BBY17" s="573"/>
      <c r="BBZ17" s="573"/>
      <c r="BCA17" s="573"/>
      <c r="BCB17" s="573"/>
      <c r="BCC17" s="573"/>
      <c r="BCD17" s="573"/>
      <c r="BCE17" s="573"/>
      <c r="BCF17" s="573"/>
      <c r="BCG17" s="573"/>
      <c r="BCH17" s="573"/>
      <c r="BCI17" s="573"/>
      <c r="BCJ17" s="573"/>
      <c r="BCK17" s="573"/>
      <c r="BCL17" s="573"/>
      <c r="BCM17" s="573"/>
      <c r="BCN17" s="573"/>
      <c r="BCO17" s="573"/>
      <c r="BCP17" s="573"/>
      <c r="BCQ17" s="573"/>
      <c r="BCR17" s="573"/>
      <c r="BCS17" s="573"/>
      <c r="BCT17" s="573"/>
      <c r="BCU17" s="573"/>
      <c r="BCV17" s="573"/>
      <c r="BCW17" s="573"/>
      <c r="BCX17" s="573"/>
      <c r="BCY17" s="573"/>
      <c r="BCZ17" s="573"/>
      <c r="BDA17" s="573"/>
      <c r="BDB17" s="573"/>
      <c r="BDC17" s="573"/>
      <c r="BDD17" s="573"/>
      <c r="BDE17" s="573"/>
      <c r="BDF17" s="573"/>
      <c r="BDG17" s="573"/>
      <c r="BDH17" s="573"/>
      <c r="BDI17" s="573"/>
      <c r="BDJ17" s="573"/>
      <c r="BDK17" s="573"/>
      <c r="BDL17" s="573"/>
      <c r="BDM17" s="573"/>
      <c r="BDN17" s="573"/>
      <c r="BDO17" s="573"/>
      <c r="BDP17" s="573"/>
      <c r="BDQ17" s="573"/>
      <c r="BDR17" s="573"/>
      <c r="BDS17" s="573"/>
      <c r="BDT17" s="573"/>
      <c r="BDU17" s="573"/>
      <c r="BDV17" s="573"/>
      <c r="BDW17" s="573"/>
      <c r="BDX17" s="573"/>
      <c r="BDY17" s="573"/>
      <c r="BDZ17" s="573"/>
      <c r="BEA17" s="573"/>
      <c r="BEB17" s="573"/>
      <c r="BEC17" s="573"/>
      <c r="BED17" s="573"/>
      <c r="BEE17" s="573"/>
      <c r="BEF17" s="573"/>
      <c r="BEG17" s="573"/>
      <c r="BEH17" s="573"/>
      <c r="BEI17" s="573"/>
      <c r="BEJ17" s="573"/>
      <c r="BEK17" s="573"/>
      <c r="BEL17" s="573"/>
      <c r="BEM17" s="573"/>
      <c r="BEN17" s="573"/>
      <c r="BEO17" s="573"/>
      <c r="BEP17" s="573"/>
      <c r="BEQ17" s="573"/>
      <c r="BER17" s="573"/>
      <c r="BES17" s="573"/>
      <c r="BET17" s="573"/>
      <c r="BEU17" s="573"/>
      <c r="BEV17" s="573"/>
      <c r="BEW17" s="573"/>
      <c r="BEX17" s="573"/>
      <c r="BEY17" s="573"/>
      <c r="BEZ17" s="573"/>
      <c r="BFA17" s="573"/>
      <c r="BFB17" s="573"/>
      <c r="BFC17" s="573"/>
      <c r="BFD17" s="573"/>
      <c r="BFE17" s="573"/>
      <c r="BFF17" s="573"/>
      <c r="BFG17" s="573"/>
      <c r="BFH17" s="573"/>
      <c r="BFI17" s="573"/>
      <c r="BFJ17" s="573"/>
      <c r="BFK17" s="573"/>
      <c r="BFL17" s="573"/>
      <c r="BFM17" s="573"/>
      <c r="BFN17" s="573"/>
      <c r="BFO17" s="573"/>
      <c r="BFP17" s="573"/>
      <c r="BFQ17" s="573"/>
      <c r="BFR17" s="573"/>
      <c r="BFS17" s="573"/>
      <c r="BFT17" s="573"/>
      <c r="BFU17" s="573"/>
      <c r="BFV17" s="573"/>
      <c r="BFW17" s="573"/>
      <c r="BFX17" s="573"/>
      <c r="BFY17" s="573"/>
      <c r="BFZ17" s="573"/>
      <c r="BGA17" s="573"/>
      <c r="BGB17" s="573"/>
      <c r="BGC17" s="573"/>
      <c r="BGD17" s="573"/>
      <c r="BGE17" s="573"/>
      <c r="BGF17" s="573"/>
      <c r="BGG17" s="573"/>
      <c r="BGH17" s="573"/>
      <c r="BGI17" s="573"/>
      <c r="BGJ17" s="573"/>
      <c r="BGK17" s="573"/>
      <c r="BGL17" s="573"/>
      <c r="BGM17" s="573"/>
      <c r="BGN17" s="573"/>
      <c r="BGO17" s="573"/>
      <c r="BGP17" s="573"/>
      <c r="BGQ17" s="573"/>
      <c r="BGR17" s="573"/>
      <c r="BGS17" s="573"/>
      <c r="BGT17" s="573"/>
      <c r="BGU17" s="573"/>
      <c r="BGV17" s="573"/>
      <c r="BGW17" s="573"/>
      <c r="BGX17" s="573"/>
      <c r="BGY17" s="573"/>
      <c r="BGZ17" s="573"/>
      <c r="BHA17" s="573"/>
      <c r="BHB17" s="573"/>
      <c r="BHC17" s="573"/>
      <c r="BHD17" s="573"/>
      <c r="BHE17" s="573"/>
      <c r="BHF17" s="573"/>
      <c r="BHG17" s="573"/>
      <c r="BHH17" s="573"/>
      <c r="BHI17" s="573"/>
      <c r="BHJ17" s="573"/>
      <c r="BHK17" s="573"/>
      <c r="BHL17" s="573"/>
      <c r="BHM17" s="573"/>
      <c r="BHN17" s="573"/>
      <c r="BHO17" s="573"/>
      <c r="BHP17" s="573"/>
      <c r="BHQ17" s="573"/>
      <c r="BHR17" s="573"/>
      <c r="BHS17" s="573"/>
      <c r="BHT17" s="573"/>
      <c r="BHU17" s="573"/>
      <c r="BHV17" s="573"/>
      <c r="BHW17" s="573"/>
      <c r="BHX17" s="573"/>
      <c r="BHY17" s="573"/>
      <c r="BHZ17" s="573"/>
      <c r="BIA17" s="573"/>
      <c r="BIB17" s="573"/>
      <c r="BIC17" s="573"/>
      <c r="BID17" s="573"/>
      <c r="BIE17" s="573"/>
      <c r="BIF17" s="573"/>
      <c r="BIG17" s="573"/>
      <c r="BIH17" s="573"/>
      <c r="BII17" s="573"/>
      <c r="BIJ17" s="573"/>
      <c r="BIK17" s="573"/>
      <c r="BIL17" s="573"/>
      <c r="BIM17" s="573"/>
      <c r="BIN17" s="573"/>
      <c r="BIO17" s="573"/>
      <c r="BIP17" s="573"/>
      <c r="BIQ17" s="573"/>
      <c r="BIR17" s="573"/>
      <c r="BIS17" s="573"/>
      <c r="BIT17" s="573"/>
      <c r="BIU17" s="573"/>
      <c r="BIV17" s="573"/>
      <c r="BIW17" s="573"/>
      <c r="BIX17" s="573"/>
      <c r="BIY17" s="573"/>
      <c r="BIZ17" s="573"/>
      <c r="BJA17" s="573"/>
      <c r="BJB17" s="573"/>
      <c r="BJC17" s="573"/>
      <c r="BJD17" s="573"/>
      <c r="BJE17" s="573"/>
      <c r="BJF17" s="573"/>
      <c r="BJG17" s="573"/>
      <c r="BJH17" s="573"/>
      <c r="BJI17" s="573"/>
      <c r="BJJ17" s="573"/>
      <c r="BJK17" s="573"/>
      <c r="BJL17" s="573"/>
      <c r="BJM17" s="573"/>
      <c r="BJN17" s="573"/>
      <c r="BJO17" s="573"/>
      <c r="BJP17" s="573"/>
      <c r="BJQ17" s="573"/>
      <c r="BJR17" s="573"/>
      <c r="BJS17" s="573"/>
      <c r="BJT17" s="573"/>
      <c r="BJU17" s="573"/>
      <c r="BJV17" s="573"/>
      <c r="BJW17" s="573"/>
      <c r="BJX17" s="573"/>
      <c r="BJY17" s="573"/>
      <c r="BJZ17" s="573"/>
      <c r="BKA17" s="573"/>
      <c r="BKB17" s="573"/>
      <c r="BKC17" s="573"/>
      <c r="BKD17" s="573"/>
      <c r="BKE17" s="573"/>
      <c r="BKF17" s="573"/>
      <c r="BKG17" s="573"/>
      <c r="BKH17" s="573"/>
      <c r="BKI17" s="573"/>
      <c r="BKJ17" s="573"/>
      <c r="BKK17" s="573"/>
      <c r="BKL17" s="573"/>
      <c r="BKM17" s="573"/>
      <c r="BKN17" s="573"/>
      <c r="BKO17" s="573"/>
      <c r="BKP17" s="573"/>
      <c r="BKQ17" s="573"/>
      <c r="BKR17" s="573"/>
      <c r="BKS17" s="573"/>
      <c r="BKT17" s="573"/>
      <c r="BKU17" s="573"/>
      <c r="BKV17" s="573"/>
      <c r="BKW17" s="573"/>
      <c r="BKX17" s="573"/>
      <c r="BKY17" s="573"/>
      <c r="BKZ17" s="573"/>
      <c r="BLA17" s="573"/>
      <c r="BLB17" s="573"/>
      <c r="BLC17" s="573"/>
      <c r="BLD17" s="573"/>
      <c r="BLE17" s="573"/>
      <c r="BLF17" s="573"/>
      <c r="BLG17" s="573"/>
      <c r="BLH17" s="573"/>
      <c r="BLI17" s="573"/>
      <c r="BLJ17" s="573"/>
      <c r="BLK17" s="573"/>
      <c r="BLL17" s="573"/>
      <c r="BLM17" s="573"/>
      <c r="BLN17" s="573"/>
      <c r="BLO17" s="573"/>
      <c r="BLP17" s="573"/>
      <c r="BLQ17" s="573"/>
      <c r="BLR17" s="573"/>
      <c r="BLS17" s="573"/>
      <c r="BLT17" s="573"/>
      <c r="BLU17" s="573"/>
      <c r="BLV17" s="573"/>
      <c r="BLW17" s="573"/>
      <c r="BLX17" s="573"/>
      <c r="BLY17" s="573"/>
      <c r="BLZ17" s="573"/>
      <c r="BMA17" s="573"/>
      <c r="BMB17" s="573"/>
      <c r="BMC17" s="573"/>
      <c r="BMD17" s="573"/>
      <c r="BME17" s="573"/>
      <c r="BMF17" s="573"/>
      <c r="BMG17" s="573"/>
      <c r="BMH17" s="573"/>
      <c r="BMI17" s="573"/>
      <c r="BMJ17" s="573"/>
      <c r="BMK17" s="573"/>
      <c r="BML17" s="573"/>
      <c r="BMM17" s="573"/>
      <c r="BMN17" s="573"/>
      <c r="BMO17" s="573"/>
      <c r="BMP17" s="573"/>
      <c r="BMQ17" s="573"/>
      <c r="BMR17" s="573"/>
      <c r="BMS17" s="573"/>
      <c r="BMT17" s="573"/>
      <c r="BMU17" s="573"/>
      <c r="BMV17" s="573"/>
      <c r="BMW17" s="573"/>
      <c r="BMX17" s="573"/>
      <c r="BMY17" s="573"/>
      <c r="BMZ17" s="573"/>
      <c r="BNA17" s="573"/>
      <c r="BNB17" s="573"/>
      <c r="BNC17" s="573"/>
      <c r="BND17" s="573"/>
      <c r="BNE17" s="573"/>
      <c r="BNF17" s="573"/>
      <c r="BNG17" s="573"/>
      <c r="BNH17" s="573"/>
      <c r="BNI17" s="573"/>
      <c r="BNJ17" s="573"/>
      <c r="BNK17" s="573"/>
      <c r="BNL17" s="573"/>
      <c r="BNM17" s="573"/>
      <c r="BNN17" s="573"/>
      <c r="BNO17" s="573"/>
      <c r="BNP17" s="573"/>
      <c r="BNQ17" s="573"/>
      <c r="BNR17" s="573"/>
      <c r="BNS17" s="573"/>
      <c r="BNT17" s="573"/>
      <c r="BNU17" s="573"/>
      <c r="BNV17" s="573"/>
      <c r="BNW17" s="573"/>
      <c r="BNX17" s="573"/>
      <c r="BNY17" s="573"/>
      <c r="BNZ17" s="573"/>
      <c r="BOA17" s="573"/>
      <c r="BOB17" s="573"/>
      <c r="BOC17" s="573"/>
      <c r="BOD17" s="573"/>
      <c r="BOE17" s="573"/>
      <c r="BOF17" s="573"/>
      <c r="BOG17" s="573"/>
      <c r="BOH17" s="573"/>
      <c r="BOI17" s="573"/>
      <c r="BOJ17" s="573"/>
      <c r="BOK17" s="573"/>
      <c r="BOL17" s="573"/>
      <c r="BOM17" s="573"/>
      <c r="BON17" s="573"/>
      <c r="BOO17" s="573"/>
      <c r="BOP17" s="573"/>
      <c r="BOQ17" s="573"/>
      <c r="BOR17" s="573"/>
      <c r="BOS17" s="573"/>
      <c r="BOT17" s="573"/>
      <c r="BOU17" s="573"/>
      <c r="BOV17" s="573"/>
      <c r="BOW17" s="573"/>
      <c r="BOX17" s="573"/>
      <c r="BOY17" s="573"/>
      <c r="BOZ17" s="573"/>
      <c r="BPA17" s="573"/>
      <c r="BPB17" s="573"/>
      <c r="BPC17" s="573"/>
      <c r="BPD17" s="573"/>
      <c r="BPE17" s="573"/>
      <c r="BPF17" s="573"/>
      <c r="BPG17" s="573"/>
      <c r="BPH17" s="573"/>
      <c r="BPI17" s="573"/>
      <c r="BPJ17" s="573"/>
      <c r="BPK17" s="573"/>
      <c r="BPL17" s="573"/>
      <c r="BPM17" s="573"/>
      <c r="BPN17" s="573"/>
      <c r="BPO17" s="573"/>
      <c r="BPP17" s="573"/>
      <c r="BPQ17" s="573"/>
      <c r="BPR17" s="573"/>
      <c r="BPS17" s="573"/>
      <c r="BPT17" s="573"/>
      <c r="BPU17" s="573"/>
      <c r="BPV17" s="573"/>
      <c r="BPW17" s="573"/>
      <c r="BPX17" s="573"/>
      <c r="BPY17" s="573"/>
      <c r="BPZ17" s="573"/>
      <c r="BQA17" s="573"/>
      <c r="BQB17" s="573"/>
      <c r="BQC17" s="573"/>
      <c r="BQD17" s="573"/>
      <c r="BQE17" s="573"/>
      <c r="BQF17" s="573"/>
      <c r="BQG17" s="573"/>
      <c r="BQH17" s="573"/>
      <c r="BQI17" s="573"/>
      <c r="BQJ17" s="573"/>
      <c r="BQK17" s="573"/>
      <c r="BQL17" s="573"/>
      <c r="BQM17" s="573"/>
      <c r="BQN17" s="573"/>
      <c r="BQO17" s="573"/>
      <c r="BQP17" s="573"/>
      <c r="BQQ17" s="573"/>
      <c r="BQR17" s="573"/>
      <c r="BQS17" s="573"/>
      <c r="BQT17" s="573"/>
      <c r="BQU17" s="573"/>
      <c r="BQV17" s="573"/>
      <c r="BQW17" s="573"/>
      <c r="BQX17" s="573"/>
      <c r="BQY17" s="573"/>
      <c r="BQZ17" s="573"/>
      <c r="BRA17" s="573"/>
      <c r="BRB17" s="573"/>
      <c r="BRC17" s="573"/>
      <c r="BRD17" s="573"/>
      <c r="BRE17" s="573"/>
      <c r="BRF17" s="573"/>
      <c r="BRG17" s="573"/>
      <c r="BRH17" s="573"/>
      <c r="BRI17" s="573"/>
      <c r="BRJ17" s="573"/>
      <c r="BRK17" s="573"/>
      <c r="BRL17" s="573"/>
      <c r="BRM17" s="573"/>
      <c r="BRN17" s="573"/>
      <c r="BRO17" s="573"/>
      <c r="BRP17" s="573"/>
      <c r="BRQ17" s="573"/>
      <c r="BRR17" s="573"/>
      <c r="BRS17" s="573"/>
      <c r="BRT17" s="573"/>
      <c r="BRU17" s="573"/>
      <c r="BRV17" s="573"/>
      <c r="BRW17" s="573"/>
      <c r="BRX17" s="573"/>
      <c r="BRY17" s="573"/>
      <c r="BRZ17" s="573"/>
      <c r="BSA17" s="573"/>
      <c r="BSB17" s="573"/>
      <c r="BSC17" s="573"/>
      <c r="BSD17" s="573"/>
      <c r="BSE17" s="573"/>
      <c r="BSF17" s="573"/>
      <c r="BSG17" s="573"/>
      <c r="BSH17" s="573"/>
      <c r="BSI17" s="573"/>
      <c r="BSJ17" s="573"/>
      <c r="BSK17" s="573"/>
      <c r="BSL17" s="573"/>
      <c r="BSM17" s="573"/>
      <c r="BSN17" s="573"/>
      <c r="BSO17" s="573"/>
      <c r="BSP17" s="573"/>
      <c r="BSQ17" s="573"/>
      <c r="BSR17" s="573"/>
      <c r="BSS17" s="573"/>
      <c r="BST17" s="573"/>
      <c r="BSU17" s="573"/>
      <c r="BSV17" s="573"/>
      <c r="BSW17" s="573"/>
      <c r="BSX17" s="573"/>
      <c r="BSY17" s="573"/>
      <c r="BSZ17" s="573"/>
      <c r="BTA17" s="573"/>
      <c r="BTB17" s="573"/>
      <c r="BTC17" s="573"/>
      <c r="BTD17" s="573"/>
      <c r="BTE17" s="573"/>
      <c r="BTF17" s="573"/>
      <c r="BTG17" s="573"/>
      <c r="BTH17" s="573"/>
      <c r="BTI17" s="573"/>
      <c r="BTJ17" s="573"/>
      <c r="BTK17" s="573"/>
      <c r="BTL17" s="573"/>
      <c r="BTM17" s="573"/>
      <c r="BTN17" s="573"/>
      <c r="BTO17" s="573"/>
      <c r="BTP17" s="573"/>
      <c r="BTQ17" s="573"/>
      <c r="BTR17" s="573"/>
      <c r="BTS17" s="573"/>
      <c r="BTT17" s="573"/>
      <c r="BTU17" s="573"/>
      <c r="BTV17" s="573"/>
      <c r="BTW17" s="573"/>
      <c r="BTX17" s="573"/>
      <c r="BTY17" s="573"/>
      <c r="BTZ17" s="573"/>
      <c r="BUA17" s="573"/>
      <c r="BUB17" s="573"/>
      <c r="BUC17" s="573"/>
      <c r="BUD17" s="573"/>
      <c r="BUE17" s="573"/>
      <c r="BUF17" s="573"/>
      <c r="BUG17" s="573"/>
      <c r="BUH17" s="573"/>
      <c r="BUI17" s="573"/>
      <c r="BUJ17" s="573"/>
      <c r="BUK17" s="573"/>
      <c r="BUL17" s="573"/>
      <c r="BUM17" s="573"/>
      <c r="BUN17" s="573"/>
      <c r="BUO17" s="573"/>
      <c r="BUP17" s="573"/>
      <c r="BUQ17" s="573"/>
      <c r="BUR17" s="573"/>
      <c r="BUS17" s="573"/>
      <c r="BUT17" s="573"/>
      <c r="BUU17" s="573"/>
      <c r="BUV17" s="573"/>
      <c r="BUW17" s="573"/>
      <c r="BUX17" s="573"/>
      <c r="BUY17" s="573"/>
      <c r="BUZ17" s="573"/>
      <c r="BVA17" s="573"/>
      <c r="BVB17" s="573"/>
      <c r="BVC17" s="573"/>
      <c r="BVD17" s="573"/>
      <c r="BVE17" s="573"/>
      <c r="BVF17" s="573"/>
      <c r="BVG17" s="573"/>
      <c r="BVH17" s="573"/>
      <c r="BVI17" s="573"/>
      <c r="BVJ17" s="573"/>
      <c r="BVK17" s="573"/>
      <c r="BVL17" s="573"/>
      <c r="BVM17" s="573"/>
      <c r="BVN17" s="573"/>
      <c r="BVO17" s="573"/>
      <c r="BVP17" s="573"/>
      <c r="BVQ17" s="573"/>
      <c r="BVR17" s="573"/>
      <c r="BVS17" s="573"/>
      <c r="BVT17" s="573"/>
      <c r="BVU17" s="573"/>
      <c r="BVV17" s="573"/>
      <c r="BVW17" s="573"/>
      <c r="BVX17" s="573"/>
      <c r="BVY17" s="573"/>
      <c r="BVZ17" s="573"/>
      <c r="BWA17" s="573"/>
      <c r="BWB17" s="573"/>
      <c r="BWC17" s="573"/>
      <c r="BWD17" s="573"/>
      <c r="BWE17" s="573"/>
      <c r="BWF17" s="573"/>
      <c r="BWG17" s="573"/>
      <c r="BWH17" s="573"/>
      <c r="BWI17" s="573"/>
      <c r="BWJ17" s="573"/>
      <c r="BWK17" s="573"/>
      <c r="BWL17" s="573"/>
      <c r="BWM17" s="573"/>
      <c r="BWN17" s="573"/>
      <c r="BWO17" s="573"/>
      <c r="BWP17" s="573"/>
      <c r="BWQ17" s="573"/>
      <c r="BWR17" s="573"/>
      <c r="BWS17" s="573"/>
      <c r="BWT17" s="573"/>
      <c r="BWU17" s="573"/>
      <c r="BWV17" s="573"/>
      <c r="BWW17" s="573"/>
      <c r="BWX17" s="573"/>
      <c r="BWY17" s="573"/>
      <c r="BWZ17" s="573"/>
      <c r="BXA17" s="573"/>
      <c r="BXB17" s="573"/>
      <c r="BXC17" s="573"/>
      <c r="BXD17" s="573"/>
      <c r="BXE17" s="573"/>
      <c r="BXF17" s="573"/>
      <c r="BXG17" s="573"/>
      <c r="BXH17" s="573"/>
      <c r="BXI17" s="573"/>
      <c r="BXJ17" s="573"/>
      <c r="BXK17" s="573"/>
      <c r="BXL17" s="573"/>
      <c r="BXM17" s="573"/>
      <c r="BXN17" s="573"/>
      <c r="BXO17" s="573"/>
      <c r="BXP17" s="573"/>
      <c r="BXQ17" s="573"/>
      <c r="BXR17" s="573"/>
      <c r="BXS17" s="573"/>
      <c r="BXT17" s="573"/>
      <c r="BXU17" s="573"/>
      <c r="BXV17" s="573"/>
      <c r="BXW17" s="573"/>
      <c r="BXX17" s="573"/>
      <c r="BXY17" s="573"/>
      <c r="BXZ17" s="573"/>
      <c r="BYA17" s="573"/>
      <c r="BYB17" s="573"/>
      <c r="BYC17" s="573"/>
      <c r="BYD17" s="573"/>
      <c r="BYE17" s="573"/>
      <c r="BYF17" s="573"/>
      <c r="BYG17" s="573"/>
      <c r="BYH17" s="573"/>
      <c r="BYI17" s="573"/>
      <c r="BYJ17" s="573"/>
      <c r="BYK17" s="573"/>
      <c r="BYL17" s="573"/>
      <c r="BYM17" s="573"/>
      <c r="BYN17" s="573"/>
      <c r="BYO17" s="573"/>
      <c r="BYP17" s="573"/>
      <c r="BYQ17" s="573"/>
      <c r="BYR17" s="573"/>
      <c r="BYS17" s="573"/>
      <c r="BYT17" s="573"/>
      <c r="BYU17" s="573"/>
      <c r="BYV17" s="573"/>
      <c r="BYW17" s="573"/>
      <c r="BYX17" s="573"/>
      <c r="BYY17" s="573"/>
      <c r="BYZ17" s="573"/>
      <c r="BZA17" s="573"/>
      <c r="BZB17" s="573"/>
      <c r="BZC17" s="573"/>
      <c r="BZD17" s="573"/>
      <c r="BZE17" s="573"/>
      <c r="BZF17" s="573"/>
      <c r="BZG17" s="573"/>
      <c r="BZH17" s="573"/>
      <c r="BZI17" s="573"/>
      <c r="BZJ17" s="573"/>
      <c r="BZK17" s="573"/>
      <c r="BZL17" s="573"/>
      <c r="BZM17" s="573"/>
      <c r="BZN17" s="573"/>
      <c r="BZO17" s="573"/>
      <c r="BZP17" s="573"/>
      <c r="BZQ17" s="573"/>
      <c r="BZR17" s="573"/>
      <c r="BZS17" s="573"/>
      <c r="BZT17" s="573"/>
      <c r="BZU17" s="573"/>
      <c r="BZV17" s="573"/>
      <c r="BZW17" s="573"/>
      <c r="BZX17" s="573"/>
      <c r="BZY17" s="573"/>
      <c r="BZZ17" s="573"/>
      <c r="CAA17" s="573"/>
      <c r="CAB17" s="573"/>
      <c r="CAC17" s="573"/>
      <c r="CAD17" s="573"/>
      <c r="CAE17" s="573"/>
      <c r="CAF17" s="573"/>
      <c r="CAG17" s="573"/>
      <c r="CAH17" s="573"/>
      <c r="CAI17" s="573"/>
      <c r="CAJ17" s="573"/>
      <c r="CAK17" s="573"/>
      <c r="CAL17" s="573"/>
      <c r="CAM17" s="573"/>
      <c r="CAN17" s="573"/>
      <c r="CAO17" s="573"/>
      <c r="CAP17" s="573"/>
      <c r="CAQ17" s="573"/>
      <c r="CAR17" s="573"/>
      <c r="CAS17" s="573"/>
      <c r="CAT17" s="573"/>
      <c r="CAU17" s="573"/>
      <c r="CAV17" s="573"/>
      <c r="CAW17" s="573"/>
      <c r="CAX17" s="573"/>
      <c r="CAY17" s="573"/>
      <c r="CAZ17" s="573"/>
      <c r="CBA17" s="573"/>
      <c r="CBB17" s="573"/>
      <c r="CBC17" s="573"/>
      <c r="CBD17" s="573"/>
      <c r="CBE17" s="573"/>
      <c r="CBF17" s="573"/>
      <c r="CBG17" s="573"/>
      <c r="CBH17" s="573"/>
      <c r="CBI17" s="573"/>
      <c r="CBJ17" s="573"/>
      <c r="CBK17" s="573"/>
      <c r="CBL17" s="573"/>
      <c r="CBM17" s="573"/>
      <c r="CBN17" s="573"/>
      <c r="CBO17" s="573"/>
      <c r="CBP17" s="573"/>
      <c r="CBQ17" s="573"/>
      <c r="CBR17" s="573"/>
      <c r="CBS17" s="573"/>
      <c r="CBT17" s="573"/>
      <c r="CBU17" s="573"/>
      <c r="CBV17" s="573"/>
      <c r="CBW17" s="573"/>
      <c r="CBX17" s="573"/>
      <c r="CBY17" s="573"/>
      <c r="CBZ17" s="573"/>
      <c r="CCA17" s="573"/>
      <c r="CCB17" s="573"/>
      <c r="CCC17" s="573"/>
      <c r="CCD17" s="573"/>
      <c r="CCE17" s="573"/>
      <c r="CCF17" s="573"/>
      <c r="CCG17" s="573"/>
      <c r="CCH17" s="573"/>
      <c r="CCI17" s="573"/>
      <c r="CCJ17" s="573"/>
      <c r="CCK17" s="573"/>
      <c r="CCL17" s="573"/>
      <c r="CCM17" s="573"/>
      <c r="CCN17" s="573"/>
      <c r="CCO17" s="573"/>
      <c r="CCP17" s="573"/>
      <c r="CCQ17" s="573"/>
      <c r="CCR17" s="573"/>
      <c r="CCS17" s="573"/>
      <c r="CCT17" s="573"/>
      <c r="CCU17" s="573"/>
      <c r="CCV17" s="573"/>
      <c r="CCW17" s="573"/>
      <c r="CCX17" s="573"/>
      <c r="CCY17" s="573"/>
      <c r="CCZ17" s="573"/>
      <c r="CDA17" s="573"/>
      <c r="CDB17" s="573"/>
      <c r="CDC17" s="573"/>
      <c r="CDD17" s="573"/>
      <c r="CDE17" s="573"/>
      <c r="CDF17" s="573"/>
      <c r="CDG17" s="573"/>
      <c r="CDH17" s="573"/>
      <c r="CDI17" s="573"/>
      <c r="CDJ17" s="573"/>
      <c r="CDK17" s="573"/>
      <c r="CDL17" s="573"/>
      <c r="CDM17" s="573"/>
      <c r="CDN17" s="573"/>
      <c r="CDO17" s="573"/>
      <c r="CDP17" s="573"/>
      <c r="CDQ17" s="573"/>
      <c r="CDR17" s="573"/>
      <c r="CDS17" s="573"/>
      <c r="CDT17" s="573"/>
      <c r="CDU17" s="573"/>
      <c r="CDV17" s="573"/>
      <c r="CDW17" s="573"/>
      <c r="CDX17" s="573"/>
      <c r="CDY17" s="573"/>
      <c r="CDZ17" s="573"/>
      <c r="CEA17" s="573"/>
      <c r="CEB17" s="573"/>
      <c r="CEC17" s="573"/>
      <c r="CED17" s="573"/>
      <c r="CEE17" s="573"/>
      <c r="CEF17" s="573"/>
      <c r="CEG17" s="573"/>
      <c r="CEH17" s="573"/>
      <c r="CEI17" s="573"/>
      <c r="CEJ17" s="573"/>
      <c r="CEK17" s="573"/>
      <c r="CEL17" s="573"/>
      <c r="CEM17" s="573"/>
      <c r="CEN17" s="573"/>
      <c r="CEO17" s="573"/>
      <c r="CEP17" s="573"/>
      <c r="CEQ17" s="573"/>
      <c r="CER17" s="573"/>
      <c r="CES17" s="573"/>
      <c r="CET17" s="573"/>
      <c r="CEU17" s="573"/>
      <c r="CEV17" s="573"/>
      <c r="CEW17" s="573"/>
      <c r="CEX17" s="573"/>
      <c r="CEY17" s="573"/>
      <c r="CEZ17" s="573"/>
      <c r="CFA17" s="573"/>
      <c r="CFB17" s="573"/>
      <c r="CFC17" s="573"/>
      <c r="CFD17" s="573"/>
      <c r="CFE17" s="573"/>
      <c r="CFF17" s="573"/>
      <c r="CFG17" s="573"/>
      <c r="CFH17" s="573"/>
      <c r="CFI17" s="573"/>
      <c r="CFJ17" s="573"/>
      <c r="CFK17" s="573"/>
      <c r="CFL17" s="573"/>
      <c r="CFM17" s="573"/>
      <c r="CFN17" s="573"/>
      <c r="CFO17" s="573"/>
      <c r="CFP17" s="573"/>
      <c r="CFQ17" s="573"/>
      <c r="CFR17" s="573"/>
      <c r="CFS17" s="573"/>
      <c r="CFT17" s="573"/>
      <c r="CFU17" s="573"/>
      <c r="CFV17" s="573"/>
      <c r="CFW17" s="573"/>
      <c r="CFX17" s="573"/>
      <c r="CFY17" s="573"/>
      <c r="CFZ17" s="573"/>
      <c r="CGA17" s="573"/>
      <c r="CGB17" s="573"/>
      <c r="CGC17" s="573"/>
      <c r="CGD17" s="573"/>
      <c r="CGE17" s="573"/>
      <c r="CGF17" s="573"/>
      <c r="CGG17" s="573"/>
      <c r="CGH17" s="573"/>
      <c r="CGI17" s="573"/>
      <c r="CGJ17" s="573"/>
      <c r="CGK17" s="573"/>
      <c r="CGL17" s="573"/>
      <c r="CGM17" s="573"/>
      <c r="CGN17" s="573"/>
      <c r="CGO17" s="573"/>
      <c r="CGP17" s="573"/>
      <c r="CGQ17" s="573"/>
      <c r="CGR17" s="573"/>
      <c r="CGS17" s="573"/>
      <c r="CGT17" s="573"/>
      <c r="CGU17" s="573"/>
      <c r="CGV17" s="573"/>
      <c r="CGW17" s="573"/>
      <c r="CGX17" s="573"/>
      <c r="CGY17" s="573"/>
      <c r="CGZ17" s="573"/>
      <c r="CHA17" s="573"/>
      <c r="CHB17" s="573"/>
      <c r="CHC17" s="573"/>
      <c r="CHD17" s="573"/>
      <c r="CHE17" s="573"/>
      <c r="CHF17" s="573"/>
      <c r="CHG17" s="573"/>
      <c r="CHH17" s="573"/>
      <c r="CHI17" s="573"/>
      <c r="CHJ17" s="573"/>
      <c r="CHK17" s="573"/>
      <c r="CHL17" s="573"/>
      <c r="CHM17" s="573"/>
      <c r="CHN17" s="573"/>
      <c r="CHO17" s="573"/>
      <c r="CHP17" s="573"/>
      <c r="CHQ17" s="573"/>
      <c r="CHR17" s="573"/>
      <c r="CHS17" s="573"/>
      <c r="CHT17" s="573"/>
      <c r="CHU17" s="573"/>
      <c r="CHV17" s="573"/>
      <c r="CHW17" s="573"/>
      <c r="CHX17" s="573"/>
      <c r="CHY17" s="573"/>
      <c r="CHZ17" s="573"/>
      <c r="CIA17" s="573"/>
      <c r="CIB17" s="573"/>
      <c r="CIC17" s="573"/>
      <c r="CID17" s="573"/>
      <c r="CIE17" s="573"/>
      <c r="CIF17" s="573"/>
      <c r="CIG17" s="573"/>
      <c r="CIH17" s="573"/>
      <c r="CII17" s="573"/>
      <c r="CIJ17" s="573"/>
      <c r="CIK17" s="573"/>
      <c r="CIL17" s="573"/>
      <c r="CIM17" s="573"/>
      <c r="CIN17" s="573"/>
      <c r="CIO17" s="573"/>
      <c r="CIP17" s="573"/>
      <c r="CIQ17" s="573"/>
      <c r="CIR17" s="573"/>
      <c r="CIS17" s="573"/>
      <c r="CIT17" s="573"/>
      <c r="CIU17" s="573"/>
      <c r="CIV17" s="573"/>
      <c r="CIW17" s="573"/>
      <c r="CIX17" s="573"/>
      <c r="CIY17" s="573"/>
      <c r="CIZ17" s="573"/>
      <c r="CJA17" s="573"/>
      <c r="CJB17" s="573"/>
      <c r="CJC17" s="573"/>
      <c r="CJD17" s="573"/>
      <c r="CJE17" s="573"/>
      <c r="CJF17" s="573"/>
      <c r="CJG17" s="573"/>
      <c r="CJH17" s="573"/>
      <c r="CJI17" s="573"/>
      <c r="CJJ17" s="573"/>
      <c r="CJK17" s="573"/>
      <c r="CJL17" s="573"/>
      <c r="CJM17" s="573"/>
      <c r="CJN17" s="573"/>
      <c r="CJO17" s="573"/>
      <c r="CJP17" s="573"/>
      <c r="CJQ17" s="573"/>
      <c r="CJR17" s="573"/>
      <c r="CJS17" s="573"/>
      <c r="CJT17" s="573"/>
      <c r="CJU17" s="573"/>
      <c r="CJV17" s="573"/>
      <c r="CJW17" s="573"/>
      <c r="CJX17" s="573"/>
      <c r="CJY17" s="573"/>
      <c r="CJZ17" s="573"/>
      <c r="CKA17" s="573"/>
      <c r="CKB17" s="573"/>
      <c r="CKC17" s="573"/>
      <c r="CKD17" s="573"/>
      <c r="CKE17" s="573"/>
      <c r="CKF17" s="573"/>
      <c r="CKG17" s="573"/>
      <c r="CKH17" s="573"/>
      <c r="CKI17" s="573"/>
      <c r="CKJ17" s="573"/>
      <c r="CKK17" s="573"/>
      <c r="CKL17" s="573"/>
      <c r="CKM17" s="573"/>
      <c r="CKN17" s="573"/>
      <c r="CKO17" s="573"/>
      <c r="CKP17" s="573"/>
      <c r="CKQ17" s="573"/>
      <c r="CKR17" s="573"/>
      <c r="CKS17" s="573"/>
      <c r="CKT17" s="573"/>
      <c r="CKU17" s="573"/>
      <c r="CKV17" s="573"/>
      <c r="CKW17" s="573"/>
      <c r="CKX17" s="573"/>
      <c r="CKY17" s="573"/>
      <c r="CKZ17" s="573"/>
      <c r="CLA17" s="573"/>
      <c r="CLB17" s="573"/>
      <c r="CLC17" s="573"/>
      <c r="CLD17" s="573"/>
      <c r="CLE17" s="573"/>
      <c r="CLF17" s="573"/>
      <c r="CLG17" s="573"/>
      <c r="CLH17" s="573"/>
      <c r="CLI17" s="573"/>
      <c r="CLJ17" s="573"/>
      <c r="CLK17" s="573"/>
      <c r="CLL17" s="573"/>
      <c r="CLM17" s="573"/>
      <c r="CLN17" s="573"/>
      <c r="CLO17" s="573"/>
      <c r="CLP17" s="573"/>
      <c r="CLQ17" s="573"/>
      <c r="CLR17" s="573"/>
      <c r="CLS17" s="573"/>
      <c r="CLT17" s="573"/>
      <c r="CLU17" s="573"/>
      <c r="CLV17" s="573"/>
      <c r="CLW17" s="573"/>
      <c r="CLX17" s="573"/>
      <c r="CLY17" s="573"/>
      <c r="CLZ17" s="573"/>
      <c r="CMA17" s="573"/>
      <c r="CMB17" s="573"/>
      <c r="CMC17" s="573"/>
      <c r="CMD17" s="573"/>
      <c r="CME17" s="573"/>
      <c r="CMF17" s="573"/>
      <c r="CMG17" s="573"/>
      <c r="CMH17" s="573"/>
      <c r="CMI17" s="573"/>
      <c r="CMJ17" s="573"/>
      <c r="CMK17" s="573"/>
      <c r="CML17" s="573"/>
      <c r="CMM17" s="573"/>
      <c r="CMN17" s="573"/>
      <c r="CMO17" s="573"/>
      <c r="CMP17" s="573"/>
      <c r="CMQ17" s="573"/>
      <c r="CMR17" s="573"/>
      <c r="CMS17" s="573"/>
      <c r="CMT17" s="573"/>
      <c r="CMU17" s="573"/>
      <c r="CMV17" s="573"/>
      <c r="CMW17" s="573"/>
      <c r="CMX17" s="573"/>
      <c r="CMY17" s="573"/>
      <c r="CMZ17" s="573"/>
      <c r="CNA17" s="573"/>
      <c r="CNB17" s="573"/>
      <c r="CNC17" s="573"/>
      <c r="CND17" s="573"/>
      <c r="CNE17" s="573"/>
      <c r="CNF17" s="573"/>
      <c r="CNG17" s="573"/>
      <c r="CNH17" s="573"/>
      <c r="CNI17" s="573"/>
      <c r="CNJ17" s="573"/>
      <c r="CNK17" s="573"/>
      <c r="CNL17" s="573"/>
      <c r="CNM17" s="573"/>
      <c r="CNN17" s="573"/>
      <c r="CNO17" s="573"/>
      <c r="CNP17" s="573"/>
      <c r="CNQ17" s="573"/>
      <c r="CNR17" s="573"/>
      <c r="CNS17" s="573"/>
      <c r="CNT17" s="573"/>
      <c r="CNU17" s="573"/>
      <c r="CNV17" s="573"/>
      <c r="CNW17" s="573"/>
      <c r="CNX17" s="573"/>
      <c r="CNY17" s="573"/>
      <c r="CNZ17" s="573"/>
      <c r="COA17" s="573"/>
      <c r="COB17" s="573"/>
      <c r="COC17" s="573"/>
      <c r="COD17" s="573"/>
      <c r="COE17" s="573"/>
      <c r="COF17" s="573"/>
      <c r="COG17" s="573"/>
      <c r="COH17" s="573"/>
      <c r="COI17" s="573"/>
      <c r="COJ17" s="573"/>
      <c r="COK17" s="573"/>
      <c r="COL17" s="573"/>
      <c r="COM17" s="573"/>
      <c r="CON17" s="573"/>
      <c r="COO17" s="573"/>
      <c r="COP17" s="573"/>
      <c r="COQ17" s="573"/>
      <c r="COR17" s="573"/>
      <c r="COS17" s="573"/>
      <c r="COT17" s="573"/>
      <c r="COU17" s="573"/>
      <c r="COV17" s="573"/>
      <c r="COW17" s="573"/>
      <c r="COX17" s="573"/>
      <c r="COY17" s="573"/>
      <c r="COZ17" s="573"/>
      <c r="CPA17" s="573"/>
      <c r="CPB17" s="573"/>
      <c r="CPC17" s="573"/>
      <c r="CPD17" s="573"/>
      <c r="CPE17" s="573"/>
      <c r="CPF17" s="573"/>
      <c r="CPG17" s="573"/>
      <c r="CPH17" s="573"/>
      <c r="CPI17" s="573"/>
      <c r="CPJ17" s="573"/>
      <c r="CPK17" s="573"/>
      <c r="CPL17" s="573"/>
      <c r="CPM17" s="573"/>
      <c r="CPN17" s="573"/>
      <c r="CPO17" s="573"/>
      <c r="CPP17" s="573"/>
      <c r="CPQ17" s="573"/>
      <c r="CPR17" s="573"/>
      <c r="CPS17" s="573"/>
      <c r="CPT17" s="573"/>
      <c r="CPU17" s="573"/>
      <c r="CPV17" s="573"/>
      <c r="CPW17" s="573"/>
      <c r="CPX17" s="573"/>
      <c r="CPY17" s="573"/>
      <c r="CPZ17" s="573"/>
      <c r="CQA17" s="573"/>
      <c r="CQB17" s="573"/>
      <c r="CQC17" s="573"/>
      <c r="CQD17" s="573"/>
      <c r="CQE17" s="573"/>
      <c r="CQF17" s="573"/>
      <c r="CQG17" s="573"/>
      <c r="CQH17" s="573"/>
      <c r="CQI17" s="573"/>
      <c r="CQJ17" s="573"/>
      <c r="CQK17" s="573"/>
      <c r="CQL17" s="573"/>
      <c r="CQM17" s="573"/>
      <c r="CQN17" s="573"/>
      <c r="CQO17" s="573"/>
      <c r="CQP17" s="573"/>
      <c r="CQQ17" s="573"/>
      <c r="CQR17" s="573"/>
      <c r="CQS17" s="573"/>
      <c r="CQT17" s="573"/>
      <c r="CQU17" s="573"/>
      <c r="CQV17" s="573"/>
      <c r="CQW17" s="573"/>
      <c r="CQX17" s="573"/>
      <c r="CQY17" s="573"/>
      <c r="CQZ17" s="573"/>
      <c r="CRA17" s="573"/>
      <c r="CRB17" s="573"/>
      <c r="CRC17" s="573"/>
      <c r="CRD17" s="573"/>
      <c r="CRE17" s="573"/>
      <c r="CRF17" s="573"/>
      <c r="CRG17" s="573"/>
      <c r="CRH17" s="573"/>
      <c r="CRI17" s="573"/>
      <c r="CRJ17" s="573"/>
      <c r="CRK17" s="573"/>
      <c r="CRL17" s="573"/>
      <c r="CRM17" s="573"/>
      <c r="CRN17" s="573"/>
      <c r="CRO17" s="573"/>
      <c r="CRP17" s="573"/>
      <c r="CRQ17" s="573"/>
      <c r="CRR17" s="573"/>
      <c r="CRS17" s="573"/>
      <c r="CRT17" s="573"/>
      <c r="CRU17" s="573"/>
      <c r="CRV17" s="573"/>
      <c r="CRW17" s="573"/>
      <c r="CRX17" s="573"/>
      <c r="CRY17" s="573"/>
      <c r="CRZ17" s="573"/>
      <c r="CSA17" s="573"/>
      <c r="CSB17" s="573"/>
      <c r="CSC17" s="573"/>
      <c r="CSD17" s="573"/>
      <c r="CSE17" s="573"/>
      <c r="CSF17" s="573"/>
      <c r="CSG17" s="573"/>
      <c r="CSH17" s="573"/>
      <c r="CSI17" s="573"/>
      <c r="CSJ17" s="573"/>
      <c r="CSK17" s="573"/>
      <c r="CSL17" s="573"/>
      <c r="CSM17" s="573"/>
      <c r="CSN17" s="573"/>
      <c r="CSO17" s="573"/>
      <c r="CSP17" s="573"/>
      <c r="CSQ17" s="573"/>
      <c r="CSR17" s="573"/>
      <c r="CSS17" s="573"/>
      <c r="CST17" s="573"/>
      <c r="CSU17" s="573"/>
      <c r="CSV17" s="573"/>
      <c r="CSW17" s="573"/>
      <c r="CSX17" s="573"/>
      <c r="CSY17" s="573"/>
      <c r="CSZ17" s="573"/>
      <c r="CTA17" s="573"/>
      <c r="CTB17" s="573"/>
      <c r="CTC17" s="573"/>
      <c r="CTD17" s="573"/>
      <c r="CTE17" s="573"/>
      <c r="CTF17" s="573"/>
      <c r="CTG17" s="573"/>
      <c r="CTH17" s="573"/>
      <c r="CTI17" s="573"/>
      <c r="CTJ17" s="573"/>
      <c r="CTK17" s="573"/>
      <c r="CTL17" s="573"/>
      <c r="CTM17" s="573"/>
      <c r="CTN17" s="573"/>
      <c r="CTO17" s="573"/>
      <c r="CTP17" s="573"/>
      <c r="CTQ17" s="573"/>
      <c r="CTR17" s="573"/>
      <c r="CTS17" s="573"/>
      <c r="CTT17" s="573"/>
      <c r="CTU17" s="573"/>
      <c r="CTV17" s="573"/>
      <c r="CTW17" s="573"/>
      <c r="CTX17" s="573"/>
      <c r="CTY17" s="573"/>
      <c r="CTZ17" s="573"/>
      <c r="CUA17" s="573"/>
      <c r="CUB17" s="573"/>
      <c r="CUC17" s="573"/>
      <c r="CUD17" s="573"/>
      <c r="CUE17" s="573"/>
      <c r="CUF17" s="573"/>
      <c r="CUG17" s="573"/>
      <c r="CUH17" s="573"/>
      <c r="CUI17" s="573"/>
      <c r="CUJ17" s="573"/>
      <c r="CUK17" s="573"/>
      <c r="CUL17" s="573"/>
      <c r="CUM17" s="573"/>
      <c r="CUN17" s="573"/>
      <c r="CUO17" s="573"/>
      <c r="CUP17" s="573"/>
      <c r="CUQ17" s="573"/>
      <c r="CUR17" s="573"/>
      <c r="CUS17" s="573"/>
      <c r="CUT17" s="573"/>
      <c r="CUU17" s="573"/>
      <c r="CUV17" s="573"/>
      <c r="CUW17" s="573"/>
      <c r="CUX17" s="573"/>
      <c r="CUY17" s="573"/>
      <c r="CUZ17" s="573"/>
      <c r="CVA17" s="573"/>
      <c r="CVB17" s="573"/>
      <c r="CVC17" s="573"/>
      <c r="CVD17" s="573"/>
      <c r="CVE17" s="573"/>
      <c r="CVF17" s="573"/>
      <c r="CVG17" s="573"/>
      <c r="CVH17" s="573"/>
      <c r="CVI17" s="573"/>
      <c r="CVJ17" s="573"/>
      <c r="CVK17" s="573"/>
      <c r="CVL17" s="573"/>
      <c r="CVM17" s="573"/>
      <c r="CVN17" s="573"/>
      <c r="CVO17" s="573"/>
      <c r="CVP17" s="573"/>
      <c r="CVQ17" s="573"/>
      <c r="CVR17" s="573"/>
      <c r="CVS17" s="573"/>
      <c r="CVT17" s="573"/>
      <c r="CVU17" s="573"/>
      <c r="CVV17" s="573"/>
      <c r="CVW17" s="573"/>
      <c r="CVX17" s="573"/>
      <c r="CVY17" s="573"/>
      <c r="CVZ17" s="573"/>
      <c r="CWA17" s="573"/>
      <c r="CWB17" s="573"/>
      <c r="CWC17" s="573"/>
      <c r="CWD17" s="573"/>
      <c r="CWE17" s="573"/>
      <c r="CWF17" s="573"/>
      <c r="CWG17" s="573"/>
      <c r="CWH17" s="573"/>
      <c r="CWI17" s="573"/>
      <c r="CWJ17" s="573"/>
      <c r="CWK17" s="573"/>
      <c r="CWL17" s="573"/>
      <c r="CWM17" s="573"/>
      <c r="CWN17" s="573"/>
      <c r="CWO17" s="573"/>
      <c r="CWP17" s="573"/>
      <c r="CWQ17" s="573"/>
      <c r="CWR17" s="573"/>
      <c r="CWS17" s="573"/>
      <c r="CWT17" s="573"/>
      <c r="CWU17" s="573"/>
      <c r="CWV17" s="573"/>
      <c r="CWW17" s="573"/>
      <c r="CWX17" s="573"/>
      <c r="CWY17" s="573"/>
      <c r="CWZ17" s="573"/>
      <c r="CXA17" s="573"/>
      <c r="CXB17" s="573"/>
      <c r="CXC17" s="573"/>
      <c r="CXD17" s="573"/>
      <c r="CXE17" s="573"/>
      <c r="CXF17" s="573"/>
      <c r="CXG17" s="573"/>
      <c r="CXH17" s="573"/>
      <c r="CXI17" s="573"/>
      <c r="CXJ17" s="573"/>
      <c r="CXK17" s="573"/>
      <c r="CXL17" s="573"/>
      <c r="CXM17" s="573"/>
      <c r="CXN17" s="573"/>
      <c r="CXO17" s="573"/>
      <c r="CXP17" s="573"/>
      <c r="CXQ17" s="573"/>
      <c r="CXR17" s="573"/>
      <c r="CXS17" s="573"/>
      <c r="CXT17" s="573"/>
      <c r="CXU17" s="573"/>
      <c r="CXV17" s="573"/>
      <c r="CXW17" s="573"/>
      <c r="CXX17" s="573"/>
      <c r="CXY17" s="573"/>
      <c r="CXZ17" s="573"/>
      <c r="CYA17" s="573"/>
      <c r="CYB17" s="573"/>
      <c r="CYC17" s="573"/>
      <c r="CYD17" s="573"/>
      <c r="CYE17" s="573"/>
      <c r="CYF17" s="573"/>
      <c r="CYG17" s="573"/>
      <c r="CYH17" s="573"/>
      <c r="CYI17" s="573"/>
      <c r="CYJ17" s="573"/>
      <c r="CYK17" s="573"/>
      <c r="CYL17" s="573"/>
      <c r="CYM17" s="573"/>
      <c r="CYN17" s="573"/>
      <c r="CYO17" s="573"/>
      <c r="CYP17" s="573"/>
      <c r="CYQ17" s="573"/>
      <c r="CYR17" s="573"/>
      <c r="CYS17" s="573"/>
      <c r="CYT17" s="573"/>
      <c r="CYU17" s="573"/>
      <c r="CYV17" s="573"/>
      <c r="CYW17" s="573"/>
      <c r="CYX17" s="573"/>
      <c r="CYY17" s="573"/>
      <c r="CYZ17" s="573"/>
      <c r="CZA17" s="573"/>
      <c r="CZB17" s="573"/>
      <c r="CZC17" s="573"/>
      <c r="CZD17" s="573"/>
      <c r="CZE17" s="573"/>
      <c r="CZF17" s="573"/>
      <c r="CZG17" s="573"/>
      <c r="CZH17" s="573"/>
      <c r="CZI17" s="573"/>
      <c r="CZJ17" s="573"/>
      <c r="CZK17" s="573"/>
      <c r="CZL17" s="573"/>
      <c r="CZM17" s="573"/>
      <c r="CZN17" s="573"/>
      <c r="CZO17" s="573"/>
      <c r="CZP17" s="573"/>
      <c r="CZQ17" s="573"/>
      <c r="CZR17" s="573"/>
      <c r="CZS17" s="573"/>
      <c r="CZT17" s="573"/>
      <c r="CZU17" s="573"/>
      <c r="CZV17" s="573"/>
      <c r="CZW17" s="573"/>
      <c r="CZX17" s="573"/>
      <c r="CZY17" s="573"/>
      <c r="CZZ17" s="573"/>
      <c r="DAA17" s="573"/>
      <c r="DAB17" s="573"/>
      <c r="DAC17" s="573"/>
      <c r="DAD17" s="573"/>
      <c r="DAE17" s="573"/>
      <c r="DAF17" s="573"/>
      <c r="DAG17" s="573"/>
      <c r="DAH17" s="573"/>
      <c r="DAI17" s="573"/>
      <c r="DAJ17" s="573"/>
      <c r="DAK17" s="573"/>
      <c r="DAL17" s="573"/>
      <c r="DAM17" s="573"/>
      <c r="DAN17" s="573"/>
      <c r="DAO17" s="573"/>
      <c r="DAP17" s="573"/>
      <c r="DAQ17" s="573"/>
      <c r="DAR17" s="573"/>
      <c r="DAS17" s="573"/>
      <c r="DAT17" s="573"/>
      <c r="DAU17" s="573"/>
      <c r="DAV17" s="573"/>
      <c r="DAW17" s="573"/>
      <c r="DAX17" s="573"/>
      <c r="DAY17" s="573"/>
      <c r="DAZ17" s="573"/>
      <c r="DBA17" s="573"/>
      <c r="DBB17" s="573"/>
      <c r="DBC17" s="573"/>
      <c r="DBD17" s="573"/>
      <c r="DBE17" s="573"/>
      <c r="DBF17" s="573"/>
      <c r="DBG17" s="573"/>
      <c r="DBH17" s="573"/>
      <c r="DBI17" s="573"/>
      <c r="DBJ17" s="573"/>
      <c r="DBK17" s="573"/>
      <c r="DBL17" s="573"/>
      <c r="DBM17" s="573"/>
      <c r="DBN17" s="573"/>
      <c r="DBO17" s="573"/>
      <c r="DBP17" s="573"/>
      <c r="DBQ17" s="573"/>
      <c r="DBR17" s="573"/>
      <c r="DBS17" s="573"/>
      <c r="DBT17" s="573"/>
      <c r="DBU17" s="573"/>
      <c r="DBV17" s="573"/>
      <c r="DBW17" s="573"/>
      <c r="DBX17" s="573"/>
      <c r="DBY17" s="573"/>
      <c r="DBZ17" s="573"/>
      <c r="DCA17" s="573"/>
      <c r="DCB17" s="573"/>
      <c r="DCC17" s="573"/>
      <c r="DCD17" s="573"/>
      <c r="DCE17" s="573"/>
      <c r="DCF17" s="573"/>
      <c r="DCG17" s="573"/>
      <c r="DCH17" s="573"/>
      <c r="DCI17" s="573"/>
      <c r="DCJ17" s="573"/>
      <c r="DCK17" s="573"/>
      <c r="DCL17" s="573"/>
      <c r="DCM17" s="573"/>
      <c r="DCN17" s="573"/>
      <c r="DCO17" s="573"/>
      <c r="DCP17" s="573"/>
      <c r="DCQ17" s="573"/>
      <c r="DCR17" s="573"/>
      <c r="DCS17" s="573"/>
      <c r="DCT17" s="573"/>
      <c r="DCU17" s="573"/>
      <c r="DCV17" s="573"/>
      <c r="DCW17" s="573"/>
      <c r="DCX17" s="573"/>
      <c r="DCY17" s="573"/>
      <c r="DCZ17" s="573"/>
      <c r="DDA17" s="573"/>
      <c r="DDB17" s="573"/>
      <c r="DDC17" s="573"/>
      <c r="DDD17" s="573"/>
      <c r="DDE17" s="573"/>
      <c r="DDF17" s="573"/>
      <c r="DDG17" s="573"/>
      <c r="DDH17" s="573"/>
      <c r="DDI17" s="573"/>
      <c r="DDJ17" s="573"/>
      <c r="DDK17" s="573"/>
      <c r="DDL17" s="573"/>
      <c r="DDM17" s="573"/>
      <c r="DDN17" s="573"/>
      <c r="DDO17" s="573"/>
      <c r="DDP17" s="573"/>
      <c r="DDQ17" s="573"/>
      <c r="DDR17" s="573"/>
      <c r="DDS17" s="573"/>
      <c r="DDT17" s="573"/>
      <c r="DDU17" s="573"/>
      <c r="DDV17" s="573"/>
      <c r="DDW17" s="573"/>
      <c r="DDX17" s="573"/>
      <c r="DDY17" s="573"/>
      <c r="DDZ17" s="573"/>
      <c r="DEA17" s="573"/>
      <c r="DEB17" s="573"/>
      <c r="DEC17" s="573"/>
      <c r="DED17" s="573"/>
      <c r="DEE17" s="573"/>
      <c r="DEF17" s="573"/>
      <c r="DEG17" s="573"/>
      <c r="DEH17" s="573"/>
      <c r="DEI17" s="573"/>
      <c r="DEJ17" s="573"/>
      <c r="DEK17" s="573"/>
      <c r="DEL17" s="573"/>
      <c r="DEM17" s="573"/>
      <c r="DEN17" s="573"/>
      <c r="DEO17" s="573"/>
      <c r="DEP17" s="573"/>
      <c r="DEQ17" s="573"/>
      <c r="DER17" s="573"/>
      <c r="DES17" s="573"/>
      <c r="DET17" s="573"/>
      <c r="DEU17" s="573"/>
      <c r="DEV17" s="573"/>
      <c r="DEW17" s="573"/>
      <c r="DEX17" s="573"/>
      <c r="DEY17" s="573"/>
      <c r="DEZ17" s="573"/>
      <c r="DFA17" s="573"/>
      <c r="DFB17" s="573"/>
      <c r="DFC17" s="573"/>
      <c r="DFD17" s="573"/>
      <c r="DFE17" s="573"/>
      <c r="DFF17" s="573"/>
      <c r="DFG17" s="573"/>
      <c r="DFH17" s="573"/>
      <c r="DFI17" s="573"/>
      <c r="DFJ17" s="573"/>
      <c r="DFK17" s="573"/>
      <c r="DFL17" s="573"/>
      <c r="DFM17" s="573"/>
      <c r="DFN17" s="573"/>
      <c r="DFO17" s="573"/>
      <c r="DFP17" s="573"/>
      <c r="DFQ17" s="573"/>
      <c r="DFR17" s="573"/>
      <c r="DFS17" s="573"/>
      <c r="DFT17" s="573"/>
      <c r="DFU17" s="573"/>
      <c r="DFV17" s="573"/>
      <c r="DFW17" s="573"/>
      <c r="DFX17" s="573"/>
      <c r="DFY17" s="573"/>
      <c r="DFZ17" s="573"/>
      <c r="DGA17" s="573"/>
      <c r="DGB17" s="573"/>
      <c r="DGC17" s="573"/>
      <c r="DGD17" s="573"/>
      <c r="DGE17" s="573"/>
      <c r="DGF17" s="573"/>
      <c r="DGG17" s="573"/>
      <c r="DGH17" s="573"/>
      <c r="DGI17" s="573"/>
      <c r="DGJ17" s="573"/>
      <c r="DGK17" s="573"/>
      <c r="DGL17" s="573"/>
      <c r="DGM17" s="573"/>
      <c r="DGN17" s="573"/>
      <c r="DGO17" s="573"/>
      <c r="DGP17" s="573"/>
      <c r="DGQ17" s="573"/>
      <c r="DGR17" s="573"/>
      <c r="DGS17" s="573"/>
      <c r="DGT17" s="573"/>
      <c r="DGU17" s="573"/>
      <c r="DGV17" s="573"/>
      <c r="DGW17" s="573"/>
      <c r="DGX17" s="573"/>
      <c r="DGY17" s="573"/>
      <c r="DGZ17" s="573"/>
      <c r="DHA17" s="573"/>
      <c r="DHB17" s="573"/>
      <c r="DHC17" s="573"/>
      <c r="DHD17" s="573"/>
      <c r="DHE17" s="573"/>
      <c r="DHF17" s="573"/>
      <c r="DHG17" s="573"/>
      <c r="DHH17" s="573"/>
      <c r="DHI17" s="573"/>
      <c r="DHJ17" s="573"/>
      <c r="DHK17" s="573"/>
      <c r="DHL17" s="573"/>
      <c r="DHM17" s="573"/>
      <c r="DHN17" s="573"/>
      <c r="DHO17" s="573"/>
      <c r="DHP17" s="573"/>
      <c r="DHQ17" s="573"/>
      <c r="DHR17" s="573"/>
      <c r="DHS17" s="573"/>
      <c r="DHT17" s="573"/>
      <c r="DHU17" s="573"/>
      <c r="DHV17" s="573"/>
      <c r="DHW17" s="573"/>
      <c r="DHX17" s="573"/>
      <c r="DHY17" s="573"/>
      <c r="DHZ17" s="573"/>
      <c r="DIA17" s="573"/>
      <c r="DIB17" s="573"/>
      <c r="DIC17" s="573"/>
      <c r="DID17" s="573"/>
      <c r="DIE17" s="573"/>
      <c r="DIF17" s="573"/>
      <c r="DIG17" s="573"/>
      <c r="DIH17" s="573"/>
      <c r="DII17" s="573"/>
      <c r="DIJ17" s="573"/>
      <c r="DIK17" s="573"/>
      <c r="DIL17" s="573"/>
      <c r="DIM17" s="573"/>
      <c r="DIN17" s="573"/>
      <c r="DIO17" s="573"/>
      <c r="DIP17" s="573"/>
      <c r="DIQ17" s="573"/>
      <c r="DIR17" s="573"/>
      <c r="DIS17" s="573"/>
      <c r="DIT17" s="573"/>
      <c r="DIU17" s="573"/>
      <c r="DIV17" s="573"/>
      <c r="DIW17" s="573"/>
      <c r="DIX17" s="573"/>
      <c r="DIY17" s="573"/>
      <c r="DIZ17" s="573"/>
      <c r="DJA17" s="573"/>
      <c r="DJB17" s="573"/>
      <c r="DJC17" s="573"/>
      <c r="DJD17" s="573"/>
      <c r="DJE17" s="573"/>
      <c r="DJF17" s="573"/>
      <c r="DJG17" s="573"/>
      <c r="DJH17" s="573"/>
      <c r="DJI17" s="573"/>
      <c r="DJJ17" s="573"/>
      <c r="DJK17" s="573"/>
      <c r="DJL17" s="573"/>
      <c r="DJM17" s="573"/>
      <c r="DJN17" s="573"/>
      <c r="DJO17" s="573"/>
      <c r="DJP17" s="573"/>
      <c r="DJQ17" s="573"/>
      <c r="DJR17" s="573"/>
      <c r="DJS17" s="573"/>
      <c r="DJT17" s="573"/>
      <c r="DJU17" s="573"/>
      <c r="DJV17" s="573"/>
      <c r="DJW17" s="573"/>
      <c r="DJX17" s="573"/>
      <c r="DJY17" s="573"/>
      <c r="DJZ17" s="573"/>
      <c r="DKA17" s="573"/>
      <c r="DKB17" s="573"/>
      <c r="DKC17" s="573"/>
      <c r="DKD17" s="573"/>
      <c r="DKE17" s="573"/>
      <c r="DKF17" s="573"/>
      <c r="DKG17" s="573"/>
      <c r="DKH17" s="573"/>
      <c r="DKI17" s="573"/>
      <c r="DKJ17" s="573"/>
      <c r="DKK17" s="573"/>
      <c r="DKL17" s="573"/>
      <c r="DKM17" s="573"/>
      <c r="DKN17" s="573"/>
      <c r="DKO17" s="573"/>
      <c r="DKP17" s="573"/>
      <c r="DKQ17" s="573"/>
      <c r="DKR17" s="573"/>
      <c r="DKS17" s="573"/>
      <c r="DKT17" s="573"/>
      <c r="DKU17" s="573"/>
      <c r="DKV17" s="573"/>
      <c r="DKW17" s="573"/>
      <c r="DKX17" s="573"/>
      <c r="DKY17" s="573"/>
      <c r="DKZ17" s="573"/>
      <c r="DLA17" s="573"/>
      <c r="DLB17" s="573"/>
      <c r="DLC17" s="573"/>
      <c r="DLD17" s="573"/>
      <c r="DLE17" s="573"/>
      <c r="DLF17" s="573"/>
      <c r="DLG17" s="573"/>
      <c r="DLH17" s="573"/>
      <c r="DLI17" s="573"/>
      <c r="DLJ17" s="573"/>
      <c r="DLK17" s="573"/>
      <c r="DLL17" s="573"/>
      <c r="DLM17" s="573"/>
      <c r="DLN17" s="573"/>
      <c r="DLO17" s="573"/>
      <c r="DLP17" s="573"/>
      <c r="DLQ17" s="573"/>
      <c r="DLR17" s="573"/>
      <c r="DLS17" s="573"/>
      <c r="DLT17" s="573"/>
      <c r="DLU17" s="573"/>
      <c r="DLV17" s="573"/>
      <c r="DLW17" s="573"/>
      <c r="DLX17" s="573"/>
      <c r="DLY17" s="573"/>
      <c r="DLZ17" s="573"/>
      <c r="DMA17" s="573"/>
      <c r="DMB17" s="573"/>
      <c r="DMC17" s="573"/>
      <c r="DMD17" s="573"/>
      <c r="DME17" s="573"/>
      <c r="DMF17" s="573"/>
      <c r="DMG17" s="573"/>
      <c r="DMH17" s="573"/>
      <c r="DMI17" s="573"/>
      <c r="DMJ17" s="573"/>
      <c r="DMK17" s="573"/>
      <c r="DML17" s="573"/>
      <c r="DMM17" s="573"/>
      <c r="DMN17" s="573"/>
      <c r="DMO17" s="573"/>
      <c r="DMP17" s="573"/>
      <c r="DMQ17" s="573"/>
      <c r="DMR17" s="573"/>
      <c r="DMS17" s="573"/>
      <c r="DMT17" s="573"/>
      <c r="DMU17" s="573"/>
      <c r="DMV17" s="573"/>
      <c r="DMW17" s="573"/>
      <c r="DMX17" s="573"/>
      <c r="DMY17" s="573"/>
      <c r="DMZ17" s="573"/>
      <c r="DNA17" s="573"/>
      <c r="DNB17" s="573"/>
      <c r="DNC17" s="573"/>
      <c r="DND17" s="573"/>
      <c r="DNE17" s="573"/>
      <c r="DNF17" s="573"/>
      <c r="DNG17" s="573"/>
      <c r="DNH17" s="573"/>
      <c r="DNI17" s="573"/>
      <c r="DNJ17" s="573"/>
      <c r="DNK17" s="573"/>
      <c r="DNL17" s="573"/>
      <c r="DNM17" s="573"/>
      <c r="DNN17" s="573"/>
      <c r="DNO17" s="573"/>
      <c r="DNP17" s="573"/>
      <c r="DNQ17" s="573"/>
      <c r="DNR17" s="573"/>
      <c r="DNS17" s="573"/>
      <c r="DNT17" s="573"/>
      <c r="DNU17" s="573"/>
      <c r="DNV17" s="573"/>
      <c r="DNW17" s="573"/>
      <c r="DNX17" s="573"/>
      <c r="DNY17" s="573"/>
      <c r="DNZ17" s="573"/>
      <c r="DOA17" s="573"/>
      <c r="DOB17" s="573"/>
      <c r="DOC17" s="573"/>
      <c r="DOD17" s="573"/>
      <c r="DOE17" s="573"/>
      <c r="DOF17" s="573"/>
      <c r="DOG17" s="573"/>
      <c r="DOH17" s="573"/>
      <c r="DOI17" s="573"/>
      <c r="DOJ17" s="573"/>
      <c r="DOK17" s="573"/>
      <c r="DOL17" s="573"/>
      <c r="DOM17" s="573"/>
      <c r="DON17" s="573"/>
      <c r="DOO17" s="573"/>
      <c r="DOP17" s="573"/>
      <c r="DOQ17" s="573"/>
      <c r="DOR17" s="573"/>
      <c r="DOS17" s="573"/>
      <c r="DOT17" s="573"/>
      <c r="DOU17" s="573"/>
      <c r="DOV17" s="573"/>
      <c r="DOW17" s="573"/>
      <c r="DOX17" s="573"/>
      <c r="DOY17" s="573"/>
      <c r="DOZ17" s="573"/>
      <c r="DPA17" s="573"/>
      <c r="DPB17" s="573"/>
      <c r="DPC17" s="573"/>
      <c r="DPD17" s="573"/>
      <c r="DPE17" s="573"/>
      <c r="DPF17" s="573"/>
      <c r="DPG17" s="573"/>
      <c r="DPH17" s="573"/>
      <c r="DPI17" s="573"/>
      <c r="DPJ17" s="573"/>
      <c r="DPK17" s="573"/>
      <c r="DPL17" s="573"/>
      <c r="DPM17" s="573"/>
      <c r="DPN17" s="573"/>
      <c r="DPO17" s="573"/>
      <c r="DPP17" s="573"/>
      <c r="DPQ17" s="573"/>
      <c r="DPR17" s="573"/>
      <c r="DPS17" s="573"/>
      <c r="DPT17" s="573"/>
      <c r="DPU17" s="573"/>
      <c r="DPV17" s="573"/>
      <c r="DPW17" s="573"/>
      <c r="DPX17" s="573"/>
      <c r="DPY17" s="573"/>
      <c r="DPZ17" s="573"/>
      <c r="DQA17" s="573"/>
      <c r="DQB17" s="573"/>
      <c r="DQC17" s="573"/>
      <c r="DQD17" s="573"/>
      <c r="DQE17" s="573"/>
      <c r="DQF17" s="573"/>
      <c r="DQG17" s="573"/>
      <c r="DQH17" s="573"/>
      <c r="DQI17" s="573"/>
      <c r="DQJ17" s="573"/>
      <c r="DQK17" s="573"/>
      <c r="DQL17" s="573"/>
      <c r="DQM17" s="573"/>
      <c r="DQN17" s="573"/>
      <c r="DQO17" s="573"/>
      <c r="DQP17" s="573"/>
      <c r="DQQ17" s="573"/>
      <c r="DQR17" s="573"/>
      <c r="DQS17" s="573"/>
      <c r="DQT17" s="573"/>
      <c r="DQU17" s="573"/>
      <c r="DQV17" s="573"/>
      <c r="DQW17" s="573"/>
      <c r="DQX17" s="573"/>
      <c r="DQY17" s="573"/>
      <c r="DQZ17" s="573"/>
      <c r="DRA17" s="573"/>
      <c r="DRB17" s="573"/>
      <c r="DRC17" s="573"/>
      <c r="DRD17" s="573"/>
      <c r="DRE17" s="573"/>
      <c r="DRF17" s="573"/>
      <c r="DRG17" s="573"/>
      <c r="DRH17" s="573"/>
      <c r="DRI17" s="573"/>
      <c r="DRJ17" s="573"/>
      <c r="DRK17" s="573"/>
      <c r="DRL17" s="573"/>
      <c r="DRM17" s="573"/>
      <c r="DRN17" s="573"/>
      <c r="DRO17" s="573"/>
      <c r="DRP17" s="573"/>
      <c r="DRQ17" s="573"/>
      <c r="DRR17" s="573"/>
      <c r="DRS17" s="573"/>
      <c r="DRT17" s="573"/>
      <c r="DRU17" s="573"/>
      <c r="DRV17" s="573"/>
      <c r="DRW17" s="573"/>
      <c r="DRX17" s="573"/>
      <c r="DRY17" s="573"/>
      <c r="DRZ17" s="573"/>
      <c r="DSA17" s="573"/>
      <c r="DSB17" s="573"/>
      <c r="DSC17" s="573"/>
      <c r="DSD17" s="573"/>
      <c r="DSE17" s="573"/>
      <c r="DSF17" s="573"/>
      <c r="DSG17" s="573"/>
      <c r="DSH17" s="573"/>
      <c r="DSI17" s="573"/>
      <c r="DSJ17" s="573"/>
      <c r="DSK17" s="573"/>
      <c r="DSL17" s="573"/>
      <c r="DSM17" s="573"/>
      <c r="DSN17" s="573"/>
      <c r="DSO17" s="573"/>
      <c r="DSP17" s="573"/>
      <c r="DSQ17" s="573"/>
      <c r="DSR17" s="573"/>
      <c r="DSS17" s="573"/>
      <c r="DST17" s="573"/>
      <c r="DSU17" s="573"/>
      <c r="DSV17" s="573"/>
      <c r="DSW17" s="573"/>
      <c r="DSX17" s="573"/>
      <c r="DSY17" s="573"/>
      <c r="DSZ17" s="573"/>
      <c r="DTA17" s="573"/>
      <c r="DTB17" s="573"/>
      <c r="DTC17" s="573"/>
      <c r="DTD17" s="573"/>
      <c r="DTE17" s="573"/>
      <c r="DTF17" s="573"/>
      <c r="DTG17" s="573"/>
      <c r="DTH17" s="573"/>
      <c r="DTI17" s="573"/>
      <c r="DTJ17" s="573"/>
      <c r="DTK17" s="573"/>
      <c r="DTL17" s="573"/>
      <c r="DTM17" s="573"/>
      <c r="DTN17" s="573"/>
      <c r="DTO17" s="573"/>
      <c r="DTP17" s="573"/>
      <c r="DTQ17" s="573"/>
      <c r="DTR17" s="573"/>
      <c r="DTS17" s="573"/>
      <c r="DTT17" s="573"/>
      <c r="DTU17" s="573"/>
      <c r="DTV17" s="573"/>
      <c r="DTW17" s="573"/>
      <c r="DTX17" s="573"/>
      <c r="DTY17" s="573"/>
      <c r="DTZ17" s="573"/>
      <c r="DUA17" s="573"/>
      <c r="DUB17" s="573"/>
      <c r="DUC17" s="573"/>
      <c r="DUD17" s="573"/>
      <c r="DUE17" s="573"/>
      <c r="DUF17" s="573"/>
      <c r="DUG17" s="573"/>
      <c r="DUH17" s="573"/>
      <c r="DUI17" s="573"/>
      <c r="DUJ17" s="573"/>
      <c r="DUK17" s="573"/>
      <c r="DUL17" s="573"/>
      <c r="DUM17" s="573"/>
      <c r="DUN17" s="573"/>
      <c r="DUO17" s="573"/>
      <c r="DUP17" s="573"/>
      <c r="DUQ17" s="573"/>
      <c r="DUR17" s="573"/>
      <c r="DUS17" s="573"/>
      <c r="DUT17" s="573"/>
      <c r="DUU17" s="573"/>
      <c r="DUV17" s="573"/>
      <c r="DUW17" s="573"/>
      <c r="DUX17" s="573"/>
      <c r="DUY17" s="573"/>
      <c r="DUZ17" s="573"/>
      <c r="DVA17" s="573"/>
      <c r="DVB17" s="573"/>
      <c r="DVC17" s="573"/>
      <c r="DVD17" s="573"/>
      <c r="DVE17" s="573"/>
      <c r="DVF17" s="573"/>
      <c r="DVG17" s="573"/>
      <c r="DVH17" s="573"/>
      <c r="DVI17" s="573"/>
      <c r="DVJ17" s="573"/>
      <c r="DVK17" s="573"/>
      <c r="DVL17" s="573"/>
      <c r="DVM17" s="573"/>
      <c r="DVN17" s="573"/>
      <c r="DVO17" s="573"/>
      <c r="DVP17" s="573"/>
      <c r="DVQ17" s="573"/>
      <c r="DVR17" s="573"/>
      <c r="DVS17" s="573"/>
      <c r="DVT17" s="573"/>
      <c r="DVU17" s="573"/>
      <c r="DVV17" s="573"/>
      <c r="DVW17" s="573"/>
      <c r="DVX17" s="573"/>
      <c r="DVY17" s="573"/>
      <c r="DVZ17" s="573"/>
      <c r="DWA17" s="573"/>
      <c r="DWB17" s="573"/>
      <c r="DWC17" s="573"/>
      <c r="DWD17" s="573"/>
      <c r="DWE17" s="573"/>
      <c r="DWF17" s="573"/>
      <c r="DWG17" s="573"/>
      <c r="DWH17" s="573"/>
      <c r="DWI17" s="573"/>
      <c r="DWJ17" s="573"/>
      <c r="DWK17" s="573"/>
      <c r="DWL17" s="573"/>
      <c r="DWM17" s="573"/>
      <c r="DWN17" s="573"/>
      <c r="DWO17" s="573"/>
      <c r="DWP17" s="573"/>
      <c r="DWQ17" s="573"/>
      <c r="DWR17" s="573"/>
      <c r="DWS17" s="573"/>
      <c r="DWT17" s="573"/>
      <c r="DWU17" s="573"/>
      <c r="DWV17" s="573"/>
      <c r="DWW17" s="573"/>
      <c r="DWX17" s="573"/>
      <c r="DWY17" s="573"/>
      <c r="DWZ17" s="573"/>
      <c r="DXA17" s="573"/>
      <c r="DXB17" s="573"/>
      <c r="DXC17" s="573"/>
      <c r="DXD17" s="573"/>
      <c r="DXE17" s="573"/>
      <c r="DXF17" s="573"/>
      <c r="DXG17" s="573"/>
      <c r="DXH17" s="573"/>
      <c r="DXI17" s="573"/>
      <c r="DXJ17" s="573"/>
      <c r="DXK17" s="573"/>
      <c r="DXL17" s="573"/>
      <c r="DXM17" s="573"/>
      <c r="DXN17" s="573"/>
      <c r="DXO17" s="573"/>
      <c r="DXP17" s="573"/>
      <c r="DXQ17" s="573"/>
      <c r="DXR17" s="573"/>
      <c r="DXS17" s="573"/>
      <c r="DXT17" s="573"/>
      <c r="DXU17" s="573"/>
      <c r="DXV17" s="573"/>
      <c r="DXW17" s="573"/>
      <c r="DXX17" s="573"/>
      <c r="DXY17" s="573"/>
      <c r="DXZ17" s="573"/>
      <c r="DYA17" s="573"/>
      <c r="DYB17" s="573"/>
      <c r="DYC17" s="573"/>
      <c r="DYD17" s="573"/>
      <c r="DYE17" s="573"/>
      <c r="DYF17" s="573"/>
      <c r="DYG17" s="573"/>
      <c r="DYH17" s="573"/>
      <c r="DYI17" s="573"/>
      <c r="DYJ17" s="573"/>
      <c r="DYK17" s="573"/>
      <c r="DYL17" s="573"/>
      <c r="DYM17" s="573"/>
      <c r="DYN17" s="573"/>
      <c r="DYO17" s="573"/>
      <c r="DYP17" s="573"/>
      <c r="DYQ17" s="573"/>
      <c r="DYR17" s="573"/>
      <c r="DYS17" s="573"/>
      <c r="DYT17" s="573"/>
      <c r="DYU17" s="573"/>
      <c r="DYV17" s="573"/>
      <c r="DYW17" s="573"/>
      <c r="DYX17" s="573"/>
      <c r="DYY17" s="573"/>
      <c r="DYZ17" s="573"/>
      <c r="DZA17" s="573"/>
      <c r="DZB17" s="573"/>
      <c r="DZC17" s="573"/>
      <c r="DZD17" s="573"/>
      <c r="DZE17" s="573"/>
      <c r="DZF17" s="573"/>
      <c r="DZG17" s="573"/>
      <c r="DZH17" s="573"/>
      <c r="DZI17" s="573"/>
      <c r="DZJ17" s="573"/>
      <c r="DZK17" s="573"/>
      <c r="DZL17" s="573"/>
      <c r="DZM17" s="573"/>
      <c r="DZN17" s="573"/>
      <c r="DZO17" s="573"/>
      <c r="DZP17" s="573"/>
      <c r="DZQ17" s="573"/>
      <c r="DZR17" s="573"/>
      <c r="DZS17" s="573"/>
      <c r="DZT17" s="573"/>
      <c r="DZU17" s="573"/>
      <c r="DZV17" s="573"/>
      <c r="DZW17" s="573"/>
      <c r="DZX17" s="573"/>
      <c r="DZY17" s="573"/>
      <c r="DZZ17" s="573"/>
      <c r="EAA17" s="573"/>
      <c r="EAB17" s="573"/>
      <c r="EAC17" s="573"/>
      <c r="EAD17" s="573"/>
      <c r="EAE17" s="573"/>
      <c r="EAF17" s="573"/>
      <c r="EAG17" s="573"/>
      <c r="EAH17" s="573"/>
      <c r="EAI17" s="573"/>
      <c r="EAJ17" s="573"/>
      <c r="EAK17" s="573"/>
      <c r="EAL17" s="573"/>
      <c r="EAM17" s="573"/>
      <c r="EAN17" s="573"/>
      <c r="EAO17" s="573"/>
      <c r="EAP17" s="573"/>
      <c r="EAQ17" s="573"/>
      <c r="EAR17" s="573"/>
      <c r="EAS17" s="573"/>
      <c r="EAT17" s="573"/>
      <c r="EAU17" s="573"/>
      <c r="EAV17" s="573"/>
      <c r="EAW17" s="573"/>
      <c r="EAX17" s="573"/>
      <c r="EAY17" s="573"/>
      <c r="EAZ17" s="573"/>
      <c r="EBA17" s="573"/>
      <c r="EBB17" s="573"/>
      <c r="EBC17" s="573"/>
      <c r="EBD17" s="573"/>
      <c r="EBE17" s="573"/>
      <c r="EBF17" s="573"/>
      <c r="EBG17" s="573"/>
      <c r="EBH17" s="573"/>
      <c r="EBI17" s="573"/>
      <c r="EBJ17" s="573"/>
      <c r="EBK17" s="573"/>
      <c r="EBL17" s="573"/>
      <c r="EBM17" s="573"/>
      <c r="EBN17" s="573"/>
      <c r="EBO17" s="573"/>
      <c r="EBP17" s="573"/>
      <c r="EBQ17" s="573"/>
      <c r="EBR17" s="573"/>
      <c r="EBS17" s="573"/>
      <c r="EBT17" s="573"/>
      <c r="EBU17" s="573"/>
      <c r="EBV17" s="573"/>
      <c r="EBW17" s="573"/>
      <c r="EBX17" s="573"/>
      <c r="EBY17" s="573"/>
      <c r="EBZ17" s="573"/>
      <c r="ECA17" s="573"/>
      <c r="ECB17" s="573"/>
      <c r="ECC17" s="573"/>
      <c r="ECD17" s="573"/>
      <c r="ECE17" s="573"/>
      <c r="ECF17" s="573"/>
      <c r="ECG17" s="573"/>
      <c r="ECH17" s="573"/>
      <c r="ECI17" s="573"/>
      <c r="ECJ17" s="573"/>
      <c r="ECK17" s="573"/>
      <c r="ECL17" s="573"/>
      <c r="ECM17" s="573"/>
      <c r="ECN17" s="573"/>
      <c r="ECO17" s="573"/>
      <c r="ECP17" s="573"/>
      <c r="ECQ17" s="573"/>
      <c r="ECR17" s="573"/>
      <c r="ECS17" s="573"/>
      <c r="ECT17" s="573"/>
      <c r="ECU17" s="573"/>
      <c r="ECV17" s="573"/>
      <c r="ECW17" s="573"/>
      <c r="ECX17" s="573"/>
      <c r="ECY17" s="573"/>
      <c r="ECZ17" s="573"/>
      <c r="EDA17" s="573"/>
      <c r="EDB17" s="573"/>
      <c r="EDC17" s="573"/>
      <c r="EDD17" s="573"/>
      <c r="EDE17" s="573"/>
      <c r="EDF17" s="573"/>
      <c r="EDG17" s="573"/>
      <c r="EDH17" s="573"/>
      <c r="EDI17" s="573"/>
      <c r="EDJ17" s="573"/>
      <c r="EDK17" s="573"/>
      <c r="EDL17" s="573"/>
      <c r="EDM17" s="573"/>
      <c r="EDN17" s="573"/>
      <c r="EDO17" s="573"/>
      <c r="EDP17" s="573"/>
      <c r="EDQ17" s="573"/>
      <c r="EDR17" s="573"/>
      <c r="EDS17" s="573"/>
      <c r="EDT17" s="573"/>
      <c r="EDU17" s="573"/>
      <c r="EDV17" s="573"/>
      <c r="EDW17" s="573"/>
      <c r="EDX17" s="573"/>
      <c r="EDY17" s="573"/>
      <c r="EDZ17" s="573"/>
      <c r="EEA17" s="573"/>
      <c r="EEB17" s="573"/>
      <c r="EEC17" s="573"/>
      <c r="EED17" s="573"/>
      <c r="EEE17" s="573"/>
      <c r="EEF17" s="573"/>
      <c r="EEG17" s="573"/>
      <c r="EEH17" s="573"/>
      <c r="EEI17" s="573"/>
      <c r="EEJ17" s="573"/>
      <c r="EEK17" s="573"/>
      <c r="EEL17" s="573"/>
      <c r="EEM17" s="573"/>
      <c r="EEN17" s="573"/>
      <c r="EEO17" s="573"/>
      <c r="EEP17" s="573"/>
      <c r="EEQ17" s="573"/>
      <c r="EER17" s="573"/>
      <c r="EES17" s="573"/>
      <c r="EET17" s="573"/>
      <c r="EEU17" s="573"/>
      <c r="EEV17" s="573"/>
      <c r="EEW17" s="573"/>
      <c r="EEX17" s="573"/>
      <c r="EEY17" s="573"/>
      <c r="EEZ17" s="573"/>
      <c r="EFA17" s="573"/>
      <c r="EFB17" s="573"/>
      <c r="EFC17" s="573"/>
      <c r="EFD17" s="573"/>
      <c r="EFE17" s="573"/>
      <c r="EFF17" s="573"/>
      <c r="EFG17" s="573"/>
      <c r="EFH17" s="573"/>
      <c r="EFI17" s="573"/>
      <c r="EFJ17" s="573"/>
      <c r="EFK17" s="573"/>
      <c r="EFL17" s="573"/>
      <c r="EFM17" s="573"/>
      <c r="EFN17" s="573"/>
      <c r="EFO17" s="573"/>
      <c r="EFP17" s="573"/>
      <c r="EFQ17" s="573"/>
      <c r="EFR17" s="573"/>
      <c r="EFS17" s="573"/>
      <c r="EFT17" s="573"/>
      <c r="EFU17" s="573"/>
      <c r="EFV17" s="573"/>
      <c r="EFW17" s="573"/>
      <c r="EFX17" s="573"/>
      <c r="EFY17" s="573"/>
      <c r="EFZ17" s="573"/>
      <c r="EGA17" s="573"/>
      <c r="EGB17" s="573"/>
      <c r="EGC17" s="573"/>
      <c r="EGD17" s="573"/>
      <c r="EGE17" s="573"/>
      <c r="EGF17" s="573"/>
      <c r="EGG17" s="573"/>
      <c r="EGH17" s="573"/>
      <c r="EGI17" s="573"/>
      <c r="EGJ17" s="573"/>
      <c r="EGK17" s="573"/>
      <c r="EGL17" s="573"/>
      <c r="EGM17" s="573"/>
      <c r="EGN17" s="573"/>
      <c r="EGO17" s="573"/>
      <c r="EGP17" s="573"/>
      <c r="EGQ17" s="573"/>
      <c r="EGR17" s="573"/>
      <c r="EGS17" s="573"/>
      <c r="EGT17" s="573"/>
      <c r="EGU17" s="573"/>
      <c r="EGV17" s="573"/>
      <c r="EGW17" s="573"/>
      <c r="EGX17" s="573"/>
      <c r="EGY17" s="573"/>
      <c r="EGZ17" s="573"/>
      <c r="EHA17" s="573"/>
      <c r="EHB17" s="573"/>
      <c r="EHC17" s="573"/>
      <c r="EHD17" s="573"/>
      <c r="EHE17" s="573"/>
      <c r="EHF17" s="573"/>
      <c r="EHG17" s="573"/>
      <c r="EHH17" s="573"/>
      <c r="EHI17" s="573"/>
      <c r="EHJ17" s="573"/>
      <c r="EHK17" s="573"/>
      <c r="EHL17" s="573"/>
      <c r="EHM17" s="573"/>
      <c r="EHN17" s="573"/>
      <c r="EHO17" s="573"/>
      <c r="EHP17" s="573"/>
      <c r="EHQ17" s="573"/>
      <c r="EHR17" s="573"/>
      <c r="EHS17" s="573"/>
      <c r="EHT17" s="573"/>
      <c r="EHU17" s="573"/>
      <c r="EHV17" s="573"/>
      <c r="EHW17" s="573"/>
      <c r="EHX17" s="573"/>
      <c r="EHY17" s="573"/>
      <c r="EHZ17" s="573"/>
      <c r="EIA17" s="573"/>
      <c r="EIB17" s="573"/>
      <c r="EIC17" s="573"/>
      <c r="EID17" s="573"/>
      <c r="EIE17" s="573"/>
      <c r="EIF17" s="573"/>
      <c r="EIG17" s="573"/>
      <c r="EIH17" s="573"/>
      <c r="EII17" s="573"/>
      <c r="EIJ17" s="573"/>
      <c r="EIK17" s="573"/>
      <c r="EIL17" s="573"/>
      <c r="EIM17" s="573"/>
      <c r="EIN17" s="573"/>
      <c r="EIO17" s="573"/>
      <c r="EIP17" s="573"/>
      <c r="EIQ17" s="573"/>
      <c r="EIR17" s="573"/>
      <c r="EIS17" s="573"/>
      <c r="EIT17" s="573"/>
      <c r="EIU17" s="573"/>
      <c r="EIV17" s="573"/>
      <c r="EIW17" s="573"/>
      <c r="EIX17" s="573"/>
      <c r="EIY17" s="573"/>
      <c r="EIZ17" s="573"/>
      <c r="EJA17" s="573"/>
      <c r="EJB17" s="573"/>
      <c r="EJC17" s="573"/>
      <c r="EJD17" s="573"/>
      <c r="EJE17" s="573"/>
      <c r="EJF17" s="573"/>
      <c r="EJG17" s="573"/>
      <c r="EJH17" s="573"/>
      <c r="EJI17" s="573"/>
      <c r="EJJ17" s="573"/>
      <c r="EJK17" s="573"/>
      <c r="EJL17" s="573"/>
      <c r="EJM17" s="573"/>
      <c r="EJN17" s="573"/>
      <c r="EJO17" s="573"/>
      <c r="EJP17" s="573"/>
      <c r="EJQ17" s="573"/>
      <c r="EJR17" s="573"/>
      <c r="EJS17" s="573"/>
      <c r="EJT17" s="573"/>
      <c r="EJU17" s="573"/>
      <c r="EJV17" s="573"/>
      <c r="EJW17" s="573"/>
      <c r="EJX17" s="573"/>
      <c r="EJY17" s="573"/>
      <c r="EJZ17" s="573"/>
      <c r="EKA17" s="573"/>
      <c r="EKB17" s="573"/>
      <c r="EKC17" s="573"/>
      <c r="EKD17" s="573"/>
      <c r="EKE17" s="573"/>
      <c r="EKF17" s="573"/>
      <c r="EKG17" s="573"/>
      <c r="EKH17" s="573"/>
      <c r="EKI17" s="573"/>
      <c r="EKJ17" s="573"/>
      <c r="EKK17" s="573"/>
      <c r="EKL17" s="573"/>
      <c r="EKM17" s="573"/>
      <c r="EKN17" s="573"/>
      <c r="EKO17" s="573"/>
      <c r="EKP17" s="573"/>
      <c r="EKQ17" s="573"/>
      <c r="EKR17" s="573"/>
      <c r="EKS17" s="573"/>
      <c r="EKT17" s="573"/>
      <c r="EKU17" s="573"/>
      <c r="EKV17" s="573"/>
      <c r="EKW17" s="573"/>
      <c r="EKX17" s="573"/>
      <c r="EKY17" s="573"/>
      <c r="EKZ17" s="573"/>
      <c r="ELA17" s="573"/>
      <c r="ELB17" s="573"/>
      <c r="ELC17" s="573"/>
      <c r="ELD17" s="573"/>
      <c r="ELE17" s="573"/>
      <c r="ELF17" s="573"/>
      <c r="ELG17" s="573"/>
      <c r="ELH17" s="573"/>
      <c r="ELI17" s="573"/>
      <c r="ELJ17" s="573"/>
      <c r="ELK17" s="573"/>
      <c r="ELL17" s="573"/>
      <c r="ELM17" s="573"/>
      <c r="ELN17" s="573"/>
      <c r="ELO17" s="573"/>
      <c r="ELP17" s="573"/>
      <c r="ELQ17" s="573"/>
      <c r="ELR17" s="573"/>
      <c r="ELS17" s="573"/>
      <c r="ELT17" s="573"/>
      <c r="ELU17" s="573"/>
      <c r="ELV17" s="573"/>
      <c r="ELW17" s="573"/>
      <c r="ELX17" s="573"/>
      <c r="ELY17" s="573"/>
      <c r="ELZ17" s="573"/>
      <c r="EMA17" s="573"/>
      <c r="EMB17" s="573"/>
      <c r="EMC17" s="573"/>
      <c r="EMD17" s="573"/>
      <c r="EME17" s="573"/>
      <c r="EMF17" s="573"/>
      <c r="EMG17" s="573"/>
      <c r="EMH17" s="573"/>
      <c r="EMI17" s="573"/>
      <c r="EMJ17" s="573"/>
      <c r="EMK17" s="573"/>
      <c r="EML17" s="573"/>
      <c r="EMM17" s="573"/>
      <c r="EMN17" s="573"/>
      <c r="EMO17" s="573"/>
      <c r="EMP17" s="573"/>
      <c r="EMQ17" s="573"/>
      <c r="EMR17" s="573"/>
      <c r="EMS17" s="573"/>
      <c r="EMT17" s="573"/>
      <c r="EMU17" s="573"/>
      <c r="EMV17" s="573"/>
      <c r="EMW17" s="573"/>
      <c r="EMX17" s="573"/>
      <c r="EMY17" s="573"/>
      <c r="EMZ17" s="573"/>
      <c r="ENA17" s="573"/>
      <c r="ENB17" s="573"/>
      <c r="ENC17" s="573"/>
      <c r="END17" s="573"/>
      <c r="ENE17" s="573"/>
      <c r="ENF17" s="573"/>
      <c r="ENG17" s="573"/>
      <c r="ENH17" s="573"/>
      <c r="ENI17" s="573"/>
      <c r="ENJ17" s="573"/>
      <c r="ENK17" s="573"/>
      <c r="ENL17" s="573"/>
      <c r="ENM17" s="573"/>
      <c r="ENN17" s="573"/>
      <c r="ENO17" s="573"/>
      <c r="ENP17" s="573"/>
      <c r="ENQ17" s="573"/>
      <c r="ENR17" s="573"/>
      <c r="ENS17" s="573"/>
      <c r="ENT17" s="573"/>
      <c r="ENU17" s="573"/>
      <c r="ENV17" s="573"/>
      <c r="ENW17" s="573"/>
      <c r="ENX17" s="573"/>
      <c r="ENY17" s="573"/>
      <c r="ENZ17" s="573"/>
      <c r="EOA17" s="573"/>
      <c r="EOB17" s="573"/>
      <c r="EOC17" s="573"/>
      <c r="EOD17" s="573"/>
      <c r="EOE17" s="573"/>
      <c r="EOF17" s="573"/>
      <c r="EOG17" s="573"/>
      <c r="EOH17" s="573"/>
      <c r="EOI17" s="573"/>
      <c r="EOJ17" s="573"/>
      <c r="EOK17" s="573"/>
      <c r="EOL17" s="573"/>
      <c r="EOM17" s="573"/>
      <c r="EON17" s="573"/>
      <c r="EOO17" s="573"/>
      <c r="EOP17" s="573"/>
      <c r="EOQ17" s="573"/>
      <c r="EOR17" s="573"/>
      <c r="EOS17" s="573"/>
      <c r="EOT17" s="573"/>
      <c r="EOU17" s="573"/>
      <c r="EOV17" s="573"/>
      <c r="EOW17" s="573"/>
      <c r="EOX17" s="573"/>
      <c r="EOY17" s="573"/>
      <c r="EOZ17" s="573"/>
      <c r="EPA17" s="573"/>
      <c r="EPB17" s="573"/>
      <c r="EPC17" s="573"/>
      <c r="EPD17" s="573"/>
      <c r="EPE17" s="573"/>
      <c r="EPF17" s="573"/>
      <c r="EPG17" s="573"/>
      <c r="EPH17" s="573"/>
      <c r="EPI17" s="573"/>
      <c r="EPJ17" s="573"/>
      <c r="EPK17" s="573"/>
      <c r="EPL17" s="573"/>
      <c r="EPM17" s="573"/>
      <c r="EPN17" s="573"/>
      <c r="EPO17" s="573"/>
      <c r="EPP17" s="573"/>
      <c r="EPQ17" s="573"/>
      <c r="EPR17" s="573"/>
      <c r="EPS17" s="573"/>
      <c r="EPT17" s="573"/>
      <c r="EPU17" s="573"/>
      <c r="EPV17" s="573"/>
      <c r="EPW17" s="573"/>
      <c r="EPX17" s="573"/>
      <c r="EPY17" s="573"/>
      <c r="EPZ17" s="573"/>
      <c r="EQA17" s="573"/>
      <c r="EQB17" s="573"/>
      <c r="EQC17" s="573"/>
      <c r="EQD17" s="573"/>
      <c r="EQE17" s="573"/>
      <c r="EQF17" s="573"/>
      <c r="EQG17" s="573"/>
      <c r="EQH17" s="573"/>
      <c r="EQI17" s="573"/>
      <c r="EQJ17" s="573"/>
      <c r="EQK17" s="573"/>
      <c r="EQL17" s="573"/>
      <c r="EQM17" s="573"/>
      <c r="EQN17" s="573"/>
      <c r="EQO17" s="573"/>
      <c r="EQP17" s="573"/>
      <c r="EQQ17" s="573"/>
      <c r="EQR17" s="573"/>
      <c r="EQS17" s="573"/>
      <c r="EQT17" s="573"/>
      <c r="EQU17" s="573"/>
      <c r="EQV17" s="573"/>
      <c r="EQW17" s="573"/>
      <c r="EQX17" s="573"/>
      <c r="EQY17" s="573"/>
      <c r="EQZ17" s="573"/>
      <c r="ERA17" s="573"/>
      <c r="ERB17" s="573"/>
      <c r="ERC17" s="573"/>
      <c r="ERD17" s="573"/>
      <c r="ERE17" s="573"/>
      <c r="ERF17" s="573"/>
      <c r="ERG17" s="573"/>
      <c r="ERH17" s="573"/>
      <c r="ERI17" s="573"/>
      <c r="ERJ17" s="573"/>
      <c r="ERK17" s="573"/>
      <c r="ERL17" s="573"/>
      <c r="ERM17" s="573"/>
      <c r="ERN17" s="573"/>
      <c r="ERO17" s="573"/>
      <c r="ERP17" s="573"/>
      <c r="ERQ17" s="573"/>
      <c r="ERR17" s="573"/>
      <c r="ERS17" s="573"/>
      <c r="ERT17" s="573"/>
      <c r="ERU17" s="573"/>
      <c r="ERV17" s="573"/>
      <c r="ERW17" s="573"/>
      <c r="ERX17" s="573"/>
      <c r="ERY17" s="573"/>
      <c r="ERZ17" s="573"/>
      <c r="ESA17" s="573"/>
      <c r="ESB17" s="573"/>
      <c r="ESC17" s="573"/>
      <c r="ESD17" s="573"/>
      <c r="ESE17" s="573"/>
      <c r="ESF17" s="573"/>
      <c r="ESG17" s="573"/>
      <c r="ESH17" s="573"/>
      <c r="ESI17" s="573"/>
      <c r="ESJ17" s="573"/>
      <c r="ESK17" s="573"/>
      <c r="ESL17" s="573"/>
      <c r="ESM17" s="573"/>
      <c r="ESN17" s="573"/>
      <c r="ESO17" s="573"/>
      <c r="ESP17" s="573"/>
      <c r="ESQ17" s="573"/>
      <c r="ESR17" s="573"/>
      <c r="ESS17" s="573"/>
      <c r="EST17" s="573"/>
      <c r="ESU17" s="573"/>
      <c r="ESV17" s="573"/>
      <c r="ESW17" s="573"/>
      <c r="ESX17" s="573"/>
      <c r="ESY17" s="573"/>
      <c r="ESZ17" s="573"/>
      <c r="ETA17" s="573"/>
      <c r="ETB17" s="573"/>
      <c r="ETC17" s="573"/>
      <c r="ETD17" s="573"/>
      <c r="ETE17" s="573"/>
      <c r="ETF17" s="573"/>
      <c r="ETG17" s="573"/>
      <c r="ETH17" s="573"/>
      <c r="ETI17" s="573"/>
      <c r="ETJ17" s="573"/>
      <c r="ETK17" s="573"/>
      <c r="ETL17" s="573"/>
      <c r="ETM17" s="573"/>
      <c r="ETN17" s="573"/>
      <c r="ETO17" s="573"/>
      <c r="ETP17" s="573"/>
      <c r="ETQ17" s="573"/>
      <c r="ETR17" s="573"/>
      <c r="ETS17" s="573"/>
      <c r="ETT17" s="573"/>
      <c r="ETU17" s="573"/>
      <c r="ETV17" s="573"/>
      <c r="ETW17" s="573"/>
      <c r="ETX17" s="573"/>
      <c r="ETY17" s="573"/>
      <c r="ETZ17" s="573"/>
      <c r="EUA17" s="573"/>
      <c r="EUB17" s="573"/>
      <c r="EUC17" s="573"/>
      <c r="EUD17" s="573"/>
      <c r="EUE17" s="573"/>
      <c r="EUF17" s="573"/>
      <c r="EUG17" s="573"/>
      <c r="EUH17" s="573"/>
      <c r="EUI17" s="573"/>
      <c r="EUJ17" s="573"/>
      <c r="EUK17" s="573"/>
      <c r="EUL17" s="573"/>
      <c r="EUM17" s="573"/>
      <c r="EUN17" s="573"/>
      <c r="EUO17" s="573"/>
      <c r="EUP17" s="573"/>
      <c r="EUQ17" s="573"/>
      <c r="EUR17" s="573"/>
      <c r="EUS17" s="573"/>
      <c r="EUT17" s="573"/>
      <c r="EUU17" s="573"/>
      <c r="EUV17" s="573"/>
      <c r="EUW17" s="573"/>
      <c r="EUX17" s="573"/>
      <c r="EUY17" s="573"/>
      <c r="EUZ17" s="573"/>
      <c r="EVA17" s="573"/>
      <c r="EVB17" s="573"/>
      <c r="EVC17" s="573"/>
      <c r="EVD17" s="573"/>
      <c r="EVE17" s="573"/>
      <c r="EVF17" s="573"/>
      <c r="EVG17" s="573"/>
      <c r="EVH17" s="573"/>
      <c r="EVI17" s="573"/>
      <c r="EVJ17" s="573"/>
      <c r="EVK17" s="573"/>
      <c r="EVL17" s="573"/>
      <c r="EVM17" s="573"/>
      <c r="EVN17" s="573"/>
      <c r="EVO17" s="573"/>
      <c r="EVP17" s="573"/>
      <c r="EVQ17" s="573"/>
      <c r="EVR17" s="573"/>
      <c r="EVS17" s="573"/>
      <c r="EVT17" s="573"/>
      <c r="EVU17" s="573"/>
      <c r="EVV17" s="573"/>
      <c r="EVW17" s="573"/>
      <c r="EVX17" s="573"/>
      <c r="EVY17" s="573"/>
      <c r="EVZ17" s="573"/>
      <c r="EWA17" s="573"/>
      <c r="EWB17" s="573"/>
      <c r="EWC17" s="573"/>
      <c r="EWD17" s="573"/>
      <c r="EWE17" s="573"/>
      <c r="EWF17" s="573"/>
      <c r="EWG17" s="573"/>
      <c r="EWH17" s="573"/>
      <c r="EWI17" s="573"/>
      <c r="EWJ17" s="573"/>
      <c r="EWK17" s="573"/>
      <c r="EWL17" s="573"/>
      <c r="EWM17" s="573"/>
      <c r="EWN17" s="573"/>
      <c r="EWO17" s="573"/>
      <c r="EWP17" s="573"/>
      <c r="EWQ17" s="573"/>
      <c r="EWR17" s="573"/>
      <c r="EWS17" s="573"/>
      <c r="EWT17" s="573"/>
      <c r="EWU17" s="573"/>
      <c r="EWV17" s="573"/>
      <c r="EWW17" s="573"/>
      <c r="EWX17" s="573"/>
      <c r="EWY17" s="573"/>
      <c r="EWZ17" s="573"/>
      <c r="EXA17" s="573"/>
      <c r="EXB17" s="573"/>
      <c r="EXC17" s="573"/>
      <c r="EXD17" s="573"/>
      <c r="EXE17" s="573"/>
      <c r="EXF17" s="573"/>
      <c r="EXG17" s="573"/>
      <c r="EXH17" s="573"/>
      <c r="EXI17" s="573"/>
      <c r="EXJ17" s="573"/>
      <c r="EXK17" s="573"/>
      <c r="EXL17" s="573"/>
      <c r="EXM17" s="573"/>
      <c r="EXN17" s="573"/>
      <c r="EXO17" s="573"/>
      <c r="EXP17" s="573"/>
      <c r="EXQ17" s="573"/>
      <c r="EXR17" s="573"/>
      <c r="EXS17" s="573"/>
      <c r="EXT17" s="573"/>
      <c r="EXU17" s="573"/>
      <c r="EXV17" s="573"/>
      <c r="EXW17" s="573"/>
      <c r="EXX17" s="573"/>
      <c r="EXY17" s="573"/>
      <c r="EXZ17" s="573"/>
      <c r="EYA17" s="573"/>
      <c r="EYB17" s="573"/>
      <c r="EYC17" s="573"/>
      <c r="EYD17" s="573"/>
      <c r="EYE17" s="573"/>
      <c r="EYF17" s="573"/>
      <c r="EYG17" s="573"/>
      <c r="EYH17" s="573"/>
      <c r="EYI17" s="573"/>
      <c r="EYJ17" s="573"/>
      <c r="EYK17" s="573"/>
      <c r="EYL17" s="573"/>
      <c r="EYM17" s="573"/>
      <c r="EYN17" s="573"/>
      <c r="EYO17" s="573"/>
      <c r="EYP17" s="573"/>
      <c r="EYQ17" s="573"/>
      <c r="EYR17" s="573"/>
      <c r="EYS17" s="573"/>
      <c r="EYT17" s="573"/>
      <c r="EYU17" s="573"/>
      <c r="EYV17" s="573"/>
      <c r="EYW17" s="573"/>
      <c r="EYX17" s="573"/>
      <c r="EYY17" s="573"/>
      <c r="EYZ17" s="573"/>
      <c r="EZA17" s="573"/>
      <c r="EZB17" s="573"/>
      <c r="EZC17" s="573"/>
      <c r="EZD17" s="573"/>
      <c r="EZE17" s="573"/>
      <c r="EZF17" s="573"/>
      <c r="EZG17" s="573"/>
      <c r="EZH17" s="573"/>
      <c r="EZI17" s="573"/>
      <c r="EZJ17" s="573"/>
      <c r="EZK17" s="573"/>
      <c r="EZL17" s="573"/>
      <c r="EZM17" s="573"/>
      <c r="EZN17" s="573"/>
      <c r="EZO17" s="573"/>
      <c r="EZP17" s="573"/>
      <c r="EZQ17" s="573"/>
      <c r="EZR17" s="573"/>
      <c r="EZS17" s="573"/>
      <c r="EZT17" s="573"/>
      <c r="EZU17" s="573"/>
      <c r="EZV17" s="573"/>
      <c r="EZW17" s="573"/>
      <c r="EZX17" s="573"/>
      <c r="EZY17" s="573"/>
      <c r="EZZ17" s="573"/>
      <c r="FAA17" s="573"/>
      <c r="FAB17" s="573"/>
      <c r="FAC17" s="573"/>
      <c r="FAD17" s="573"/>
      <c r="FAE17" s="573"/>
      <c r="FAF17" s="573"/>
      <c r="FAG17" s="573"/>
      <c r="FAH17" s="573"/>
      <c r="FAI17" s="573"/>
      <c r="FAJ17" s="573"/>
      <c r="FAK17" s="573"/>
      <c r="FAL17" s="573"/>
      <c r="FAM17" s="573"/>
      <c r="FAN17" s="573"/>
      <c r="FAO17" s="573"/>
      <c r="FAP17" s="573"/>
      <c r="FAQ17" s="573"/>
      <c r="FAR17" s="573"/>
      <c r="FAS17" s="573"/>
      <c r="FAT17" s="573"/>
      <c r="FAU17" s="573"/>
      <c r="FAV17" s="573"/>
      <c r="FAW17" s="573"/>
      <c r="FAX17" s="573"/>
      <c r="FAY17" s="573"/>
      <c r="FAZ17" s="573"/>
      <c r="FBA17" s="573"/>
      <c r="FBB17" s="573"/>
      <c r="FBC17" s="573"/>
      <c r="FBD17" s="573"/>
      <c r="FBE17" s="573"/>
      <c r="FBF17" s="573"/>
      <c r="FBG17" s="573"/>
      <c r="FBH17" s="573"/>
      <c r="FBI17" s="573"/>
      <c r="FBJ17" s="573"/>
      <c r="FBK17" s="573"/>
      <c r="FBL17" s="573"/>
      <c r="FBM17" s="573"/>
      <c r="FBN17" s="573"/>
      <c r="FBO17" s="573"/>
      <c r="FBP17" s="573"/>
      <c r="FBQ17" s="573"/>
      <c r="FBR17" s="573"/>
      <c r="FBS17" s="573"/>
      <c r="FBT17" s="573"/>
      <c r="FBU17" s="573"/>
      <c r="FBV17" s="573"/>
      <c r="FBW17" s="573"/>
      <c r="FBX17" s="573"/>
      <c r="FBY17" s="573"/>
      <c r="FBZ17" s="573"/>
      <c r="FCA17" s="573"/>
      <c r="FCB17" s="573"/>
      <c r="FCC17" s="573"/>
      <c r="FCD17" s="573"/>
      <c r="FCE17" s="573"/>
      <c r="FCF17" s="573"/>
      <c r="FCG17" s="573"/>
      <c r="FCH17" s="573"/>
      <c r="FCI17" s="573"/>
      <c r="FCJ17" s="573"/>
      <c r="FCK17" s="573"/>
      <c r="FCL17" s="573"/>
      <c r="FCM17" s="573"/>
      <c r="FCN17" s="573"/>
      <c r="FCO17" s="573"/>
      <c r="FCP17" s="573"/>
      <c r="FCQ17" s="573"/>
      <c r="FCR17" s="573"/>
      <c r="FCS17" s="573"/>
      <c r="FCT17" s="573"/>
      <c r="FCU17" s="573"/>
      <c r="FCV17" s="573"/>
      <c r="FCW17" s="573"/>
      <c r="FCX17" s="573"/>
      <c r="FCY17" s="573"/>
      <c r="FCZ17" s="573"/>
      <c r="FDA17" s="573"/>
      <c r="FDB17" s="573"/>
      <c r="FDC17" s="573"/>
      <c r="FDD17" s="573"/>
      <c r="FDE17" s="573"/>
      <c r="FDF17" s="573"/>
      <c r="FDG17" s="573"/>
      <c r="FDH17" s="573"/>
      <c r="FDI17" s="573"/>
      <c r="FDJ17" s="573"/>
      <c r="FDK17" s="573"/>
      <c r="FDL17" s="573"/>
      <c r="FDM17" s="573"/>
      <c r="FDN17" s="573"/>
      <c r="FDO17" s="573"/>
      <c r="FDP17" s="573"/>
      <c r="FDQ17" s="573"/>
      <c r="FDR17" s="573"/>
      <c r="FDS17" s="573"/>
      <c r="FDT17" s="573"/>
      <c r="FDU17" s="573"/>
      <c r="FDV17" s="573"/>
      <c r="FDW17" s="573"/>
      <c r="FDX17" s="573"/>
      <c r="FDY17" s="573"/>
      <c r="FDZ17" s="573"/>
      <c r="FEA17" s="573"/>
      <c r="FEB17" s="573"/>
      <c r="FEC17" s="573"/>
      <c r="FED17" s="573"/>
      <c r="FEE17" s="573"/>
      <c r="FEF17" s="573"/>
      <c r="FEG17" s="573"/>
      <c r="FEH17" s="573"/>
      <c r="FEI17" s="573"/>
      <c r="FEJ17" s="573"/>
      <c r="FEK17" s="573"/>
      <c r="FEL17" s="573"/>
      <c r="FEM17" s="573"/>
      <c r="FEN17" s="573"/>
      <c r="FEO17" s="573"/>
      <c r="FEP17" s="573"/>
      <c r="FEQ17" s="573"/>
      <c r="FER17" s="573"/>
      <c r="FES17" s="573"/>
      <c r="FET17" s="573"/>
      <c r="FEU17" s="573"/>
      <c r="FEV17" s="573"/>
      <c r="FEW17" s="573"/>
      <c r="FEX17" s="573"/>
      <c r="FEY17" s="573"/>
      <c r="FEZ17" s="573"/>
      <c r="FFA17" s="573"/>
      <c r="FFB17" s="573"/>
      <c r="FFC17" s="573"/>
      <c r="FFD17" s="573"/>
      <c r="FFE17" s="573"/>
      <c r="FFF17" s="573"/>
      <c r="FFG17" s="573"/>
      <c r="FFH17" s="573"/>
      <c r="FFI17" s="573"/>
      <c r="FFJ17" s="573"/>
      <c r="FFK17" s="573"/>
      <c r="FFL17" s="573"/>
      <c r="FFM17" s="573"/>
      <c r="FFN17" s="573"/>
      <c r="FFO17" s="573"/>
      <c r="FFP17" s="573"/>
      <c r="FFQ17" s="573"/>
      <c r="FFR17" s="573"/>
      <c r="FFS17" s="573"/>
      <c r="FFT17" s="573"/>
      <c r="FFU17" s="573"/>
      <c r="FFV17" s="573"/>
      <c r="FFW17" s="573"/>
      <c r="FFX17" s="573"/>
      <c r="FFY17" s="573"/>
      <c r="FFZ17" s="573"/>
      <c r="FGA17" s="573"/>
      <c r="FGB17" s="573"/>
      <c r="FGC17" s="573"/>
      <c r="FGD17" s="573"/>
      <c r="FGE17" s="573"/>
      <c r="FGF17" s="573"/>
      <c r="FGG17" s="573"/>
      <c r="FGH17" s="573"/>
      <c r="FGI17" s="573"/>
      <c r="FGJ17" s="573"/>
      <c r="FGK17" s="573"/>
      <c r="FGL17" s="573"/>
      <c r="FGM17" s="573"/>
      <c r="FGN17" s="573"/>
      <c r="FGO17" s="573"/>
      <c r="FGP17" s="573"/>
      <c r="FGQ17" s="573"/>
      <c r="FGR17" s="573"/>
      <c r="FGS17" s="573"/>
      <c r="FGT17" s="573"/>
      <c r="FGU17" s="573"/>
      <c r="FGV17" s="573"/>
      <c r="FGW17" s="573"/>
      <c r="FGX17" s="573"/>
      <c r="FGY17" s="573"/>
      <c r="FGZ17" s="573"/>
      <c r="FHA17" s="573"/>
      <c r="FHB17" s="573"/>
      <c r="FHC17" s="573"/>
      <c r="FHD17" s="573"/>
      <c r="FHE17" s="573"/>
      <c r="FHF17" s="573"/>
      <c r="FHG17" s="573"/>
      <c r="FHH17" s="573"/>
      <c r="FHI17" s="573"/>
      <c r="FHJ17" s="573"/>
      <c r="FHK17" s="573"/>
      <c r="FHL17" s="573"/>
      <c r="FHM17" s="573"/>
      <c r="FHN17" s="573"/>
      <c r="FHO17" s="573"/>
      <c r="FHP17" s="573"/>
      <c r="FHQ17" s="573"/>
      <c r="FHR17" s="573"/>
      <c r="FHS17" s="573"/>
      <c r="FHT17" s="573"/>
      <c r="FHU17" s="573"/>
      <c r="FHV17" s="573"/>
      <c r="FHW17" s="573"/>
      <c r="FHX17" s="573"/>
      <c r="FHY17" s="573"/>
      <c r="FHZ17" s="573"/>
      <c r="FIA17" s="573"/>
      <c r="FIB17" s="573"/>
      <c r="FIC17" s="573"/>
      <c r="FID17" s="573"/>
      <c r="FIE17" s="573"/>
      <c r="FIF17" s="573"/>
      <c r="FIG17" s="573"/>
      <c r="FIH17" s="573"/>
      <c r="FII17" s="573"/>
      <c r="FIJ17" s="573"/>
      <c r="FIK17" s="573"/>
      <c r="FIL17" s="573"/>
      <c r="FIM17" s="573"/>
      <c r="FIN17" s="573"/>
      <c r="FIO17" s="573"/>
      <c r="FIP17" s="573"/>
      <c r="FIQ17" s="573"/>
      <c r="FIR17" s="573"/>
      <c r="FIS17" s="573"/>
      <c r="FIT17" s="573"/>
      <c r="FIU17" s="573"/>
      <c r="FIV17" s="573"/>
      <c r="FIW17" s="573"/>
      <c r="FIX17" s="573"/>
      <c r="FIY17" s="573"/>
      <c r="FIZ17" s="573"/>
      <c r="FJA17" s="573"/>
      <c r="FJB17" s="573"/>
      <c r="FJC17" s="573"/>
      <c r="FJD17" s="573"/>
      <c r="FJE17" s="573"/>
      <c r="FJF17" s="573"/>
      <c r="FJG17" s="573"/>
      <c r="FJH17" s="573"/>
      <c r="FJI17" s="573"/>
      <c r="FJJ17" s="573"/>
      <c r="FJK17" s="573"/>
      <c r="FJL17" s="573"/>
      <c r="FJM17" s="573"/>
      <c r="FJN17" s="573"/>
      <c r="FJO17" s="573"/>
      <c r="FJP17" s="573"/>
      <c r="FJQ17" s="573"/>
      <c r="FJR17" s="573"/>
      <c r="FJS17" s="573"/>
      <c r="FJT17" s="573"/>
      <c r="FJU17" s="573"/>
      <c r="FJV17" s="573"/>
      <c r="FJW17" s="573"/>
      <c r="FJX17" s="573"/>
      <c r="FJY17" s="573"/>
      <c r="FJZ17" s="573"/>
      <c r="FKA17" s="573"/>
      <c r="FKB17" s="573"/>
      <c r="FKC17" s="573"/>
      <c r="FKD17" s="573"/>
      <c r="FKE17" s="573"/>
      <c r="FKF17" s="573"/>
      <c r="FKG17" s="573"/>
      <c r="FKH17" s="573"/>
      <c r="FKI17" s="573"/>
      <c r="FKJ17" s="573"/>
      <c r="FKK17" s="573"/>
      <c r="FKL17" s="573"/>
      <c r="FKM17" s="573"/>
      <c r="FKN17" s="573"/>
      <c r="FKO17" s="573"/>
      <c r="FKP17" s="573"/>
      <c r="FKQ17" s="573"/>
      <c r="FKR17" s="573"/>
      <c r="FKS17" s="573"/>
      <c r="FKT17" s="573"/>
      <c r="FKU17" s="573"/>
      <c r="FKV17" s="573"/>
      <c r="FKW17" s="573"/>
      <c r="FKX17" s="573"/>
      <c r="FKY17" s="573"/>
      <c r="FKZ17" s="573"/>
      <c r="FLA17" s="573"/>
      <c r="FLB17" s="573"/>
      <c r="FLC17" s="573"/>
      <c r="FLD17" s="573"/>
      <c r="FLE17" s="573"/>
      <c r="FLF17" s="573"/>
      <c r="FLG17" s="573"/>
      <c r="FLH17" s="573"/>
      <c r="FLI17" s="573"/>
      <c r="FLJ17" s="573"/>
      <c r="FLK17" s="573"/>
      <c r="FLL17" s="573"/>
      <c r="FLM17" s="573"/>
      <c r="FLN17" s="573"/>
      <c r="FLO17" s="573"/>
      <c r="FLP17" s="573"/>
      <c r="FLQ17" s="573"/>
      <c r="FLR17" s="573"/>
      <c r="FLS17" s="573"/>
      <c r="FLT17" s="573"/>
      <c r="FLU17" s="573"/>
      <c r="FLV17" s="573"/>
      <c r="FLW17" s="573"/>
      <c r="FLX17" s="573"/>
      <c r="FLY17" s="573"/>
      <c r="FLZ17" s="573"/>
      <c r="FMA17" s="573"/>
      <c r="FMB17" s="573"/>
      <c r="FMC17" s="573"/>
      <c r="FMD17" s="573"/>
      <c r="FME17" s="573"/>
      <c r="FMF17" s="573"/>
      <c r="FMG17" s="573"/>
      <c r="FMH17" s="573"/>
      <c r="FMI17" s="573"/>
      <c r="FMJ17" s="573"/>
      <c r="FMK17" s="573"/>
      <c r="FML17" s="573"/>
      <c r="FMM17" s="573"/>
      <c r="FMN17" s="573"/>
      <c r="FMO17" s="573"/>
      <c r="FMP17" s="573"/>
      <c r="FMQ17" s="573"/>
      <c r="FMR17" s="573"/>
      <c r="FMS17" s="573"/>
      <c r="FMT17" s="573"/>
      <c r="FMU17" s="573"/>
      <c r="FMV17" s="573"/>
      <c r="FMW17" s="573"/>
      <c r="FMX17" s="573"/>
      <c r="FMY17" s="573"/>
      <c r="FMZ17" s="573"/>
      <c r="FNA17" s="573"/>
      <c r="FNB17" s="573"/>
      <c r="FNC17" s="573"/>
      <c r="FND17" s="573"/>
      <c r="FNE17" s="573"/>
      <c r="FNF17" s="573"/>
      <c r="FNG17" s="573"/>
      <c r="FNH17" s="573"/>
      <c r="FNI17" s="573"/>
      <c r="FNJ17" s="573"/>
      <c r="FNK17" s="573"/>
      <c r="FNL17" s="573"/>
      <c r="FNM17" s="573"/>
      <c r="FNN17" s="573"/>
      <c r="FNO17" s="573"/>
      <c r="FNP17" s="573"/>
      <c r="FNQ17" s="573"/>
      <c r="FNR17" s="573"/>
      <c r="FNS17" s="573"/>
      <c r="FNT17" s="573"/>
      <c r="FNU17" s="573"/>
      <c r="FNV17" s="573"/>
      <c r="FNW17" s="573"/>
      <c r="FNX17" s="573"/>
      <c r="FNY17" s="573"/>
      <c r="FNZ17" s="573"/>
      <c r="FOA17" s="573"/>
      <c r="FOB17" s="573"/>
      <c r="FOC17" s="573"/>
      <c r="FOD17" s="573"/>
      <c r="FOE17" s="573"/>
      <c r="FOF17" s="573"/>
      <c r="FOG17" s="573"/>
      <c r="FOH17" s="573"/>
      <c r="FOI17" s="573"/>
      <c r="FOJ17" s="573"/>
      <c r="FOK17" s="573"/>
      <c r="FOL17" s="573"/>
      <c r="FOM17" s="573"/>
      <c r="FON17" s="573"/>
      <c r="FOO17" s="573"/>
      <c r="FOP17" s="573"/>
      <c r="FOQ17" s="573"/>
      <c r="FOR17" s="573"/>
      <c r="FOS17" s="573"/>
      <c r="FOT17" s="573"/>
      <c r="FOU17" s="573"/>
      <c r="FOV17" s="573"/>
      <c r="FOW17" s="573"/>
      <c r="FOX17" s="573"/>
      <c r="FOY17" s="573"/>
      <c r="FOZ17" s="573"/>
      <c r="FPA17" s="573"/>
      <c r="FPB17" s="573"/>
      <c r="FPC17" s="573"/>
      <c r="FPD17" s="573"/>
      <c r="FPE17" s="573"/>
      <c r="FPF17" s="573"/>
      <c r="FPG17" s="573"/>
      <c r="FPH17" s="573"/>
      <c r="FPI17" s="573"/>
      <c r="FPJ17" s="573"/>
      <c r="FPK17" s="573"/>
      <c r="FPL17" s="573"/>
      <c r="FPM17" s="573"/>
      <c r="FPN17" s="573"/>
      <c r="FPO17" s="573"/>
      <c r="FPP17" s="573"/>
      <c r="FPQ17" s="573"/>
      <c r="FPR17" s="573"/>
      <c r="FPS17" s="573"/>
      <c r="FPT17" s="573"/>
      <c r="FPU17" s="573"/>
      <c r="FPV17" s="573"/>
      <c r="FPW17" s="573"/>
      <c r="FPX17" s="573"/>
      <c r="FPY17" s="573"/>
      <c r="FPZ17" s="573"/>
      <c r="FQA17" s="573"/>
      <c r="FQB17" s="573"/>
      <c r="FQC17" s="573"/>
      <c r="FQD17" s="573"/>
      <c r="FQE17" s="573"/>
      <c r="FQF17" s="573"/>
      <c r="FQG17" s="573"/>
      <c r="FQH17" s="573"/>
      <c r="FQI17" s="573"/>
      <c r="FQJ17" s="573"/>
      <c r="FQK17" s="573"/>
      <c r="FQL17" s="573"/>
      <c r="FQM17" s="573"/>
      <c r="FQN17" s="573"/>
      <c r="FQO17" s="573"/>
      <c r="FQP17" s="573"/>
      <c r="FQQ17" s="573"/>
      <c r="FQR17" s="573"/>
      <c r="FQS17" s="573"/>
      <c r="FQT17" s="573"/>
      <c r="FQU17" s="573"/>
      <c r="FQV17" s="573"/>
      <c r="FQW17" s="573"/>
      <c r="FQX17" s="573"/>
      <c r="FQY17" s="573"/>
      <c r="FQZ17" s="573"/>
      <c r="FRA17" s="573"/>
      <c r="FRB17" s="573"/>
      <c r="FRC17" s="573"/>
      <c r="FRD17" s="573"/>
      <c r="FRE17" s="573"/>
      <c r="FRF17" s="573"/>
      <c r="FRG17" s="573"/>
      <c r="FRH17" s="573"/>
      <c r="FRI17" s="573"/>
      <c r="FRJ17" s="573"/>
      <c r="FRK17" s="573"/>
      <c r="FRL17" s="573"/>
      <c r="FRM17" s="573"/>
      <c r="FRN17" s="573"/>
      <c r="FRO17" s="573"/>
      <c r="FRP17" s="573"/>
      <c r="FRQ17" s="573"/>
      <c r="FRR17" s="573"/>
      <c r="FRS17" s="573"/>
      <c r="FRT17" s="573"/>
      <c r="FRU17" s="573"/>
      <c r="FRV17" s="573"/>
      <c r="FRW17" s="573"/>
      <c r="FRX17" s="573"/>
      <c r="FRY17" s="573"/>
      <c r="FRZ17" s="573"/>
      <c r="FSA17" s="573"/>
      <c r="FSB17" s="573"/>
      <c r="FSC17" s="573"/>
      <c r="FSD17" s="573"/>
      <c r="FSE17" s="573"/>
      <c r="FSF17" s="573"/>
      <c r="FSG17" s="573"/>
      <c r="FSH17" s="573"/>
      <c r="FSI17" s="573"/>
      <c r="FSJ17" s="573"/>
      <c r="FSK17" s="573"/>
      <c r="FSL17" s="573"/>
      <c r="FSM17" s="573"/>
      <c r="FSN17" s="573"/>
      <c r="FSO17" s="573"/>
      <c r="FSP17" s="573"/>
      <c r="FSQ17" s="573"/>
      <c r="FSR17" s="573"/>
      <c r="FSS17" s="573"/>
      <c r="FST17" s="573"/>
      <c r="FSU17" s="573"/>
      <c r="FSV17" s="573"/>
      <c r="FSW17" s="573"/>
      <c r="FSX17" s="573"/>
      <c r="FSY17" s="573"/>
      <c r="FSZ17" s="573"/>
      <c r="FTA17" s="573"/>
      <c r="FTB17" s="573"/>
      <c r="FTC17" s="573"/>
      <c r="FTD17" s="573"/>
      <c r="FTE17" s="573"/>
      <c r="FTF17" s="573"/>
      <c r="FTG17" s="573"/>
      <c r="FTH17" s="573"/>
      <c r="FTI17" s="573"/>
      <c r="FTJ17" s="573"/>
      <c r="FTK17" s="573"/>
      <c r="FTL17" s="573"/>
      <c r="FTM17" s="573"/>
      <c r="FTN17" s="573"/>
      <c r="FTO17" s="573"/>
      <c r="FTP17" s="573"/>
      <c r="FTQ17" s="573"/>
      <c r="FTR17" s="573"/>
      <c r="FTS17" s="573"/>
      <c r="FTT17" s="573"/>
      <c r="FTU17" s="573"/>
      <c r="FTV17" s="573"/>
      <c r="FTW17" s="573"/>
      <c r="FTX17" s="573"/>
      <c r="FTY17" s="573"/>
      <c r="FTZ17" s="573"/>
      <c r="FUA17" s="573"/>
      <c r="FUB17" s="573"/>
      <c r="FUC17" s="573"/>
      <c r="FUD17" s="573"/>
      <c r="FUE17" s="573"/>
      <c r="FUF17" s="573"/>
      <c r="FUG17" s="573"/>
      <c r="FUH17" s="573"/>
      <c r="FUI17" s="573"/>
      <c r="FUJ17" s="573"/>
      <c r="FUK17" s="573"/>
      <c r="FUL17" s="573"/>
      <c r="FUM17" s="573"/>
      <c r="FUN17" s="573"/>
      <c r="FUO17" s="573"/>
      <c r="FUP17" s="573"/>
      <c r="FUQ17" s="573"/>
      <c r="FUR17" s="573"/>
      <c r="FUS17" s="573"/>
      <c r="FUT17" s="573"/>
      <c r="FUU17" s="573"/>
      <c r="FUV17" s="573"/>
      <c r="FUW17" s="573"/>
      <c r="FUX17" s="573"/>
      <c r="FUY17" s="573"/>
      <c r="FUZ17" s="573"/>
      <c r="FVA17" s="573"/>
      <c r="FVB17" s="573"/>
      <c r="FVC17" s="573"/>
      <c r="FVD17" s="573"/>
      <c r="FVE17" s="573"/>
      <c r="FVF17" s="573"/>
      <c r="FVG17" s="573"/>
      <c r="FVH17" s="573"/>
      <c r="FVI17" s="573"/>
      <c r="FVJ17" s="573"/>
      <c r="FVK17" s="573"/>
      <c r="FVL17" s="573"/>
      <c r="FVM17" s="573"/>
      <c r="FVN17" s="573"/>
      <c r="FVO17" s="573"/>
      <c r="FVP17" s="573"/>
      <c r="FVQ17" s="573"/>
      <c r="FVR17" s="573"/>
      <c r="FVS17" s="573"/>
      <c r="FVT17" s="573"/>
      <c r="FVU17" s="573"/>
      <c r="FVV17" s="573"/>
      <c r="FVW17" s="573"/>
      <c r="FVX17" s="573"/>
      <c r="FVY17" s="573"/>
      <c r="FVZ17" s="573"/>
      <c r="FWA17" s="573"/>
      <c r="FWB17" s="573"/>
      <c r="FWC17" s="573"/>
      <c r="FWD17" s="573"/>
      <c r="FWE17" s="573"/>
      <c r="FWF17" s="573"/>
      <c r="FWG17" s="573"/>
      <c r="FWH17" s="573"/>
      <c r="FWI17" s="573"/>
      <c r="FWJ17" s="573"/>
      <c r="FWK17" s="573"/>
      <c r="FWL17" s="573"/>
      <c r="FWM17" s="573"/>
      <c r="FWN17" s="573"/>
      <c r="FWO17" s="573"/>
      <c r="FWP17" s="573"/>
      <c r="FWQ17" s="573"/>
      <c r="FWR17" s="573"/>
      <c r="FWS17" s="573"/>
      <c r="FWT17" s="573"/>
      <c r="FWU17" s="573"/>
      <c r="FWV17" s="573"/>
      <c r="FWW17" s="573"/>
      <c r="FWX17" s="573"/>
      <c r="FWY17" s="573"/>
      <c r="FWZ17" s="573"/>
      <c r="FXA17" s="573"/>
      <c r="FXB17" s="573"/>
      <c r="FXC17" s="573"/>
      <c r="FXD17" s="573"/>
      <c r="FXE17" s="573"/>
      <c r="FXF17" s="573"/>
      <c r="FXG17" s="573"/>
      <c r="FXH17" s="573"/>
      <c r="FXI17" s="573"/>
      <c r="FXJ17" s="573"/>
      <c r="FXK17" s="573"/>
      <c r="FXL17" s="573"/>
      <c r="FXM17" s="573"/>
      <c r="FXN17" s="573"/>
      <c r="FXO17" s="573"/>
      <c r="FXP17" s="573"/>
      <c r="FXQ17" s="573"/>
      <c r="FXR17" s="573"/>
      <c r="FXS17" s="573"/>
      <c r="FXT17" s="573"/>
      <c r="FXU17" s="573"/>
      <c r="FXV17" s="573"/>
      <c r="FXW17" s="573"/>
      <c r="FXX17" s="573"/>
      <c r="FXY17" s="573"/>
      <c r="FXZ17" s="573"/>
      <c r="FYA17" s="573"/>
      <c r="FYB17" s="573"/>
      <c r="FYC17" s="573"/>
      <c r="FYD17" s="573"/>
      <c r="FYE17" s="573"/>
      <c r="FYF17" s="573"/>
      <c r="FYG17" s="573"/>
      <c r="FYH17" s="573"/>
      <c r="FYI17" s="573"/>
      <c r="FYJ17" s="573"/>
      <c r="FYK17" s="573"/>
      <c r="FYL17" s="573"/>
      <c r="FYM17" s="573"/>
      <c r="FYN17" s="573"/>
      <c r="FYO17" s="573"/>
      <c r="FYP17" s="573"/>
      <c r="FYQ17" s="573"/>
      <c r="FYR17" s="573"/>
      <c r="FYS17" s="573"/>
      <c r="FYT17" s="573"/>
      <c r="FYU17" s="573"/>
      <c r="FYV17" s="573"/>
      <c r="FYW17" s="573"/>
      <c r="FYX17" s="573"/>
      <c r="FYY17" s="573"/>
      <c r="FYZ17" s="573"/>
      <c r="FZA17" s="573"/>
      <c r="FZB17" s="573"/>
      <c r="FZC17" s="573"/>
      <c r="FZD17" s="573"/>
      <c r="FZE17" s="573"/>
      <c r="FZF17" s="573"/>
      <c r="FZG17" s="573"/>
      <c r="FZH17" s="573"/>
      <c r="FZI17" s="573"/>
      <c r="FZJ17" s="573"/>
      <c r="FZK17" s="573"/>
      <c r="FZL17" s="573"/>
      <c r="FZM17" s="573"/>
      <c r="FZN17" s="573"/>
      <c r="FZO17" s="573"/>
      <c r="FZP17" s="573"/>
      <c r="FZQ17" s="573"/>
      <c r="FZR17" s="573"/>
      <c r="FZS17" s="573"/>
      <c r="FZT17" s="573"/>
      <c r="FZU17" s="573"/>
      <c r="FZV17" s="573"/>
      <c r="FZW17" s="573"/>
      <c r="FZX17" s="573"/>
      <c r="FZY17" s="573"/>
      <c r="FZZ17" s="573"/>
      <c r="GAA17" s="573"/>
      <c r="GAB17" s="573"/>
      <c r="GAC17" s="573"/>
      <c r="GAD17" s="573"/>
      <c r="GAE17" s="573"/>
      <c r="GAF17" s="573"/>
      <c r="GAG17" s="573"/>
      <c r="GAH17" s="573"/>
      <c r="GAI17" s="573"/>
      <c r="GAJ17" s="573"/>
      <c r="GAK17" s="573"/>
      <c r="GAL17" s="573"/>
      <c r="GAM17" s="573"/>
      <c r="GAN17" s="573"/>
      <c r="GAO17" s="573"/>
      <c r="GAP17" s="573"/>
      <c r="GAQ17" s="573"/>
      <c r="GAR17" s="573"/>
      <c r="GAS17" s="573"/>
      <c r="GAT17" s="573"/>
      <c r="GAU17" s="573"/>
      <c r="GAV17" s="573"/>
      <c r="GAW17" s="573"/>
      <c r="GAX17" s="573"/>
      <c r="GAY17" s="573"/>
      <c r="GAZ17" s="573"/>
      <c r="GBA17" s="573"/>
      <c r="GBB17" s="573"/>
      <c r="GBC17" s="573"/>
      <c r="GBD17" s="573"/>
      <c r="GBE17" s="573"/>
      <c r="GBF17" s="573"/>
      <c r="GBG17" s="573"/>
      <c r="GBH17" s="573"/>
      <c r="GBI17" s="573"/>
      <c r="GBJ17" s="573"/>
      <c r="GBK17" s="573"/>
      <c r="GBL17" s="573"/>
      <c r="GBM17" s="573"/>
      <c r="GBN17" s="573"/>
      <c r="GBO17" s="573"/>
      <c r="GBP17" s="573"/>
      <c r="GBQ17" s="573"/>
      <c r="GBR17" s="573"/>
      <c r="GBS17" s="573"/>
      <c r="GBT17" s="573"/>
      <c r="GBU17" s="573"/>
      <c r="GBV17" s="573"/>
      <c r="GBW17" s="573"/>
      <c r="GBX17" s="573"/>
      <c r="GBY17" s="573"/>
      <c r="GBZ17" s="573"/>
      <c r="GCA17" s="573"/>
      <c r="GCB17" s="573"/>
      <c r="GCC17" s="573"/>
      <c r="GCD17" s="573"/>
      <c r="GCE17" s="573"/>
      <c r="GCF17" s="573"/>
      <c r="GCG17" s="573"/>
      <c r="GCH17" s="573"/>
      <c r="GCI17" s="573"/>
      <c r="GCJ17" s="573"/>
      <c r="GCK17" s="573"/>
      <c r="GCL17" s="573"/>
      <c r="GCM17" s="573"/>
      <c r="GCN17" s="573"/>
      <c r="GCO17" s="573"/>
      <c r="GCP17" s="573"/>
      <c r="GCQ17" s="573"/>
      <c r="GCR17" s="573"/>
      <c r="GCS17" s="573"/>
      <c r="GCT17" s="573"/>
      <c r="GCU17" s="573"/>
      <c r="GCV17" s="573"/>
      <c r="GCW17" s="573"/>
      <c r="GCX17" s="573"/>
      <c r="GCY17" s="573"/>
      <c r="GCZ17" s="573"/>
      <c r="GDA17" s="573"/>
      <c r="GDB17" s="573"/>
      <c r="GDC17" s="573"/>
      <c r="GDD17" s="573"/>
      <c r="GDE17" s="573"/>
      <c r="GDF17" s="573"/>
      <c r="GDG17" s="573"/>
      <c r="GDH17" s="573"/>
      <c r="GDI17" s="573"/>
      <c r="GDJ17" s="573"/>
      <c r="GDK17" s="573"/>
      <c r="GDL17" s="573"/>
      <c r="GDM17" s="573"/>
      <c r="GDN17" s="573"/>
      <c r="GDO17" s="573"/>
      <c r="GDP17" s="573"/>
      <c r="GDQ17" s="573"/>
      <c r="GDR17" s="573"/>
      <c r="GDS17" s="573"/>
      <c r="GDT17" s="573"/>
      <c r="GDU17" s="573"/>
      <c r="GDV17" s="573"/>
      <c r="GDW17" s="573"/>
      <c r="GDX17" s="573"/>
      <c r="GDY17" s="573"/>
      <c r="GDZ17" s="573"/>
      <c r="GEA17" s="573"/>
      <c r="GEB17" s="573"/>
      <c r="GEC17" s="573"/>
      <c r="GED17" s="573"/>
      <c r="GEE17" s="573"/>
      <c r="GEF17" s="573"/>
      <c r="GEG17" s="573"/>
      <c r="GEH17" s="573"/>
      <c r="GEI17" s="573"/>
      <c r="GEJ17" s="573"/>
      <c r="GEK17" s="573"/>
      <c r="GEL17" s="573"/>
      <c r="GEM17" s="573"/>
      <c r="GEN17" s="573"/>
      <c r="GEO17" s="573"/>
      <c r="GEP17" s="573"/>
      <c r="GEQ17" s="573"/>
      <c r="GER17" s="573"/>
      <c r="GES17" s="573"/>
      <c r="GET17" s="573"/>
      <c r="GEU17" s="573"/>
      <c r="GEV17" s="573"/>
      <c r="GEW17" s="573"/>
      <c r="GEX17" s="573"/>
      <c r="GEY17" s="573"/>
      <c r="GEZ17" s="573"/>
      <c r="GFA17" s="573"/>
      <c r="GFB17" s="573"/>
      <c r="GFC17" s="573"/>
      <c r="GFD17" s="573"/>
      <c r="GFE17" s="573"/>
      <c r="GFF17" s="573"/>
      <c r="GFG17" s="573"/>
      <c r="GFH17" s="573"/>
      <c r="GFI17" s="573"/>
      <c r="GFJ17" s="573"/>
      <c r="GFK17" s="573"/>
      <c r="GFL17" s="573"/>
      <c r="GFM17" s="573"/>
      <c r="GFN17" s="573"/>
      <c r="GFO17" s="573"/>
      <c r="GFP17" s="573"/>
      <c r="GFQ17" s="573"/>
      <c r="GFR17" s="573"/>
      <c r="GFS17" s="573"/>
      <c r="GFT17" s="573"/>
      <c r="GFU17" s="573"/>
      <c r="GFV17" s="573"/>
      <c r="GFW17" s="573"/>
      <c r="GFX17" s="573"/>
      <c r="GFY17" s="573"/>
      <c r="GFZ17" s="573"/>
      <c r="GGA17" s="573"/>
      <c r="GGB17" s="573"/>
      <c r="GGC17" s="573"/>
      <c r="GGD17" s="573"/>
      <c r="GGE17" s="573"/>
      <c r="GGF17" s="573"/>
      <c r="GGG17" s="573"/>
      <c r="GGH17" s="573"/>
      <c r="GGI17" s="573"/>
      <c r="GGJ17" s="573"/>
      <c r="GGK17" s="573"/>
      <c r="GGL17" s="573"/>
      <c r="GGM17" s="573"/>
      <c r="GGN17" s="573"/>
      <c r="GGO17" s="573"/>
      <c r="GGP17" s="573"/>
      <c r="GGQ17" s="573"/>
      <c r="GGR17" s="573"/>
      <c r="GGS17" s="573"/>
      <c r="GGT17" s="573"/>
      <c r="GGU17" s="573"/>
      <c r="GGV17" s="573"/>
      <c r="GGW17" s="573"/>
      <c r="GGX17" s="573"/>
      <c r="GGY17" s="573"/>
      <c r="GGZ17" s="573"/>
      <c r="GHA17" s="573"/>
      <c r="GHB17" s="573"/>
      <c r="GHC17" s="573"/>
      <c r="GHD17" s="573"/>
      <c r="GHE17" s="573"/>
      <c r="GHF17" s="573"/>
      <c r="GHG17" s="573"/>
      <c r="GHH17" s="573"/>
      <c r="GHI17" s="573"/>
      <c r="GHJ17" s="573"/>
      <c r="GHK17" s="573"/>
      <c r="GHL17" s="573"/>
      <c r="GHM17" s="573"/>
      <c r="GHN17" s="573"/>
      <c r="GHO17" s="573"/>
      <c r="GHP17" s="573"/>
      <c r="GHQ17" s="573"/>
      <c r="GHR17" s="573"/>
      <c r="GHS17" s="573"/>
      <c r="GHT17" s="573"/>
      <c r="GHU17" s="573"/>
      <c r="GHV17" s="573"/>
      <c r="GHW17" s="573"/>
      <c r="GHX17" s="573"/>
      <c r="GHY17" s="573"/>
      <c r="GHZ17" s="573"/>
      <c r="GIA17" s="573"/>
      <c r="GIB17" s="573"/>
      <c r="GIC17" s="573"/>
      <c r="GID17" s="573"/>
      <c r="GIE17" s="573"/>
      <c r="GIF17" s="573"/>
      <c r="GIG17" s="573"/>
      <c r="GIH17" s="573"/>
      <c r="GII17" s="573"/>
      <c r="GIJ17" s="573"/>
      <c r="GIK17" s="573"/>
      <c r="GIL17" s="573"/>
      <c r="GIM17" s="573"/>
      <c r="GIN17" s="573"/>
      <c r="GIO17" s="573"/>
      <c r="GIP17" s="573"/>
      <c r="GIQ17" s="573"/>
      <c r="GIR17" s="573"/>
      <c r="GIS17" s="573"/>
      <c r="GIT17" s="573"/>
      <c r="GIU17" s="573"/>
      <c r="GIV17" s="573"/>
      <c r="GIW17" s="573"/>
      <c r="GIX17" s="573"/>
      <c r="GIY17" s="573"/>
      <c r="GIZ17" s="573"/>
      <c r="GJA17" s="573"/>
      <c r="GJB17" s="573"/>
      <c r="GJC17" s="573"/>
      <c r="GJD17" s="573"/>
      <c r="GJE17" s="573"/>
      <c r="GJF17" s="573"/>
      <c r="GJG17" s="573"/>
      <c r="GJH17" s="573"/>
      <c r="GJI17" s="573"/>
      <c r="GJJ17" s="573"/>
      <c r="GJK17" s="573"/>
      <c r="GJL17" s="573"/>
      <c r="GJM17" s="573"/>
      <c r="GJN17" s="573"/>
      <c r="GJO17" s="573"/>
      <c r="GJP17" s="573"/>
      <c r="GJQ17" s="573"/>
      <c r="GJR17" s="573"/>
      <c r="GJS17" s="573"/>
      <c r="GJT17" s="573"/>
      <c r="GJU17" s="573"/>
      <c r="GJV17" s="573"/>
      <c r="GJW17" s="573"/>
      <c r="GJX17" s="573"/>
      <c r="GJY17" s="573"/>
      <c r="GJZ17" s="573"/>
      <c r="GKA17" s="573"/>
      <c r="GKB17" s="573"/>
      <c r="GKC17" s="573"/>
      <c r="GKD17" s="573"/>
      <c r="GKE17" s="573"/>
      <c r="GKF17" s="573"/>
      <c r="GKG17" s="573"/>
      <c r="GKH17" s="573"/>
      <c r="GKI17" s="573"/>
      <c r="GKJ17" s="573"/>
      <c r="GKK17" s="573"/>
      <c r="GKL17" s="573"/>
      <c r="GKM17" s="573"/>
      <c r="GKN17" s="573"/>
      <c r="GKO17" s="573"/>
      <c r="GKP17" s="573"/>
      <c r="GKQ17" s="573"/>
      <c r="GKR17" s="573"/>
      <c r="GKS17" s="573"/>
      <c r="GKT17" s="573"/>
      <c r="GKU17" s="573"/>
      <c r="GKV17" s="573"/>
      <c r="GKW17" s="573"/>
      <c r="GKX17" s="573"/>
      <c r="GKY17" s="573"/>
      <c r="GKZ17" s="573"/>
      <c r="GLA17" s="573"/>
      <c r="GLB17" s="573"/>
      <c r="GLC17" s="573"/>
      <c r="GLD17" s="573"/>
      <c r="GLE17" s="573"/>
      <c r="GLF17" s="573"/>
      <c r="GLG17" s="573"/>
      <c r="GLH17" s="573"/>
      <c r="GLI17" s="573"/>
      <c r="GLJ17" s="573"/>
      <c r="GLK17" s="573"/>
      <c r="GLL17" s="573"/>
      <c r="GLM17" s="573"/>
      <c r="GLN17" s="573"/>
      <c r="GLO17" s="573"/>
      <c r="GLP17" s="573"/>
      <c r="GLQ17" s="573"/>
      <c r="GLR17" s="573"/>
      <c r="GLS17" s="573"/>
      <c r="GLT17" s="573"/>
      <c r="GLU17" s="573"/>
      <c r="GLV17" s="573"/>
      <c r="GLW17" s="573"/>
      <c r="GLX17" s="573"/>
      <c r="GLY17" s="573"/>
      <c r="GLZ17" s="573"/>
      <c r="GMA17" s="573"/>
      <c r="GMB17" s="573"/>
      <c r="GMC17" s="573"/>
      <c r="GMD17" s="573"/>
      <c r="GME17" s="573"/>
      <c r="GMF17" s="573"/>
      <c r="GMG17" s="573"/>
      <c r="GMH17" s="573"/>
      <c r="GMI17" s="573"/>
      <c r="GMJ17" s="573"/>
      <c r="GMK17" s="573"/>
      <c r="GML17" s="573"/>
      <c r="GMM17" s="573"/>
      <c r="GMN17" s="573"/>
      <c r="GMO17" s="573"/>
      <c r="GMP17" s="573"/>
      <c r="GMQ17" s="573"/>
      <c r="GMR17" s="573"/>
      <c r="GMS17" s="573"/>
      <c r="GMT17" s="573"/>
      <c r="GMU17" s="573"/>
      <c r="GMV17" s="573"/>
      <c r="GMW17" s="573"/>
      <c r="GMX17" s="573"/>
      <c r="GMY17" s="573"/>
      <c r="GMZ17" s="573"/>
      <c r="GNA17" s="573"/>
      <c r="GNB17" s="573"/>
      <c r="GNC17" s="573"/>
      <c r="GND17" s="573"/>
      <c r="GNE17" s="573"/>
      <c r="GNF17" s="573"/>
      <c r="GNG17" s="573"/>
      <c r="GNH17" s="573"/>
      <c r="GNI17" s="573"/>
      <c r="GNJ17" s="573"/>
      <c r="GNK17" s="573"/>
      <c r="GNL17" s="573"/>
      <c r="GNM17" s="573"/>
      <c r="GNN17" s="573"/>
      <c r="GNO17" s="573"/>
      <c r="GNP17" s="573"/>
      <c r="GNQ17" s="573"/>
      <c r="GNR17" s="573"/>
      <c r="GNS17" s="573"/>
      <c r="GNT17" s="573"/>
      <c r="GNU17" s="573"/>
      <c r="GNV17" s="573"/>
      <c r="GNW17" s="573"/>
      <c r="GNX17" s="573"/>
      <c r="GNY17" s="573"/>
      <c r="GNZ17" s="573"/>
      <c r="GOA17" s="573"/>
      <c r="GOB17" s="573"/>
      <c r="GOC17" s="573"/>
      <c r="GOD17" s="573"/>
      <c r="GOE17" s="573"/>
      <c r="GOF17" s="573"/>
      <c r="GOG17" s="573"/>
      <c r="GOH17" s="573"/>
      <c r="GOI17" s="573"/>
      <c r="GOJ17" s="573"/>
      <c r="GOK17" s="573"/>
      <c r="GOL17" s="573"/>
      <c r="GOM17" s="573"/>
      <c r="GON17" s="573"/>
      <c r="GOO17" s="573"/>
      <c r="GOP17" s="573"/>
      <c r="GOQ17" s="573"/>
      <c r="GOR17" s="573"/>
      <c r="GOS17" s="573"/>
      <c r="GOT17" s="573"/>
      <c r="GOU17" s="573"/>
      <c r="GOV17" s="573"/>
      <c r="GOW17" s="573"/>
      <c r="GOX17" s="573"/>
      <c r="GOY17" s="573"/>
      <c r="GOZ17" s="573"/>
      <c r="GPA17" s="573"/>
      <c r="GPB17" s="573"/>
      <c r="GPC17" s="573"/>
      <c r="GPD17" s="573"/>
      <c r="GPE17" s="573"/>
      <c r="GPF17" s="573"/>
      <c r="GPG17" s="573"/>
      <c r="GPH17" s="573"/>
      <c r="GPI17" s="573"/>
      <c r="GPJ17" s="573"/>
      <c r="GPK17" s="573"/>
      <c r="GPL17" s="573"/>
      <c r="GPM17" s="573"/>
      <c r="GPN17" s="573"/>
      <c r="GPO17" s="573"/>
      <c r="GPP17" s="573"/>
      <c r="GPQ17" s="573"/>
      <c r="GPR17" s="573"/>
      <c r="GPS17" s="573"/>
      <c r="GPT17" s="573"/>
      <c r="GPU17" s="573"/>
      <c r="GPV17" s="573"/>
      <c r="GPW17" s="573"/>
      <c r="GPX17" s="573"/>
      <c r="GPY17" s="573"/>
      <c r="GPZ17" s="573"/>
      <c r="GQA17" s="573"/>
      <c r="GQB17" s="573"/>
      <c r="GQC17" s="573"/>
      <c r="GQD17" s="573"/>
      <c r="GQE17" s="573"/>
      <c r="GQF17" s="573"/>
      <c r="GQG17" s="573"/>
      <c r="GQH17" s="573"/>
      <c r="GQI17" s="573"/>
      <c r="GQJ17" s="573"/>
      <c r="GQK17" s="573"/>
      <c r="GQL17" s="573"/>
      <c r="GQM17" s="573"/>
      <c r="GQN17" s="573"/>
      <c r="GQO17" s="573"/>
      <c r="GQP17" s="573"/>
      <c r="GQQ17" s="573"/>
      <c r="GQR17" s="573"/>
      <c r="GQS17" s="573"/>
      <c r="GQT17" s="573"/>
      <c r="GQU17" s="573"/>
      <c r="GQV17" s="573"/>
      <c r="GQW17" s="573"/>
      <c r="GQX17" s="573"/>
      <c r="GQY17" s="573"/>
      <c r="GQZ17" s="573"/>
      <c r="GRA17" s="573"/>
      <c r="GRB17" s="573"/>
      <c r="GRC17" s="573"/>
      <c r="GRD17" s="573"/>
      <c r="GRE17" s="573"/>
      <c r="GRF17" s="573"/>
      <c r="GRG17" s="573"/>
      <c r="GRH17" s="573"/>
      <c r="GRI17" s="573"/>
      <c r="GRJ17" s="573"/>
      <c r="GRK17" s="573"/>
      <c r="GRL17" s="573"/>
      <c r="GRM17" s="573"/>
      <c r="GRN17" s="573"/>
      <c r="GRO17" s="573"/>
      <c r="GRP17" s="573"/>
      <c r="GRQ17" s="573"/>
      <c r="GRR17" s="573"/>
      <c r="GRS17" s="573"/>
      <c r="GRT17" s="573"/>
      <c r="GRU17" s="573"/>
      <c r="GRV17" s="573"/>
      <c r="GRW17" s="573"/>
      <c r="GRX17" s="573"/>
      <c r="GRY17" s="573"/>
      <c r="GRZ17" s="573"/>
      <c r="GSA17" s="573"/>
      <c r="GSB17" s="573"/>
      <c r="GSC17" s="573"/>
      <c r="GSD17" s="573"/>
      <c r="GSE17" s="573"/>
      <c r="GSF17" s="573"/>
      <c r="GSG17" s="573"/>
      <c r="GSH17" s="573"/>
      <c r="GSI17" s="573"/>
      <c r="GSJ17" s="573"/>
      <c r="GSK17" s="573"/>
      <c r="GSL17" s="573"/>
      <c r="GSM17" s="573"/>
      <c r="GSN17" s="573"/>
      <c r="GSO17" s="573"/>
      <c r="GSP17" s="573"/>
      <c r="GSQ17" s="573"/>
      <c r="GSR17" s="573"/>
      <c r="GSS17" s="573"/>
      <c r="GST17" s="573"/>
      <c r="GSU17" s="573"/>
      <c r="GSV17" s="573"/>
      <c r="GSW17" s="573"/>
      <c r="GSX17" s="573"/>
      <c r="GSY17" s="573"/>
      <c r="GSZ17" s="573"/>
      <c r="GTA17" s="573"/>
      <c r="GTB17" s="573"/>
      <c r="GTC17" s="573"/>
      <c r="GTD17" s="573"/>
      <c r="GTE17" s="573"/>
      <c r="GTF17" s="573"/>
      <c r="GTG17" s="573"/>
      <c r="GTH17" s="573"/>
      <c r="GTI17" s="573"/>
      <c r="GTJ17" s="573"/>
      <c r="GTK17" s="573"/>
      <c r="GTL17" s="573"/>
      <c r="GTM17" s="573"/>
      <c r="GTN17" s="573"/>
      <c r="GTO17" s="573"/>
      <c r="GTP17" s="573"/>
      <c r="GTQ17" s="573"/>
      <c r="GTR17" s="573"/>
      <c r="GTS17" s="573"/>
      <c r="GTT17" s="573"/>
      <c r="GTU17" s="573"/>
      <c r="GTV17" s="573"/>
      <c r="GTW17" s="573"/>
      <c r="GTX17" s="573"/>
      <c r="GTY17" s="573"/>
      <c r="GTZ17" s="573"/>
      <c r="GUA17" s="573"/>
      <c r="GUB17" s="573"/>
      <c r="GUC17" s="573"/>
      <c r="GUD17" s="573"/>
      <c r="GUE17" s="573"/>
      <c r="GUF17" s="573"/>
      <c r="GUG17" s="573"/>
      <c r="GUH17" s="573"/>
      <c r="GUI17" s="573"/>
      <c r="GUJ17" s="573"/>
      <c r="GUK17" s="573"/>
      <c r="GUL17" s="573"/>
      <c r="GUM17" s="573"/>
      <c r="GUN17" s="573"/>
      <c r="GUO17" s="573"/>
      <c r="GUP17" s="573"/>
      <c r="GUQ17" s="573"/>
      <c r="GUR17" s="573"/>
      <c r="GUS17" s="573"/>
      <c r="GUT17" s="573"/>
      <c r="GUU17" s="573"/>
      <c r="GUV17" s="573"/>
      <c r="GUW17" s="573"/>
      <c r="GUX17" s="573"/>
      <c r="GUY17" s="573"/>
      <c r="GUZ17" s="573"/>
      <c r="GVA17" s="573"/>
      <c r="GVB17" s="573"/>
      <c r="GVC17" s="573"/>
      <c r="GVD17" s="573"/>
      <c r="GVE17" s="573"/>
      <c r="GVF17" s="573"/>
      <c r="GVG17" s="573"/>
      <c r="GVH17" s="573"/>
      <c r="GVI17" s="573"/>
      <c r="GVJ17" s="573"/>
      <c r="GVK17" s="573"/>
      <c r="GVL17" s="573"/>
      <c r="GVM17" s="573"/>
      <c r="GVN17" s="573"/>
      <c r="GVO17" s="573"/>
      <c r="GVP17" s="573"/>
      <c r="GVQ17" s="573"/>
      <c r="GVR17" s="573"/>
      <c r="GVS17" s="573"/>
      <c r="GVT17" s="573"/>
      <c r="GVU17" s="573"/>
      <c r="GVV17" s="573"/>
      <c r="GVW17" s="573"/>
      <c r="GVX17" s="573"/>
      <c r="GVY17" s="573"/>
      <c r="GVZ17" s="573"/>
      <c r="GWA17" s="573"/>
      <c r="GWB17" s="573"/>
      <c r="GWC17" s="573"/>
      <c r="GWD17" s="573"/>
      <c r="GWE17" s="573"/>
      <c r="GWF17" s="573"/>
      <c r="GWG17" s="573"/>
      <c r="GWH17" s="573"/>
      <c r="GWI17" s="573"/>
      <c r="GWJ17" s="573"/>
      <c r="GWK17" s="573"/>
      <c r="GWL17" s="573"/>
      <c r="GWM17" s="573"/>
      <c r="GWN17" s="573"/>
      <c r="GWO17" s="573"/>
      <c r="GWP17" s="573"/>
      <c r="GWQ17" s="573"/>
      <c r="GWR17" s="573"/>
      <c r="GWS17" s="573"/>
      <c r="GWT17" s="573"/>
      <c r="GWU17" s="573"/>
      <c r="GWV17" s="573"/>
      <c r="GWW17" s="573"/>
      <c r="GWX17" s="573"/>
      <c r="GWY17" s="573"/>
      <c r="GWZ17" s="573"/>
      <c r="GXA17" s="573"/>
      <c r="GXB17" s="573"/>
      <c r="GXC17" s="573"/>
      <c r="GXD17" s="573"/>
      <c r="GXE17" s="573"/>
      <c r="GXF17" s="573"/>
      <c r="GXG17" s="573"/>
      <c r="GXH17" s="573"/>
      <c r="GXI17" s="573"/>
      <c r="GXJ17" s="573"/>
      <c r="GXK17" s="573"/>
      <c r="GXL17" s="573"/>
      <c r="GXM17" s="573"/>
      <c r="GXN17" s="573"/>
      <c r="GXO17" s="573"/>
      <c r="GXP17" s="573"/>
      <c r="GXQ17" s="573"/>
      <c r="GXR17" s="573"/>
      <c r="GXS17" s="573"/>
      <c r="GXT17" s="573"/>
      <c r="GXU17" s="573"/>
      <c r="GXV17" s="573"/>
      <c r="GXW17" s="573"/>
      <c r="GXX17" s="573"/>
      <c r="GXY17" s="573"/>
      <c r="GXZ17" s="573"/>
      <c r="GYA17" s="573"/>
      <c r="GYB17" s="573"/>
      <c r="GYC17" s="573"/>
      <c r="GYD17" s="573"/>
      <c r="GYE17" s="573"/>
      <c r="GYF17" s="573"/>
      <c r="GYG17" s="573"/>
      <c r="GYH17" s="573"/>
      <c r="GYI17" s="573"/>
      <c r="GYJ17" s="573"/>
      <c r="GYK17" s="573"/>
      <c r="GYL17" s="573"/>
      <c r="GYM17" s="573"/>
      <c r="GYN17" s="573"/>
      <c r="GYO17" s="573"/>
      <c r="GYP17" s="573"/>
      <c r="GYQ17" s="573"/>
      <c r="GYR17" s="573"/>
      <c r="GYS17" s="573"/>
      <c r="GYT17" s="573"/>
      <c r="GYU17" s="573"/>
      <c r="GYV17" s="573"/>
      <c r="GYW17" s="573"/>
      <c r="GYX17" s="573"/>
      <c r="GYY17" s="573"/>
      <c r="GYZ17" s="573"/>
      <c r="GZA17" s="573"/>
      <c r="GZB17" s="573"/>
      <c r="GZC17" s="573"/>
      <c r="GZD17" s="573"/>
      <c r="GZE17" s="573"/>
      <c r="GZF17" s="573"/>
      <c r="GZG17" s="573"/>
      <c r="GZH17" s="573"/>
      <c r="GZI17" s="573"/>
      <c r="GZJ17" s="573"/>
      <c r="GZK17" s="573"/>
      <c r="GZL17" s="573"/>
      <c r="GZM17" s="573"/>
      <c r="GZN17" s="573"/>
      <c r="GZO17" s="573"/>
      <c r="GZP17" s="573"/>
      <c r="GZQ17" s="573"/>
      <c r="GZR17" s="573"/>
      <c r="GZS17" s="573"/>
      <c r="GZT17" s="573"/>
      <c r="GZU17" s="573"/>
      <c r="GZV17" s="573"/>
      <c r="GZW17" s="573"/>
      <c r="GZX17" s="573"/>
      <c r="GZY17" s="573"/>
      <c r="GZZ17" s="573"/>
      <c r="HAA17" s="573"/>
      <c r="HAB17" s="573"/>
      <c r="HAC17" s="573"/>
      <c r="HAD17" s="573"/>
      <c r="HAE17" s="573"/>
      <c r="HAF17" s="573"/>
      <c r="HAG17" s="573"/>
      <c r="HAH17" s="573"/>
      <c r="HAI17" s="573"/>
      <c r="HAJ17" s="573"/>
      <c r="HAK17" s="573"/>
      <c r="HAL17" s="573"/>
      <c r="HAM17" s="573"/>
      <c r="HAN17" s="573"/>
      <c r="HAO17" s="573"/>
      <c r="HAP17" s="573"/>
      <c r="HAQ17" s="573"/>
      <c r="HAR17" s="573"/>
      <c r="HAS17" s="573"/>
      <c r="HAT17" s="573"/>
      <c r="HAU17" s="573"/>
      <c r="HAV17" s="573"/>
      <c r="HAW17" s="573"/>
      <c r="HAX17" s="573"/>
      <c r="HAY17" s="573"/>
      <c r="HAZ17" s="573"/>
      <c r="HBA17" s="573"/>
      <c r="HBB17" s="573"/>
      <c r="HBC17" s="573"/>
      <c r="HBD17" s="573"/>
      <c r="HBE17" s="573"/>
      <c r="HBF17" s="573"/>
      <c r="HBG17" s="573"/>
      <c r="HBH17" s="573"/>
      <c r="HBI17" s="573"/>
      <c r="HBJ17" s="573"/>
      <c r="HBK17" s="573"/>
      <c r="HBL17" s="573"/>
      <c r="HBM17" s="573"/>
      <c r="HBN17" s="573"/>
      <c r="HBO17" s="573"/>
      <c r="HBP17" s="573"/>
      <c r="HBQ17" s="573"/>
      <c r="HBR17" s="573"/>
      <c r="HBS17" s="573"/>
      <c r="HBT17" s="573"/>
      <c r="HBU17" s="573"/>
      <c r="HBV17" s="573"/>
      <c r="HBW17" s="573"/>
      <c r="HBX17" s="573"/>
      <c r="HBY17" s="573"/>
      <c r="HBZ17" s="573"/>
      <c r="HCA17" s="573"/>
      <c r="HCB17" s="573"/>
      <c r="HCC17" s="573"/>
      <c r="HCD17" s="573"/>
      <c r="HCE17" s="573"/>
      <c r="HCF17" s="573"/>
      <c r="HCG17" s="573"/>
      <c r="HCH17" s="573"/>
      <c r="HCI17" s="573"/>
      <c r="HCJ17" s="573"/>
      <c r="HCK17" s="573"/>
      <c r="HCL17" s="573"/>
      <c r="HCM17" s="573"/>
      <c r="HCN17" s="573"/>
      <c r="HCO17" s="573"/>
      <c r="HCP17" s="573"/>
      <c r="HCQ17" s="573"/>
      <c r="HCR17" s="573"/>
      <c r="HCS17" s="573"/>
      <c r="HCT17" s="573"/>
      <c r="HCU17" s="573"/>
      <c r="HCV17" s="573"/>
      <c r="HCW17" s="573"/>
      <c r="HCX17" s="573"/>
      <c r="HCY17" s="573"/>
      <c r="HCZ17" s="573"/>
      <c r="HDA17" s="573"/>
      <c r="HDB17" s="573"/>
      <c r="HDC17" s="573"/>
      <c r="HDD17" s="573"/>
      <c r="HDE17" s="573"/>
      <c r="HDF17" s="573"/>
      <c r="HDG17" s="573"/>
      <c r="HDH17" s="573"/>
      <c r="HDI17" s="573"/>
      <c r="HDJ17" s="573"/>
      <c r="HDK17" s="573"/>
      <c r="HDL17" s="573"/>
      <c r="HDM17" s="573"/>
      <c r="HDN17" s="573"/>
      <c r="HDO17" s="573"/>
      <c r="HDP17" s="573"/>
      <c r="HDQ17" s="573"/>
      <c r="HDR17" s="573"/>
      <c r="HDS17" s="573"/>
      <c r="HDT17" s="573"/>
      <c r="HDU17" s="573"/>
      <c r="HDV17" s="573"/>
      <c r="HDW17" s="573"/>
      <c r="HDX17" s="573"/>
      <c r="HDY17" s="573"/>
      <c r="HDZ17" s="573"/>
      <c r="HEA17" s="573"/>
      <c r="HEB17" s="573"/>
      <c r="HEC17" s="573"/>
      <c r="HED17" s="573"/>
      <c r="HEE17" s="573"/>
      <c r="HEF17" s="573"/>
      <c r="HEG17" s="573"/>
      <c r="HEH17" s="573"/>
      <c r="HEI17" s="573"/>
      <c r="HEJ17" s="573"/>
      <c r="HEK17" s="573"/>
      <c r="HEL17" s="573"/>
      <c r="HEM17" s="573"/>
      <c r="HEN17" s="573"/>
      <c r="HEO17" s="573"/>
      <c r="HEP17" s="573"/>
      <c r="HEQ17" s="573"/>
      <c r="HER17" s="573"/>
      <c r="HES17" s="573"/>
      <c r="HET17" s="573"/>
      <c r="HEU17" s="573"/>
      <c r="HEV17" s="573"/>
      <c r="HEW17" s="573"/>
      <c r="HEX17" s="573"/>
      <c r="HEY17" s="573"/>
      <c r="HEZ17" s="573"/>
      <c r="HFA17" s="573"/>
      <c r="HFB17" s="573"/>
      <c r="HFC17" s="573"/>
      <c r="HFD17" s="573"/>
      <c r="HFE17" s="573"/>
      <c r="HFF17" s="573"/>
      <c r="HFG17" s="573"/>
      <c r="HFH17" s="573"/>
      <c r="HFI17" s="573"/>
      <c r="HFJ17" s="573"/>
      <c r="HFK17" s="573"/>
      <c r="HFL17" s="573"/>
      <c r="HFM17" s="573"/>
      <c r="HFN17" s="573"/>
      <c r="HFO17" s="573"/>
      <c r="HFP17" s="573"/>
      <c r="HFQ17" s="573"/>
      <c r="HFR17" s="573"/>
      <c r="HFS17" s="573"/>
      <c r="HFT17" s="573"/>
      <c r="HFU17" s="573"/>
      <c r="HFV17" s="573"/>
      <c r="HFW17" s="573"/>
      <c r="HFX17" s="573"/>
      <c r="HFY17" s="573"/>
      <c r="HFZ17" s="573"/>
      <c r="HGA17" s="573"/>
      <c r="HGB17" s="573"/>
      <c r="HGC17" s="573"/>
      <c r="HGD17" s="573"/>
      <c r="HGE17" s="573"/>
      <c r="HGF17" s="573"/>
      <c r="HGG17" s="573"/>
      <c r="HGH17" s="573"/>
      <c r="HGI17" s="573"/>
      <c r="HGJ17" s="573"/>
      <c r="HGK17" s="573"/>
      <c r="HGL17" s="573"/>
      <c r="HGM17" s="573"/>
      <c r="HGN17" s="573"/>
      <c r="HGO17" s="573"/>
      <c r="HGP17" s="573"/>
      <c r="HGQ17" s="573"/>
      <c r="HGR17" s="573"/>
      <c r="HGS17" s="573"/>
      <c r="HGT17" s="573"/>
      <c r="HGU17" s="573"/>
      <c r="HGV17" s="573"/>
      <c r="HGW17" s="573"/>
      <c r="HGX17" s="573"/>
      <c r="HGY17" s="573"/>
      <c r="HGZ17" s="573"/>
      <c r="HHA17" s="573"/>
      <c r="HHB17" s="573"/>
      <c r="HHC17" s="573"/>
      <c r="HHD17" s="573"/>
      <c r="HHE17" s="573"/>
      <c r="HHF17" s="573"/>
      <c r="HHG17" s="573"/>
      <c r="HHH17" s="573"/>
      <c r="HHI17" s="573"/>
      <c r="HHJ17" s="573"/>
      <c r="HHK17" s="573"/>
      <c r="HHL17" s="573"/>
      <c r="HHM17" s="573"/>
      <c r="HHN17" s="573"/>
      <c r="HHO17" s="573"/>
      <c r="HHP17" s="573"/>
      <c r="HHQ17" s="573"/>
      <c r="HHR17" s="573"/>
      <c r="HHS17" s="573"/>
      <c r="HHT17" s="573"/>
      <c r="HHU17" s="573"/>
      <c r="HHV17" s="573"/>
      <c r="HHW17" s="573"/>
      <c r="HHX17" s="573"/>
      <c r="HHY17" s="573"/>
      <c r="HHZ17" s="573"/>
      <c r="HIA17" s="573"/>
      <c r="HIB17" s="573"/>
      <c r="HIC17" s="573"/>
      <c r="HID17" s="573"/>
      <c r="HIE17" s="573"/>
      <c r="HIF17" s="573"/>
      <c r="HIG17" s="573"/>
      <c r="HIH17" s="573"/>
      <c r="HII17" s="573"/>
      <c r="HIJ17" s="573"/>
      <c r="HIK17" s="573"/>
      <c r="HIL17" s="573"/>
      <c r="HIM17" s="573"/>
      <c r="HIN17" s="573"/>
      <c r="HIO17" s="573"/>
      <c r="HIP17" s="573"/>
      <c r="HIQ17" s="573"/>
      <c r="HIR17" s="573"/>
      <c r="HIS17" s="573"/>
      <c r="HIT17" s="573"/>
      <c r="HIU17" s="573"/>
      <c r="HIV17" s="573"/>
      <c r="HIW17" s="573"/>
      <c r="HIX17" s="573"/>
      <c r="HIY17" s="573"/>
      <c r="HIZ17" s="573"/>
      <c r="HJA17" s="573"/>
      <c r="HJB17" s="573"/>
      <c r="HJC17" s="573"/>
      <c r="HJD17" s="573"/>
      <c r="HJE17" s="573"/>
      <c r="HJF17" s="573"/>
      <c r="HJG17" s="573"/>
      <c r="HJH17" s="573"/>
      <c r="HJI17" s="573"/>
      <c r="HJJ17" s="573"/>
      <c r="HJK17" s="573"/>
      <c r="HJL17" s="573"/>
      <c r="HJM17" s="573"/>
      <c r="HJN17" s="573"/>
      <c r="HJO17" s="573"/>
      <c r="HJP17" s="573"/>
      <c r="HJQ17" s="573"/>
      <c r="HJR17" s="573"/>
      <c r="HJS17" s="573"/>
      <c r="HJT17" s="573"/>
      <c r="HJU17" s="573"/>
      <c r="HJV17" s="573"/>
      <c r="HJW17" s="573"/>
      <c r="HJX17" s="573"/>
      <c r="HJY17" s="573"/>
      <c r="HJZ17" s="573"/>
      <c r="HKA17" s="573"/>
      <c r="HKB17" s="573"/>
      <c r="HKC17" s="573"/>
      <c r="HKD17" s="573"/>
      <c r="HKE17" s="573"/>
      <c r="HKF17" s="573"/>
      <c r="HKG17" s="573"/>
      <c r="HKH17" s="573"/>
      <c r="HKI17" s="573"/>
      <c r="HKJ17" s="573"/>
      <c r="HKK17" s="573"/>
      <c r="HKL17" s="573"/>
      <c r="HKM17" s="573"/>
      <c r="HKN17" s="573"/>
      <c r="HKO17" s="573"/>
      <c r="HKP17" s="573"/>
      <c r="HKQ17" s="573"/>
      <c r="HKR17" s="573"/>
      <c r="HKS17" s="573"/>
      <c r="HKT17" s="573"/>
      <c r="HKU17" s="573"/>
      <c r="HKV17" s="573"/>
      <c r="HKW17" s="573"/>
      <c r="HKX17" s="573"/>
      <c r="HKY17" s="573"/>
      <c r="HKZ17" s="573"/>
      <c r="HLA17" s="573"/>
      <c r="HLB17" s="573"/>
      <c r="HLC17" s="573"/>
      <c r="HLD17" s="573"/>
      <c r="HLE17" s="573"/>
      <c r="HLF17" s="573"/>
      <c r="HLG17" s="573"/>
      <c r="HLH17" s="573"/>
      <c r="HLI17" s="573"/>
      <c r="HLJ17" s="573"/>
      <c r="HLK17" s="573"/>
      <c r="HLL17" s="573"/>
      <c r="HLM17" s="573"/>
      <c r="HLN17" s="573"/>
      <c r="HLO17" s="573"/>
      <c r="HLP17" s="573"/>
      <c r="HLQ17" s="573"/>
      <c r="HLR17" s="573"/>
      <c r="HLS17" s="573"/>
      <c r="HLT17" s="573"/>
      <c r="HLU17" s="573"/>
      <c r="HLV17" s="573"/>
      <c r="HLW17" s="573"/>
      <c r="HLX17" s="573"/>
      <c r="HLY17" s="573"/>
      <c r="HLZ17" s="573"/>
      <c r="HMA17" s="573"/>
      <c r="HMB17" s="573"/>
      <c r="HMC17" s="573"/>
      <c r="HMD17" s="573"/>
      <c r="HME17" s="573"/>
      <c r="HMF17" s="573"/>
      <c r="HMG17" s="573"/>
      <c r="HMH17" s="573"/>
      <c r="HMI17" s="573"/>
      <c r="HMJ17" s="573"/>
      <c r="HMK17" s="573"/>
      <c r="HML17" s="573"/>
      <c r="HMM17" s="573"/>
      <c r="HMN17" s="573"/>
      <c r="HMO17" s="573"/>
      <c r="HMP17" s="573"/>
      <c r="HMQ17" s="573"/>
      <c r="HMR17" s="573"/>
      <c r="HMS17" s="573"/>
      <c r="HMT17" s="573"/>
      <c r="HMU17" s="573"/>
      <c r="HMV17" s="573"/>
      <c r="HMW17" s="573"/>
      <c r="HMX17" s="573"/>
      <c r="HMY17" s="573"/>
      <c r="HMZ17" s="573"/>
      <c r="HNA17" s="573"/>
      <c r="HNB17" s="573"/>
      <c r="HNC17" s="573"/>
      <c r="HND17" s="573"/>
      <c r="HNE17" s="573"/>
      <c r="HNF17" s="573"/>
      <c r="HNG17" s="573"/>
      <c r="HNH17" s="573"/>
      <c r="HNI17" s="573"/>
      <c r="HNJ17" s="573"/>
      <c r="HNK17" s="573"/>
      <c r="HNL17" s="573"/>
      <c r="HNM17" s="573"/>
      <c r="HNN17" s="573"/>
      <c r="HNO17" s="573"/>
      <c r="HNP17" s="573"/>
      <c r="HNQ17" s="573"/>
      <c r="HNR17" s="573"/>
      <c r="HNS17" s="573"/>
      <c r="HNT17" s="573"/>
      <c r="HNU17" s="573"/>
      <c r="HNV17" s="573"/>
      <c r="HNW17" s="573"/>
      <c r="HNX17" s="573"/>
      <c r="HNY17" s="573"/>
      <c r="HNZ17" s="573"/>
      <c r="HOA17" s="573"/>
      <c r="HOB17" s="573"/>
      <c r="HOC17" s="573"/>
      <c r="HOD17" s="573"/>
      <c r="HOE17" s="573"/>
      <c r="HOF17" s="573"/>
      <c r="HOG17" s="573"/>
      <c r="HOH17" s="573"/>
      <c r="HOI17" s="573"/>
      <c r="HOJ17" s="573"/>
      <c r="HOK17" s="573"/>
      <c r="HOL17" s="573"/>
      <c r="HOM17" s="573"/>
      <c r="HON17" s="573"/>
      <c r="HOO17" s="573"/>
      <c r="HOP17" s="573"/>
      <c r="HOQ17" s="573"/>
      <c r="HOR17" s="573"/>
      <c r="HOS17" s="573"/>
      <c r="HOT17" s="573"/>
      <c r="HOU17" s="573"/>
      <c r="HOV17" s="573"/>
      <c r="HOW17" s="573"/>
      <c r="HOX17" s="573"/>
      <c r="HOY17" s="573"/>
      <c r="HOZ17" s="573"/>
      <c r="HPA17" s="573"/>
      <c r="HPB17" s="573"/>
      <c r="HPC17" s="573"/>
      <c r="HPD17" s="573"/>
      <c r="HPE17" s="573"/>
      <c r="HPF17" s="573"/>
      <c r="HPG17" s="573"/>
      <c r="HPH17" s="573"/>
      <c r="HPI17" s="573"/>
      <c r="HPJ17" s="573"/>
      <c r="HPK17" s="573"/>
      <c r="HPL17" s="573"/>
      <c r="HPM17" s="573"/>
      <c r="HPN17" s="573"/>
      <c r="HPO17" s="573"/>
      <c r="HPP17" s="573"/>
      <c r="HPQ17" s="573"/>
      <c r="HPR17" s="573"/>
      <c r="HPS17" s="573"/>
      <c r="HPT17" s="573"/>
      <c r="HPU17" s="573"/>
      <c r="HPV17" s="573"/>
      <c r="HPW17" s="573"/>
      <c r="HPX17" s="573"/>
      <c r="HPY17" s="573"/>
      <c r="HPZ17" s="573"/>
      <c r="HQA17" s="573"/>
      <c r="HQB17" s="573"/>
      <c r="HQC17" s="573"/>
      <c r="HQD17" s="573"/>
      <c r="HQE17" s="573"/>
      <c r="HQF17" s="573"/>
      <c r="HQG17" s="573"/>
      <c r="HQH17" s="573"/>
      <c r="HQI17" s="573"/>
      <c r="HQJ17" s="573"/>
      <c r="HQK17" s="573"/>
      <c r="HQL17" s="573"/>
      <c r="HQM17" s="573"/>
      <c r="HQN17" s="573"/>
      <c r="HQO17" s="573"/>
      <c r="HQP17" s="573"/>
      <c r="HQQ17" s="573"/>
      <c r="HQR17" s="573"/>
      <c r="HQS17" s="573"/>
      <c r="HQT17" s="573"/>
      <c r="HQU17" s="573"/>
      <c r="HQV17" s="573"/>
      <c r="HQW17" s="573"/>
      <c r="HQX17" s="573"/>
      <c r="HQY17" s="573"/>
      <c r="HQZ17" s="573"/>
      <c r="HRA17" s="573"/>
      <c r="HRB17" s="573"/>
      <c r="HRC17" s="573"/>
      <c r="HRD17" s="573"/>
      <c r="HRE17" s="573"/>
      <c r="HRF17" s="573"/>
      <c r="HRG17" s="573"/>
      <c r="HRH17" s="573"/>
      <c r="HRI17" s="573"/>
      <c r="HRJ17" s="573"/>
      <c r="HRK17" s="573"/>
      <c r="HRL17" s="573"/>
      <c r="HRM17" s="573"/>
      <c r="HRN17" s="573"/>
      <c r="HRO17" s="573"/>
      <c r="HRP17" s="573"/>
      <c r="HRQ17" s="573"/>
      <c r="HRR17" s="573"/>
      <c r="HRS17" s="573"/>
      <c r="HRT17" s="573"/>
      <c r="HRU17" s="573"/>
      <c r="HRV17" s="573"/>
      <c r="HRW17" s="573"/>
      <c r="HRX17" s="573"/>
      <c r="HRY17" s="573"/>
      <c r="HRZ17" s="573"/>
      <c r="HSA17" s="573"/>
      <c r="HSB17" s="573"/>
      <c r="HSC17" s="573"/>
      <c r="HSD17" s="573"/>
      <c r="HSE17" s="573"/>
      <c r="HSF17" s="573"/>
      <c r="HSG17" s="573"/>
      <c r="HSH17" s="573"/>
      <c r="HSI17" s="573"/>
      <c r="HSJ17" s="573"/>
      <c r="HSK17" s="573"/>
      <c r="HSL17" s="573"/>
      <c r="HSM17" s="573"/>
      <c r="HSN17" s="573"/>
      <c r="HSO17" s="573"/>
      <c r="HSP17" s="573"/>
      <c r="HSQ17" s="573"/>
      <c r="HSR17" s="573"/>
      <c r="HSS17" s="573"/>
      <c r="HST17" s="573"/>
      <c r="HSU17" s="573"/>
      <c r="HSV17" s="573"/>
      <c r="HSW17" s="573"/>
      <c r="HSX17" s="573"/>
      <c r="HSY17" s="573"/>
      <c r="HSZ17" s="573"/>
      <c r="HTA17" s="573"/>
      <c r="HTB17" s="573"/>
      <c r="HTC17" s="573"/>
      <c r="HTD17" s="573"/>
      <c r="HTE17" s="573"/>
      <c r="HTF17" s="573"/>
      <c r="HTG17" s="573"/>
      <c r="HTH17" s="573"/>
      <c r="HTI17" s="573"/>
      <c r="HTJ17" s="573"/>
      <c r="HTK17" s="573"/>
      <c r="HTL17" s="573"/>
      <c r="HTM17" s="573"/>
      <c r="HTN17" s="573"/>
      <c r="HTO17" s="573"/>
      <c r="HTP17" s="573"/>
      <c r="HTQ17" s="573"/>
      <c r="HTR17" s="573"/>
      <c r="HTS17" s="573"/>
      <c r="HTT17" s="573"/>
      <c r="HTU17" s="573"/>
      <c r="HTV17" s="573"/>
      <c r="HTW17" s="573"/>
      <c r="HTX17" s="573"/>
      <c r="HTY17" s="573"/>
      <c r="HTZ17" s="573"/>
      <c r="HUA17" s="573"/>
      <c r="HUB17" s="573"/>
      <c r="HUC17" s="573"/>
      <c r="HUD17" s="573"/>
      <c r="HUE17" s="573"/>
      <c r="HUF17" s="573"/>
      <c r="HUG17" s="573"/>
      <c r="HUH17" s="573"/>
      <c r="HUI17" s="573"/>
      <c r="HUJ17" s="573"/>
      <c r="HUK17" s="573"/>
      <c r="HUL17" s="573"/>
      <c r="HUM17" s="573"/>
      <c r="HUN17" s="573"/>
      <c r="HUO17" s="573"/>
      <c r="HUP17" s="573"/>
      <c r="HUQ17" s="573"/>
      <c r="HUR17" s="573"/>
      <c r="HUS17" s="573"/>
      <c r="HUT17" s="573"/>
      <c r="HUU17" s="573"/>
      <c r="HUV17" s="573"/>
      <c r="HUW17" s="573"/>
      <c r="HUX17" s="573"/>
      <c r="HUY17" s="573"/>
      <c r="HUZ17" s="573"/>
      <c r="HVA17" s="573"/>
      <c r="HVB17" s="573"/>
      <c r="HVC17" s="573"/>
      <c r="HVD17" s="573"/>
      <c r="HVE17" s="573"/>
      <c r="HVF17" s="573"/>
      <c r="HVG17" s="573"/>
      <c r="HVH17" s="573"/>
      <c r="HVI17" s="573"/>
      <c r="HVJ17" s="573"/>
      <c r="HVK17" s="573"/>
      <c r="HVL17" s="573"/>
      <c r="HVM17" s="573"/>
      <c r="HVN17" s="573"/>
      <c r="HVO17" s="573"/>
      <c r="HVP17" s="573"/>
      <c r="HVQ17" s="573"/>
      <c r="HVR17" s="573"/>
      <c r="HVS17" s="573"/>
      <c r="HVT17" s="573"/>
      <c r="HVU17" s="573"/>
      <c r="HVV17" s="573"/>
      <c r="HVW17" s="573"/>
      <c r="HVX17" s="573"/>
      <c r="HVY17" s="573"/>
      <c r="HVZ17" s="573"/>
      <c r="HWA17" s="573"/>
      <c r="HWB17" s="573"/>
      <c r="HWC17" s="573"/>
      <c r="HWD17" s="573"/>
      <c r="HWE17" s="573"/>
      <c r="HWF17" s="573"/>
      <c r="HWG17" s="573"/>
      <c r="HWH17" s="573"/>
      <c r="HWI17" s="573"/>
      <c r="HWJ17" s="573"/>
      <c r="HWK17" s="573"/>
      <c r="HWL17" s="573"/>
      <c r="HWM17" s="573"/>
      <c r="HWN17" s="573"/>
      <c r="HWO17" s="573"/>
      <c r="HWP17" s="573"/>
      <c r="HWQ17" s="573"/>
      <c r="HWR17" s="573"/>
      <c r="HWS17" s="573"/>
      <c r="HWT17" s="573"/>
      <c r="HWU17" s="573"/>
      <c r="HWV17" s="573"/>
      <c r="HWW17" s="573"/>
      <c r="HWX17" s="573"/>
      <c r="HWY17" s="573"/>
      <c r="HWZ17" s="573"/>
      <c r="HXA17" s="573"/>
      <c r="HXB17" s="573"/>
      <c r="HXC17" s="573"/>
      <c r="HXD17" s="573"/>
      <c r="HXE17" s="573"/>
      <c r="HXF17" s="573"/>
      <c r="HXG17" s="573"/>
      <c r="HXH17" s="573"/>
      <c r="HXI17" s="573"/>
      <c r="HXJ17" s="573"/>
      <c r="HXK17" s="573"/>
      <c r="HXL17" s="573"/>
      <c r="HXM17" s="573"/>
      <c r="HXN17" s="573"/>
      <c r="HXO17" s="573"/>
      <c r="HXP17" s="573"/>
      <c r="HXQ17" s="573"/>
      <c r="HXR17" s="573"/>
      <c r="HXS17" s="573"/>
      <c r="HXT17" s="573"/>
      <c r="HXU17" s="573"/>
      <c r="HXV17" s="573"/>
      <c r="HXW17" s="573"/>
      <c r="HXX17" s="573"/>
      <c r="HXY17" s="573"/>
      <c r="HXZ17" s="573"/>
      <c r="HYA17" s="573"/>
      <c r="HYB17" s="573"/>
      <c r="HYC17" s="573"/>
      <c r="HYD17" s="573"/>
      <c r="HYE17" s="573"/>
      <c r="HYF17" s="573"/>
      <c r="HYG17" s="573"/>
      <c r="HYH17" s="573"/>
      <c r="HYI17" s="573"/>
      <c r="HYJ17" s="573"/>
      <c r="HYK17" s="573"/>
      <c r="HYL17" s="573"/>
      <c r="HYM17" s="573"/>
      <c r="HYN17" s="573"/>
      <c r="HYO17" s="573"/>
      <c r="HYP17" s="573"/>
      <c r="HYQ17" s="573"/>
      <c r="HYR17" s="573"/>
      <c r="HYS17" s="573"/>
      <c r="HYT17" s="573"/>
      <c r="HYU17" s="573"/>
      <c r="HYV17" s="573"/>
      <c r="HYW17" s="573"/>
      <c r="HYX17" s="573"/>
      <c r="HYY17" s="573"/>
      <c r="HYZ17" s="573"/>
      <c r="HZA17" s="573"/>
      <c r="HZB17" s="573"/>
      <c r="HZC17" s="573"/>
      <c r="HZD17" s="573"/>
      <c r="HZE17" s="573"/>
      <c r="HZF17" s="573"/>
      <c r="HZG17" s="573"/>
      <c r="HZH17" s="573"/>
      <c r="HZI17" s="573"/>
      <c r="HZJ17" s="573"/>
      <c r="HZK17" s="573"/>
      <c r="HZL17" s="573"/>
      <c r="HZM17" s="573"/>
      <c r="HZN17" s="573"/>
      <c r="HZO17" s="573"/>
      <c r="HZP17" s="573"/>
      <c r="HZQ17" s="573"/>
      <c r="HZR17" s="573"/>
      <c r="HZS17" s="573"/>
      <c r="HZT17" s="573"/>
      <c r="HZU17" s="573"/>
      <c r="HZV17" s="573"/>
      <c r="HZW17" s="573"/>
      <c r="HZX17" s="573"/>
      <c r="HZY17" s="573"/>
      <c r="HZZ17" s="573"/>
      <c r="IAA17" s="573"/>
      <c r="IAB17" s="573"/>
      <c r="IAC17" s="573"/>
      <c r="IAD17" s="573"/>
      <c r="IAE17" s="573"/>
      <c r="IAF17" s="573"/>
      <c r="IAG17" s="573"/>
      <c r="IAH17" s="573"/>
      <c r="IAI17" s="573"/>
      <c r="IAJ17" s="573"/>
      <c r="IAK17" s="573"/>
      <c r="IAL17" s="573"/>
      <c r="IAM17" s="573"/>
      <c r="IAN17" s="573"/>
      <c r="IAO17" s="573"/>
      <c r="IAP17" s="573"/>
      <c r="IAQ17" s="573"/>
      <c r="IAR17" s="573"/>
      <c r="IAS17" s="573"/>
      <c r="IAT17" s="573"/>
      <c r="IAU17" s="573"/>
      <c r="IAV17" s="573"/>
      <c r="IAW17" s="573"/>
      <c r="IAX17" s="573"/>
      <c r="IAY17" s="573"/>
      <c r="IAZ17" s="573"/>
      <c r="IBA17" s="573"/>
      <c r="IBB17" s="573"/>
      <c r="IBC17" s="573"/>
      <c r="IBD17" s="573"/>
      <c r="IBE17" s="573"/>
      <c r="IBF17" s="573"/>
      <c r="IBG17" s="573"/>
      <c r="IBH17" s="573"/>
      <c r="IBI17" s="573"/>
      <c r="IBJ17" s="573"/>
      <c r="IBK17" s="573"/>
      <c r="IBL17" s="573"/>
      <c r="IBM17" s="573"/>
      <c r="IBN17" s="573"/>
      <c r="IBO17" s="573"/>
      <c r="IBP17" s="573"/>
      <c r="IBQ17" s="573"/>
      <c r="IBR17" s="573"/>
      <c r="IBS17" s="573"/>
      <c r="IBT17" s="573"/>
      <c r="IBU17" s="573"/>
      <c r="IBV17" s="573"/>
      <c r="IBW17" s="573"/>
      <c r="IBX17" s="573"/>
      <c r="IBY17" s="573"/>
      <c r="IBZ17" s="573"/>
      <c r="ICA17" s="573"/>
      <c r="ICB17" s="573"/>
      <c r="ICC17" s="573"/>
      <c r="ICD17" s="573"/>
      <c r="ICE17" s="573"/>
      <c r="ICF17" s="573"/>
      <c r="ICG17" s="573"/>
      <c r="ICH17" s="573"/>
      <c r="ICI17" s="573"/>
      <c r="ICJ17" s="573"/>
      <c r="ICK17" s="573"/>
      <c r="ICL17" s="573"/>
      <c r="ICM17" s="573"/>
      <c r="ICN17" s="573"/>
      <c r="ICO17" s="573"/>
      <c r="ICP17" s="573"/>
      <c r="ICQ17" s="573"/>
      <c r="ICR17" s="573"/>
      <c r="ICS17" s="573"/>
      <c r="ICT17" s="573"/>
      <c r="ICU17" s="573"/>
      <c r="ICV17" s="573"/>
      <c r="ICW17" s="573"/>
      <c r="ICX17" s="573"/>
      <c r="ICY17" s="573"/>
      <c r="ICZ17" s="573"/>
      <c r="IDA17" s="573"/>
      <c r="IDB17" s="573"/>
      <c r="IDC17" s="573"/>
      <c r="IDD17" s="573"/>
      <c r="IDE17" s="573"/>
      <c r="IDF17" s="573"/>
      <c r="IDG17" s="573"/>
      <c r="IDH17" s="573"/>
      <c r="IDI17" s="573"/>
      <c r="IDJ17" s="573"/>
      <c r="IDK17" s="573"/>
      <c r="IDL17" s="573"/>
      <c r="IDM17" s="573"/>
      <c r="IDN17" s="573"/>
      <c r="IDO17" s="573"/>
      <c r="IDP17" s="573"/>
      <c r="IDQ17" s="573"/>
      <c r="IDR17" s="573"/>
      <c r="IDS17" s="573"/>
      <c r="IDT17" s="573"/>
      <c r="IDU17" s="573"/>
      <c r="IDV17" s="573"/>
      <c r="IDW17" s="573"/>
      <c r="IDX17" s="573"/>
      <c r="IDY17" s="573"/>
      <c r="IDZ17" s="573"/>
      <c r="IEA17" s="573"/>
      <c r="IEB17" s="573"/>
      <c r="IEC17" s="573"/>
      <c r="IED17" s="573"/>
      <c r="IEE17" s="573"/>
      <c r="IEF17" s="573"/>
      <c r="IEG17" s="573"/>
      <c r="IEH17" s="573"/>
      <c r="IEI17" s="573"/>
      <c r="IEJ17" s="573"/>
      <c r="IEK17" s="573"/>
      <c r="IEL17" s="573"/>
      <c r="IEM17" s="573"/>
      <c r="IEN17" s="573"/>
      <c r="IEO17" s="573"/>
      <c r="IEP17" s="573"/>
      <c r="IEQ17" s="573"/>
      <c r="IER17" s="573"/>
      <c r="IES17" s="573"/>
      <c r="IET17" s="573"/>
      <c r="IEU17" s="573"/>
      <c r="IEV17" s="573"/>
      <c r="IEW17" s="573"/>
      <c r="IEX17" s="573"/>
      <c r="IEY17" s="573"/>
      <c r="IEZ17" s="573"/>
      <c r="IFA17" s="573"/>
      <c r="IFB17" s="573"/>
      <c r="IFC17" s="573"/>
      <c r="IFD17" s="573"/>
      <c r="IFE17" s="573"/>
      <c r="IFF17" s="573"/>
      <c r="IFG17" s="573"/>
      <c r="IFH17" s="573"/>
      <c r="IFI17" s="573"/>
      <c r="IFJ17" s="573"/>
      <c r="IFK17" s="573"/>
      <c r="IFL17" s="573"/>
      <c r="IFM17" s="573"/>
      <c r="IFN17" s="573"/>
      <c r="IFO17" s="573"/>
      <c r="IFP17" s="573"/>
      <c r="IFQ17" s="573"/>
      <c r="IFR17" s="573"/>
      <c r="IFS17" s="573"/>
      <c r="IFT17" s="573"/>
      <c r="IFU17" s="573"/>
      <c r="IFV17" s="573"/>
      <c r="IFW17" s="573"/>
      <c r="IFX17" s="573"/>
      <c r="IFY17" s="573"/>
      <c r="IFZ17" s="573"/>
      <c r="IGA17" s="573"/>
      <c r="IGB17" s="573"/>
      <c r="IGC17" s="573"/>
      <c r="IGD17" s="573"/>
      <c r="IGE17" s="573"/>
      <c r="IGF17" s="573"/>
      <c r="IGG17" s="573"/>
      <c r="IGH17" s="573"/>
      <c r="IGI17" s="573"/>
      <c r="IGJ17" s="573"/>
      <c r="IGK17" s="573"/>
      <c r="IGL17" s="573"/>
      <c r="IGM17" s="573"/>
      <c r="IGN17" s="573"/>
      <c r="IGO17" s="573"/>
      <c r="IGP17" s="573"/>
      <c r="IGQ17" s="573"/>
      <c r="IGR17" s="573"/>
      <c r="IGS17" s="573"/>
      <c r="IGT17" s="573"/>
      <c r="IGU17" s="573"/>
      <c r="IGV17" s="573"/>
      <c r="IGW17" s="573"/>
      <c r="IGX17" s="573"/>
      <c r="IGY17" s="573"/>
      <c r="IGZ17" s="573"/>
      <c r="IHA17" s="573"/>
      <c r="IHB17" s="573"/>
      <c r="IHC17" s="573"/>
      <c r="IHD17" s="573"/>
      <c r="IHE17" s="573"/>
      <c r="IHF17" s="573"/>
      <c r="IHG17" s="573"/>
      <c r="IHH17" s="573"/>
      <c r="IHI17" s="573"/>
      <c r="IHJ17" s="573"/>
      <c r="IHK17" s="573"/>
      <c r="IHL17" s="573"/>
      <c r="IHM17" s="573"/>
      <c r="IHN17" s="573"/>
      <c r="IHO17" s="573"/>
      <c r="IHP17" s="573"/>
      <c r="IHQ17" s="573"/>
      <c r="IHR17" s="573"/>
      <c r="IHS17" s="573"/>
      <c r="IHT17" s="573"/>
      <c r="IHU17" s="573"/>
      <c r="IHV17" s="573"/>
      <c r="IHW17" s="573"/>
      <c r="IHX17" s="573"/>
      <c r="IHY17" s="573"/>
      <c r="IHZ17" s="573"/>
      <c r="IIA17" s="573"/>
      <c r="IIB17" s="573"/>
      <c r="IIC17" s="573"/>
      <c r="IID17" s="573"/>
      <c r="IIE17" s="573"/>
      <c r="IIF17" s="573"/>
      <c r="IIG17" s="573"/>
      <c r="IIH17" s="573"/>
      <c r="III17" s="573"/>
      <c r="IIJ17" s="573"/>
      <c r="IIK17" s="573"/>
      <c r="IIL17" s="573"/>
      <c r="IIM17" s="573"/>
      <c r="IIN17" s="573"/>
      <c r="IIO17" s="573"/>
      <c r="IIP17" s="573"/>
      <c r="IIQ17" s="573"/>
      <c r="IIR17" s="573"/>
      <c r="IIS17" s="573"/>
      <c r="IIT17" s="573"/>
      <c r="IIU17" s="573"/>
      <c r="IIV17" s="573"/>
      <c r="IIW17" s="573"/>
      <c r="IIX17" s="573"/>
      <c r="IIY17" s="573"/>
      <c r="IIZ17" s="573"/>
      <c r="IJA17" s="573"/>
      <c r="IJB17" s="573"/>
      <c r="IJC17" s="573"/>
      <c r="IJD17" s="573"/>
      <c r="IJE17" s="573"/>
      <c r="IJF17" s="573"/>
      <c r="IJG17" s="573"/>
      <c r="IJH17" s="573"/>
      <c r="IJI17" s="573"/>
      <c r="IJJ17" s="573"/>
      <c r="IJK17" s="573"/>
      <c r="IJL17" s="573"/>
      <c r="IJM17" s="573"/>
      <c r="IJN17" s="573"/>
      <c r="IJO17" s="573"/>
      <c r="IJP17" s="573"/>
      <c r="IJQ17" s="573"/>
      <c r="IJR17" s="573"/>
      <c r="IJS17" s="573"/>
      <c r="IJT17" s="573"/>
      <c r="IJU17" s="573"/>
      <c r="IJV17" s="573"/>
      <c r="IJW17" s="573"/>
      <c r="IJX17" s="573"/>
      <c r="IJY17" s="573"/>
      <c r="IJZ17" s="573"/>
      <c r="IKA17" s="573"/>
      <c r="IKB17" s="573"/>
      <c r="IKC17" s="573"/>
      <c r="IKD17" s="573"/>
      <c r="IKE17" s="573"/>
      <c r="IKF17" s="573"/>
      <c r="IKG17" s="573"/>
      <c r="IKH17" s="573"/>
      <c r="IKI17" s="573"/>
      <c r="IKJ17" s="573"/>
      <c r="IKK17" s="573"/>
      <c r="IKL17" s="573"/>
      <c r="IKM17" s="573"/>
      <c r="IKN17" s="573"/>
      <c r="IKO17" s="573"/>
      <c r="IKP17" s="573"/>
      <c r="IKQ17" s="573"/>
      <c r="IKR17" s="573"/>
      <c r="IKS17" s="573"/>
      <c r="IKT17" s="573"/>
      <c r="IKU17" s="573"/>
      <c r="IKV17" s="573"/>
      <c r="IKW17" s="573"/>
      <c r="IKX17" s="573"/>
      <c r="IKY17" s="573"/>
      <c r="IKZ17" s="573"/>
      <c r="ILA17" s="573"/>
      <c r="ILB17" s="573"/>
      <c r="ILC17" s="573"/>
      <c r="ILD17" s="573"/>
      <c r="ILE17" s="573"/>
      <c r="ILF17" s="573"/>
      <c r="ILG17" s="573"/>
      <c r="ILH17" s="573"/>
      <c r="ILI17" s="573"/>
      <c r="ILJ17" s="573"/>
      <c r="ILK17" s="573"/>
      <c r="ILL17" s="573"/>
      <c r="ILM17" s="573"/>
      <c r="ILN17" s="573"/>
      <c r="ILO17" s="573"/>
      <c r="ILP17" s="573"/>
      <c r="ILQ17" s="573"/>
      <c r="ILR17" s="573"/>
      <c r="ILS17" s="573"/>
      <c r="ILT17" s="573"/>
      <c r="ILU17" s="573"/>
      <c r="ILV17" s="573"/>
      <c r="ILW17" s="573"/>
      <c r="ILX17" s="573"/>
      <c r="ILY17" s="573"/>
      <c r="ILZ17" s="573"/>
      <c r="IMA17" s="573"/>
      <c r="IMB17" s="573"/>
      <c r="IMC17" s="573"/>
      <c r="IMD17" s="573"/>
      <c r="IME17" s="573"/>
      <c r="IMF17" s="573"/>
      <c r="IMG17" s="573"/>
      <c r="IMH17" s="573"/>
      <c r="IMI17" s="573"/>
      <c r="IMJ17" s="573"/>
      <c r="IMK17" s="573"/>
      <c r="IML17" s="573"/>
      <c r="IMM17" s="573"/>
      <c r="IMN17" s="573"/>
      <c r="IMO17" s="573"/>
      <c r="IMP17" s="573"/>
      <c r="IMQ17" s="573"/>
      <c r="IMR17" s="573"/>
      <c r="IMS17" s="573"/>
      <c r="IMT17" s="573"/>
      <c r="IMU17" s="573"/>
      <c r="IMV17" s="573"/>
      <c r="IMW17" s="573"/>
      <c r="IMX17" s="573"/>
      <c r="IMY17" s="573"/>
      <c r="IMZ17" s="573"/>
      <c r="INA17" s="573"/>
      <c r="INB17" s="573"/>
      <c r="INC17" s="573"/>
      <c r="IND17" s="573"/>
      <c r="INE17" s="573"/>
      <c r="INF17" s="573"/>
      <c r="ING17" s="573"/>
      <c r="INH17" s="573"/>
      <c r="INI17" s="573"/>
      <c r="INJ17" s="573"/>
      <c r="INK17" s="573"/>
      <c r="INL17" s="573"/>
      <c r="INM17" s="573"/>
      <c r="INN17" s="573"/>
      <c r="INO17" s="573"/>
      <c r="INP17" s="573"/>
      <c r="INQ17" s="573"/>
      <c r="INR17" s="573"/>
      <c r="INS17" s="573"/>
      <c r="INT17" s="573"/>
      <c r="INU17" s="573"/>
      <c r="INV17" s="573"/>
      <c r="INW17" s="573"/>
      <c r="INX17" s="573"/>
      <c r="INY17" s="573"/>
      <c r="INZ17" s="573"/>
      <c r="IOA17" s="573"/>
      <c r="IOB17" s="573"/>
      <c r="IOC17" s="573"/>
      <c r="IOD17" s="573"/>
      <c r="IOE17" s="573"/>
      <c r="IOF17" s="573"/>
      <c r="IOG17" s="573"/>
      <c r="IOH17" s="573"/>
      <c r="IOI17" s="573"/>
      <c r="IOJ17" s="573"/>
      <c r="IOK17" s="573"/>
      <c r="IOL17" s="573"/>
      <c r="IOM17" s="573"/>
      <c r="ION17" s="573"/>
      <c r="IOO17" s="573"/>
      <c r="IOP17" s="573"/>
      <c r="IOQ17" s="573"/>
      <c r="IOR17" s="573"/>
      <c r="IOS17" s="573"/>
      <c r="IOT17" s="573"/>
      <c r="IOU17" s="573"/>
      <c r="IOV17" s="573"/>
      <c r="IOW17" s="573"/>
      <c r="IOX17" s="573"/>
      <c r="IOY17" s="573"/>
      <c r="IOZ17" s="573"/>
      <c r="IPA17" s="573"/>
      <c r="IPB17" s="573"/>
      <c r="IPC17" s="573"/>
      <c r="IPD17" s="573"/>
      <c r="IPE17" s="573"/>
      <c r="IPF17" s="573"/>
      <c r="IPG17" s="573"/>
      <c r="IPH17" s="573"/>
      <c r="IPI17" s="573"/>
      <c r="IPJ17" s="573"/>
      <c r="IPK17" s="573"/>
      <c r="IPL17" s="573"/>
      <c r="IPM17" s="573"/>
      <c r="IPN17" s="573"/>
      <c r="IPO17" s="573"/>
      <c r="IPP17" s="573"/>
      <c r="IPQ17" s="573"/>
      <c r="IPR17" s="573"/>
      <c r="IPS17" s="573"/>
      <c r="IPT17" s="573"/>
      <c r="IPU17" s="573"/>
      <c r="IPV17" s="573"/>
      <c r="IPW17" s="573"/>
      <c r="IPX17" s="573"/>
      <c r="IPY17" s="573"/>
      <c r="IPZ17" s="573"/>
      <c r="IQA17" s="573"/>
      <c r="IQB17" s="573"/>
      <c r="IQC17" s="573"/>
      <c r="IQD17" s="573"/>
      <c r="IQE17" s="573"/>
      <c r="IQF17" s="573"/>
      <c r="IQG17" s="573"/>
      <c r="IQH17" s="573"/>
      <c r="IQI17" s="573"/>
      <c r="IQJ17" s="573"/>
      <c r="IQK17" s="573"/>
      <c r="IQL17" s="573"/>
      <c r="IQM17" s="573"/>
      <c r="IQN17" s="573"/>
      <c r="IQO17" s="573"/>
      <c r="IQP17" s="573"/>
      <c r="IQQ17" s="573"/>
      <c r="IQR17" s="573"/>
      <c r="IQS17" s="573"/>
      <c r="IQT17" s="573"/>
      <c r="IQU17" s="573"/>
      <c r="IQV17" s="573"/>
      <c r="IQW17" s="573"/>
      <c r="IQX17" s="573"/>
      <c r="IQY17" s="573"/>
      <c r="IQZ17" s="573"/>
      <c r="IRA17" s="573"/>
      <c r="IRB17" s="573"/>
      <c r="IRC17" s="573"/>
      <c r="IRD17" s="573"/>
      <c r="IRE17" s="573"/>
      <c r="IRF17" s="573"/>
      <c r="IRG17" s="573"/>
      <c r="IRH17" s="573"/>
      <c r="IRI17" s="573"/>
      <c r="IRJ17" s="573"/>
      <c r="IRK17" s="573"/>
      <c r="IRL17" s="573"/>
      <c r="IRM17" s="573"/>
      <c r="IRN17" s="573"/>
      <c r="IRO17" s="573"/>
      <c r="IRP17" s="573"/>
      <c r="IRQ17" s="573"/>
      <c r="IRR17" s="573"/>
      <c r="IRS17" s="573"/>
      <c r="IRT17" s="573"/>
      <c r="IRU17" s="573"/>
      <c r="IRV17" s="573"/>
      <c r="IRW17" s="573"/>
      <c r="IRX17" s="573"/>
      <c r="IRY17" s="573"/>
      <c r="IRZ17" s="573"/>
      <c r="ISA17" s="573"/>
      <c r="ISB17" s="573"/>
      <c r="ISC17" s="573"/>
      <c r="ISD17" s="573"/>
      <c r="ISE17" s="573"/>
      <c r="ISF17" s="573"/>
      <c r="ISG17" s="573"/>
      <c r="ISH17" s="573"/>
      <c r="ISI17" s="573"/>
      <c r="ISJ17" s="573"/>
      <c r="ISK17" s="573"/>
      <c r="ISL17" s="573"/>
      <c r="ISM17" s="573"/>
      <c r="ISN17" s="573"/>
      <c r="ISO17" s="573"/>
      <c r="ISP17" s="573"/>
      <c r="ISQ17" s="573"/>
      <c r="ISR17" s="573"/>
      <c r="ISS17" s="573"/>
      <c r="IST17" s="573"/>
      <c r="ISU17" s="573"/>
      <c r="ISV17" s="573"/>
      <c r="ISW17" s="573"/>
      <c r="ISX17" s="573"/>
      <c r="ISY17" s="573"/>
      <c r="ISZ17" s="573"/>
      <c r="ITA17" s="573"/>
      <c r="ITB17" s="573"/>
      <c r="ITC17" s="573"/>
      <c r="ITD17" s="573"/>
      <c r="ITE17" s="573"/>
      <c r="ITF17" s="573"/>
      <c r="ITG17" s="573"/>
      <c r="ITH17" s="573"/>
      <c r="ITI17" s="573"/>
      <c r="ITJ17" s="573"/>
      <c r="ITK17" s="573"/>
      <c r="ITL17" s="573"/>
      <c r="ITM17" s="573"/>
      <c r="ITN17" s="573"/>
      <c r="ITO17" s="573"/>
      <c r="ITP17" s="573"/>
      <c r="ITQ17" s="573"/>
      <c r="ITR17" s="573"/>
      <c r="ITS17" s="573"/>
      <c r="ITT17" s="573"/>
      <c r="ITU17" s="573"/>
      <c r="ITV17" s="573"/>
      <c r="ITW17" s="573"/>
      <c r="ITX17" s="573"/>
      <c r="ITY17" s="573"/>
      <c r="ITZ17" s="573"/>
      <c r="IUA17" s="573"/>
      <c r="IUB17" s="573"/>
      <c r="IUC17" s="573"/>
      <c r="IUD17" s="573"/>
      <c r="IUE17" s="573"/>
      <c r="IUF17" s="573"/>
      <c r="IUG17" s="573"/>
      <c r="IUH17" s="573"/>
      <c r="IUI17" s="573"/>
      <c r="IUJ17" s="573"/>
      <c r="IUK17" s="573"/>
      <c r="IUL17" s="573"/>
      <c r="IUM17" s="573"/>
      <c r="IUN17" s="573"/>
      <c r="IUO17" s="573"/>
      <c r="IUP17" s="573"/>
      <c r="IUQ17" s="573"/>
      <c r="IUR17" s="573"/>
      <c r="IUS17" s="573"/>
      <c r="IUT17" s="573"/>
      <c r="IUU17" s="573"/>
      <c r="IUV17" s="573"/>
      <c r="IUW17" s="573"/>
      <c r="IUX17" s="573"/>
      <c r="IUY17" s="573"/>
      <c r="IUZ17" s="573"/>
      <c r="IVA17" s="573"/>
      <c r="IVB17" s="573"/>
      <c r="IVC17" s="573"/>
      <c r="IVD17" s="573"/>
      <c r="IVE17" s="573"/>
      <c r="IVF17" s="573"/>
      <c r="IVG17" s="573"/>
      <c r="IVH17" s="573"/>
      <c r="IVI17" s="573"/>
      <c r="IVJ17" s="573"/>
      <c r="IVK17" s="573"/>
      <c r="IVL17" s="573"/>
      <c r="IVM17" s="573"/>
      <c r="IVN17" s="573"/>
      <c r="IVO17" s="573"/>
      <c r="IVP17" s="573"/>
      <c r="IVQ17" s="573"/>
      <c r="IVR17" s="573"/>
      <c r="IVS17" s="573"/>
      <c r="IVT17" s="573"/>
      <c r="IVU17" s="573"/>
      <c r="IVV17" s="573"/>
      <c r="IVW17" s="573"/>
      <c r="IVX17" s="573"/>
      <c r="IVY17" s="573"/>
      <c r="IVZ17" s="573"/>
      <c r="IWA17" s="573"/>
      <c r="IWB17" s="573"/>
      <c r="IWC17" s="573"/>
      <c r="IWD17" s="573"/>
      <c r="IWE17" s="573"/>
      <c r="IWF17" s="573"/>
      <c r="IWG17" s="573"/>
      <c r="IWH17" s="573"/>
      <c r="IWI17" s="573"/>
      <c r="IWJ17" s="573"/>
      <c r="IWK17" s="573"/>
      <c r="IWL17" s="573"/>
      <c r="IWM17" s="573"/>
      <c r="IWN17" s="573"/>
      <c r="IWO17" s="573"/>
      <c r="IWP17" s="573"/>
      <c r="IWQ17" s="573"/>
      <c r="IWR17" s="573"/>
      <c r="IWS17" s="573"/>
      <c r="IWT17" s="573"/>
      <c r="IWU17" s="573"/>
      <c r="IWV17" s="573"/>
      <c r="IWW17" s="573"/>
      <c r="IWX17" s="573"/>
      <c r="IWY17" s="573"/>
      <c r="IWZ17" s="573"/>
      <c r="IXA17" s="573"/>
      <c r="IXB17" s="573"/>
      <c r="IXC17" s="573"/>
      <c r="IXD17" s="573"/>
      <c r="IXE17" s="573"/>
      <c r="IXF17" s="573"/>
      <c r="IXG17" s="573"/>
      <c r="IXH17" s="573"/>
      <c r="IXI17" s="573"/>
      <c r="IXJ17" s="573"/>
      <c r="IXK17" s="573"/>
      <c r="IXL17" s="573"/>
      <c r="IXM17" s="573"/>
      <c r="IXN17" s="573"/>
      <c r="IXO17" s="573"/>
      <c r="IXP17" s="573"/>
      <c r="IXQ17" s="573"/>
      <c r="IXR17" s="573"/>
      <c r="IXS17" s="573"/>
      <c r="IXT17" s="573"/>
      <c r="IXU17" s="573"/>
      <c r="IXV17" s="573"/>
      <c r="IXW17" s="573"/>
      <c r="IXX17" s="573"/>
      <c r="IXY17" s="573"/>
      <c r="IXZ17" s="573"/>
      <c r="IYA17" s="573"/>
      <c r="IYB17" s="573"/>
      <c r="IYC17" s="573"/>
      <c r="IYD17" s="573"/>
      <c r="IYE17" s="573"/>
      <c r="IYF17" s="573"/>
      <c r="IYG17" s="573"/>
      <c r="IYH17" s="573"/>
      <c r="IYI17" s="573"/>
      <c r="IYJ17" s="573"/>
      <c r="IYK17" s="573"/>
      <c r="IYL17" s="573"/>
      <c r="IYM17" s="573"/>
      <c r="IYN17" s="573"/>
      <c r="IYO17" s="573"/>
      <c r="IYP17" s="573"/>
      <c r="IYQ17" s="573"/>
      <c r="IYR17" s="573"/>
      <c r="IYS17" s="573"/>
      <c r="IYT17" s="573"/>
      <c r="IYU17" s="573"/>
      <c r="IYV17" s="573"/>
      <c r="IYW17" s="573"/>
      <c r="IYX17" s="573"/>
      <c r="IYY17" s="573"/>
      <c r="IYZ17" s="573"/>
      <c r="IZA17" s="573"/>
      <c r="IZB17" s="573"/>
      <c r="IZC17" s="573"/>
      <c r="IZD17" s="573"/>
      <c r="IZE17" s="573"/>
      <c r="IZF17" s="573"/>
      <c r="IZG17" s="573"/>
      <c r="IZH17" s="573"/>
      <c r="IZI17" s="573"/>
      <c r="IZJ17" s="573"/>
      <c r="IZK17" s="573"/>
      <c r="IZL17" s="573"/>
      <c r="IZM17" s="573"/>
      <c r="IZN17" s="573"/>
      <c r="IZO17" s="573"/>
      <c r="IZP17" s="573"/>
      <c r="IZQ17" s="573"/>
      <c r="IZR17" s="573"/>
      <c r="IZS17" s="573"/>
      <c r="IZT17" s="573"/>
      <c r="IZU17" s="573"/>
      <c r="IZV17" s="573"/>
      <c r="IZW17" s="573"/>
      <c r="IZX17" s="573"/>
      <c r="IZY17" s="573"/>
      <c r="IZZ17" s="573"/>
      <c r="JAA17" s="573"/>
      <c r="JAB17" s="573"/>
      <c r="JAC17" s="573"/>
      <c r="JAD17" s="573"/>
      <c r="JAE17" s="573"/>
      <c r="JAF17" s="573"/>
      <c r="JAG17" s="573"/>
      <c r="JAH17" s="573"/>
      <c r="JAI17" s="573"/>
      <c r="JAJ17" s="573"/>
      <c r="JAK17" s="573"/>
      <c r="JAL17" s="573"/>
      <c r="JAM17" s="573"/>
      <c r="JAN17" s="573"/>
      <c r="JAO17" s="573"/>
      <c r="JAP17" s="573"/>
      <c r="JAQ17" s="573"/>
      <c r="JAR17" s="573"/>
      <c r="JAS17" s="573"/>
      <c r="JAT17" s="573"/>
      <c r="JAU17" s="573"/>
      <c r="JAV17" s="573"/>
      <c r="JAW17" s="573"/>
      <c r="JAX17" s="573"/>
      <c r="JAY17" s="573"/>
      <c r="JAZ17" s="573"/>
      <c r="JBA17" s="573"/>
      <c r="JBB17" s="573"/>
      <c r="JBC17" s="573"/>
      <c r="JBD17" s="573"/>
      <c r="JBE17" s="573"/>
      <c r="JBF17" s="573"/>
      <c r="JBG17" s="573"/>
      <c r="JBH17" s="573"/>
      <c r="JBI17" s="573"/>
      <c r="JBJ17" s="573"/>
      <c r="JBK17" s="573"/>
      <c r="JBL17" s="573"/>
      <c r="JBM17" s="573"/>
      <c r="JBN17" s="573"/>
      <c r="JBO17" s="573"/>
      <c r="JBP17" s="573"/>
      <c r="JBQ17" s="573"/>
      <c r="JBR17" s="573"/>
      <c r="JBS17" s="573"/>
      <c r="JBT17" s="573"/>
      <c r="JBU17" s="573"/>
      <c r="JBV17" s="573"/>
      <c r="JBW17" s="573"/>
      <c r="JBX17" s="573"/>
      <c r="JBY17" s="573"/>
      <c r="JBZ17" s="573"/>
      <c r="JCA17" s="573"/>
      <c r="JCB17" s="573"/>
      <c r="JCC17" s="573"/>
      <c r="JCD17" s="573"/>
      <c r="JCE17" s="573"/>
      <c r="JCF17" s="573"/>
      <c r="JCG17" s="573"/>
      <c r="JCH17" s="573"/>
      <c r="JCI17" s="573"/>
      <c r="JCJ17" s="573"/>
      <c r="JCK17" s="573"/>
      <c r="JCL17" s="573"/>
      <c r="JCM17" s="573"/>
      <c r="JCN17" s="573"/>
      <c r="JCO17" s="573"/>
      <c r="JCP17" s="573"/>
      <c r="JCQ17" s="573"/>
      <c r="JCR17" s="573"/>
      <c r="JCS17" s="573"/>
      <c r="JCT17" s="573"/>
      <c r="JCU17" s="573"/>
      <c r="JCV17" s="573"/>
      <c r="JCW17" s="573"/>
      <c r="JCX17" s="573"/>
      <c r="JCY17" s="573"/>
      <c r="JCZ17" s="573"/>
      <c r="JDA17" s="573"/>
      <c r="JDB17" s="573"/>
      <c r="JDC17" s="573"/>
      <c r="JDD17" s="573"/>
      <c r="JDE17" s="573"/>
      <c r="JDF17" s="573"/>
      <c r="JDG17" s="573"/>
      <c r="JDH17" s="573"/>
      <c r="JDI17" s="573"/>
      <c r="JDJ17" s="573"/>
      <c r="JDK17" s="573"/>
      <c r="JDL17" s="573"/>
      <c r="JDM17" s="573"/>
      <c r="JDN17" s="573"/>
      <c r="JDO17" s="573"/>
      <c r="JDP17" s="573"/>
      <c r="JDQ17" s="573"/>
      <c r="JDR17" s="573"/>
      <c r="JDS17" s="573"/>
      <c r="JDT17" s="573"/>
      <c r="JDU17" s="573"/>
      <c r="JDV17" s="573"/>
      <c r="JDW17" s="573"/>
      <c r="JDX17" s="573"/>
      <c r="JDY17" s="573"/>
      <c r="JDZ17" s="573"/>
      <c r="JEA17" s="573"/>
      <c r="JEB17" s="573"/>
      <c r="JEC17" s="573"/>
      <c r="JED17" s="573"/>
      <c r="JEE17" s="573"/>
      <c r="JEF17" s="573"/>
      <c r="JEG17" s="573"/>
      <c r="JEH17" s="573"/>
      <c r="JEI17" s="573"/>
      <c r="JEJ17" s="573"/>
      <c r="JEK17" s="573"/>
      <c r="JEL17" s="573"/>
      <c r="JEM17" s="573"/>
      <c r="JEN17" s="573"/>
      <c r="JEO17" s="573"/>
      <c r="JEP17" s="573"/>
      <c r="JEQ17" s="573"/>
      <c r="JER17" s="573"/>
      <c r="JES17" s="573"/>
      <c r="JET17" s="573"/>
      <c r="JEU17" s="573"/>
      <c r="JEV17" s="573"/>
      <c r="JEW17" s="573"/>
      <c r="JEX17" s="573"/>
      <c r="JEY17" s="573"/>
      <c r="JEZ17" s="573"/>
      <c r="JFA17" s="573"/>
      <c r="JFB17" s="573"/>
      <c r="JFC17" s="573"/>
      <c r="JFD17" s="573"/>
      <c r="JFE17" s="573"/>
      <c r="JFF17" s="573"/>
      <c r="JFG17" s="573"/>
      <c r="JFH17" s="573"/>
      <c r="JFI17" s="573"/>
      <c r="JFJ17" s="573"/>
      <c r="JFK17" s="573"/>
      <c r="JFL17" s="573"/>
      <c r="JFM17" s="573"/>
      <c r="JFN17" s="573"/>
      <c r="JFO17" s="573"/>
      <c r="JFP17" s="573"/>
      <c r="JFQ17" s="573"/>
      <c r="JFR17" s="573"/>
      <c r="JFS17" s="573"/>
      <c r="JFT17" s="573"/>
      <c r="JFU17" s="573"/>
      <c r="JFV17" s="573"/>
      <c r="JFW17" s="573"/>
      <c r="JFX17" s="573"/>
      <c r="JFY17" s="573"/>
      <c r="JFZ17" s="573"/>
      <c r="JGA17" s="573"/>
      <c r="JGB17" s="573"/>
      <c r="JGC17" s="573"/>
      <c r="JGD17" s="573"/>
      <c r="JGE17" s="573"/>
      <c r="JGF17" s="573"/>
      <c r="JGG17" s="573"/>
      <c r="JGH17" s="573"/>
      <c r="JGI17" s="573"/>
      <c r="JGJ17" s="573"/>
      <c r="JGK17" s="573"/>
      <c r="JGL17" s="573"/>
      <c r="JGM17" s="573"/>
      <c r="JGN17" s="573"/>
      <c r="JGO17" s="573"/>
      <c r="JGP17" s="573"/>
      <c r="JGQ17" s="573"/>
      <c r="JGR17" s="573"/>
      <c r="JGS17" s="573"/>
      <c r="JGT17" s="573"/>
      <c r="JGU17" s="573"/>
      <c r="JGV17" s="573"/>
      <c r="JGW17" s="573"/>
      <c r="JGX17" s="573"/>
      <c r="JGY17" s="573"/>
      <c r="JGZ17" s="573"/>
      <c r="JHA17" s="573"/>
      <c r="JHB17" s="573"/>
      <c r="JHC17" s="573"/>
      <c r="JHD17" s="573"/>
      <c r="JHE17" s="573"/>
      <c r="JHF17" s="573"/>
      <c r="JHG17" s="573"/>
      <c r="JHH17" s="573"/>
      <c r="JHI17" s="573"/>
      <c r="JHJ17" s="573"/>
      <c r="JHK17" s="573"/>
      <c r="JHL17" s="573"/>
      <c r="JHM17" s="573"/>
      <c r="JHN17" s="573"/>
      <c r="JHO17" s="573"/>
      <c r="JHP17" s="573"/>
      <c r="JHQ17" s="573"/>
      <c r="JHR17" s="573"/>
      <c r="JHS17" s="573"/>
      <c r="JHT17" s="573"/>
      <c r="JHU17" s="573"/>
      <c r="JHV17" s="573"/>
      <c r="JHW17" s="573"/>
      <c r="JHX17" s="573"/>
      <c r="JHY17" s="573"/>
      <c r="JHZ17" s="573"/>
      <c r="JIA17" s="573"/>
      <c r="JIB17" s="573"/>
      <c r="JIC17" s="573"/>
      <c r="JID17" s="573"/>
      <c r="JIE17" s="573"/>
      <c r="JIF17" s="573"/>
      <c r="JIG17" s="573"/>
      <c r="JIH17" s="573"/>
      <c r="JII17" s="573"/>
      <c r="JIJ17" s="573"/>
      <c r="JIK17" s="573"/>
      <c r="JIL17" s="573"/>
      <c r="JIM17" s="573"/>
      <c r="JIN17" s="573"/>
      <c r="JIO17" s="573"/>
      <c r="JIP17" s="573"/>
      <c r="JIQ17" s="573"/>
      <c r="JIR17" s="573"/>
      <c r="JIS17" s="573"/>
      <c r="JIT17" s="573"/>
      <c r="JIU17" s="573"/>
      <c r="JIV17" s="573"/>
      <c r="JIW17" s="573"/>
      <c r="JIX17" s="573"/>
      <c r="JIY17" s="573"/>
      <c r="JIZ17" s="573"/>
      <c r="JJA17" s="573"/>
      <c r="JJB17" s="573"/>
      <c r="JJC17" s="573"/>
      <c r="JJD17" s="573"/>
      <c r="JJE17" s="573"/>
      <c r="JJF17" s="573"/>
      <c r="JJG17" s="573"/>
      <c r="JJH17" s="573"/>
      <c r="JJI17" s="573"/>
      <c r="JJJ17" s="573"/>
      <c r="JJK17" s="573"/>
      <c r="JJL17" s="573"/>
      <c r="JJM17" s="573"/>
      <c r="JJN17" s="573"/>
      <c r="JJO17" s="573"/>
      <c r="JJP17" s="573"/>
      <c r="JJQ17" s="573"/>
      <c r="JJR17" s="573"/>
      <c r="JJS17" s="573"/>
      <c r="JJT17" s="573"/>
      <c r="JJU17" s="573"/>
      <c r="JJV17" s="573"/>
      <c r="JJW17" s="573"/>
      <c r="JJX17" s="573"/>
      <c r="JJY17" s="573"/>
      <c r="JJZ17" s="573"/>
      <c r="JKA17" s="573"/>
      <c r="JKB17" s="573"/>
      <c r="JKC17" s="573"/>
      <c r="JKD17" s="573"/>
      <c r="JKE17" s="573"/>
      <c r="JKF17" s="573"/>
      <c r="JKG17" s="573"/>
      <c r="JKH17" s="573"/>
      <c r="JKI17" s="573"/>
      <c r="JKJ17" s="573"/>
      <c r="JKK17" s="573"/>
      <c r="JKL17" s="573"/>
      <c r="JKM17" s="573"/>
      <c r="JKN17" s="573"/>
      <c r="JKO17" s="573"/>
      <c r="JKP17" s="573"/>
      <c r="JKQ17" s="573"/>
      <c r="JKR17" s="573"/>
      <c r="JKS17" s="573"/>
      <c r="JKT17" s="573"/>
      <c r="JKU17" s="573"/>
      <c r="JKV17" s="573"/>
      <c r="JKW17" s="573"/>
      <c r="JKX17" s="573"/>
      <c r="JKY17" s="573"/>
      <c r="JKZ17" s="573"/>
      <c r="JLA17" s="573"/>
      <c r="JLB17" s="573"/>
      <c r="JLC17" s="573"/>
      <c r="JLD17" s="573"/>
      <c r="JLE17" s="573"/>
      <c r="JLF17" s="573"/>
      <c r="JLG17" s="573"/>
      <c r="JLH17" s="573"/>
      <c r="JLI17" s="573"/>
      <c r="JLJ17" s="573"/>
      <c r="JLK17" s="573"/>
      <c r="JLL17" s="573"/>
      <c r="JLM17" s="573"/>
      <c r="JLN17" s="573"/>
      <c r="JLO17" s="573"/>
      <c r="JLP17" s="573"/>
      <c r="JLQ17" s="573"/>
      <c r="JLR17" s="573"/>
      <c r="JLS17" s="573"/>
      <c r="JLT17" s="573"/>
      <c r="JLU17" s="573"/>
      <c r="JLV17" s="573"/>
      <c r="JLW17" s="573"/>
      <c r="JLX17" s="573"/>
      <c r="JLY17" s="573"/>
      <c r="JLZ17" s="573"/>
      <c r="JMA17" s="573"/>
      <c r="JMB17" s="573"/>
      <c r="JMC17" s="573"/>
      <c r="JMD17" s="573"/>
      <c r="JME17" s="573"/>
      <c r="JMF17" s="573"/>
      <c r="JMG17" s="573"/>
      <c r="JMH17" s="573"/>
      <c r="JMI17" s="573"/>
      <c r="JMJ17" s="573"/>
      <c r="JMK17" s="573"/>
      <c r="JML17" s="573"/>
      <c r="JMM17" s="573"/>
      <c r="JMN17" s="573"/>
      <c r="JMO17" s="573"/>
      <c r="JMP17" s="573"/>
      <c r="JMQ17" s="573"/>
      <c r="JMR17" s="573"/>
      <c r="JMS17" s="573"/>
      <c r="JMT17" s="573"/>
      <c r="JMU17" s="573"/>
      <c r="JMV17" s="573"/>
      <c r="JMW17" s="573"/>
      <c r="JMX17" s="573"/>
      <c r="JMY17" s="573"/>
      <c r="JMZ17" s="573"/>
      <c r="JNA17" s="573"/>
      <c r="JNB17" s="573"/>
      <c r="JNC17" s="573"/>
      <c r="JND17" s="573"/>
      <c r="JNE17" s="573"/>
      <c r="JNF17" s="573"/>
      <c r="JNG17" s="573"/>
      <c r="JNH17" s="573"/>
      <c r="JNI17" s="573"/>
      <c r="JNJ17" s="573"/>
      <c r="JNK17" s="573"/>
      <c r="JNL17" s="573"/>
      <c r="JNM17" s="573"/>
      <c r="JNN17" s="573"/>
      <c r="JNO17" s="573"/>
      <c r="JNP17" s="573"/>
      <c r="JNQ17" s="573"/>
      <c r="JNR17" s="573"/>
      <c r="JNS17" s="573"/>
      <c r="JNT17" s="573"/>
      <c r="JNU17" s="573"/>
      <c r="JNV17" s="573"/>
      <c r="JNW17" s="573"/>
      <c r="JNX17" s="573"/>
      <c r="JNY17" s="573"/>
      <c r="JNZ17" s="573"/>
      <c r="JOA17" s="573"/>
      <c r="JOB17" s="573"/>
      <c r="JOC17" s="573"/>
      <c r="JOD17" s="573"/>
      <c r="JOE17" s="573"/>
      <c r="JOF17" s="573"/>
      <c r="JOG17" s="573"/>
      <c r="JOH17" s="573"/>
      <c r="JOI17" s="573"/>
      <c r="JOJ17" s="573"/>
      <c r="JOK17" s="573"/>
      <c r="JOL17" s="573"/>
      <c r="JOM17" s="573"/>
      <c r="JON17" s="573"/>
      <c r="JOO17" s="573"/>
      <c r="JOP17" s="573"/>
      <c r="JOQ17" s="573"/>
      <c r="JOR17" s="573"/>
      <c r="JOS17" s="573"/>
      <c r="JOT17" s="573"/>
      <c r="JOU17" s="573"/>
      <c r="JOV17" s="573"/>
      <c r="JOW17" s="573"/>
      <c r="JOX17" s="573"/>
      <c r="JOY17" s="573"/>
      <c r="JOZ17" s="573"/>
      <c r="JPA17" s="573"/>
      <c r="JPB17" s="573"/>
      <c r="JPC17" s="573"/>
      <c r="JPD17" s="573"/>
      <c r="JPE17" s="573"/>
      <c r="JPF17" s="573"/>
      <c r="JPG17" s="573"/>
      <c r="JPH17" s="573"/>
      <c r="JPI17" s="573"/>
      <c r="JPJ17" s="573"/>
      <c r="JPK17" s="573"/>
      <c r="JPL17" s="573"/>
      <c r="JPM17" s="573"/>
      <c r="JPN17" s="573"/>
      <c r="JPO17" s="573"/>
      <c r="JPP17" s="573"/>
      <c r="JPQ17" s="573"/>
      <c r="JPR17" s="573"/>
      <c r="JPS17" s="573"/>
      <c r="JPT17" s="573"/>
      <c r="JPU17" s="573"/>
      <c r="JPV17" s="573"/>
      <c r="JPW17" s="573"/>
      <c r="JPX17" s="573"/>
      <c r="JPY17" s="573"/>
      <c r="JPZ17" s="573"/>
      <c r="JQA17" s="573"/>
      <c r="JQB17" s="573"/>
      <c r="JQC17" s="573"/>
      <c r="JQD17" s="573"/>
      <c r="JQE17" s="573"/>
      <c r="JQF17" s="573"/>
      <c r="JQG17" s="573"/>
      <c r="JQH17" s="573"/>
      <c r="JQI17" s="573"/>
      <c r="JQJ17" s="573"/>
      <c r="JQK17" s="573"/>
      <c r="JQL17" s="573"/>
      <c r="JQM17" s="573"/>
      <c r="JQN17" s="573"/>
      <c r="JQO17" s="573"/>
      <c r="JQP17" s="573"/>
      <c r="JQQ17" s="573"/>
      <c r="JQR17" s="573"/>
      <c r="JQS17" s="573"/>
      <c r="JQT17" s="573"/>
      <c r="JQU17" s="573"/>
      <c r="JQV17" s="573"/>
      <c r="JQW17" s="573"/>
      <c r="JQX17" s="573"/>
      <c r="JQY17" s="573"/>
      <c r="JQZ17" s="573"/>
      <c r="JRA17" s="573"/>
      <c r="JRB17" s="573"/>
      <c r="JRC17" s="573"/>
      <c r="JRD17" s="573"/>
      <c r="JRE17" s="573"/>
      <c r="JRF17" s="573"/>
      <c r="JRG17" s="573"/>
      <c r="JRH17" s="573"/>
      <c r="JRI17" s="573"/>
      <c r="JRJ17" s="573"/>
      <c r="JRK17" s="573"/>
      <c r="JRL17" s="573"/>
      <c r="JRM17" s="573"/>
      <c r="JRN17" s="573"/>
      <c r="JRO17" s="573"/>
      <c r="JRP17" s="573"/>
      <c r="JRQ17" s="573"/>
      <c r="JRR17" s="573"/>
      <c r="JRS17" s="573"/>
      <c r="JRT17" s="573"/>
      <c r="JRU17" s="573"/>
      <c r="JRV17" s="573"/>
      <c r="JRW17" s="573"/>
      <c r="JRX17" s="573"/>
      <c r="JRY17" s="573"/>
      <c r="JRZ17" s="573"/>
      <c r="JSA17" s="573"/>
      <c r="JSB17" s="573"/>
      <c r="JSC17" s="573"/>
      <c r="JSD17" s="573"/>
      <c r="JSE17" s="573"/>
      <c r="JSF17" s="573"/>
      <c r="JSG17" s="573"/>
      <c r="JSH17" s="573"/>
      <c r="JSI17" s="573"/>
      <c r="JSJ17" s="573"/>
      <c r="JSK17" s="573"/>
      <c r="JSL17" s="573"/>
      <c r="JSM17" s="573"/>
      <c r="JSN17" s="573"/>
      <c r="JSO17" s="573"/>
      <c r="JSP17" s="573"/>
      <c r="JSQ17" s="573"/>
      <c r="JSR17" s="573"/>
      <c r="JSS17" s="573"/>
      <c r="JST17" s="573"/>
      <c r="JSU17" s="573"/>
      <c r="JSV17" s="573"/>
      <c r="JSW17" s="573"/>
      <c r="JSX17" s="573"/>
      <c r="JSY17" s="573"/>
      <c r="JSZ17" s="573"/>
      <c r="JTA17" s="573"/>
      <c r="JTB17" s="573"/>
      <c r="JTC17" s="573"/>
      <c r="JTD17" s="573"/>
      <c r="JTE17" s="573"/>
      <c r="JTF17" s="573"/>
      <c r="JTG17" s="573"/>
      <c r="JTH17" s="573"/>
      <c r="JTI17" s="573"/>
      <c r="JTJ17" s="573"/>
      <c r="JTK17" s="573"/>
      <c r="JTL17" s="573"/>
      <c r="JTM17" s="573"/>
      <c r="JTN17" s="573"/>
      <c r="JTO17" s="573"/>
      <c r="JTP17" s="573"/>
      <c r="JTQ17" s="573"/>
      <c r="JTR17" s="573"/>
      <c r="JTS17" s="573"/>
      <c r="JTT17" s="573"/>
      <c r="JTU17" s="573"/>
      <c r="JTV17" s="573"/>
      <c r="JTW17" s="573"/>
      <c r="JTX17" s="573"/>
      <c r="JTY17" s="573"/>
      <c r="JTZ17" s="573"/>
      <c r="JUA17" s="573"/>
      <c r="JUB17" s="573"/>
      <c r="JUC17" s="573"/>
      <c r="JUD17" s="573"/>
      <c r="JUE17" s="573"/>
      <c r="JUF17" s="573"/>
      <c r="JUG17" s="573"/>
      <c r="JUH17" s="573"/>
      <c r="JUI17" s="573"/>
      <c r="JUJ17" s="573"/>
      <c r="JUK17" s="573"/>
      <c r="JUL17" s="573"/>
      <c r="JUM17" s="573"/>
      <c r="JUN17" s="573"/>
      <c r="JUO17" s="573"/>
      <c r="JUP17" s="573"/>
      <c r="JUQ17" s="573"/>
      <c r="JUR17" s="573"/>
      <c r="JUS17" s="573"/>
      <c r="JUT17" s="573"/>
      <c r="JUU17" s="573"/>
      <c r="JUV17" s="573"/>
      <c r="JUW17" s="573"/>
      <c r="JUX17" s="573"/>
      <c r="JUY17" s="573"/>
      <c r="JUZ17" s="573"/>
      <c r="JVA17" s="573"/>
      <c r="JVB17" s="573"/>
      <c r="JVC17" s="573"/>
      <c r="JVD17" s="573"/>
      <c r="JVE17" s="573"/>
      <c r="JVF17" s="573"/>
      <c r="JVG17" s="573"/>
      <c r="JVH17" s="573"/>
      <c r="JVI17" s="573"/>
      <c r="JVJ17" s="573"/>
      <c r="JVK17" s="573"/>
      <c r="JVL17" s="573"/>
      <c r="JVM17" s="573"/>
      <c r="JVN17" s="573"/>
      <c r="JVO17" s="573"/>
      <c r="JVP17" s="573"/>
      <c r="JVQ17" s="573"/>
      <c r="JVR17" s="573"/>
      <c r="JVS17" s="573"/>
      <c r="JVT17" s="573"/>
      <c r="JVU17" s="573"/>
      <c r="JVV17" s="573"/>
      <c r="JVW17" s="573"/>
      <c r="JVX17" s="573"/>
      <c r="JVY17" s="573"/>
      <c r="JVZ17" s="573"/>
      <c r="JWA17" s="573"/>
      <c r="JWB17" s="573"/>
      <c r="JWC17" s="573"/>
      <c r="JWD17" s="573"/>
      <c r="JWE17" s="573"/>
      <c r="JWF17" s="573"/>
      <c r="JWG17" s="573"/>
      <c r="JWH17" s="573"/>
      <c r="JWI17" s="573"/>
      <c r="JWJ17" s="573"/>
      <c r="JWK17" s="573"/>
      <c r="JWL17" s="573"/>
      <c r="JWM17" s="573"/>
      <c r="JWN17" s="573"/>
      <c r="JWO17" s="573"/>
      <c r="JWP17" s="573"/>
      <c r="JWQ17" s="573"/>
      <c r="JWR17" s="573"/>
      <c r="JWS17" s="573"/>
      <c r="JWT17" s="573"/>
      <c r="JWU17" s="573"/>
      <c r="JWV17" s="573"/>
      <c r="JWW17" s="573"/>
      <c r="JWX17" s="573"/>
      <c r="JWY17" s="573"/>
      <c r="JWZ17" s="573"/>
      <c r="JXA17" s="573"/>
      <c r="JXB17" s="573"/>
      <c r="JXC17" s="573"/>
      <c r="JXD17" s="573"/>
      <c r="JXE17" s="573"/>
      <c r="JXF17" s="573"/>
      <c r="JXG17" s="573"/>
      <c r="JXH17" s="573"/>
      <c r="JXI17" s="573"/>
      <c r="JXJ17" s="573"/>
      <c r="JXK17" s="573"/>
      <c r="JXL17" s="573"/>
      <c r="JXM17" s="573"/>
      <c r="JXN17" s="573"/>
      <c r="JXO17" s="573"/>
      <c r="JXP17" s="573"/>
      <c r="JXQ17" s="573"/>
      <c r="JXR17" s="573"/>
      <c r="JXS17" s="573"/>
      <c r="JXT17" s="573"/>
      <c r="JXU17" s="573"/>
      <c r="JXV17" s="573"/>
      <c r="JXW17" s="573"/>
      <c r="JXX17" s="573"/>
      <c r="JXY17" s="573"/>
      <c r="JXZ17" s="573"/>
      <c r="JYA17" s="573"/>
      <c r="JYB17" s="573"/>
      <c r="JYC17" s="573"/>
      <c r="JYD17" s="573"/>
      <c r="JYE17" s="573"/>
      <c r="JYF17" s="573"/>
      <c r="JYG17" s="573"/>
      <c r="JYH17" s="573"/>
      <c r="JYI17" s="573"/>
      <c r="JYJ17" s="573"/>
      <c r="JYK17" s="573"/>
      <c r="JYL17" s="573"/>
      <c r="JYM17" s="573"/>
      <c r="JYN17" s="573"/>
      <c r="JYO17" s="573"/>
      <c r="JYP17" s="573"/>
      <c r="JYQ17" s="573"/>
      <c r="JYR17" s="573"/>
      <c r="JYS17" s="573"/>
      <c r="JYT17" s="573"/>
      <c r="JYU17" s="573"/>
      <c r="JYV17" s="573"/>
      <c r="JYW17" s="573"/>
      <c r="JYX17" s="573"/>
      <c r="JYY17" s="573"/>
      <c r="JYZ17" s="573"/>
      <c r="JZA17" s="573"/>
      <c r="JZB17" s="573"/>
      <c r="JZC17" s="573"/>
      <c r="JZD17" s="573"/>
      <c r="JZE17" s="573"/>
      <c r="JZF17" s="573"/>
      <c r="JZG17" s="573"/>
      <c r="JZH17" s="573"/>
      <c r="JZI17" s="573"/>
      <c r="JZJ17" s="573"/>
      <c r="JZK17" s="573"/>
      <c r="JZL17" s="573"/>
      <c r="JZM17" s="573"/>
      <c r="JZN17" s="573"/>
      <c r="JZO17" s="573"/>
      <c r="JZP17" s="573"/>
      <c r="JZQ17" s="573"/>
      <c r="JZR17" s="573"/>
      <c r="JZS17" s="573"/>
      <c r="JZT17" s="573"/>
      <c r="JZU17" s="573"/>
      <c r="JZV17" s="573"/>
      <c r="JZW17" s="573"/>
      <c r="JZX17" s="573"/>
      <c r="JZY17" s="573"/>
      <c r="JZZ17" s="573"/>
      <c r="KAA17" s="573"/>
      <c r="KAB17" s="573"/>
      <c r="KAC17" s="573"/>
      <c r="KAD17" s="573"/>
      <c r="KAE17" s="573"/>
      <c r="KAF17" s="573"/>
      <c r="KAG17" s="573"/>
      <c r="KAH17" s="573"/>
      <c r="KAI17" s="573"/>
      <c r="KAJ17" s="573"/>
      <c r="KAK17" s="573"/>
      <c r="KAL17" s="573"/>
      <c r="KAM17" s="573"/>
      <c r="KAN17" s="573"/>
      <c r="KAO17" s="573"/>
      <c r="KAP17" s="573"/>
      <c r="KAQ17" s="573"/>
      <c r="KAR17" s="573"/>
      <c r="KAS17" s="573"/>
      <c r="KAT17" s="573"/>
      <c r="KAU17" s="573"/>
      <c r="KAV17" s="573"/>
      <c r="KAW17" s="573"/>
      <c r="KAX17" s="573"/>
      <c r="KAY17" s="573"/>
      <c r="KAZ17" s="573"/>
      <c r="KBA17" s="573"/>
      <c r="KBB17" s="573"/>
      <c r="KBC17" s="573"/>
      <c r="KBD17" s="573"/>
      <c r="KBE17" s="573"/>
      <c r="KBF17" s="573"/>
      <c r="KBG17" s="573"/>
      <c r="KBH17" s="573"/>
      <c r="KBI17" s="573"/>
      <c r="KBJ17" s="573"/>
      <c r="KBK17" s="573"/>
      <c r="KBL17" s="573"/>
      <c r="KBM17" s="573"/>
      <c r="KBN17" s="573"/>
      <c r="KBO17" s="573"/>
      <c r="KBP17" s="573"/>
      <c r="KBQ17" s="573"/>
      <c r="KBR17" s="573"/>
      <c r="KBS17" s="573"/>
      <c r="KBT17" s="573"/>
      <c r="KBU17" s="573"/>
      <c r="KBV17" s="573"/>
      <c r="KBW17" s="573"/>
      <c r="KBX17" s="573"/>
      <c r="KBY17" s="573"/>
      <c r="KBZ17" s="573"/>
      <c r="KCA17" s="573"/>
      <c r="KCB17" s="573"/>
      <c r="KCC17" s="573"/>
      <c r="KCD17" s="573"/>
      <c r="KCE17" s="573"/>
      <c r="KCF17" s="573"/>
      <c r="KCG17" s="573"/>
      <c r="KCH17" s="573"/>
      <c r="KCI17" s="573"/>
      <c r="KCJ17" s="573"/>
      <c r="KCK17" s="573"/>
      <c r="KCL17" s="573"/>
      <c r="KCM17" s="573"/>
      <c r="KCN17" s="573"/>
      <c r="KCO17" s="573"/>
      <c r="KCP17" s="573"/>
      <c r="KCQ17" s="573"/>
      <c r="KCR17" s="573"/>
      <c r="KCS17" s="573"/>
      <c r="KCT17" s="573"/>
      <c r="KCU17" s="573"/>
      <c r="KCV17" s="573"/>
      <c r="KCW17" s="573"/>
      <c r="KCX17" s="573"/>
      <c r="KCY17" s="573"/>
      <c r="KCZ17" s="573"/>
      <c r="KDA17" s="573"/>
      <c r="KDB17" s="573"/>
      <c r="KDC17" s="573"/>
      <c r="KDD17" s="573"/>
      <c r="KDE17" s="573"/>
      <c r="KDF17" s="573"/>
      <c r="KDG17" s="573"/>
      <c r="KDH17" s="573"/>
      <c r="KDI17" s="573"/>
      <c r="KDJ17" s="573"/>
      <c r="KDK17" s="573"/>
      <c r="KDL17" s="573"/>
      <c r="KDM17" s="573"/>
      <c r="KDN17" s="573"/>
      <c r="KDO17" s="573"/>
      <c r="KDP17" s="573"/>
      <c r="KDQ17" s="573"/>
      <c r="KDR17" s="573"/>
      <c r="KDS17" s="573"/>
      <c r="KDT17" s="573"/>
      <c r="KDU17" s="573"/>
      <c r="KDV17" s="573"/>
      <c r="KDW17" s="573"/>
      <c r="KDX17" s="573"/>
      <c r="KDY17" s="573"/>
      <c r="KDZ17" s="573"/>
      <c r="KEA17" s="573"/>
      <c r="KEB17" s="573"/>
      <c r="KEC17" s="573"/>
      <c r="KED17" s="573"/>
      <c r="KEE17" s="573"/>
      <c r="KEF17" s="573"/>
      <c r="KEG17" s="573"/>
      <c r="KEH17" s="573"/>
      <c r="KEI17" s="573"/>
      <c r="KEJ17" s="573"/>
      <c r="KEK17" s="573"/>
      <c r="KEL17" s="573"/>
      <c r="KEM17" s="573"/>
      <c r="KEN17" s="573"/>
      <c r="KEO17" s="573"/>
      <c r="KEP17" s="573"/>
      <c r="KEQ17" s="573"/>
      <c r="KER17" s="573"/>
      <c r="KES17" s="573"/>
      <c r="KET17" s="573"/>
      <c r="KEU17" s="573"/>
      <c r="KEV17" s="573"/>
      <c r="KEW17" s="573"/>
      <c r="KEX17" s="573"/>
      <c r="KEY17" s="573"/>
      <c r="KEZ17" s="573"/>
      <c r="KFA17" s="573"/>
      <c r="KFB17" s="573"/>
      <c r="KFC17" s="573"/>
      <c r="KFD17" s="573"/>
      <c r="KFE17" s="573"/>
      <c r="KFF17" s="573"/>
      <c r="KFG17" s="573"/>
      <c r="KFH17" s="573"/>
      <c r="KFI17" s="573"/>
      <c r="KFJ17" s="573"/>
      <c r="KFK17" s="573"/>
      <c r="KFL17" s="573"/>
      <c r="KFM17" s="573"/>
      <c r="KFN17" s="573"/>
      <c r="KFO17" s="573"/>
      <c r="KFP17" s="573"/>
      <c r="KFQ17" s="573"/>
      <c r="KFR17" s="573"/>
      <c r="KFS17" s="573"/>
      <c r="KFT17" s="573"/>
      <c r="KFU17" s="573"/>
      <c r="KFV17" s="573"/>
      <c r="KFW17" s="573"/>
      <c r="KFX17" s="573"/>
      <c r="KFY17" s="573"/>
      <c r="KFZ17" s="573"/>
      <c r="KGA17" s="573"/>
      <c r="KGB17" s="573"/>
      <c r="KGC17" s="573"/>
      <c r="KGD17" s="573"/>
      <c r="KGE17" s="573"/>
      <c r="KGF17" s="573"/>
      <c r="KGG17" s="573"/>
      <c r="KGH17" s="573"/>
      <c r="KGI17" s="573"/>
      <c r="KGJ17" s="573"/>
      <c r="KGK17" s="573"/>
      <c r="KGL17" s="573"/>
      <c r="KGM17" s="573"/>
      <c r="KGN17" s="573"/>
      <c r="KGO17" s="573"/>
      <c r="KGP17" s="573"/>
      <c r="KGQ17" s="573"/>
      <c r="KGR17" s="573"/>
      <c r="KGS17" s="573"/>
      <c r="KGT17" s="573"/>
      <c r="KGU17" s="573"/>
      <c r="KGV17" s="573"/>
      <c r="KGW17" s="573"/>
      <c r="KGX17" s="573"/>
      <c r="KGY17" s="573"/>
      <c r="KGZ17" s="573"/>
      <c r="KHA17" s="573"/>
      <c r="KHB17" s="573"/>
      <c r="KHC17" s="573"/>
      <c r="KHD17" s="573"/>
      <c r="KHE17" s="573"/>
      <c r="KHF17" s="573"/>
      <c r="KHG17" s="573"/>
      <c r="KHH17" s="573"/>
      <c r="KHI17" s="573"/>
      <c r="KHJ17" s="573"/>
      <c r="KHK17" s="573"/>
      <c r="KHL17" s="573"/>
      <c r="KHM17" s="573"/>
      <c r="KHN17" s="573"/>
      <c r="KHO17" s="573"/>
      <c r="KHP17" s="573"/>
      <c r="KHQ17" s="573"/>
      <c r="KHR17" s="573"/>
      <c r="KHS17" s="573"/>
      <c r="KHT17" s="573"/>
      <c r="KHU17" s="573"/>
      <c r="KHV17" s="573"/>
      <c r="KHW17" s="573"/>
      <c r="KHX17" s="573"/>
      <c r="KHY17" s="573"/>
      <c r="KHZ17" s="573"/>
      <c r="KIA17" s="573"/>
      <c r="KIB17" s="573"/>
      <c r="KIC17" s="573"/>
      <c r="KID17" s="573"/>
      <c r="KIE17" s="573"/>
      <c r="KIF17" s="573"/>
      <c r="KIG17" s="573"/>
      <c r="KIH17" s="573"/>
      <c r="KII17" s="573"/>
      <c r="KIJ17" s="573"/>
      <c r="KIK17" s="573"/>
      <c r="KIL17" s="573"/>
      <c r="KIM17" s="573"/>
      <c r="KIN17" s="573"/>
      <c r="KIO17" s="573"/>
      <c r="KIP17" s="573"/>
      <c r="KIQ17" s="573"/>
      <c r="KIR17" s="573"/>
      <c r="KIS17" s="573"/>
      <c r="KIT17" s="573"/>
      <c r="KIU17" s="573"/>
      <c r="KIV17" s="573"/>
      <c r="KIW17" s="573"/>
      <c r="KIX17" s="573"/>
      <c r="KIY17" s="573"/>
      <c r="KIZ17" s="573"/>
      <c r="KJA17" s="573"/>
      <c r="KJB17" s="573"/>
      <c r="KJC17" s="573"/>
      <c r="KJD17" s="573"/>
      <c r="KJE17" s="573"/>
      <c r="KJF17" s="573"/>
      <c r="KJG17" s="573"/>
      <c r="KJH17" s="573"/>
      <c r="KJI17" s="573"/>
      <c r="KJJ17" s="573"/>
      <c r="KJK17" s="573"/>
      <c r="KJL17" s="573"/>
      <c r="KJM17" s="573"/>
      <c r="KJN17" s="573"/>
      <c r="KJO17" s="573"/>
      <c r="KJP17" s="573"/>
      <c r="KJQ17" s="573"/>
      <c r="KJR17" s="573"/>
      <c r="KJS17" s="573"/>
      <c r="KJT17" s="573"/>
      <c r="KJU17" s="573"/>
      <c r="KJV17" s="573"/>
      <c r="KJW17" s="573"/>
      <c r="KJX17" s="573"/>
      <c r="KJY17" s="573"/>
      <c r="KJZ17" s="573"/>
      <c r="KKA17" s="573"/>
      <c r="KKB17" s="573"/>
      <c r="KKC17" s="573"/>
      <c r="KKD17" s="573"/>
      <c r="KKE17" s="573"/>
      <c r="KKF17" s="573"/>
      <c r="KKG17" s="573"/>
      <c r="KKH17" s="573"/>
      <c r="KKI17" s="573"/>
      <c r="KKJ17" s="573"/>
      <c r="KKK17" s="573"/>
      <c r="KKL17" s="573"/>
      <c r="KKM17" s="573"/>
      <c r="KKN17" s="573"/>
      <c r="KKO17" s="573"/>
      <c r="KKP17" s="573"/>
      <c r="KKQ17" s="573"/>
      <c r="KKR17" s="573"/>
      <c r="KKS17" s="573"/>
      <c r="KKT17" s="573"/>
      <c r="KKU17" s="573"/>
      <c r="KKV17" s="573"/>
      <c r="KKW17" s="573"/>
      <c r="KKX17" s="573"/>
      <c r="KKY17" s="573"/>
      <c r="KKZ17" s="573"/>
      <c r="KLA17" s="573"/>
      <c r="KLB17" s="573"/>
      <c r="KLC17" s="573"/>
      <c r="KLD17" s="573"/>
      <c r="KLE17" s="573"/>
      <c r="KLF17" s="573"/>
      <c r="KLG17" s="573"/>
      <c r="KLH17" s="573"/>
      <c r="KLI17" s="573"/>
      <c r="KLJ17" s="573"/>
      <c r="KLK17" s="573"/>
      <c r="KLL17" s="573"/>
      <c r="KLM17" s="573"/>
      <c r="KLN17" s="573"/>
      <c r="KLO17" s="573"/>
      <c r="KLP17" s="573"/>
      <c r="KLQ17" s="573"/>
      <c r="KLR17" s="573"/>
      <c r="KLS17" s="573"/>
      <c r="KLT17" s="573"/>
      <c r="KLU17" s="573"/>
      <c r="KLV17" s="573"/>
      <c r="KLW17" s="573"/>
      <c r="KLX17" s="573"/>
      <c r="KLY17" s="573"/>
      <c r="KLZ17" s="573"/>
      <c r="KMA17" s="573"/>
      <c r="KMB17" s="573"/>
      <c r="KMC17" s="573"/>
      <c r="KMD17" s="573"/>
      <c r="KME17" s="573"/>
      <c r="KMF17" s="573"/>
      <c r="KMG17" s="573"/>
      <c r="KMH17" s="573"/>
      <c r="KMI17" s="573"/>
      <c r="KMJ17" s="573"/>
      <c r="KMK17" s="573"/>
      <c r="KML17" s="573"/>
      <c r="KMM17" s="573"/>
      <c r="KMN17" s="573"/>
      <c r="KMO17" s="573"/>
      <c r="KMP17" s="573"/>
      <c r="KMQ17" s="573"/>
      <c r="KMR17" s="573"/>
      <c r="KMS17" s="573"/>
      <c r="KMT17" s="573"/>
      <c r="KMU17" s="573"/>
      <c r="KMV17" s="573"/>
      <c r="KMW17" s="573"/>
      <c r="KMX17" s="573"/>
      <c r="KMY17" s="573"/>
      <c r="KMZ17" s="573"/>
      <c r="KNA17" s="573"/>
      <c r="KNB17" s="573"/>
      <c r="KNC17" s="573"/>
      <c r="KND17" s="573"/>
      <c r="KNE17" s="573"/>
      <c r="KNF17" s="573"/>
      <c r="KNG17" s="573"/>
      <c r="KNH17" s="573"/>
      <c r="KNI17" s="573"/>
      <c r="KNJ17" s="573"/>
      <c r="KNK17" s="573"/>
      <c r="KNL17" s="573"/>
      <c r="KNM17" s="573"/>
      <c r="KNN17" s="573"/>
      <c r="KNO17" s="573"/>
      <c r="KNP17" s="573"/>
      <c r="KNQ17" s="573"/>
      <c r="KNR17" s="573"/>
      <c r="KNS17" s="573"/>
      <c r="KNT17" s="573"/>
      <c r="KNU17" s="573"/>
      <c r="KNV17" s="573"/>
      <c r="KNW17" s="573"/>
      <c r="KNX17" s="573"/>
      <c r="KNY17" s="573"/>
      <c r="KNZ17" s="573"/>
      <c r="KOA17" s="573"/>
      <c r="KOB17" s="573"/>
      <c r="KOC17" s="573"/>
      <c r="KOD17" s="573"/>
      <c r="KOE17" s="573"/>
      <c r="KOF17" s="573"/>
      <c r="KOG17" s="573"/>
      <c r="KOH17" s="573"/>
      <c r="KOI17" s="573"/>
      <c r="KOJ17" s="573"/>
      <c r="KOK17" s="573"/>
      <c r="KOL17" s="573"/>
      <c r="KOM17" s="573"/>
      <c r="KON17" s="573"/>
      <c r="KOO17" s="573"/>
      <c r="KOP17" s="573"/>
      <c r="KOQ17" s="573"/>
      <c r="KOR17" s="573"/>
      <c r="KOS17" s="573"/>
      <c r="KOT17" s="573"/>
      <c r="KOU17" s="573"/>
      <c r="KOV17" s="573"/>
      <c r="KOW17" s="573"/>
      <c r="KOX17" s="573"/>
      <c r="KOY17" s="573"/>
      <c r="KOZ17" s="573"/>
      <c r="KPA17" s="573"/>
      <c r="KPB17" s="573"/>
      <c r="KPC17" s="573"/>
      <c r="KPD17" s="573"/>
      <c r="KPE17" s="573"/>
      <c r="KPF17" s="573"/>
      <c r="KPG17" s="573"/>
      <c r="KPH17" s="573"/>
      <c r="KPI17" s="573"/>
      <c r="KPJ17" s="573"/>
      <c r="KPK17" s="573"/>
      <c r="KPL17" s="573"/>
      <c r="KPM17" s="573"/>
      <c r="KPN17" s="573"/>
      <c r="KPO17" s="573"/>
      <c r="KPP17" s="573"/>
      <c r="KPQ17" s="573"/>
      <c r="KPR17" s="573"/>
      <c r="KPS17" s="573"/>
      <c r="KPT17" s="573"/>
      <c r="KPU17" s="573"/>
      <c r="KPV17" s="573"/>
      <c r="KPW17" s="573"/>
      <c r="KPX17" s="573"/>
      <c r="KPY17" s="573"/>
      <c r="KPZ17" s="573"/>
      <c r="KQA17" s="573"/>
      <c r="KQB17" s="573"/>
      <c r="KQC17" s="573"/>
      <c r="KQD17" s="573"/>
      <c r="KQE17" s="573"/>
      <c r="KQF17" s="573"/>
      <c r="KQG17" s="573"/>
      <c r="KQH17" s="573"/>
      <c r="KQI17" s="573"/>
      <c r="KQJ17" s="573"/>
      <c r="KQK17" s="573"/>
      <c r="KQL17" s="573"/>
      <c r="KQM17" s="573"/>
      <c r="KQN17" s="573"/>
      <c r="KQO17" s="573"/>
      <c r="KQP17" s="573"/>
      <c r="KQQ17" s="573"/>
      <c r="KQR17" s="573"/>
      <c r="KQS17" s="573"/>
      <c r="KQT17" s="573"/>
      <c r="KQU17" s="573"/>
      <c r="KQV17" s="573"/>
      <c r="KQW17" s="573"/>
      <c r="KQX17" s="573"/>
      <c r="KQY17" s="573"/>
      <c r="KQZ17" s="573"/>
      <c r="KRA17" s="573"/>
      <c r="KRB17" s="573"/>
      <c r="KRC17" s="573"/>
      <c r="KRD17" s="573"/>
      <c r="KRE17" s="573"/>
      <c r="KRF17" s="573"/>
      <c r="KRG17" s="573"/>
      <c r="KRH17" s="573"/>
      <c r="KRI17" s="573"/>
      <c r="KRJ17" s="573"/>
      <c r="KRK17" s="573"/>
      <c r="KRL17" s="573"/>
      <c r="KRM17" s="573"/>
      <c r="KRN17" s="573"/>
      <c r="KRO17" s="573"/>
      <c r="KRP17" s="573"/>
      <c r="KRQ17" s="573"/>
      <c r="KRR17" s="573"/>
      <c r="KRS17" s="573"/>
      <c r="KRT17" s="573"/>
      <c r="KRU17" s="573"/>
      <c r="KRV17" s="573"/>
      <c r="KRW17" s="573"/>
      <c r="KRX17" s="573"/>
      <c r="KRY17" s="573"/>
      <c r="KRZ17" s="573"/>
      <c r="KSA17" s="573"/>
      <c r="KSB17" s="573"/>
      <c r="KSC17" s="573"/>
      <c r="KSD17" s="573"/>
      <c r="KSE17" s="573"/>
      <c r="KSF17" s="573"/>
      <c r="KSG17" s="573"/>
      <c r="KSH17" s="573"/>
      <c r="KSI17" s="573"/>
      <c r="KSJ17" s="573"/>
      <c r="KSK17" s="573"/>
      <c r="KSL17" s="573"/>
      <c r="KSM17" s="573"/>
      <c r="KSN17" s="573"/>
      <c r="KSO17" s="573"/>
      <c r="KSP17" s="573"/>
      <c r="KSQ17" s="573"/>
      <c r="KSR17" s="573"/>
      <c r="KSS17" s="573"/>
      <c r="KST17" s="573"/>
      <c r="KSU17" s="573"/>
      <c r="KSV17" s="573"/>
      <c r="KSW17" s="573"/>
      <c r="KSX17" s="573"/>
      <c r="KSY17" s="573"/>
      <c r="KSZ17" s="573"/>
      <c r="KTA17" s="573"/>
      <c r="KTB17" s="573"/>
      <c r="KTC17" s="573"/>
      <c r="KTD17" s="573"/>
      <c r="KTE17" s="573"/>
      <c r="KTF17" s="573"/>
      <c r="KTG17" s="573"/>
      <c r="KTH17" s="573"/>
      <c r="KTI17" s="573"/>
      <c r="KTJ17" s="573"/>
      <c r="KTK17" s="573"/>
      <c r="KTL17" s="573"/>
      <c r="KTM17" s="573"/>
      <c r="KTN17" s="573"/>
      <c r="KTO17" s="573"/>
      <c r="KTP17" s="573"/>
      <c r="KTQ17" s="573"/>
      <c r="KTR17" s="573"/>
      <c r="KTS17" s="573"/>
      <c r="KTT17" s="573"/>
      <c r="KTU17" s="573"/>
      <c r="KTV17" s="573"/>
      <c r="KTW17" s="573"/>
      <c r="KTX17" s="573"/>
      <c r="KTY17" s="573"/>
      <c r="KTZ17" s="573"/>
      <c r="KUA17" s="573"/>
      <c r="KUB17" s="573"/>
      <c r="KUC17" s="573"/>
      <c r="KUD17" s="573"/>
      <c r="KUE17" s="573"/>
      <c r="KUF17" s="573"/>
      <c r="KUG17" s="573"/>
      <c r="KUH17" s="573"/>
      <c r="KUI17" s="573"/>
      <c r="KUJ17" s="573"/>
      <c r="KUK17" s="573"/>
      <c r="KUL17" s="573"/>
      <c r="KUM17" s="573"/>
      <c r="KUN17" s="573"/>
      <c r="KUO17" s="573"/>
      <c r="KUP17" s="573"/>
      <c r="KUQ17" s="573"/>
      <c r="KUR17" s="573"/>
      <c r="KUS17" s="573"/>
      <c r="KUT17" s="573"/>
      <c r="KUU17" s="573"/>
      <c r="KUV17" s="573"/>
      <c r="KUW17" s="573"/>
      <c r="KUX17" s="573"/>
      <c r="KUY17" s="573"/>
      <c r="KUZ17" s="573"/>
      <c r="KVA17" s="573"/>
      <c r="KVB17" s="573"/>
      <c r="KVC17" s="573"/>
      <c r="KVD17" s="573"/>
      <c r="KVE17" s="573"/>
      <c r="KVF17" s="573"/>
      <c r="KVG17" s="573"/>
      <c r="KVH17" s="573"/>
      <c r="KVI17" s="573"/>
      <c r="KVJ17" s="573"/>
      <c r="KVK17" s="573"/>
      <c r="KVL17" s="573"/>
      <c r="KVM17" s="573"/>
      <c r="KVN17" s="573"/>
      <c r="KVO17" s="573"/>
      <c r="KVP17" s="573"/>
      <c r="KVQ17" s="573"/>
      <c r="KVR17" s="573"/>
      <c r="KVS17" s="573"/>
      <c r="KVT17" s="573"/>
      <c r="KVU17" s="573"/>
      <c r="KVV17" s="573"/>
      <c r="KVW17" s="573"/>
      <c r="KVX17" s="573"/>
      <c r="KVY17" s="573"/>
      <c r="KVZ17" s="573"/>
      <c r="KWA17" s="573"/>
      <c r="KWB17" s="573"/>
      <c r="KWC17" s="573"/>
      <c r="KWD17" s="573"/>
      <c r="KWE17" s="573"/>
      <c r="KWF17" s="573"/>
      <c r="KWG17" s="573"/>
      <c r="KWH17" s="573"/>
      <c r="KWI17" s="573"/>
      <c r="KWJ17" s="573"/>
      <c r="KWK17" s="573"/>
      <c r="KWL17" s="573"/>
      <c r="KWM17" s="573"/>
      <c r="KWN17" s="573"/>
      <c r="KWO17" s="573"/>
      <c r="KWP17" s="573"/>
      <c r="KWQ17" s="573"/>
      <c r="KWR17" s="573"/>
      <c r="KWS17" s="573"/>
      <c r="KWT17" s="573"/>
      <c r="KWU17" s="573"/>
      <c r="KWV17" s="573"/>
      <c r="KWW17" s="573"/>
      <c r="KWX17" s="573"/>
      <c r="KWY17" s="573"/>
      <c r="KWZ17" s="573"/>
      <c r="KXA17" s="573"/>
      <c r="KXB17" s="573"/>
      <c r="KXC17" s="573"/>
      <c r="KXD17" s="573"/>
      <c r="KXE17" s="573"/>
      <c r="KXF17" s="573"/>
      <c r="KXG17" s="573"/>
      <c r="KXH17" s="573"/>
      <c r="KXI17" s="573"/>
      <c r="KXJ17" s="573"/>
      <c r="KXK17" s="573"/>
      <c r="KXL17" s="573"/>
      <c r="KXM17" s="573"/>
      <c r="KXN17" s="573"/>
      <c r="KXO17" s="573"/>
      <c r="KXP17" s="573"/>
      <c r="KXQ17" s="573"/>
      <c r="KXR17" s="573"/>
      <c r="KXS17" s="573"/>
      <c r="KXT17" s="573"/>
      <c r="KXU17" s="573"/>
      <c r="KXV17" s="573"/>
      <c r="KXW17" s="573"/>
      <c r="KXX17" s="573"/>
      <c r="KXY17" s="573"/>
      <c r="KXZ17" s="573"/>
      <c r="KYA17" s="573"/>
      <c r="KYB17" s="573"/>
      <c r="KYC17" s="573"/>
      <c r="KYD17" s="573"/>
      <c r="KYE17" s="573"/>
      <c r="KYF17" s="573"/>
      <c r="KYG17" s="573"/>
      <c r="KYH17" s="573"/>
      <c r="KYI17" s="573"/>
      <c r="KYJ17" s="573"/>
      <c r="KYK17" s="573"/>
      <c r="KYL17" s="573"/>
      <c r="KYM17" s="573"/>
      <c r="KYN17" s="573"/>
      <c r="KYO17" s="573"/>
      <c r="KYP17" s="573"/>
      <c r="KYQ17" s="573"/>
      <c r="KYR17" s="573"/>
      <c r="KYS17" s="573"/>
      <c r="KYT17" s="573"/>
      <c r="KYU17" s="573"/>
      <c r="KYV17" s="573"/>
      <c r="KYW17" s="573"/>
      <c r="KYX17" s="573"/>
      <c r="KYY17" s="573"/>
      <c r="KYZ17" s="573"/>
      <c r="KZA17" s="573"/>
      <c r="KZB17" s="573"/>
      <c r="KZC17" s="573"/>
      <c r="KZD17" s="573"/>
      <c r="KZE17" s="573"/>
      <c r="KZF17" s="573"/>
      <c r="KZG17" s="573"/>
      <c r="KZH17" s="573"/>
      <c r="KZI17" s="573"/>
      <c r="KZJ17" s="573"/>
      <c r="KZK17" s="573"/>
      <c r="KZL17" s="573"/>
      <c r="KZM17" s="573"/>
      <c r="KZN17" s="573"/>
      <c r="KZO17" s="573"/>
      <c r="KZP17" s="573"/>
      <c r="KZQ17" s="573"/>
      <c r="KZR17" s="573"/>
      <c r="KZS17" s="573"/>
      <c r="KZT17" s="573"/>
      <c r="KZU17" s="573"/>
      <c r="KZV17" s="573"/>
      <c r="KZW17" s="573"/>
      <c r="KZX17" s="573"/>
      <c r="KZY17" s="573"/>
      <c r="KZZ17" s="573"/>
      <c r="LAA17" s="573"/>
      <c r="LAB17" s="573"/>
      <c r="LAC17" s="573"/>
      <c r="LAD17" s="573"/>
      <c r="LAE17" s="573"/>
      <c r="LAF17" s="573"/>
      <c r="LAG17" s="573"/>
      <c r="LAH17" s="573"/>
      <c r="LAI17" s="573"/>
      <c r="LAJ17" s="573"/>
      <c r="LAK17" s="573"/>
      <c r="LAL17" s="573"/>
      <c r="LAM17" s="573"/>
      <c r="LAN17" s="573"/>
      <c r="LAO17" s="573"/>
      <c r="LAP17" s="573"/>
      <c r="LAQ17" s="573"/>
      <c r="LAR17" s="573"/>
      <c r="LAS17" s="573"/>
      <c r="LAT17" s="573"/>
      <c r="LAU17" s="573"/>
      <c r="LAV17" s="573"/>
      <c r="LAW17" s="573"/>
      <c r="LAX17" s="573"/>
      <c r="LAY17" s="573"/>
      <c r="LAZ17" s="573"/>
      <c r="LBA17" s="573"/>
      <c r="LBB17" s="573"/>
      <c r="LBC17" s="573"/>
      <c r="LBD17" s="573"/>
      <c r="LBE17" s="573"/>
      <c r="LBF17" s="573"/>
      <c r="LBG17" s="573"/>
      <c r="LBH17" s="573"/>
      <c r="LBI17" s="573"/>
      <c r="LBJ17" s="573"/>
      <c r="LBK17" s="573"/>
      <c r="LBL17" s="573"/>
      <c r="LBM17" s="573"/>
      <c r="LBN17" s="573"/>
      <c r="LBO17" s="573"/>
      <c r="LBP17" s="573"/>
      <c r="LBQ17" s="573"/>
      <c r="LBR17" s="573"/>
      <c r="LBS17" s="573"/>
      <c r="LBT17" s="573"/>
      <c r="LBU17" s="573"/>
      <c r="LBV17" s="573"/>
      <c r="LBW17" s="573"/>
      <c r="LBX17" s="573"/>
      <c r="LBY17" s="573"/>
      <c r="LBZ17" s="573"/>
      <c r="LCA17" s="573"/>
      <c r="LCB17" s="573"/>
      <c r="LCC17" s="573"/>
      <c r="LCD17" s="573"/>
      <c r="LCE17" s="573"/>
      <c r="LCF17" s="573"/>
      <c r="LCG17" s="573"/>
      <c r="LCH17" s="573"/>
      <c r="LCI17" s="573"/>
      <c r="LCJ17" s="573"/>
      <c r="LCK17" s="573"/>
      <c r="LCL17" s="573"/>
      <c r="LCM17" s="573"/>
      <c r="LCN17" s="573"/>
      <c r="LCO17" s="573"/>
      <c r="LCP17" s="573"/>
      <c r="LCQ17" s="573"/>
      <c r="LCR17" s="573"/>
      <c r="LCS17" s="573"/>
      <c r="LCT17" s="573"/>
      <c r="LCU17" s="573"/>
      <c r="LCV17" s="573"/>
      <c r="LCW17" s="573"/>
      <c r="LCX17" s="573"/>
      <c r="LCY17" s="573"/>
      <c r="LCZ17" s="573"/>
      <c r="LDA17" s="573"/>
      <c r="LDB17" s="573"/>
      <c r="LDC17" s="573"/>
      <c r="LDD17" s="573"/>
      <c r="LDE17" s="573"/>
      <c r="LDF17" s="573"/>
      <c r="LDG17" s="573"/>
      <c r="LDH17" s="573"/>
      <c r="LDI17" s="573"/>
      <c r="LDJ17" s="573"/>
      <c r="LDK17" s="573"/>
      <c r="LDL17" s="573"/>
      <c r="LDM17" s="573"/>
      <c r="LDN17" s="573"/>
      <c r="LDO17" s="573"/>
      <c r="LDP17" s="573"/>
      <c r="LDQ17" s="573"/>
      <c r="LDR17" s="573"/>
      <c r="LDS17" s="573"/>
      <c r="LDT17" s="573"/>
      <c r="LDU17" s="573"/>
      <c r="LDV17" s="573"/>
      <c r="LDW17" s="573"/>
      <c r="LDX17" s="573"/>
      <c r="LDY17" s="573"/>
      <c r="LDZ17" s="573"/>
      <c r="LEA17" s="573"/>
      <c r="LEB17" s="573"/>
      <c r="LEC17" s="573"/>
      <c r="LED17" s="573"/>
      <c r="LEE17" s="573"/>
      <c r="LEF17" s="573"/>
      <c r="LEG17" s="573"/>
      <c r="LEH17" s="573"/>
      <c r="LEI17" s="573"/>
      <c r="LEJ17" s="573"/>
      <c r="LEK17" s="573"/>
      <c r="LEL17" s="573"/>
      <c r="LEM17" s="573"/>
      <c r="LEN17" s="573"/>
      <c r="LEO17" s="573"/>
      <c r="LEP17" s="573"/>
      <c r="LEQ17" s="573"/>
      <c r="LER17" s="573"/>
      <c r="LES17" s="573"/>
      <c r="LET17" s="573"/>
      <c r="LEU17" s="573"/>
      <c r="LEV17" s="573"/>
      <c r="LEW17" s="573"/>
      <c r="LEX17" s="573"/>
      <c r="LEY17" s="573"/>
      <c r="LEZ17" s="573"/>
      <c r="LFA17" s="573"/>
      <c r="LFB17" s="573"/>
      <c r="LFC17" s="573"/>
      <c r="LFD17" s="573"/>
      <c r="LFE17" s="573"/>
      <c r="LFF17" s="573"/>
      <c r="LFG17" s="573"/>
      <c r="LFH17" s="573"/>
      <c r="LFI17" s="573"/>
      <c r="LFJ17" s="573"/>
      <c r="LFK17" s="573"/>
      <c r="LFL17" s="573"/>
      <c r="LFM17" s="573"/>
      <c r="LFN17" s="573"/>
      <c r="LFO17" s="573"/>
      <c r="LFP17" s="573"/>
      <c r="LFQ17" s="573"/>
      <c r="LFR17" s="573"/>
      <c r="LFS17" s="573"/>
      <c r="LFT17" s="573"/>
      <c r="LFU17" s="573"/>
      <c r="LFV17" s="573"/>
      <c r="LFW17" s="573"/>
      <c r="LFX17" s="573"/>
      <c r="LFY17" s="573"/>
      <c r="LFZ17" s="573"/>
      <c r="LGA17" s="573"/>
      <c r="LGB17" s="573"/>
      <c r="LGC17" s="573"/>
      <c r="LGD17" s="573"/>
      <c r="LGE17" s="573"/>
      <c r="LGF17" s="573"/>
      <c r="LGG17" s="573"/>
      <c r="LGH17" s="573"/>
      <c r="LGI17" s="573"/>
      <c r="LGJ17" s="573"/>
      <c r="LGK17" s="573"/>
      <c r="LGL17" s="573"/>
      <c r="LGM17" s="573"/>
      <c r="LGN17" s="573"/>
      <c r="LGO17" s="573"/>
      <c r="LGP17" s="573"/>
      <c r="LGQ17" s="573"/>
      <c r="LGR17" s="573"/>
      <c r="LGS17" s="573"/>
      <c r="LGT17" s="573"/>
      <c r="LGU17" s="573"/>
      <c r="LGV17" s="573"/>
      <c r="LGW17" s="573"/>
      <c r="LGX17" s="573"/>
      <c r="LGY17" s="573"/>
      <c r="LGZ17" s="573"/>
      <c r="LHA17" s="573"/>
      <c r="LHB17" s="573"/>
      <c r="LHC17" s="573"/>
      <c r="LHD17" s="573"/>
      <c r="LHE17" s="573"/>
      <c r="LHF17" s="573"/>
      <c r="LHG17" s="573"/>
      <c r="LHH17" s="573"/>
      <c r="LHI17" s="573"/>
      <c r="LHJ17" s="573"/>
      <c r="LHK17" s="573"/>
      <c r="LHL17" s="573"/>
      <c r="LHM17" s="573"/>
      <c r="LHN17" s="573"/>
      <c r="LHO17" s="573"/>
      <c r="LHP17" s="573"/>
      <c r="LHQ17" s="573"/>
      <c r="LHR17" s="573"/>
      <c r="LHS17" s="573"/>
      <c r="LHT17" s="573"/>
      <c r="LHU17" s="573"/>
      <c r="LHV17" s="573"/>
      <c r="LHW17" s="573"/>
      <c r="LHX17" s="573"/>
      <c r="LHY17" s="573"/>
      <c r="LHZ17" s="573"/>
      <c r="LIA17" s="573"/>
      <c r="LIB17" s="573"/>
      <c r="LIC17" s="573"/>
      <c r="LID17" s="573"/>
      <c r="LIE17" s="573"/>
      <c r="LIF17" s="573"/>
      <c r="LIG17" s="573"/>
      <c r="LIH17" s="573"/>
      <c r="LII17" s="573"/>
      <c r="LIJ17" s="573"/>
      <c r="LIK17" s="573"/>
      <c r="LIL17" s="573"/>
      <c r="LIM17" s="573"/>
      <c r="LIN17" s="573"/>
      <c r="LIO17" s="573"/>
      <c r="LIP17" s="573"/>
      <c r="LIQ17" s="573"/>
      <c r="LIR17" s="573"/>
      <c r="LIS17" s="573"/>
      <c r="LIT17" s="573"/>
      <c r="LIU17" s="573"/>
      <c r="LIV17" s="573"/>
      <c r="LIW17" s="573"/>
      <c r="LIX17" s="573"/>
      <c r="LIY17" s="573"/>
      <c r="LIZ17" s="573"/>
      <c r="LJA17" s="573"/>
      <c r="LJB17" s="573"/>
      <c r="LJC17" s="573"/>
      <c r="LJD17" s="573"/>
      <c r="LJE17" s="573"/>
      <c r="LJF17" s="573"/>
      <c r="LJG17" s="573"/>
      <c r="LJH17" s="573"/>
      <c r="LJI17" s="573"/>
      <c r="LJJ17" s="573"/>
      <c r="LJK17" s="573"/>
      <c r="LJL17" s="573"/>
      <c r="LJM17" s="573"/>
      <c r="LJN17" s="573"/>
      <c r="LJO17" s="573"/>
      <c r="LJP17" s="573"/>
      <c r="LJQ17" s="573"/>
      <c r="LJR17" s="573"/>
      <c r="LJS17" s="573"/>
      <c r="LJT17" s="573"/>
      <c r="LJU17" s="573"/>
      <c r="LJV17" s="573"/>
      <c r="LJW17" s="573"/>
      <c r="LJX17" s="573"/>
      <c r="LJY17" s="573"/>
      <c r="LJZ17" s="573"/>
      <c r="LKA17" s="573"/>
      <c r="LKB17" s="573"/>
      <c r="LKC17" s="573"/>
      <c r="LKD17" s="573"/>
      <c r="LKE17" s="573"/>
      <c r="LKF17" s="573"/>
      <c r="LKG17" s="573"/>
      <c r="LKH17" s="573"/>
      <c r="LKI17" s="573"/>
      <c r="LKJ17" s="573"/>
      <c r="LKK17" s="573"/>
      <c r="LKL17" s="573"/>
      <c r="LKM17" s="573"/>
      <c r="LKN17" s="573"/>
      <c r="LKO17" s="573"/>
      <c r="LKP17" s="573"/>
      <c r="LKQ17" s="573"/>
      <c r="LKR17" s="573"/>
      <c r="LKS17" s="573"/>
      <c r="LKT17" s="573"/>
      <c r="LKU17" s="573"/>
      <c r="LKV17" s="573"/>
      <c r="LKW17" s="573"/>
      <c r="LKX17" s="573"/>
      <c r="LKY17" s="573"/>
      <c r="LKZ17" s="573"/>
      <c r="LLA17" s="573"/>
      <c r="LLB17" s="573"/>
      <c r="LLC17" s="573"/>
      <c r="LLD17" s="573"/>
      <c r="LLE17" s="573"/>
      <c r="LLF17" s="573"/>
      <c r="LLG17" s="573"/>
      <c r="LLH17" s="573"/>
      <c r="LLI17" s="573"/>
      <c r="LLJ17" s="573"/>
      <c r="LLK17" s="573"/>
      <c r="LLL17" s="573"/>
      <c r="LLM17" s="573"/>
      <c r="LLN17" s="573"/>
      <c r="LLO17" s="573"/>
      <c r="LLP17" s="573"/>
      <c r="LLQ17" s="573"/>
      <c r="LLR17" s="573"/>
      <c r="LLS17" s="573"/>
      <c r="LLT17" s="573"/>
      <c r="LLU17" s="573"/>
      <c r="LLV17" s="573"/>
      <c r="LLW17" s="573"/>
      <c r="LLX17" s="573"/>
      <c r="LLY17" s="573"/>
      <c r="LLZ17" s="573"/>
      <c r="LMA17" s="573"/>
      <c r="LMB17" s="573"/>
      <c r="LMC17" s="573"/>
      <c r="LMD17" s="573"/>
      <c r="LME17" s="573"/>
      <c r="LMF17" s="573"/>
      <c r="LMG17" s="573"/>
      <c r="LMH17" s="573"/>
      <c r="LMI17" s="573"/>
      <c r="LMJ17" s="573"/>
      <c r="LMK17" s="573"/>
      <c r="LML17" s="573"/>
      <c r="LMM17" s="573"/>
      <c r="LMN17" s="573"/>
      <c r="LMO17" s="573"/>
      <c r="LMP17" s="573"/>
      <c r="LMQ17" s="573"/>
      <c r="LMR17" s="573"/>
      <c r="LMS17" s="573"/>
      <c r="LMT17" s="573"/>
      <c r="LMU17" s="573"/>
      <c r="LMV17" s="573"/>
      <c r="LMW17" s="573"/>
      <c r="LMX17" s="573"/>
      <c r="LMY17" s="573"/>
      <c r="LMZ17" s="573"/>
      <c r="LNA17" s="573"/>
      <c r="LNB17" s="573"/>
      <c r="LNC17" s="573"/>
      <c r="LND17" s="573"/>
      <c r="LNE17" s="573"/>
      <c r="LNF17" s="573"/>
      <c r="LNG17" s="573"/>
      <c r="LNH17" s="573"/>
      <c r="LNI17" s="573"/>
      <c r="LNJ17" s="573"/>
      <c r="LNK17" s="573"/>
      <c r="LNL17" s="573"/>
      <c r="LNM17" s="573"/>
      <c r="LNN17" s="573"/>
      <c r="LNO17" s="573"/>
      <c r="LNP17" s="573"/>
      <c r="LNQ17" s="573"/>
      <c r="LNR17" s="573"/>
      <c r="LNS17" s="573"/>
      <c r="LNT17" s="573"/>
      <c r="LNU17" s="573"/>
      <c r="LNV17" s="573"/>
      <c r="LNW17" s="573"/>
      <c r="LNX17" s="573"/>
      <c r="LNY17" s="573"/>
      <c r="LNZ17" s="573"/>
      <c r="LOA17" s="573"/>
      <c r="LOB17" s="573"/>
      <c r="LOC17" s="573"/>
      <c r="LOD17" s="573"/>
      <c r="LOE17" s="573"/>
      <c r="LOF17" s="573"/>
      <c r="LOG17" s="573"/>
      <c r="LOH17" s="573"/>
      <c r="LOI17" s="573"/>
      <c r="LOJ17" s="573"/>
      <c r="LOK17" s="573"/>
      <c r="LOL17" s="573"/>
      <c r="LOM17" s="573"/>
      <c r="LON17" s="573"/>
      <c r="LOO17" s="573"/>
      <c r="LOP17" s="573"/>
      <c r="LOQ17" s="573"/>
      <c r="LOR17" s="573"/>
      <c r="LOS17" s="573"/>
      <c r="LOT17" s="573"/>
      <c r="LOU17" s="573"/>
      <c r="LOV17" s="573"/>
      <c r="LOW17" s="573"/>
      <c r="LOX17" s="573"/>
      <c r="LOY17" s="573"/>
      <c r="LOZ17" s="573"/>
      <c r="LPA17" s="573"/>
      <c r="LPB17" s="573"/>
      <c r="LPC17" s="573"/>
      <c r="LPD17" s="573"/>
      <c r="LPE17" s="573"/>
      <c r="LPF17" s="573"/>
      <c r="LPG17" s="573"/>
      <c r="LPH17" s="573"/>
      <c r="LPI17" s="573"/>
      <c r="LPJ17" s="573"/>
      <c r="LPK17" s="573"/>
      <c r="LPL17" s="573"/>
      <c r="LPM17" s="573"/>
      <c r="LPN17" s="573"/>
      <c r="LPO17" s="573"/>
      <c r="LPP17" s="573"/>
      <c r="LPQ17" s="573"/>
      <c r="LPR17" s="573"/>
      <c r="LPS17" s="573"/>
      <c r="LPT17" s="573"/>
      <c r="LPU17" s="573"/>
      <c r="LPV17" s="573"/>
      <c r="LPW17" s="573"/>
      <c r="LPX17" s="573"/>
      <c r="LPY17" s="573"/>
      <c r="LPZ17" s="573"/>
      <c r="LQA17" s="573"/>
      <c r="LQB17" s="573"/>
      <c r="LQC17" s="573"/>
      <c r="LQD17" s="573"/>
      <c r="LQE17" s="573"/>
      <c r="LQF17" s="573"/>
      <c r="LQG17" s="573"/>
      <c r="LQH17" s="573"/>
      <c r="LQI17" s="573"/>
      <c r="LQJ17" s="573"/>
      <c r="LQK17" s="573"/>
      <c r="LQL17" s="573"/>
      <c r="LQM17" s="573"/>
      <c r="LQN17" s="573"/>
      <c r="LQO17" s="573"/>
      <c r="LQP17" s="573"/>
      <c r="LQQ17" s="573"/>
      <c r="LQR17" s="573"/>
      <c r="LQS17" s="573"/>
      <c r="LQT17" s="573"/>
      <c r="LQU17" s="573"/>
      <c r="LQV17" s="573"/>
      <c r="LQW17" s="573"/>
      <c r="LQX17" s="573"/>
      <c r="LQY17" s="573"/>
      <c r="LQZ17" s="573"/>
      <c r="LRA17" s="573"/>
      <c r="LRB17" s="573"/>
      <c r="LRC17" s="573"/>
      <c r="LRD17" s="573"/>
      <c r="LRE17" s="573"/>
      <c r="LRF17" s="573"/>
      <c r="LRG17" s="573"/>
      <c r="LRH17" s="573"/>
      <c r="LRI17" s="573"/>
      <c r="LRJ17" s="573"/>
      <c r="LRK17" s="573"/>
      <c r="LRL17" s="573"/>
      <c r="LRM17" s="573"/>
      <c r="LRN17" s="573"/>
      <c r="LRO17" s="573"/>
      <c r="LRP17" s="573"/>
      <c r="LRQ17" s="573"/>
      <c r="LRR17" s="573"/>
      <c r="LRS17" s="573"/>
      <c r="LRT17" s="573"/>
      <c r="LRU17" s="573"/>
      <c r="LRV17" s="573"/>
      <c r="LRW17" s="573"/>
      <c r="LRX17" s="573"/>
      <c r="LRY17" s="573"/>
      <c r="LRZ17" s="573"/>
      <c r="LSA17" s="573"/>
      <c r="LSB17" s="573"/>
      <c r="LSC17" s="573"/>
      <c r="LSD17" s="573"/>
      <c r="LSE17" s="573"/>
      <c r="LSF17" s="573"/>
      <c r="LSG17" s="573"/>
      <c r="LSH17" s="573"/>
      <c r="LSI17" s="573"/>
      <c r="LSJ17" s="573"/>
      <c r="LSK17" s="573"/>
      <c r="LSL17" s="573"/>
      <c r="LSM17" s="573"/>
      <c r="LSN17" s="573"/>
      <c r="LSO17" s="573"/>
      <c r="LSP17" s="573"/>
      <c r="LSQ17" s="573"/>
      <c r="LSR17" s="573"/>
      <c r="LSS17" s="573"/>
      <c r="LST17" s="573"/>
      <c r="LSU17" s="573"/>
      <c r="LSV17" s="573"/>
      <c r="LSW17" s="573"/>
      <c r="LSX17" s="573"/>
      <c r="LSY17" s="573"/>
      <c r="LSZ17" s="573"/>
      <c r="LTA17" s="573"/>
      <c r="LTB17" s="573"/>
      <c r="LTC17" s="573"/>
      <c r="LTD17" s="573"/>
      <c r="LTE17" s="573"/>
      <c r="LTF17" s="573"/>
      <c r="LTG17" s="573"/>
      <c r="LTH17" s="573"/>
      <c r="LTI17" s="573"/>
      <c r="LTJ17" s="573"/>
      <c r="LTK17" s="573"/>
      <c r="LTL17" s="573"/>
      <c r="LTM17" s="573"/>
      <c r="LTN17" s="573"/>
      <c r="LTO17" s="573"/>
      <c r="LTP17" s="573"/>
      <c r="LTQ17" s="573"/>
      <c r="LTR17" s="573"/>
      <c r="LTS17" s="573"/>
      <c r="LTT17" s="573"/>
      <c r="LTU17" s="573"/>
      <c r="LTV17" s="573"/>
      <c r="LTW17" s="573"/>
      <c r="LTX17" s="573"/>
      <c r="LTY17" s="573"/>
      <c r="LTZ17" s="573"/>
      <c r="LUA17" s="573"/>
      <c r="LUB17" s="573"/>
      <c r="LUC17" s="573"/>
      <c r="LUD17" s="573"/>
      <c r="LUE17" s="573"/>
      <c r="LUF17" s="573"/>
      <c r="LUG17" s="573"/>
      <c r="LUH17" s="573"/>
      <c r="LUI17" s="573"/>
      <c r="LUJ17" s="573"/>
      <c r="LUK17" s="573"/>
      <c r="LUL17" s="573"/>
      <c r="LUM17" s="573"/>
      <c r="LUN17" s="573"/>
      <c r="LUO17" s="573"/>
      <c r="LUP17" s="573"/>
      <c r="LUQ17" s="573"/>
      <c r="LUR17" s="573"/>
      <c r="LUS17" s="573"/>
      <c r="LUT17" s="573"/>
      <c r="LUU17" s="573"/>
      <c r="LUV17" s="573"/>
      <c r="LUW17" s="573"/>
      <c r="LUX17" s="573"/>
      <c r="LUY17" s="573"/>
      <c r="LUZ17" s="573"/>
      <c r="LVA17" s="573"/>
      <c r="LVB17" s="573"/>
      <c r="LVC17" s="573"/>
      <c r="LVD17" s="573"/>
      <c r="LVE17" s="573"/>
      <c r="LVF17" s="573"/>
      <c r="LVG17" s="573"/>
      <c r="LVH17" s="573"/>
      <c r="LVI17" s="573"/>
      <c r="LVJ17" s="573"/>
      <c r="LVK17" s="573"/>
      <c r="LVL17" s="573"/>
      <c r="LVM17" s="573"/>
      <c r="LVN17" s="573"/>
      <c r="LVO17" s="573"/>
      <c r="LVP17" s="573"/>
      <c r="LVQ17" s="573"/>
      <c r="LVR17" s="573"/>
      <c r="LVS17" s="573"/>
      <c r="LVT17" s="573"/>
      <c r="LVU17" s="573"/>
      <c r="LVV17" s="573"/>
      <c r="LVW17" s="573"/>
      <c r="LVX17" s="573"/>
      <c r="LVY17" s="573"/>
      <c r="LVZ17" s="573"/>
      <c r="LWA17" s="573"/>
      <c r="LWB17" s="573"/>
      <c r="LWC17" s="573"/>
      <c r="LWD17" s="573"/>
      <c r="LWE17" s="573"/>
      <c r="LWF17" s="573"/>
      <c r="LWG17" s="573"/>
      <c r="LWH17" s="573"/>
      <c r="LWI17" s="573"/>
      <c r="LWJ17" s="573"/>
      <c r="LWK17" s="573"/>
      <c r="LWL17" s="573"/>
      <c r="LWM17" s="573"/>
      <c r="LWN17" s="573"/>
      <c r="LWO17" s="573"/>
      <c r="LWP17" s="573"/>
      <c r="LWQ17" s="573"/>
      <c r="LWR17" s="573"/>
      <c r="LWS17" s="573"/>
      <c r="LWT17" s="573"/>
      <c r="LWU17" s="573"/>
      <c r="LWV17" s="573"/>
      <c r="LWW17" s="573"/>
      <c r="LWX17" s="573"/>
      <c r="LWY17" s="573"/>
      <c r="LWZ17" s="573"/>
      <c r="LXA17" s="573"/>
      <c r="LXB17" s="573"/>
      <c r="LXC17" s="573"/>
      <c r="LXD17" s="573"/>
      <c r="LXE17" s="573"/>
      <c r="LXF17" s="573"/>
      <c r="LXG17" s="573"/>
      <c r="LXH17" s="573"/>
      <c r="LXI17" s="573"/>
      <c r="LXJ17" s="573"/>
      <c r="LXK17" s="573"/>
      <c r="LXL17" s="573"/>
      <c r="LXM17" s="573"/>
      <c r="LXN17" s="573"/>
      <c r="LXO17" s="573"/>
      <c r="LXP17" s="573"/>
      <c r="LXQ17" s="573"/>
      <c r="LXR17" s="573"/>
      <c r="LXS17" s="573"/>
      <c r="LXT17" s="573"/>
      <c r="LXU17" s="573"/>
      <c r="LXV17" s="573"/>
      <c r="LXW17" s="573"/>
      <c r="LXX17" s="573"/>
      <c r="LXY17" s="573"/>
      <c r="LXZ17" s="573"/>
      <c r="LYA17" s="573"/>
      <c r="LYB17" s="573"/>
      <c r="LYC17" s="573"/>
      <c r="LYD17" s="573"/>
      <c r="LYE17" s="573"/>
      <c r="LYF17" s="573"/>
      <c r="LYG17" s="573"/>
      <c r="LYH17" s="573"/>
      <c r="LYI17" s="573"/>
      <c r="LYJ17" s="573"/>
      <c r="LYK17" s="573"/>
      <c r="LYL17" s="573"/>
      <c r="LYM17" s="573"/>
      <c r="LYN17" s="573"/>
      <c r="LYO17" s="573"/>
      <c r="LYP17" s="573"/>
      <c r="LYQ17" s="573"/>
      <c r="LYR17" s="573"/>
      <c r="LYS17" s="573"/>
      <c r="LYT17" s="573"/>
      <c r="LYU17" s="573"/>
      <c r="LYV17" s="573"/>
      <c r="LYW17" s="573"/>
      <c r="LYX17" s="573"/>
      <c r="LYY17" s="573"/>
      <c r="LYZ17" s="573"/>
      <c r="LZA17" s="573"/>
      <c r="LZB17" s="573"/>
      <c r="LZC17" s="573"/>
      <c r="LZD17" s="573"/>
      <c r="LZE17" s="573"/>
      <c r="LZF17" s="573"/>
      <c r="LZG17" s="573"/>
      <c r="LZH17" s="573"/>
      <c r="LZI17" s="573"/>
      <c r="LZJ17" s="573"/>
      <c r="LZK17" s="573"/>
      <c r="LZL17" s="573"/>
      <c r="LZM17" s="573"/>
      <c r="LZN17" s="573"/>
      <c r="LZO17" s="573"/>
      <c r="LZP17" s="573"/>
      <c r="LZQ17" s="573"/>
      <c r="LZR17" s="573"/>
      <c r="LZS17" s="573"/>
      <c r="LZT17" s="573"/>
      <c r="LZU17" s="573"/>
      <c r="LZV17" s="573"/>
      <c r="LZW17" s="573"/>
      <c r="LZX17" s="573"/>
      <c r="LZY17" s="573"/>
      <c r="LZZ17" s="573"/>
      <c r="MAA17" s="573"/>
      <c r="MAB17" s="573"/>
      <c r="MAC17" s="573"/>
      <c r="MAD17" s="573"/>
      <c r="MAE17" s="573"/>
      <c r="MAF17" s="573"/>
      <c r="MAG17" s="573"/>
      <c r="MAH17" s="573"/>
      <c r="MAI17" s="573"/>
      <c r="MAJ17" s="573"/>
      <c r="MAK17" s="573"/>
      <c r="MAL17" s="573"/>
      <c r="MAM17" s="573"/>
      <c r="MAN17" s="573"/>
      <c r="MAO17" s="573"/>
      <c r="MAP17" s="573"/>
      <c r="MAQ17" s="573"/>
      <c r="MAR17" s="573"/>
      <c r="MAS17" s="573"/>
      <c r="MAT17" s="573"/>
      <c r="MAU17" s="573"/>
      <c r="MAV17" s="573"/>
      <c r="MAW17" s="573"/>
      <c r="MAX17" s="573"/>
      <c r="MAY17" s="573"/>
      <c r="MAZ17" s="573"/>
      <c r="MBA17" s="573"/>
      <c r="MBB17" s="573"/>
      <c r="MBC17" s="573"/>
      <c r="MBD17" s="573"/>
      <c r="MBE17" s="573"/>
      <c r="MBF17" s="573"/>
      <c r="MBG17" s="573"/>
      <c r="MBH17" s="573"/>
      <c r="MBI17" s="573"/>
      <c r="MBJ17" s="573"/>
      <c r="MBK17" s="573"/>
      <c r="MBL17" s="573"/>
      <c r="MBM17" s="573"/>
      <c r="MBN17" s="573"/>
      <c r="MBO17" s="573"/>
      <c r="MBP17" s="573"/>
      <c r="MBQ17" s="573"/>
      <c r="MBR17" s="573"/>
      <c r="MBS17" s="573"/>
      <c r="MBT17" s="573"/>
      <c r="MBU17" s="573"/>
      <c r="MBV17" s="573"/>
      <c r="MBW17" s="573"/>
      <c r="MBX17" s="573"/>
      <c r="MBY17" s="573"/>
      <c r="MBZ17" s="573"/>
      <c r="MCA17" s="573"/>
      <c r="MCB17" s="573"/>
      <c r="MCC17" s="573"/>
      <c r="MCD17" s="573"/>
      <c r="MCE17" s="573"/>
      <c r="MCF17" s="573"/>
      <c r="MCG17" s="573"/>
      <c r="MCH17" s="573"/>
      <c r="MCI17" s="573"/>
      <c r="MCJ17" s="573"/>
      <c r="MCK17" s="573"/>
      <c r="MCL17" s="573"/>
      <c r="MCM17" s="573"/>
      <c r="MCN17" s="573"/>
      <c r="MCO17" s="573"/>
      <c r="MCP17" s="573"/>
      <c r="MCQ17" s="573"/>
      <c r="MCR17" s="573"/>
      <c r="MCS17" s="573"/>
      <c r="MCT17" s="573"/>
      <c r="MCU17" s="573"/>
      <c r="MCV17" s="573"/>
      <c r="MCW17" s="573"/>
      <c r="MCX17" s="573"/>
      <c r="MCY17" s="573"/>
      <c r="MCZ17" s="573"/>
      <c r="MDA17" s="573"/>
      <c r="MDB17" s="573"/>
      <c r="MDC17" s="573"/>
      <c r="MDD17" s="573"/>
      <c r="MDE17" s="573"/>
      <c r="MDF17" s="573"/>
      <c r="MDG17" s="573"/>
      <c r="MDH17" s="573"/>
      <c r="MDI17" s="573"/>
      <c r="MDJ17" s="573"/>
      <c r="MDK17" s="573"/>
      <c r="MDL17" s="573"/>
      <c r="MDM17" s="573"/>
      <c r="MDN17" s="573"/>
      <c r="MDO17" s="573"/>
      <c r="MDP17" s="573"/>
      <c r="MDQ17" s="573"/>
      <c r="MDR17" s="573"/>
      <c r="MDS17" s="573"/>
      <c r="MDT17" s="573"/>
      <c r="MDU17" s="573"/>
      <c r="MDV17" s="573"/>
      <c r="MDW17" s="573"/>
      <c r="MDX17" s="573"/>
      <c r="MDY17" s="573"/>
      <c r="MDZ17" s="573"/>
      <c r="MEA17" s="573"/>
      <c r="MEB17" s="573"/>
      <c r="MEC17" s="573"/>
      <c r="MED17" s="573"/>
      <c r="MEE17" s="573"/>
      <c r="MEF17" s="573"/>
      <c r="MEG17" s="573"/>
      <c r="MEH17" s="573"/>
      <c r="MEI17" s="573"/>
      <c r="MEJ17" s="573"/>
      <c r="MEK17" s="573"/>
      <c r="MEL17" s="573"/>
      <c r="MEM17" s="573"/>
      <c r="MEN17" s="573"/>
      <c r="MEO17" s="573"/>
      <c r="MEP17" s="573"/>
      <c r="MEQ17" s="573"/>
      <c r="MER17" s="573"/>
      <c r="MES17" s="573"/>
      <c r="MET17" s="573"/>
      <c r="MEU17" s="573"/>
      <c r="MEV17" s="573"/>
      <c r="MEW17" s="573"/>
      <c r="MEX17" s="573"/>
      <c r="MEY17" s="573"/>
      <c r="MEZ17" s="573"/>
      <c r="MFA17" s="573"/>
      <c r="MFB17" s="573"/>
      <c r="MFC17" s="573"/>
      <c r="MFD17" s="573"/>
      <c r="MFE17" s="573"/>
      <c r="MFF17" s="573"/>
      <c r="MFG17" s="573"/>
      <c r="MFH17" s="573"/>
      <c r="MFI17" s="573"/>
      <c r="MFJ17" s="573"/>
      <c r="MFK17" s="573"/>
      <c r="MFL17" s="573"/>
      <c r="MFM17" s="573"/>
      <c r="MFN17" s="573"/>
      <c r="MFO17" s="573"/>
      <c r="MFP17" s="573"/>
      <c r="MFQ17" s="573"/>
      <c r="MFR17" s="573"/>
      <c r="MFS17" s="573"/>
      <c r="MFT17" s="573"/>
      <c r="MFU17" s="573"/>
      <c r="MFV17" s="573"/>
      <c r="MFW17" s="573"/>
      <c r="MFX17" s="573"/>
      <c r="MFY17" s="573"/>
      <c r="MFZ17" s="573"/>
      <c r="MGA17" s="573"/>
      <c r="MGB17" s="573"/>
      <c r="MGC17" s="573"/>
      <c r="MGD17" s="573"/>
      <c r="MGE17" s="573"/>
      <c r="MGF17" s="573"/>
      <c r="MGG17" s="573"/>
      <c r="MGH17" s="573"/>
      <c r="MGI17" s="573"/>
      <c r="MGJ17" s="573"/>
      <c r="MGK17" s="573"/>
      <c r="MGL17" s="573"/>
      <c r="MGM17" s="573"/>
      <c r="MGN17" s="573"/>
      <c r="MGO17" s="573"/>
      <c r="MGP17" s="573"/>
      <c r="MGQ17" s="573"/>
      <c r="MGR17" s="573"/>
      <c r="MGS17" s="573"/>
      <c r="MGT17" s="573"/>
      <c r="MGU17" s="573"/>
      <c r="MGV17" s="573"/>
      <c r="MGW17" s="573"/>
      <c r="MGX17" s="573"/>
      <c r="MGY17" s="573"/>
      <c r="MGZ17" s="573"/>
      <c r="MHA17" s="573"/>
      <c r="MHB17" s="573"/>
      <c r="MHC17" s="573"/>
      <c r="MHD17" s="573"/>
      <c r="MHE17" s="573"/>
      <c r="MHF17" s="573"/>
      <c r="MHG17" s="573"/>
      <c r="MHH17" s="573"/>
      <c r="MHI17" s="573"/>
      <c r="MHJ17" s="573"/>
      <c r="MHK17" s="573"/>
      <c r="MHL17" s="573"/>
      <c r="MHM17" s="573"/>
      <c r="MHN17" s="573"/>
      <c r="MHO17" s="573"/>
      <c r="MHP17" s="573"/>
      <c r="MHQ17" s="573"/>
      <c r="MHR17" s="573"/>
      <c r="MHS17" s="573"/>
      <c r="MHT17" s="573"/>
      <c r="MHU17" s="573"/>
      <c r="MHV17" s="573"/>
      <c r="MHW17" s="573"/>
      <c r="MHX17" s="573"/>
      <c r="MHY17" s="573"/>
      <c r="MHZ17" s="573"/>
      <c r="MIA17" s="573"/>
      <c r="MIB17" s="573"/>
      <c r="MIC17" s="573"/>
      <c r="MID17" s="573"/>
      <c r="MIE17" s="573"/>
      <c r="MIF17" s="573"/>
      <c r="MIG17" s="573"/>
      <c r="MIH17" s="573"/>
      <c r="MII17" s="573"/>
      <c r="MIJ17" s="573"/>
      <c r="MIK17" s="573"/>
      <c r="MIL17" s="573"/>
      <c r="MIM17" s="573"/>
      <c r="MIN17" s="573"/>
      <c r="MIO17" s="573"/>
      <c r="MIP17" s="573"/>
      <c r="MIQ17" s="573"/>
      <c r="MIR17" s="573"/>
      <c r="MIS17" s="573"/>
      <c r="MIT17" s="573"/>
      <c r="MIU17" s="573"/>
      <c r="MIV17" s="573"/>
      <c r="MIW17" s="573"/>
      <c r="MIX17" s="573"/>
      <c r="MIY17" s="573"/>
      <c r="MIZ17" s="573"/>
      <c r="MJA17" s="573"/>
      <c r="MJB17" s="573"/>
      <c r="MJC17" s="573"/>
      <c r="MJD17" s="573"/>
      <c r="MJE17" s="573"/>
      <c r="MJF17" s="573"/>
      <c r="MJG17" s="573"/>
      <c r="MJH17" s="573"/>
      <c r="MJI17" s="573"/>
      <c r="MJJ17" s="573"/>
      <c r="MJK17" s="573"/>
      <c r="MJL17" s="573"/>
      <c r="MJM17" s="573"/>
      <c r="MJN17" s="573"/>
      <c r="MJO17" s="573"/>
      <c r="MJP17" s="573"/>
      <c r="MJQ17" s="573"/>
      <c r="MJR17" s="573"/>
      <c r="MJS17" s="573"/>
      <c r="MJT17" s="573"/>
      <c r="MJU17" s="573"/>
      <c r="MJV17" s="573"/>
      <c r="MJW17" s="573"/>
      <c r="MJX17" s="573"/>
      <c r="MJY17" s="573"/>
      <c r="MJZ17" s="573"/>
      <c r="MKA17" s="573"/>
      <c r="MKB17" s="573"/>
      <c r="MKC17" s="573"/>
      <c r="MKD17" s="573"/>
      <c r="MKE17" s="573"/>
      <c r="MKF17" s="573"/>
      <c r="MKG17" s="573"/>
      <c r="MKH17" s="573"/>
      <c r="MKI17" s="573"/>
      <c r="MKJ17" s="573"/>
      <c r="MKK17" s="573"/>
      <c r="MKL17" s="573"/>
      <c r="MKM17" s="573"/>
      <c r="MKN17" s="573"/>
      <c r="MKO17" s="573"/>
      <c r="MKP17" s="573"/>
      <c r="MKQ17" s="573"/>
      <c r="MKR17" s="573"/>
      <c r="MKS17" s="573"/>
      <c r="MKT17" s="573"/>
      <c r="MKU17" s="573"/>
      <c r="MKV17" s="573"/>
      <c r="MKW17" s="573"/>
      <c r="MKX17" s="573"/>
      <c r="MKY17" s="573"/>
      <c r="MKZ17" s="573"/>
      <c r="MLA17" s="573"/>
      <c r="MLB17" s="573"/>
      <c r="MLC17" s="573"/>
      <c r="MLD17" s="573"/>
      <c r="MLE17" s="573"/>
      <c r="MLF17" s="573"/>
      <c r="MLG17" s="573"/>
      <c r="MLH17" s="573"/>
      <c r="MLI17" s="573"/>
      <c r="MLJ17" s="573"/>
      <c r="MLK17" s="573"/>
      <c r="MLL17" s="573"/>
      <c r="MLM17" s="573"/>
      <c r="MLN17" s="573"/>
      <c r="MLO17" s="573"/>
      <c r="MLP17" s="573"/>
      <c r="MLQ17" s="573"/>
      <c r="MLR17" s="573"/>
      <c r="MLS17" s="573"/>
      <c r="MLT17" s="573"/>
      <c r="MLU17" s="573"/>
      <c r="MLV17" s="573"/>
      <c r="MLW17" s="573"/>
      <c r="MLX17" s="573"/>
      <c r="MLY17" s="573"/>
      <c r="MLZ17" s="573"/>
      <c r="MMA17" s="573"/>
      <c r="MMB17" s="573"/>
      <c r="MMC17" s="573"/>
      <c r="MMD17" s="573"/>
      <c r="MME17" s="573"/>
      <c r="MMF17" s="573"/>
      <c r="MMG17" s="573"/>
      <c r="MMH17" s="573"/>
      <c r="MMI17" s="573"/>
      <c r="MMJ17" s="573"/>
      <c r="MMK17" s="573"/>
      <c r="MML17" s="573"/>
      <c r="MMM17" s="573"/>
      <c r="MMN17" s="573"/>
      <c r="MMO17" s="573"/>
      <c r="MMP17" s="573"/>
      <c r="MMQ17" s="573"/>
      <c r="MMR17" s="573"/>
      <c r="MMS17" s="573"/>
      <c r="MMT17" s="573"/>
      <c r="MMU17" s="573"/>
      <c r="MMV17" s="573"/>
      <c r="MMW17" s="573"/>
      <c r="MMX17" s="573"/>
      <c r="MMY17" s="573"/>
      <c r="MMZ17" s="573"/>
      <c r="MNA17" s="573"/>
      <c r="MNB17" s="573"/>
      <c r="MNC17" s="573"/>
      <c r="MND17" s="573"/>
      <c r="MNE17" s="573"/>
      <c r="MNF17" s="573"/>
      <c r="MNG17" s="573"/>
      <c r="MNH17" s="573"/>
      <c r="MNI17" s="573"/>
      <c r="MNJ17" s="573"/>
      <c r="MNK17" s="573"/>
      <c r="MNL17" s="573"/>
      <c r="MNM17" s="573"/>
      <c r="MNN17" s="573"/>
      <c r="MNO17" s="573"/>
      <c r="MNP17" s="573"/>
      <c r="MNQ17" s="573"/>
      <c r="MNR17" s="573"/>
      <c r="MNS17" s="573"/>
      <c r="MNT17" s="573"/>
      <c r="MNU17" s="573"/>
      <c r="MNV17" s="573"/>
      <c r="MNW17" s="573"/>
      <c r="MNX17" s="573"/>
      <c r="MNY17" s="573"/>
      <c r="MNZ17" s="573"/>
      <c r="MOA17" s="573"/>
      <c r="MOB17" s="573"/>
      <c r="MOC17" s="573"/>
      <c r="MOD17" s="573"/>
      <c r="MOE17" s="573"/>
      <c r="MOF17" s="573"/>
      <c r="MOG17" s="573"/>
      <c r="MOH17" s="573"/>
      <c r="MOI17" s="573"/>
      <c r="MOJ17" s="573"/>
      <c r="MOK17" s="573"/>
      <c r="MOL17" s="573"/>
      <c r="MOM17" s="573"/>
      <c r="MON17" s="573"/>
      <c r="MOO17" s="573"/>
      <c r="MOP17" s="573"/>
      <c r="MOQ17" s="573"/>
      <c r="MOR17" s="573"/>
      <c r="MOS17" s="573"/>
      <c r="MOT17" s="573"/>
      <c r="MOU17" s="573"/>
      <c r="MOV17" s="573"/>
      <c r="MOW17" s="573"/>
      <c r="MOX17" s="573"/>
      <c r="MOY17" s="573"/>
      <c r="MOZ17" s="573"/>
      <c r="MPA17" s="573"/>
      <c r="MPB17" s="573"/>
      <c r="MPC17" s="573"/>
      <c r="MPD17" s="573"/>
      <c r="MPE17" s="573"/>
      <c r="MPF17" s="573"/>
      <c r="MPG17" s="573"/>
      <c r="MPH17" s="573"/>
      <c r="MPI17" s="573"/>
      <c r="MPJ17" s="573"/>
      <c r="MPK17" s="573"/>
      <c r="MPL17" s="573"/>
      <c r="MPM17" s="573"/>
      <c r="MPN17" s="573"/>
      <c r="MPO17" s="573"/>
      <c r="MPP17" s="573"/>
      <c r="MPQ17" s="573"/>
      <c r="MPR17" s="573"/>
      <c r="MPS17" s="573"/>
      <c r="MPT17" s="573"/>
      <c r="MPU17" s="573"/>
      <c r="MPV17" s="573"/>
      <c r="MPW17" s="573"/>
      <c r="MPX17" s="573"/>
      <c r="MPY17" s="573"/>
      <c r="MPZ17" s="573"/>
      <c r="MQA17" s="573"/>
      <c r="MQB17" s="573"/>
      <c r="MQC17" s="573"/>
      <c r="MQD17" s="573"/>
      <c r="MQE17" s="573"/>
      <c r="MQF17" s="573"/>
      <c r="MQG17" s="573"/>
      <c r="MQH17" s="573"/>
      <c r="MQI17" s="573"/>
      <c r="MQJ17" s="573"/>
      <c r="MQK17" s="573"/>
      <c r="MQL17" s="573"/>
      <c r="MQM17" s="573"/>
      <c r="MQN17" s="573"/>
      <c r="MQO17" s="573"/>
      <c r="MQP17" s="573"/>
      <c r="MQQ17" s="573"/>
      <c r="MQR17" s="573"/>
      <c r="MQS17" s="573"/>
      <c r="MQT17" s="573"/>
      <c r="MQU17" s="573"/>
      <c r="MQV17" s="573"/>
      <c r="MQW17" s="573"/>
      <c r="MQX17" s="573"/>
      <c r="MQY17" s="573"/>
      <c r="MQZ17" s="573"/>
      <c r="MRA17" s="573"/>
      <c r="MRB17" s="573"/>
      <c r="MRC17" s="573"/>
      <c r="MRD17" s="573"/>
      <c r="MRE17" s="573"/>
      <c r="MRF17" s="573"/>
      <c r="MRG17" s="573"/>
      <c r="MRH17" s="573"/>
      <c r="MRI17" s="573"/>
      <c r="MRJ17" s="573"/>
      <c r="MRK17" s="573"/>
      <c r="MRL17" s="573"/>
      <c r="MRM17" s="573"/>
      <c r="MRN17" s="573"/>
      <c r="MRO17" s="573"/>
      <c r="MRP17" s="573"/>
      <c r="MRQ17" s="573"/>
      <c r="MRR17" s="573"/>
      <c r="MRS17" s="573"/>
      <c r="MRT17" s="573"/>
      <c r="MRU17" s="573"/>
      <c r="MRV17" s="573"/>
      <c r="MRW17" s="573"/>
      <c r="MRX17" s="573"/>
      <c r="MRY17" s="573"/>
      <c r="MRZ17" s="573"/>
      <c r="MSA17" s="573"/>
      <c r="MSB17" s="573"/>
      <c r="MSC17" s="573"/>
      <c r="MSD17" s="573"/>
      <c r="MSE17" s="573"/>
      <c r="MSF17" s="573"/>
      <c r="MSG17" s="573"/>
      <c r="MSH17" s="573"/>
      <c r="MSI17" s="573"/>
      <c r="MSJ17" s="573"/>
      <c r="MSK17" s="573"/>
      <c r="MSL17" s="573"/>
      <c r="MSM17" s="573"/>
      <c r="MSN17" s="573"/>
      <c r="MSO17" s="573"/>
      <c r="MSP17" s="573"/>
      <c r="MSQ17" s="573"/>
      <c r="MSR17" s="573"/>
      <c r="MSS17" s="573"/>
      <c r="MST17" s="573"/>
      <c r="MSU17" s="573"/>
      <c r="MSV17" s="573"/>
      <c r="MSW17" s="573"/>
      <c r="MSX17" s="573"/>
      <c r="MSY17" s="573"/>
      <c r="MSZ17" s="573"/>
      <c r="MTA17" s="573"/>
      <c r="MTB17" s="573"/>
      <c r="MTC17" s="573"/>
      <c r="MTD17" s="573"/>
      <c r="MTE17" s="573"/>
      <c r="MTF17" s="573"/>
      <c r="MTG17" s="573"/>
      <c r="MTH17" s="573"/>
      <c r="MTI17" s="573"/>
      <c r="MTJ17" s="573"/>
      <c r="MTK17" s="573"/>
      <c r="MTL17" s="573"/>
      <c r="MTM17" s="573"/>
      <c r="MTN17" s="573"/>
      <c r="MTO17" s="573"/>
      <c r="MTP17" s="573"/>
      <c r="MTQ17" s="573"/>
      <c r="MTR17" s="573"/>
      <c r="MTS17" s="573"/>
      <c r="MTT17" s="573"/>
      <c r="MTU17" s="573"/>
      <c r="MTV17" s="573"/>
      <c r="MTW17" s="573"/>
      <c r="MTX17" s="573"/>
      <c r="MTY17" s="573"/>
      <c r="MTZ17" s="573"/>
      <c r="MUA17" s="573"/>
      <c r="MUB17" s="573"/>
      <c r="MUC17" s="573"/>
      <c r="MUD17" s="573"/>
      <c r="MUE17" s="573"/>
      <c r="MUF17" s="573"/>
      <c r="MUG17" s="573"/>
      <c r="MUH17" s="573"/>
      <c r="MUI17" s="573"/>
      <c r="MUJ17" s="573"/>
      <c r="MUK17" s="573"/>
      <c r="MUL17" s="573"/>
      <c r="MUM17" s="573"/>
      <c r="MUN17" s="573"/>
      <c r="MUO17" s="573"/>
      <c r="MUP17" s="573"/>
      <c r="MUQ17" s="573"/>
      <c r="MUR17" s="573"/>
      <c r="MUS17" s="573"/>
      <c r="MUT17" s="573"/>
      <c r="MUU17" s="573"/>
      <c r="MUV17" s="573"/>
      <c r="MUW17" s="573"/>
      <c r="MUX17" s="573"/>
      <c r="MUY17" s="573"/>
      <c r="MUZ17" s="573"/>
      <c r="MVA17" s="573"/>
      <c r="MVB17" s="573"/>
      <c r="MVC17" s="573"/>
      <c r="MVD17" s="573"/>
      <c r="MVE17" s="573"/>
      <c r="MVF17" s="573"/>
      <c r="MVG17" s="573"/>
      <c r="MVH17" s="573"/>
      <c r="MVI17" s="573"/>
      <c r="MVJ17" s="573"/>
      <c r="MVK17" s="573"/>
      <c r="MVL17" s="573"/>
      <c r="MVM17" s="573"/>
      <c r="MVN17" s="573"/>
      <c r="MVO17" s="573"/>
      <c r="MVP17" s="573"/>
      <c r="MVQ17" s="573"/>
      <c r="MVR17" s="573"/>
      <c r="MVS17" s="573"/>
      <c r="MVT17" s="573"/>
      <c r="MVU17" s="573"/>
      <c r="MVV17" s="573"/>
      <c r="MVW17" s="573"/>
      <c r="MVX17" s="573"/>
      <c r="MVY17" s="573"/>
      <c r="MVZ17" s="573"/>
      <c r="MWA17" s="573"/>
      <c r="MWB17" s="573"/>
      <c r="MWC17" s="573"/>
      <c r="MWD17" s="573"/>
      <c r="MWE17" s="573"/>
      <c r="MWF17" s="573"/>
      <c r="MWG17" s="573"/>
      <c r="MWH17" s="573"/>
      <c r="MWI17" s="573"/>
      <c r="MWJ17" s="573"/>
      <c r="MWK17" s="573"/>
      <c r="MWL17" s="573"/>
      <c r="MWM17" s="573"/>
      <c r="MWN17" s="573"/>
      <c r="MWO17" s="573"/>
      <c r="MWP17" s="573"/>
      <c r="MWQ17" s="573"/>
      <c r="MWR17" s="573"/>
      <c r="MWS17" s="573"/>
      <c r="MWT17" s="573"/>
      <c r="MWU17" s="573"/>
      <c r="MWV17" s="573"/>
      <c r="MWW17" s="573"/>
      <c r="MWX17" s="573"/>
      <c r="MWY17" s="573"/>
      <c r="MWZ17" s="573"/>
      <c r="MXA17" s="573"/>
      <c r="MXB17" s="573"/>
      <c r="MXC17" s="573"/>
      <c r="MXD17" s="573"/>
      <c r="MXE17" s="573"/>
      <c r="MXF17" s="573"/>
      <c r="MXG17" s="573"/>
      <c r="MXH17" s="573"/>
      <c r="MXI17" s="573"/>
      <c r="MXJ17" s="573"/>
      <c r="MXK17" s="573"/>
      <c r="MXL17" s="573"/>
      <c r="MXM17" s="573"/>
      <c r="MXN17" s="573"/>
      <c r="MXO17" s="573"/>
      <c r="MXP17" s="573"/>
      <c r="MXQ17" s="573"/>
      <c r="MXR17" s="573"/>
      <c r="MXS17" s="573"/>
      <c r="MXT17" s="573"/>
      <c r="MXU17" s="573"/>
      <c r="MXV17" s="573"/>
      <c r="MXW17" s="573"/>
      <c r="MXX17" s="573"/>
      <c r="MXY17" s="573"/>
      <c r="MXZ17" s="573"/>
      <c r="MYA17" s="573"/>
      <c r="MYB17" s="573"/>
      <c r="MYC17" s="573"/>
      <c r="MYD17" s="573"/>
      <c r="MYE17" s="573"/>
      <c r="MYF17" s="573"/>
      <c r="MYG17" s="573"/>
      <c r="MYH17" s="573"/>
      <c r="MYI17" s="573"/>
      <c r="MYJ17" s="573"/>
      <c r="MYK17" s="573"/>
      <c r="MYL17" s="573"/>
      <c r="MYM17" s="573"/>
      <c r="MYN17" s="573"/>
      <c r="MYO17" s="573"/>
      <c r="MYP17" s="573"/>
      <c r="MYQ17" s="573"/>
      <c r="MYR17" s="573"/>
      <c r="MYS17" s="573"/>
      <c r="MYT17" s="573"/>
      <c r="MYU17" s="573"/>
      <c r="MYV17" s="573"/>
      <c r="MYW17" s="573"/>
      <c r="MYX17" s="573"/>
      <c r="MYY17" s="573"/>
      <c r="MYZ17" s="573"/>
      <c r="MZA17" s="573"/>
      <c r="MZB17" s="573"/>
      <c r="MZC17" s="573"/>
      <c r="MZD17" s="573"/>
      <c r="MZE17" s="573"/>
      <c r="MZF17" s="573"/>
      <c r="MZG17" s="573"/>
      <c r="MZH17" s="573"/>
      <c r="MZI17" s="573"/>
      <c r="MZJ17" s="573"/>
      <c r="MZK17" s="573"/>
      <c r="MZL17" s="573"/>
      <c r="MZM17" s="573"/>
      <c r="MZN17" s="573"/>
      <c r="MZO17" s="573"/>
      <c r="MZP17" s="573"/>
      <c r="MZQ17" s="573"/>
      <c r="MZR17" s="573"/>
      <c r="MZS17" s="573"/>
      <c r="MZT17" s="573"/>
      <c r="MZU17" s="573"/>
      <c r="MZV17" s="573"/>
      <c r="MZW17" s="573"/>
      <c r="MZX17" s="573"/>
      <c r="MZY17" s="573"/>
      <c r="MZZ17" s="573"/>
      <c r="NAA17" s="573"/>
      <c r="NAB17" s="573"/>
      <c r="NAC17" s="573"/>
      <c r="NAD17" s="573"/>
      <c r="NAE17" s="573"/>
      <c r="NAF17" s="573"/>
      <c r="NAG17" s="573"/>
      <c r="NAH17" s="573"/>
      <c r="NAI17" s="573"/>
      <c r="NAJ17" s="573"/>
      <c r="NAK17" s="573"/>
      <c r="NAL17" s="573"/>
      <c r="NAM17" s="573"/>
      <c r="NAN17" s="573"/>
      <c r="NAO17" s="573"/>
      <c r="NAP17" s="573"/>
      <c r="NAQ17" s="573"/>
      <c r="NAR17" s="573"/>
      <c r="NAS17" s="573"/>
      <c r="NAT17" s="573"/>
      <c r="NAU17" s="573"/>
      <c r="NAV17" s="573"/>
      <c r="NAW17" s="573"/>
      <c r="NAX17" s="573"/>
      <c r="NAY17" s="573"/>
      <c r="NAZ17" s="573"/>
      <c r="NBA17" s="573"/>
      <c r="NBB17" s="573"/>
      <c r="NBC17" s="573"/>
      <c r="NBD17" s="573"/>
      <c r="NBE17" s="573"/>
      <c r="NBF17" s="573"/>
      <c r="NBG17" s="573"/>
      <c r="NBH17" s="573"/>
      <c r="NBI17" s="573"/>
      <c r="NBJ17" s="573"/>
      <c r="NBK17" s="573"/>
      <c r="NBL17" s="573"/>
      <c r="NBM17" s="573"/>
      <c r="NBN17" s="573"/>
      <c r="NBO17" s="573"/>
      <c r="NBP17" s="573"/>
      <c r="NBQ17" s="573"/>
      <c r="NBR17" s="573"/>
      <c r="NBS17" s="573"/>
      <c r="NBT17" s="573"/>
      <c r="NBU17" s="573"/>
      <c r="NBV17" s="573"/>
      <c r="NBW17" s="573"/>
      <c r="NBX17" s="573"/>
      <c r="NBY17" s="573"/>
      <c r="NBZ17" s="573"/>
      <c r="NCA17" s="573"/>
      <c r="NCB17" s="573"/>
      <c r="NCC17" s="573"/>
      <c r="NCD17" s="573"/>
      <c r="NCE17" s="573"/>
      <c r="NCF17" s="573"/>
      <c r="NCG17" s="573"/>
      <c r="NCH17" s="573"/>
      <c r="NCI17" s="573"/>
      <c r="NCJ17" s="573"/>
      <c r="NCK17" s="573"/>
      <c r="NCL17" s="573"/>
      <c r="NCM17" s="573"/>
      <c r="NCN17" s="573"/>
      <c r="NCO17" s="573"/>
      <c r="NCP17" s="573"/>
      <c r="NCQ17" s="573"/>
      <c r="NCR17" s="573"/>
      <c r="NCS17" s="573"/>
      <c r="NCT17" s="573"/>
      <c r="NCU17" s="573"/>
      <c r="NCV17" s="573"/>
      <c r="NCW17" s="573"/>
      <c r="NCX17" s="573"/>
      <c r="NCY17" s="573"/>
      <c r="NCZ17" s="573"/>
      <c r="NDA17" s="573"/>
      <c r="NDB17" s="573"/>
      <c r="NDC17" s="573"/>
      <c r="NDD17" s="573"/>
      <c r="NDE17" s="573"/>
      <c r="NDF17" s="573"/>
      <c r="NDG17" s="573"/>
      <c r="NDH17" s="573"/>
      <c r="NDI17" s="573"/>
      <c r="NDJ17" s="573"/>
      <c r="NDK17" s="573"/>
      <c r="NDL17" s="573"/>
      <c r="NDM17" s="573"/>
      <c r="NDN17" s="573"/>
      <c r="NDO17" s="573"/>
      <c r="NDP17" s="573"/>
      <c r="NDQ17" s="573"/>
      <c r="NDR17" s="573"/>
      <c r="NDS17" s="573"/>
      <c r="NDT17" s="573"/>
      <c r="NDU17" s="573"/>
      <c r="NDV17" s="573"/>
      <c r="NDW17" s="573"/>
      <c r="NDX17" s="573"/>
      <c r="NDY17" s="573"/>
      <c r="NDZ17" s="573"/>
      <c r="NEA17" s="573"/>
      <c r="NEB17" s="573"/>
      <c r="NEC17" s="573"/>
      <c r="NED17" s="573"/>
      <c r="NEE17" s="573"/>
      <c r="NEF17" s="573"/>
      <c r="NEG17" s="573"/>
      <c r="NEH17" s="573"/>
      <c r="NEI17" s="573"/>
      <c r="NEJ17" s="573"/>
      <c r="NEK17" s="573"/>
      <c r="NEL17" s="573"/>
      <c r="NEM17" s="573"/>
      <c r="NEN17" s="573"/>
      <c r="NEO17" s="573"/>
      <c r="NEP17" s="573"/>
      <c r="NEQ17" s="573"/>
      <c r="NER17" s="573"/>
      <c r="NES17" s="573"/>
      <c r="NET17" s="573"/>
      <c r="NEU17" s="573"/>
      <c r="NEV17" s="573"/>
      <c r="NEW17" s="573"/>
      <c r="NEX17" s="573"/>
      <c r="NEY17" s="573"/>
      <c r="NEZ17" s="573"/>
      <c r="NFA17" s="573"/>
      <c r="NFB17" s="573"/>
      <c r="NFC17" s="573"/>
      <c r="NFD17" s="573"/>
      <c r="NFE17" s="573"/>
      <c r="NFF17" s="573"/>
      <c r="NFG17" s="573"/>
      <c r="NFH17" s="573"/>
      <c r="NFI17" s="573"/>
      <c r="NFJ17" s="573"/>
      <c r="NFK17" s="573"/>
      <c r="NFL17" s="573"/>
      <c r="NFM17" s="573"/>
      <c r="NFN17" s="573"/>
      <c r="NFO17" s="573"/>
      <c r="NFP17" s="573"/>
      <c r="NFQ17" s="573"/>
      <c r="NFR17" s="573"/>
      <c r="NFS17" s="573"/>
      <c r="NFT17" s="573"/>
      <c r="NFU17" s="573"/>
      <c r="NFV17" s="573"/>
      <c r="NFW17" s="573"/>
      <c r="NFX17" s="573"/>
      <c r="NFY17" s="573"/>
      <c r="NFZ17" s="573"/>
      <c r="NGA17" s="573"/>
      <c r="NGB17" s="573"/>
      <c r="NGC17" s="573"/>
      <c r="NGD17" s="573"/>
      <c r="NGE17" s="573"/>
      <c r="NGF17" s="573"/>
      <c r="NGG17" s="573"/>
      <c r="NGH17" s="573"/>
      <c r="NGI17" s="573"/>
      <c r="NGJ17" s="573"/>
      <c r="NGK17" s="573"/>
      <c r="NGL17" s="573"/>
      <c r="NGM17" s="573"/>
      <c r="NGN17" s="573"/>
      <c r="NGO17" s="573"/>
      <c r="NGP17" s="573"/>
      <c r="NGQ17" s="573"/>
      <c r="NGR17" s="573"/>
      <c r="NGS17" s="573"/>
      <c r="NGT17" s="573"/>
      <c r="NGU17" s="573"/>
      <c r="NGV17" s="573"/>
      <c r="NGW17" s="573"/>
      <c r="NGX17" s="573"/>
      <c r="NGY17" s="573"/>
      <c r="NGZ17" s="573"/>
      <c r="NHA17" s="573"/>
      <c r="NHB17" s="573"/>
      <c r="NHC17" s="573"/>
      <c r="NHD17" s="573"/>
      <c r="NHE17" s="573"/>
      <c r="NHF17" s="573"/>
      <c r="NHG17" s="573"/>
      <c r="NHH17" s="573"/>
      <c r="NHI17" s="573"/>
      <c r="NHJ17" s="573"/>
      <c r="NHK17" s="573"/>
      <c r="NHL17" s="573"/>
      <c r="NHM17" s="573"/>
      <c r="NHN17" s="573"/>
      <c r="NHO17" s="573"/>
      <c r="NHP17" s="573"/>
      <c r="NHQ17" s="573"/>
      <c r="NHR17" s="573"/>
      <c r="NHS17" s="573"/>
      <c r="NHT17" s="573"/>
      <c r="NHU17" s="573"/>
      <c r="NHV17" s="573"/>
      <c r="NHW17" s="573"/>
      <c r="NHX17" s="573"/>
      <c r="NHY17" s="573"/>
      <c r="NHZ17" s="573"/>
      <c r="NIA17" s="573"/>
      <c r="NIB17" s="573"/>
      <c r="NIC17" s="573"/>
      <c r="NID17" s="573"/>
      <c r="NIE17" s="573"/>
      <c r="NIF17" s="573"/>
      <c r="NIG17" s="573"/>
      <c r="NIH17" s="573"/>
      <c r="NII17" s="573"/>
      <c r="NIJ17" s="573"/>
      <c r="NIK17" s="573"/>
      <c r="NIL17" s="573"/>
      <c r="NIM17" s="573"/>
      <c r="NIN17" s="573"/>
      <c r="NIO17" s="573"/>
      <c r="NIP17" s="573"/>
      <c r="NIQ17" s="573"/>
      <c r="NIR17" s="573"/>
      <c r="NIS17" s="573"/>
      <c r="NIT17" s="573"/>
      <c r="NIU17" s="573"/>
      <c r="NIV17" s="573"/>
      <c r="NIW17" s="573"/>
      <c r="NIX17" s="573"/>
      <c r="NIY17" s="573"/>
      <c r="NIZ17" s="573"/>
      <c r="NJA17" s="573"/>
      <c r="NJB17" s="573"/>
      <c r="NJC17" s="573"/>
      <c r="NJD17" s="573"/>
      <c r="NJE17" s="573"/>
      <c r="NJF17" s="573"/>
      <c r="NJG17" s="573"/>
      <c r="NJH17" s="573"/>
      <c r="NJI17" s="573"/>
      <c r="NJJ17" s="573"/>
      <c r="NJK17" s="573"/>
      <c r="NJL17" s="573"/>
      <c r="NJM17" s="573"/>
      <c r="NJN17" s="573"/>
      <c r="NJO17" s="573"/>
      <c r="NJP17" s="573"/>
      <c r="NJQ17" s="573"/>
      <c r="NJR17" s="573"/>
      <c r="NJS17" s="573"/>
      <c r="NJT17" s="573"/>
      <c r="NJU17" s="573"/>
      <c r="NJV17" s="573"/>
      <c r="NJW17" s="573"/>
      <c r="NJX17" s="573"/>
      <c r="NJY17" s="573"/>
      <c r="NJZ17" s="573"/>
      <c r="NKA17" s="573"/>
      <c r="NKB17" s="573"/>
      <c r="NKC17" s="573"/>
      <c r="NKD17" s="573"/>
      <c r="NKE17" s="573"/>
      <c r="NKF17" s="573"/>
      <c r="NKG17" s="573"/>
      <c r="NKH17" s="573"/>
      <c r="NKI17" s="573"/>
      <c r="NKJ17" s="573"/>
      <c r="NKK17" s="573"/>
      <c r="NKL17" s="573"/>
      <c r="NKM17" s="573"/>
      <c r="NKN17" s="573"/>
      <c r="NKO17" s="573"/>
      <c r="NKP17" s="573"/>
      <c r="NKQ17" s="573"/>
      <c r="NKR17" s="573"/>
      <c r="NKS17" s="573"/>
      <c r="NKT17" s="573"/>
      <c r="NKU17" s="573"/>
      <c r="NKV17" s="573"/>
      <c r="NKW17" s="573"/>
      <c r="NKX17" s="573"/>
      <c r="NKY17" s="573"/>
      <c r="NKZ17" s="573"/>
      <c r="NLA17" s="573"/>
      <c r="NLB17" s="573"/>
      <c r="NLC17" s="573"/>
      <c r="NLD17" s="573"/>
      <c r="NLE17" s="573"/>
      <c r="NLF17" s="573"/>
      <c r="NLG17" s="573"/>
      <c r="NLH17" s="573"/>
      <c r="NLI17" s="573"/>
      <c r="NLJ17" s="573"/>
      <c r="NLK17" s="573"/>
      <c r="NLL17" s="573"/>
      <c r="NLM17" s="573"/>
      <c r="NLN17" s="573"/>
      <c r="NLO17" s="573"/>
      <c r="NLP17" s="573"/>
      <c r="NLQ17" s="573"/>
      <c r="NLR17" s="573"/>
      <c r="NLS17" s="573"/>
      <c r="NLT17" s="573"/>
      <c r="NLU17" s="573"/>
      <c r="NLV17" s="573"/>
      <c r="NLW17" s="573"/>
      <c r="NLX17" s="573"/>
      <c r="NLY17" s="573"/>
      <c r="NLZ17" s="573"/>
      <c r="NMA17" s="573"/>
      <c r="NMB17" s="573"/>
      <c r="NMC17" s="573"/>
      <c r="NMD17" s="573"/>
      <c r="NME17" s="573"/>
      <c r="NMF17" s="573"/>
      <c r="NMG17" s="573"/>
      <c r="NMH17" s="573"/>
      <c r="NMI17" s="573"/>
      <c r="NMJ17" s="573"/>
      <c r="NMK17" s="573"/>
      <c r="NML17" s="573"/>
      <c r="NMM17" s="573"/>
      <c r="NMN17" s="573"/>
      <c r="NMO17" s="573"/>
      <c r="NMP17" s="573"/>
      <c r="NMQ17" s="573"/>
      <c r="NMR17" s="573"/>
      <c r="NMS17" s="573"/>
      <c r="NMT17" s="573"/>
      <c r="NMU17" s="573"/>
      <c r="NMV17" s="573"/>
      <c r="NMW17" s="573"/>
      <c r="NMX17" s="573"/>
      <c r="NMY17" s="573"/>
      <c r="NMZ17" s="573"/>
      <c r="NNA17" s="573"/>
      <c r="NNB17" s="573"/>
      <c r="NNC17" s="573"/>
      <c r="NND17" s="573"/>
      <c r="NNE17" s="573"/>
      <c r="NNF17" s="573"/>
      <c r="NNG17" s="573"/>
      <c r="NNH17" s="573"/>
      <c r="NNI17" s="573"/>
      <c r="NNJ17" s="573"/>
      <c r="NNK17" s="573"/>
      <c r="NNL17" s="573"/>
      <c r="NNM17" s="573"/>
      <c r="NNN17" s="573"/>
      <c r="NNO17" s="573"/>
      <c r="NNP17" s="573"/>
      <c r="NNQ17" s="573"/>
      <c r="NNR17" s="573"/>
      <c r="NNS17" s="573"/>
      <c r="NNT17" s="573"/>
      <c r="NNU17" s="573"/>
      <c r="NNV17" s="573"/>
      <c r="NNW17" s="573"/>
      <c r="NNX17" s="573"/>
      <c r="NNY17" s="573"/>
      <c r="NNZ17" s="573"/>
      <c r="NOA17" s="573"/>
      <c r="NOB17" s="573"/>
      <c r="NOC17" s="573"/>
      <c r="NOD17" s="573"/>
      <c r="NOE17" s="573"/>
      <c r="NOF17" s="573"/>
      <c r="NOG17" s="573"/>
      <c r="NOH17" s="573"/>
      <c r="NOI17" s="573"/>
      <c r="NOJ17" s="573"/>
      <c r="NOK17" s="573"/>
      <c r="NOL17" s="573"/>
      <c r="NOM17" s="573"/>
      <c r="NON17" s="573"/>
      <c r="NOO17" s="573"/>
      <c r="NOP17" s="573"/>
      <c r="NOQ17" s="573"/>
      <c r="NOR17" s="573"/>
      <c r="NOS17" s="573"/>
      <c r="NOT17" s="573"/>
      <c r="NOU17" s="573"/>
      <c r="NOV17" s="573"/>
      <c r="NOW17" s="573"/>
      <c r="NOX17" s="573"/>
      <c r="NOY17" s="573"/>
      <c r="NOZ17" s="573"/>
      <c r="NPA17" s="573"/>
      <c r="NPB17" s="573"/>
      <c r="NPC17" s="573"/>
      <c r="NPD17" s="573"/>
      <c r="NPE17" s="573"/>
      <c r="NPF17" s="573"/>
      <c r="NPG17" s="573"/>
      <c r="NPH17" s="573"/>
      <c r="NPI17" s="573"/>
      <c r="NPJ17" s="573"/>
      <c r="NPK17" s="573"/>
      <c r="NPL17" s="573"/>
      <c r="NPM17" s="573"/>
      <c r="NPN17" s="573"/>
      <c r="NPO17" s="573"/>
      <c r="NPP17" s="573"/>
      <c r="NPQ17" s="573"/>
      <c r="NPR17" s="573"/>
      <c r="NPS17" s="573"/>
      <c r="NPT17" s="573"/>
      <c r="NPU17" s="573"/>
      <c r="NPV17" s="573"/>
      <c r="NPW17" s="573"/>
      <c r="NPX17" s="573"/>
      <c r="NPY17" s="573"/>
      <c r="NPZ17" s="573"/>
      <c r="NQA17" s="573"/>
      <c r="NQB17" s="573"/>
      <c r="NQC17" s="573"/>
      <c r="NQD17" s="573"/>
      <c r="NQE17" s="573"/>
      <c r="NQF17" s="573"/>
      <c r="NQG17" s="573"/>
      <c r="NQH17" s="573"/>
      <c r="NQI17" s="573"/>
      <c r="NQJ17" s="573"/>
      <c r="NQK17" s="573"/>
      <c r="NQL17" s="573"/>
      <c r="NQM17" s="573"/>
      <c r="NQN17" s="573"/>
      <c r="NQO17" s="573"/>
      <c r="NQP17" s="573"/>
      <c r="NQQ17" s="573"/>
      <c r="NQR17" s="573"/>
      <c r="NQS17" s="573"/>
      <c r="NQT17" s="573"/>
      <c r="NQU17" s="573"/>
      <c r="NQV17" s="573"/>
      <c r="NQW17" s="573"/>
      <c r="NQX17" s="573"/>
      <c r="NQY17" s="573"/>
      <c r="NQZ17" s="573"/>
      <c r="NRA17" s="573"/>
      <c r="NRB17" s="573"/>
      <c r="NRC17" s="573"/>
      <c r="NRD17" s="573"/>
      <c r="NRE17" s="573"/>
      <c r="NRF17" s="573"/>
      <c r="NRG17" s="573"/>
      <c r="NRH17" s="573"/>
      <c r="NRI17" s="573"/>
      <c r="NRJ17" s="573"/>
      <c r="NRK17" s="573"/>
      <c r="NRL17" s="573"/>
      <c r="NRM17" s="573"/>
      <c r="NRN17" s="573"/>
      <c r="NRO17" s="573"/>
      <c r="NRP17" s="573"/>
      <c r="NRQ17" s="573"/>
      <c r="NRR17" s="573"/>
      <c r="NRS17" s="573"/>
      <c r="NRT17" s="573"/>
      <c r="NRU17" s="573"/>
      <c r="NRV17" s="573"/>
      <c r="NRW17" s="573"/>
      <c r="NRX17" s="573"/>
      <c r="NRY17" s="573"/>
      <c r="NRZ17" s="573"/>
      <c r="NSA17" s="573"/>
      <c r="NSB17" s="573"/>
      <c r="NSC17" s="573"/>
      <c r="NSD17" s="573"/>
      <c r="NSE17" s="573"/>
      <c r="NSF17" s="573"/>
      <c r="NSG17" s="573"/>
      <c r="NSH17" s="573"/>
      <c r="NSI17" s="573"/>
      <c r="NSJ17" s="573"/>
      <c r="NSK17" s="573"/>
      <c r="NSL17" s="573"/>
      <c r="NSM17" s="573"/>
      <c r="NSN17" s="573"/>
      <c r="NSO17" s="573"/>
      <c r="NSP17" s="573"/>
      <c r="NSQ17" s="573"/>
      <c r="NSR17" s="573"/>
      <c r="NSS17" s="573"/>
      <c r="NST17" s="573"/>
      <c r="NSU17" s="573"/>
      <c r="NSV17" s="573"/>
      <c r="NSW17" s="573"/>
      <c r="NSX17" s="573"/>
      <c r="NSY17" s="573"/>
      <c r="NSZ17" s="573"/>
      <c r="NTA17" s="573"/>
      <c r="NTB17" s="573"/>
      <c r="NTC17" s="573"/>
      <c r="NTD17" s="573"/>
      <c r="NTE17" s="573"/>
      <c r="NTF17" s="573"/>
      <c r="NTG17" s="573"/>
      <c r="NTH17" s="573"/>
      <c r="NTI17" s="573"/>
      <c r="NTJ17" s="573"/>
      <c r="NTK17" s="573"/>
      <c r="NTL17" s="573"/>
      <c r="NTM17" s="573"/>
      <c r="NTN17" s="573"/>
      <c r="NTO17" s="573"/>
      <c r="NTP17" s="573"/>
      <c r="NTQ17" s="573"/>
      <c r="NTR17" s="573"/>
      <c r="NTS17" s="573"/>
      <c r="NTT17" s="573"/>
      <c r="NTU17" s="573"/>
      <c r="NTV17" s="573"/>
      <c r="NTW17" s="573"/>
      <c r="NTX17" s="573"/>
      <c r="NTY17" s="573"/>
      <c r="NTZ17" s="573"/>
      <c r="NUA17" s="573"/>
      <c r="NUB17" s="573"/>
      <c r="NUC17" s="573"/>
      <c r="NUD17" s="573"/>
      <c r="NUE17" s="573"/>
      <c r="NUF17" s="573"/>
      <c r="NUG17" s="573"/>
      <c r="NUH17" s="573"/>
      <c r="NUI17" s="573"/>
      <c r="NUJ17" s="573"/>
      <c r="NUK17" s="573"/>
      <c r="NUL17" s="573"/>
      <c r="NUM17" s="573"/>
      <c r="NUN17" s="573"/>
      <c r="NUO17" s="573"/>
      <c r="NUP17" s="573"/>
      <c r="NUQ17" s="573"/>
      <c r="NUR17" s="573"/>
      <c r="NUS17" s="573"/>
      <c r="NUT17" s="573"/>
      <c r="NUU17" s="573"/>
      <c r="NUV17" s="573"/>
      <c r="NUW17" s="573"/>
      <c r="NUX17" s="573"/>
      <c r="NUY17" s="573"/>
      <c r="NUZ17" s="573"/>
      <c r="NVA17" s="573"/>
      <c r="NVB17" s="573"/>
      <c r="NVC17" s="573"/>
      <c r="NVD17" s="573"/>
      <c r="NVE17" s="573"/>
      <c r="NVF17" s="573"/>
      <c r="NVG17" s="573"/>
      <c r="NVH17" s="573"/>
      <c r="NVI17" s="573"/>
      <c r="NVJ17" s="573"/>
      <c r="NVK17" s="573"/>
      <c r="NVL17" s="573"/>
      <c r="NVM17" s="573"/>
      <c r="NVN17" s="573"/>
      <c r="NVO17" s="573"/>
      <c r="NVP17" s="573"/>
      <c r="NVQ17" s="573"/>
      <c r="NVR17" s="573"/>
      <c r="NVS17" s="573"/>
      <c r="NVT17" s="573"/>
      <c r="NVU17" s="573"/>
      <c r="NVV17" s="573"/>
      <c r="NVW17" s="573"/>
      <c r="NVX17" s="573"/>
      <c r="NVY17" s="573"/>
      <c r="NVZ17" s="573"/>
      <c r="NWA17" s="573"/>
      <c r="NWB17" s="573"/>
      <c r="NWC17" s="573"/>
      <c r="NWD17" s="573"/>
      <c r="NWE17" s="573"/>
      <c r="NWF17" s="573"/>
      <c r="NWG17" s="573"/>
      <c r="NWH17" s="573"/>
      <c r="NWI17" s="573"/>
      <c r="NWJ17" s="573"/>
      <c r="NWK17" s="573"/>
      <c r="NWL17" s="573"/>
      <c r="NWM17" s="573"/>
      <c r="NWN17" s="573"/>
      <c r="NWO17" s="573"/>
      <c r="NWP17" s="573"/>
      <c r="NWQ17" s="573"/>
      <c r="NWR17" s="573"/>
      <c r="NWS17" s="573"/>
      <c r="NWT17" s="573"/>
      <c r="NWU17" s="573"/>
      <c r="NWV17" s="573"/>
      <c r="NWW17" s="573"/>
      <c r="NWX17" s="573"/>
      <c r="NWY17" s="573"/>
      <c r="NWZ17" s="573"/>
      <c r="NXA17" s="573"/>
      <c r="NXB17" s="573"/>
      <c r="NXC17" s="573"/>
      <c r="NXD17" s="573"/>
      <c r="NXE17" s="573"/>
      <c r="NXF17" s="573"/>
      <c r="NXG17" s="573"/>
      <c r="NXH17" s="573"/>
      <c r="NXI17" s="573"/>
      <c r="NXJ17" s="573"/>
      <c r="NXK17" s="573"/>
      <c r="NXL17" s="573"/>
      <c r="NXM17" s="573"/>
      <c r="NXN17" s="573"/>
      <c r="NXO17" s="573"/>
      <c r="NXP17" s="573"/>
      <c r="NXQ17" s="573"/>
      <c r="NXR17" s="573"/>
      <c r="NXS17" s="573"/>
      <c r="NXT17" s="573"/>
      <c r="NXU17" s="573"/>
      <c r="NXV17" s="573"/>
      <c r="NXW17" s="573"/>
      <c r="NXX17" s="573"/>
      <c r="NXY17" s="573"/>
      <c r="NXZ17" s="573"/>
      <c r="NYA17" s="573"/>
      <c r="NYB17" s="573"/>
      <c r="NYC17" s="573"/>
      <c r="NYD17" s="573"/>
      <c r="NYE17" s="573"/>
      <c r="NYF17" s="573"/>
      <c r="NYG17" s="573"/>
      <c r="NYH17" s="573"/>
      <c r="NYI17" s="573"/>
      <c r="NYJ17" s="573"/>
      <c r="NYK17" s="573"/>
      <c r="NYL17" s="573"/>
      <c r="NYM17" s="573"/>
      <c r="NYN17" s="573"/>
      <c r="NYO17" s="573"/>
      <c r="NYP17" s="573"/>
      <c r="NYQ17" s="573"/>
      <c r="NYR17" s="573"/>
      <c r="NYS17" s="573"/>
      <c r="NYT17" s="573"/>
      <c r="NYU17" s="573"/>
      <c r="NYV17" s="573"/>
      <c r="NYW17" s="573"/>
      <c r="NYX17" s="573"/>
      <c r="NYY17" s="573"/>
      <c r="NYZ17" s="573"/>
      <c r="NZA17" s="573"/>
      <c r="NZB17" s="573"/>
      <c r="NZC17" s="573"/>
      <c r="NZD17" s="573"/>
      <c r="NZE17" s="573"/>
      <c r="NZF17" s="573"/>
      <c r="NZG17" s="573"/>
      <c r="NZH17" s="573"/>
      <c r="NZI17" s="573"/>
      <c r="NZJ17" s="573"/>
      <c r="NZK17" s="573"/>
      <c r="NZL17" s="573"/>
      <c r="NZM17" s="573"/>
      <c r="NZN17" s="573"/>
      <c r="NZO17" s="573"/>
      <c r="NZP17" s="573"/>
      <c r="NZQ17" s="573"/>
      <c r="NZR17" s="573"/>
      <c r="NZS17" s="573"/>
      <c r="NZT17" s="573"/>
      <c r="NZU17" s="573"/>
      <c r="NZV17" s="573"/>
      <c r="NZW17" s="573"/>
      <c r="NZX17" s="573"/>
      <c r="NZY17" s="573"/>
      <c r="NZZ17" s="573"/>
      <c r="OAA17" s="573"/>
      <c r="OAB17" s="573"/>
      <c r="OAC17" s="573"/>
      <c r="OAD17" s="573"/>
      <c r="OAE17" s="573"/>
      <c r="OAF17" s="573"/>
      <c r="OAG17" s="573"/>
      <c r="OAH17" s="573"/>
      <c r="OAI17" s="573"/>
      <c r="OAJ17" s="573"/>
      <c r="OAK17" s="573"/>
      <c r="OAL17" s="573"/>
      <c r="OAM17" s="573"/>
      <c r="OAN17" s="573"/>
      <c r="OAO17" s="573"/>
      <c r="OAP17" s="573"/>
      <c r="OAQ17" s="573"/>
      <c r="OAR17" s="573"/>
      <c r="OAS17" s="573"/>
      <c r="OAT17" s="573"/>
      <c r="OAU17" s="573"/>
      <c r="OAV17" s="573"/>
      <c r="OAW17" s="573"/>
      <c r="OAX17" s="573"/>
      <c r="OAY17" s="573"/>
      <c r="OAZ17" s="573"/>
      <c r="OBA17" s="573"/>
      <c r="OBB17" s="573"/>
      <c r="OBC17" s="573"/>
      <c r="OBD17" s="573"/>
      <c r="OBE17" s="573"/>
      <c r="OBF17" s="573"/>
      <c r="OBG17" s="573"/>
      <c r="OBH17" s="573"/>
      <c r="OBI17" s="573"/>
      <c r="OBJ17" s="573"/>
      <c r="OBK17" s="573"/>
      <c r="OBL17" s="573"/>
      <c r="OBM17" s="573"/>
      <c r="OBN17" s="573"/>
      <c r="OBO17" s="573"/>
      <c r="OBP17" s="573"/>
      <c r="OBQ17" s="573"/>
      <c r="OBR17" s="573"/>
      <c r="OBS17" s="573"/>
      <c r="OBT17" s="573"/>
      <c r="OBU17" s="573"/>
      <c r="OBV17" s="573"/>
      <c r="OBW17" s="573"/>
      <c r="OBX17" s="573"/>
      <c r="OBY17" s="573"/>
      <c r="OBZ17" s="573"/>
      <c r="OCA17" s="573"/>
      <c r="OCB17" s="573"/>
      <c r="OCC17" s="573"/>
      <c r="OCD17" s="573"/>
      <c r="OCE17" s="573"/>
      <c r="OCF17" s="573"/>
      <c r="OCG17" s="573"/>
      <c r="OCH17" s="573"/>
      <c r="OCI17" s="573"/>
      <c r="OCJ17" s="573"/>
      <c r="OCK17" s="573"/>
      <c r="OCL17" s="573"/>
      <c r="OCM17" s="573"/>
      <c r="OCN17" s="573"/>
      <c r="OCO17" s="573"/>
      <c r="OCP17" s="573"/>
      <c r="OCQ17" s="573"/>
      <c r="OCR17" s="573"/>
      <c r="OCS17" s="573"/>
      <c r="OCT17" s="573"/>
      <c r="OCU17" s="573"/>
      <c r="OCV17" s="573"/>
      <c r="OCW17" s="573"/>
      <c r="OCX17" s="573"/>
      <c r="OCY17" s="573"/>
      <c r="OCZ17" s="573"/>
      <c r="ODA17" s="573"/>
      <c r="ODB17" s="573"/>
      <c r="ODC17" s="573"/>
      <c r="ODD17" s="573"/>
      <c r="ODE17" s="573"/>
      <c r="ODF17" s="573"/>
      <c r="ODG17" s="573"/>
      <c r="ODH17" s="573"/>
      <c r="ODI17" s="573"/>
      <c r="ODJ17" s="573"/>
      <c r="ODK17" s="573"/>
      <c r="ODL17" s="573"/>
      <c r="ODM17" s="573"/>
      <c r="ODN17" s="573"/>
      <c r="ODO17" s="573"/>
      <c r="ODP17" s="573"/>
      <c r="ODQ17" s="573"/>
      <c r="ODR17" s="573"/>
      <c r="ODS17" s="573"/>
      <c r="ODT17" s="573"/>
      <c r="ODU17" s="573"/>
      <c r="ODV17" s="573"/>
      <c r="ODW17" s="573"/>
      <c r="ODX17" s="573"/>
      <c r="ODY17" s="573"/>
      <c r="ODZ17" s="573"/>
      <c r="OEA17" s="573"/>
      <c r="OEB17" s="573"/>
      <c r="OEC17" s="573"/>
      <c r="OED17" s="573"/>
      <c r="OEE17" s="573"/>
      <c r="OEF17" s="573"/>
      <c r="OEG17" s="573"/>
      <c r="OEH17" s="573"/>
      <c r="OEI17" s="573"/>
      <c r="OEJ17" s="573"/>
      <c r="OEK17" s="573"/>
      <c r="OEL17" s="573"/>
      <c r="OEM17" s="573"/>
      <c r="OEN17" s="573"/>
      <c r="OEO17" s="573"/>
      <c r="OEP17" s="573"/>
      <c r="OEQ17" s="573"/>
      <c r="OER17" s="573"/>
      <c r="OES17" s="573"/>
      <c r="OET17" s="573"/>
      <c r="OEU17" s="573"/>
      <c r="OEV17" s="573"/>
      <c r="OEW17" s="573"/>
      <c r="OEX17" s="573"/>
      <c r="OEY17" s="573"/>
      <c r="OEZ17" s="573"/>
      <c r="OFA17" s="573"/>
      <c r="OFB17" s="573"/>
      <c r="OFC17" s="573"/>
      <c r="OFD17" s="573"/>
      <c r="OFE17" s="573"/>
      <c r="OFF17" s="573"/>
      <c r="OFG17" s="573"/>
      <c r="OFH17" s="573"/>
      <c r="OFI17" s="573"/>
      <c r="OFJ17" s="573"/>
      <c r="OFK17" s="573"/>
      <c r="OFL17" s="573"/>
      <c r="OFM17" s="573"/>
      <c r="OFN17" s="573"/>
      <c r="OFO17" s="573"/>
      <c r="OFP17" s="573"/>
      <c r="OFQ17" s="573"/>
      <c r="OFR17" s="573"/>
      <c r="OFS17" s="573"/>
      <c r="OFT17" s="573"/>
      <c r="OFU17" s="573"/>
      <c r="OFV17" s="573"/>
      <c r="OFW17" s="573"/>
      <c r="OFX17" s="573"/>
      <c r="OFY17" s="573"/>
      <c r="OFZ17" s="573"/>
      <c r="OGA17" s="573"/>
      <c r="OGB17" s="573"/>
      <c r="OGC17" s="573"/>
      <c r="OGD17" s="573"/>
      <c r="OGE17" s="573"/>
      <c r="OGF17" s="573"/>
      <c r="OGG17" s="573"/>
      <c r="OGH17" s="573"/>
      <c r="OGI17" s="573"/>
      <c r="OGJ17" s="573"/>
      <c r="OGK17" s="573"/>
      <c r="OGL17" s="573"/>
      <c r="OGM17" s="573"/>
      <c r="OGN17" s="573"/>
      <c r="OGO17" s="573"/>
      <c r="OGP17" s="573"/>
      <c r="OGQ17" s="573"/>
      <c r="OGR17" s="573"/>
      <c r="OGS17" s="573"/>
      <c r="OGT17" s="573"/>
      <c r="OGU17" s="573"/>
      <c r="OGV17" s="573"/>
      <c r="OGW17" s="573"/>
      <c r="OGX17" s="573"/>
      <c r="OGY17" s="573"/>
      <c r="OGZ17" s="573"/>
      <c r="OHA17" s="573"/>
      <c r="OHB17" s="573"/>
      <c r="OHC17" s="573"/>
      <c r="OHD17" s="573"/>
      <c r="OHE17" s="573"/>
      <c r="OHF17" s="573"/>
      <c r="OHG17" s="573"/>
      <c r="OHH17" s="573"/>
      <c r="OHI17" s="573"/>
      <c r="OHJ17" s="573"/>
      <c r="OHK17" s="573"/>
      <c r="OHL17" s="573"/>
      <c r="OHM17" s="573"/>
      <c r="OHN17" s="573"/>
      <c r="OHO17" s="573"/>
      <c r="OHP17" s="573"/>
      <c r="OHQ17" s="573"/>
      <c r="OHR17" s="573"/>
      <c r="OHS17" s="573"/>
      <c r="OHT17" s="573"/>
      <c r="OHU17" s="573"/>
      <c r="OHV17" s="573"/>
      <c r="OHW17" s="573"/>
      <c r="OHX17" s="573"/>
      <c r="OHY17" s="573"/>
      <c r="OHZ17" s="573"/>
      <c r="OIA17" s="573"/>
      <c r="OIB17" s="573"/>
      <c r="OIC17" s="573"/>
      <c r="OID17" s="573"/>
      <c r="OIE17" s="573"/>
      <c r="OIF17" s="573"/>
      <c r="OIG17" s="573"/>
      <c r="OIH17" s="573"/>
      <c r="OII17" s="573"/>
      <c r="OIJ17" s="573"/>
      <c r="OIK17" s="573"/>
      <c r="OIL17" s="573"/>
      <c r="OIM17" s="573"/>
      <c r="OIN17" s="573"/>
      <c r="OIO17" s="573"/>
      <c r="OIP17" s="573"/>
      <c r="OIQ17" s="573"/>
      <c r="OIR17" s="573"/>
      <c r="OIS17" s="573"/>
      <c r="OIT17" s="573"/>
      <c r="OIU17" s="573"/>
      <c r="OIV17" s="573"/>
      <c r="OIW17" s="573"/>
      <c r="OIX17" s="573"/>
      <c r="OIY17" s="573"/>
      <c r="OIZ17" s="573"/>
      <c r="OJA17" s="573"/>
      <c r="OJB17" s="573"/>
      <c r="OJC17" s="573"/>
      <c r="OJD17" s="573"/>
      <c r="OJE17" s="573"/>
      <c r="OJF17" s="573"/>
      <c r="OJG17" s="573"/>
      <c r="OJH17" s="573"/>
      <c r="OJI17" s="573"/>
      <c r="OJJ17" s="573"/>
      <c r="OJK17" s="573"/>
      <c r="OJL17" s="573"/>
      <c r="OJM17" s="573"/>
      <c r="OJN17" s="573"/>
      <c r="OJO17" s="573"/>
      <c r="OJP17" s="573"/>
      <c r="OJQ17" s="573"/>
      <c r="OJR17" s="573"/>
      <c r="OJS17" s="573"/>
      <c r="OJT17" s="573"/>
      <c r="OJU17" s="573"/>
      <c r="OJV17" s="573"/>
      <c r="OJW17" s="573"/>
      <c r="OJX17" s="573"/>
      <c r="OJY17" s="573"/>
      <c r="OJZ17" s="573"/>
      <c r="OKA17" s="573"/>
      <c r="OKB17" s="573"/>
      <c r="OKC17" s="573"/>
      <c r="OKD17" s="573"/>
      <c r="OKE17" s="573"/>
      <c r="OKF17" s="573"/>
      <c r="OKG17" s="573"/>
      <c r="OKH17" s="573"/>
      <c r="OKI17" s="573"/>
      <c r="OKJ17" s="573"/>
      <c r="OKK17" s="573"/>
      <c r="OKL17" s="573"/>
      <c r="OKM17" s="573"/>
      <c r="OKN17" s="573"/>
      <c r="OKO17" s="573"/>
      <c r="OKP17" s="573"/>
      <c r="OKQ17" s="573"/>
      <c r="OKR17" s="573"/>
      <c r="OKS17" s="573"/>
      <c r="OKT17" s="573"/>
      <c r="OKU17" s="573"/>
      <c r="OKV17" s="573"/>
      <c r="OKW17" s="573"/>
      <c r="OKX17" s="573"/>
      <c r="OKY17" s="573"/>
      <c r="OKZ17" s="573"/>
      <c r="OLA17" s="573"/>
      <c r="OLB17" s="573"/>
      <c r="OLC17" s="573"/>
      <c r="OLD17" s="573"/>
      <c r="OLE17" s="573"/>
      <c r="OLF17" s="573"/>
      <c r="OLG17" s="573"/>
      <c r="OLH17" s="573"/>
      <c r="OLI17" s="573"/>
      <c r="OLJ17" s="573"/>
      <c r="OLK17" s="573"/>
      <c r="OLL17" s="573"/>
      <c r="OLM17" s="573"/>
      <c r="OLN17" s="573"/>
      <c r="OLO17" s="573"/>
      <c r="OLP17" s="573"/>
      <c r="OLQ17" s="573"/>
      <c r="OLR17" s="573"/>
      <c r="OLS17" s="573"/>
      <c r="OLT17" s="573"/>
      <c r="OLU17" s="573"/>
      <c r="OLV17" s="573"/>
      <c r="OLW17" s="573"/>
      <c r="OLX17" s="573"/>
      <c r="OLY17" s="573"/>
      <c r="OLZ17" s="573"/>
      <c r="OMA17" s="573"/>
      <c r="OMB17" s="573"/>
      <c r="OMC17" s="573"/>
      <c r="OMD17" s="573"/>
      <c r="OME17" s="573"/>
      <c r="OMF17" s="573"/>
      <c r="OMG17" s="573"/>
      <c r="OMH17" s="573"/>
      <c r="OMI17" s="573"/>
      <c r="OMJ17" s="573"/>
      <c r="OMK17" s="573"/>
      <c r="OML17" s="573"/>
      <c r="OMM17" s="573"/>
      <c r="OMN17" s="573"/>
      <c r="OMO17" s="573"/>
      <c r="OMP17" s="573"/>
      <c r="OMQ17" s="573"/>
      <c r="OMR17" s="573"/>
      <c r="OMS17" s="573"/>
      <c r="OMT17" s="573"/>
      <c r="OMU17" s="573"/>
      <c r="OMV17" s="573"/>
      <c r="OMW17" s="573"/>
      <c r="OMX17" s="573"/>
      <c r="OMY17" s="573"/>
      <c r="OMZ17" s="573"/>
      <c r="ONA17" s="573"/>
      <c r="ONB17" s="573"/>
      <c r="ONC17" s="573"/>
      <c r="OND17" s="573"/>
      <c r="ONE17" s="573"/>
      <c r="ONF17" s="573"/>
      <c r="ONG17" s="573"/>
      <c r="ONH17" s="573"/>
      <c r="ONI17" s="573"/>
      <c r="ONJ17" s="573"/>
      <c r="ONK17" s="573"/>
      <c r="ONL17" s="573"/>
      <c r="ONM17" s="573"/>
      <c r="ONN17" s="573"/>
      <c r="ONO17" s="573"/>
      <c r="ONP17" s="573"/>
      <c r="ONQ17" s="573"/>
      <c r="ONR17" s="573"/>
      <c r="ONS17" s="573"/>
      <c r="ONT17" s="573"/>
      <c r="ONU17" s="573"/>
      <c r="ONV17" s="573"/>
      <c r="ONW17" s="573"/>
      <c r="ONX17" s="573"/>
      <c r="ONY17" s="573"/>
      <c r="ONZ17" s="573"/>
      <c r="OOA17" s="573"/>
      <c r="OOB17" s="573"/>
      <c r="OOC17" s="573"/>
      <c r="OOD17" s="573"/>
      <c r="OOE17" s="573"/>
      <c r="OOF17" s="573"/>
      <c r="OOG17" s="573"/>
      <c r="OOH17" s="573"/>
      <c r="OOI17" s="573"/>
      <c r="OOJ17" s="573"/>
      <c r="OOK17" s="573"/>
      <c r="OOL17" s="573"/>
      <c r="OOM17" s="573"/>
      <c r="OON17" s="573"/>
      <c r="OOO17" s="573"/>
      <c r="OOP17" s="573"/>
      <c r="OOQ17" s="573"/>
      <c r="OOR17" s="573"/>
      <c r="OOS17" s="573"/>
      <c r="OOT17" s="573"/>
      <c r="OOU17" s="573"/>
      <c r="OOV17" s="573"/>
      <c r="OOW17" s="573"/>
      <c r="OOX17" s="573"/>
      <c r="OOY17" s="573"/>
      <c r="OOZ17" s="573"/>
      <c r="OPA17" s="573"/>
      <c r="OPB17" s="573"/>
      <c r="OPC17" s="573"/>
      <c r="OPD17" s="573"/>
      <c r="OPE17" s="573"/>
      <c r="OPF17" s="573"/>
      <c r="OPG17" s="573"/>
      <c r="OPH17" s="573"/>
      <c r="OPI17" s="573"/>
      <c r="OPJ17" s="573"/>
      <c r="OPK17" s="573"/>
      <c r="OPL17" s="573"/>
      <c r="OPM17" s="573"/>
      <c r="OPN17" s="573"/>
      <c r="OPO17" s="573"/>
      <c r="OPP17" s="573"/>
      <c r="OPQ17" s="573"/>
      <c r="OPR17" s="573"/>
      <c r="OPS17" s="573"/>
      <c r="OPT17" s="573"/>
      <c r="OPU17" s="573"/>
      <c r="OPV17" s="573"/>
      <c r="OPW17" s="573"/>
      <c r="OPX17" s="573"/>
      <c r="OPY17" s="573"/>
      <c r="OPZ17" s="573"/>
      <c r="OQA17" s="573"/>
      <c r="OQB17" s="573"/>
      <c r="OQC17" s="573"/>
      <c r="OQD17" s="573"/>
      <c r="OQE17" s="573"/>
      <c r="OQF17" s="573"/>
      <c r="OQG17" s="573"/>
      <c r="OQH17" s="573"/>
      <c r="OQI17" s="573"/>
      <c r="OQJ17" s="573"/>
      <c r="OQK17" s="573"/>
      <c r="OQL17" s="573"/>
      <c r="OQM17" s="573"/>
      <c r="OQN17" s="573"/>
      <c r="OQO17" s="573"/>
      <c r="OQP17" s="573"/>
      <c r="OQQ17" s="573"/>
      <c r="OQR17" s="573"/>
      <c r="OQS17" s="573"/>
      <c r="OQT17" s="573"/>
      <c r="OQU17" s="573"/>
      <c r="OQV17" s="573"/>
      <c r="OQW17" s="573"/>
      <c r="OQX17" s="573"/>
      <c r="OQY17" s="573"/>
      <c r="OQZ17" s="573"/>
      <c r="ORA17" s="573"/>
      <c r="ORB17" s="573"/>
      <c r="ORC17" s="573"/>
      <c r="ORD17" s="573"/>
      <c r="ORE17" s="573"/>
      <c r="ORF17" s="573"/>
      <c r="ORG17" s="573"/>
      <c r="ORH17" s="573"/>
      <c r="ORI17" s="573"/>
      <c r="ORJ17" s="573"/>
      <c r="ORK17" s="573"/>
      <c r="ORL17" s="573"/>
      <c r="ORM17" s="573"/>
      <c r="ORN17" s="573"/>
      <c r="ORO17" s="573"/>
      <c r="ORP17" s="573"/>
      <c r="ORQ17" s="573"/>
      <c r="ORR17" s="573"/>
      <c r="ORS17" s="573"/>
      <c r="ORT17" s="573"/>
      <c r="ORU17" s="573"/>
      <c r="ORV17" s="573"/>
      <c r="ORW17" s="573"/>
      <c r="ORX17" s="573"/>
      <c r="ORY17" s="573"/>
      <c r="ORZ17" s="573"/>
      <c r="OSA17" s="573"/>
      <c r="OSB17" s="573"/>
      <c r="OSC17" s="573"/>
      <c r="OSD17" s="573"/>
      <c r="OSE17" s="573"/>
      <c r="OSF17" s="573"/>
      <c r="OSG17" s="573"/>
      <c r="OSH17" s="573"/>
      <c r="OSI17" s="573"/>
      <c r="OSJ17" s="573"/>
      <c r="OSK17" s="573"/>
      <c r="OSL17" s="573"/>
      <c r="OSM17" s="573"/>
      <c r="OSN17" s="573"/>
      <c r="OSO17" s="573"/>
      <c r="OSP17" s="573"/>
      <c r="OSQ17" s="573"/>
      <c r="OSR17" s="573"/>
      <c r="OSS17" s="573"/>
      <c r="OST17" s="573"/>
      <c r="OSU17" s="573"/>
      <c r="OSV17" s="573"/>
      <c r="OSW17" s="573"/>
      <c r="OSX17" s="573"/>
      <c r="OSY17" s="573"/>
      <c r="OSZ17" s="573"/>
      <c r="OTA17" s="573"/>
      <c r="OTB17" s="573"/>
      <c r="OTC17" s="573"/>
      <c r="OTD17" s="573"/>
      <c r="OTE17" s="573"/>
      <c r="OTF17" s="573"/>
      <c r="OTG17" s="573"/>
      <c r="OTH17" s="573"/>
      <c r="OTI17" s="573"/>
      <c r="OTJ17" s="573"/>
      <c r="OTK17" s="573"/>
      <c r="OTL17" s="573"/>
      <c r="OTM17" s="573"/>
      <c r="OTN17" s="573"/>
      <c r="OTO17" s="573"/>
      <c r="OTP17" s="573"/>
      <c r="OTQ17" s="573"/>
      <c r="OTR17" s="573"/>
      <c r="OTS17" s="573"/>
      <c r="OTT17" s="573"/>
      <c r="OTU17" s="573"/>
      <c r="OTV17" s="573"/>
      <c r="OTW17" s="573"/>
      <c r="OTX17" s="573"/>
      <c r="OTY17" s="573"/>
      <c r="OTZ17" s="573"/>
      <c r="OUA17" s="573"/>
      <c r="OUB17" s="573"/>
      <c r="OUC17" s="573"/>
      <c r="OUD17" s="573"/>
      <c r="OUE17" s="573"/>
      <c r="OUF17" s="573"/>
      <c r="OUG17" s="573"/>
      <c r="OUH17" s="573"/>
      <c r="OUI17" s="573"/>
      <c r="OUJ17" s="573"/>
      <c r="OUK17" s="573"/>
      <c r="OUL17" s="573"/>
      <c r="OUM17" s="573"/>
      <c r="OUN17" s="573"/>
      <c r="OUO17" s="573"/>
      <c r="OUP17" s="573"/>
      <c r="OUQ17" s="573"/>
      <c r="OUR17" s="573"/>
      <c r="OUS17" s="573"/>
      <c r="OUT17" s="573"/>
      <c r="OUU17" s="573"/>
      <c r="OUV17" s="573"/>
      <c r="OUW17" s="573"/>
      <c r="OUX17" s="573"/>
      <c r="OUY17" s="573"/>
      <c r="OUZ17" s="573"/>
      <c r="OVA17" s="573"/>
      <c r="OVB17" s="573"/>
      <c r="OVC17" s="573"/>
      <c r="OVD17" s="573"/>
      <c r="OVE17" s="573"/>
      <c r="OVF17" s="573"/>
      <c r="OVG17" s="573"/>
      <c r="OVH17" s="573"/>
      <c r="OVI17" s="573"/>
      <c r="OVJ17" s="573"/>
      <c r="OVK17" s="573"/>
      <c r="OVL17" s="573"/>
      <c r="OVM17" s="573"/>
      <c r="OVN17" s="573"/>
      <c r="OVO17" s="573"/>
      <c r="OVP17" s="573"/>
      <c r="OVQ17" s="573"/>
      <c r="OVR17" s="573"/>
      <c r="OVS17" s="573"/>
      <c r="OVT17" s="573"/>
      <c r="OVU17" s="573"/>
      <c r="OVV17" s="573"/>
      <c r="OVW17" s="573"/>
      <c r="OVX17" s="573"/>
      <c r="OVY17" s="573"/>
      <c r="OVZ17" s="573"/>
      <c r="OWA17" s="573"/>
      <c r="OWB17" s="573"/>
      <c r="OWC17" s="573"/>
      <c r="OWD17" s="573"/>
      <c r="OWE17" s="573"/>
      <c r="OWF17" s="573"/>
      <c r="OWG17" s="573"/>
      <c r="OWH17" s="573"/>
      <c r="OWI17" s="573"/>
      <c r="OWJ17" s="573"/>
      <c r="OWK17" s="573"/>
      <c r="OWL17" s="573"/>
      <c r="OWM17" s="573"/>
      <c r="OWN17" s="573"/>
      <c r="OWO17" s="573"/>
      <c r="OWP17" s="573"/>
      <c r="OWQ17" s="573"/>
      <c r="OWR17" s="573"/>
      <c r="OWS17" s="573"/>
      <c r="OWT17" s="573"/>
      <c r="OWU17" s="573"/>
      <c r="OWV17" s="573"/>
      <c r="OWW17" s="573"/>
      <c r="OWX17" s="573"/>
      <c r="OWY17" s="573"/>
      <c r="OWZ17" s="573"/>
      <c r="OXA17" s="573"/>
      <c r="OXB17" s="573"/>
      <c r="OXC17" s="573"/>
      <c r="OXD17" s="573"/>
      <c r="OXE17" s="573"/>
      <c r="OXF17" s="573"/>
      <c r="OXG17" s="573"/>
      <c r="OXH17" s="573"/>
      <c r="OXI17" s="573"/>
      <c r="OXJ17" s="573"/>
      <c r="OXK17" s="573"/>
      <c r="OXL17" s="573"/>
      <c r="OXM17" s="573"/>
      <c r="OXN17" s="573"/>
      <c r="OXO17" s="573"/>
      <c r="OXP17" s="573"/>
      <c r="OXQ17" s="573"/>
      <c r="OXR17" s="573"/>
      <c r="OXS17" s="573"/>
      <c r="OXT17" s="573"/>
      <c r="OXU17" s="573"/>
      <c r="OXV17" s="573"/>
      <c r="OXW17" s="573"/>
      <c r="OXX17" s="573"/>
      <c r="OXY17" s="573"/>
      <c r="OXZ17" s="573"/>
      <c r="OYA17" s="573"/>
      <c r="OYB17" s="573"/>
      <c r="OYC17" s="573"/>
      <c r="OYD17" s="573"/>
      <c r="OYE17" s="573"/>
      <c r="OYF17" s="573"/>
      <c r="OYG17" s="573"/>
      <c r="OYH17" s="573"/>
      <c r="OYI17" s="573"/>
      <c r="OYJ17" s="573"/>
      <c r="OYK17" s="573"/>
      <c r="OYL17" s="573"/>
      <c r="OYM17" s="573"/>
      <c r="OYN17" s="573"/>
      <c r="OYO17" s="573"/>
      <c r="OYP17" s="573"/>
      <c r="OYQ17" s="573"/>
      <c r="OYR17" s="573"/>
      <c r="OYS17" s="573"/>
      <c r="OYT17" s="573"/>
      <c r="OYU17" s="573"/>
      <c r="OYV17" s="573"/>
      <c r="OYW17" s="573"/>
      <c r="OYX17" s="573"/>
      <c r="OYY17" s="573"/>
      <c r="OYZ17" s="573"/>
      <c r="OZA17" s="573"/>
      <c r="OZB17" s="573"/>
      <c r="OZC17" s="573"/>
      <c r="OZD17" s="573"/>
      <c r="OZE17" s="573"/>
      <c r="OZF17" s="573"/>
      <c r="OZG17" s="573"/>
      <c r="OZH17" s="573"/>
      <c r="OZI17" s="573"/>
      <c r="OZJ17" s="573"/>
      <c r="OZK17" s="573"/>
      <c r="OZL17" s="573"/>
      <c r="OZM17" s="573"/>
      <c r="OZN17" s="573"/>
      <c r="OZO17" s="573"/>
      <c r="OZP17" s="573"/>
      <c r="OZQ17" s="573"/>
      <c r="OZR17" s="573"/>
      <c r="OZS17" s="573"/>
      <c r="OZT17" s="573"/>
      <c r="OZU17" s="573"/>
      <c r="OZV17" s="573"/>
      <c r="OZW17" s="573"/>
      <c r="OZX17" s="573"/>
      <c r="OZY17" s="573"/>
      <c r="OZZ17" s="573"/>
      <c r="PAA17" s="573"/>
      <c r="PAB17" s="573"/>
      <c r="PAC17" s="573"/>
      <c r="PAD17" s="573"/>
      <c r="PAE17" s="573"/>
      <c r="PAF17" s="573"/>
      <c r="PAG17" s="573"/>
      <c r="PAH17" s="573"/>
      <c r="PAI17" s="573"/>
      <c r="PAJ17" s="573"/>
      <c r="PAK17" s="573"/>
      <c r="PAL17" s="573"/>
      <c r="PAM17" s="573"/>
      <c r="PAN17" s="573"/>
      <c r="PAO17" s="573"/>
      <c r="PAP17" s="573"/>
      <c r="PAQ17" s="573"/>
      <c r="PAR17" s="573"/>
      <c r="PAS17" s="573"/>
      <c r="PAT17" s="573"/>
      <c r="PAU17" s="573"/>
      <c r="PAV17" s="573"/>
      <c r="PAW17" s="573"/>
      <c r="PAX17" s="573"/>
      <c r="PAY17" s="573"/>
      <c r="PAZ17" s="573"/>
      <c r="PBA17" s="573"/>
      <c r="PBB17" s="573"/>
      <c r="PBC17" s="573"/>
      <c r="PBD17" s="573"/>
      <c r="PBE17" s="573"/>
      <c r="PBF17" s="573"/>
      <c r="PBG17" s="573"/>
      <c r="PBH17" s="573"/>
      <c r="PBI17" s="573"/>
      <c r="PBJ17" s="573"/>
      <c r="PBK17" s="573"/>
      <c r="PBL17" s="573"/>
      <c r="PBM17" s="573"/>
      <c r="PBN17" s="573"/>
      <c r="PBO17" s="573"/>
      <c r="PBP17" s="573"/>
      <c r="PBQ17" s="573"/>
      <c r="PBR17" s="573"/>
      <c r="PBS17" s="573"/>
      <c r="PBT17" s="573"/>
      <c r="PBU17" s="573"/>
      <c r="PBV17" s="573"/>
      <c r="PBW17" s="573"/>
      <c r="PBX17" s="573"/>
      <c r="PBY17" s="573"/>
      <c r="PBZ17" s="573"/>
      <c r="PCA17" s="573"/>
      <c r="PCB17" s="573"/>
      <c r="PCC17" s="573"/>
      <c r="PCD17" s="573"/>
      <c r="PCE17" s="573"/>
      <c r="PCF17" s="573"/>
      <c r="PCG17" s="573"/>
      <c r="PCH17" s="573"/>
      <c r="PCI17" s="573"/>
      <c r="PCJ17" s="573"/>
      <c r="PCK17" s="573"/>
      <c r="PCL17" s="573"/>
      <c r="PCM17" s="573"/>
      <c r="PCN17" s="573"/>
      <c r="PCO17" s="573"/>
      <c r="PCP17" s="573"/>
      <c r="PCQ17" s="573"/>
      <c r="PCR17" s="573"/>
      <c r="PCS17" s="573"/>
      <c r="PCT17" s="573"/>
      <c r="PCU17" s="573"/>
      <c r="PCV17" s="573"/>
      <c r="PCW17" s="573"/>
      <c r="PCX17" s="573"/>
      <c r="PCY17" s="573"/>
      <c r="PCZ17" s="573"/>
      <c r="PDA17" s="573"/>
      <c r="PDB17" s="573"/>
      <c r="PDC17" s="573"/>
      <c r="PDD17" s="573"/>
      <c r="PDE17" s="573"/>
      <c r="PDF17" s="573"/>
      <c r="PDG17" s="573"/>
      <c r="PDH17" s="573"/>
      <c r="PDI17" s="573"/>
      <c r="PDJ17" s="573"/>
      <c r="PDK17" s="573"/>
      <c r="PDL17" s="573"/>
      <c r="PDM17" s="573"/>
      <c r="PDN17" s="573"/>
      <c r="PDO17" s="573"/>
      <c r="PDP17" s="573"/>
      <c r="PDQ17" s="573"/>
      <c r="PDR17" s="573"/>
      <c r="PDS17" s="573"/>
      <c r="PDT17" s="573"/>
      <c r="PDU17" s="573"/>
      <c r="PDV17" s="573"/>
      <c r="PDW17" s="573"/>
      <c r="PDX17" s="573"/>
      <c r="PDY17" s="573"/>
      <c r="PDZ17" s="573"/>
      <c r="PEA17" s="573"/>
      <c r="PEB17" s="573"/>
      <c r="PEC17" s="573"/>
      <c r="PED17" s="573"/>
      <c r="PEE17" s="573"/>
      <c r="PEF17" s="573"/>
      <c r="PEG17" s="573"/>
      <c r="PEH17" s="573"/>
      <c r="PEI17" s="573"/>
      <c r="PEJ17" s="573"/>
      <c r="PEK17" s="573"/>
      <c r="PEL17" s="573"/>
      <c r="PEM17" s="573"/>
      <c r="PEN17" s="573"/>
      <c r="PEO17" s="573"/>
      <c r="PEP17" s="573"/>
      <c r="PEQ17" s="573"/>
      <c r="PER17" s="573"/>
      <c r="PES17" s="573"/>
      <c r="PET17" s="573"/>
      <c r="PEU17" s="573"/>
      <c r="PEV17" s="573"/>
      <c r="PEW17" s="573"/>
      <c r="PEX17" s="573"/>
      <c r="PEY17" s="573"/>
      <c r="PEZ17" s="573"/>
      <c r="PFA17" s="573"/>
      <c r="PFB17" s="573"/>
      <c r="PFC17" s="573"/>
      <c r="PFD17" s="573"/>
      <c r="PFE17" s="573"/>
      <c r="PFF17" s="573"/>
      <c r="PFG17" s="573"/>
      <c r="PFH17" s="573"/>
      <c r="PFI17" s="573"/>
      <c r="PFJ17" s="573"/>
      <c r="PFK17" s="573"/>
      <c r="PFL17" s="573"/>
      <c r="PFM17" s="573"/>
      <c r="PFN17" s="573"/>
      <c r="PFO17" s="573"/>
      <c r="PFP17" s="573"/>
      <c r="PFQ17" s="573"/>
      <c r="PFR17" s="573"/>
      <c r="PFS17" s="573"/>
      <c r="PFT17" s="573"/>
      <c r="PFU17" s="573"/>
      <c r="PFV17" s="573"/>
      <c r="PFW17" s="573"/>
      <c r="PFX17" s="573"/>
      <c r="PFY17" s="573"/>
      <c r="PFZ17" s="573"/>
      <c r="PGA17" s="573"/>
      <c r="PGB17" s="573"/>
      <c r="PGC17" s="573"/>
      <c r="PGD17" s="573"/>
      <c r="PGE17" s="573"/>
      <c r="PGF17" s="573"/>
      <c r="PGG17" s="573"/>
      <c r="PGH17" s="573"/>
      <c r="PGI17" s="573"/>
      <c r="PGJ17" s="573"/>
      <c r="PGK17" s="573"/>
      <c r="PGL17" s="573"/>
      <c r="PGM17" s="573"/>
      <c r="PGN17" s="573"/>
      <c r="PGO17" s="573"/>
      <c r="PGP17" s="573"/>
      <c r="PGQ17" s="573"/>
      <c r="PGR17" s="573"/>
      <c r="PGS17" s="573"/>
      <c r="PGT17" s="573"/>
      <c r="PGU17" s="573"/>
      <c r="PGV17" s="573"/>
      <c r="PGW17" s="573"/>
      <c r="PGX17" s="573"/>
      <c r="PGY17" s="573"/>
      <c r="PGZ17" s="573"/>
      <c r="PHA17" s="573"/>
      <c r="PHB17" s="573"/>
      <c r="PHC17" s="573"/>
      <c r="PHD17" s="573"/>
      <c r="PHE17" s="573"/>
      <c r="PHF17" s="573"/>
      <c r="PHG17" s="573"/>
      <c r="PHH17" s="573"/>
      <c r="PHI17" s="573"/>
      <c r="PHJ17" s="573"/>
      <c r="PHK17" s="573"/>
      <c r="PHL17" s="573"/>
      <c r="PHM17" s="573"/>
      <c r="PHN17" s="573"/>
      <c r="PHO17" s="573"/>
      <c r="PHP17" s="573"/>
      <c r="PHQ17" s="573"/>
      <c r="PHR17" s="573"/>
      <c r="PHS17" s="573"/>
      <c r="PHT17" s="573"/>
      <c r="PHU17" s="573"/>
      <c r="PHV17" s="573"/>
      <c r="PHW17" s="573"/>
      <c r="PHX17" s="573"/>
      <c r="PHY17" s="573"/>
      <c r="PHZ17" s="573"/>
      <c r="PIA17" s="573"/>
      <c r="PIB17" s="573"/>
      <c r="PIC17" s="573"/>
      <c r="PID17" s="573"/>
      <c r="PIE17" s="573"/>
      <c r="PIF17" s="573"/>
      <c r="PIG17" s="573"/>
      <c r="PIH17" s="573"/>
      <c r="PII17" s="573"/>
      <c r="PIJ17" s="573"/>
      <c r="PIK17" s="573"/>
      <c r="PIL17" s="573"/>
      <c r="PIM17" s="573"/>
      <c r="PIN17" s="573"/>
      <c r="PIO17" s="573"/>
      <c r="PIP17" s="573"/>
      <c r="PIQ17" s="573"/>
      <c r="PIR17" s="573"/>
      <c r="PIS17" s="573"/>
      <c r="PIT17" s="573"/>
      <c r="PIU17" s="573"/>
      <c r="PIV17" s="573"/>
      <c r="PIW17" s="573"/>
      <c r="PIX17" s="573"/>
      <c r="PIY17" s="573"/>
      <c r="PIZ17" s="573"/>
      <c r="PJA17" s="573"/>
      <c r="PJB17" s="573"/>
      <c r="PJC17" s="573"/>
      <c r="PJD17" s="573"/>
      <c r="PJE17" s="573"/>
      <c r="PJF17" s="573"/>
      <c r="PJG17" s="573"/>
      <c r="PJH17" s="573"/>
      <c r="PJI17" s="573"/>
      <c r="PJJ17" s="573"/>
      <c r="PJK17" s="573"/>
      <c r="PJL17" s="573"/>
      <c r="PJM17" s="573"/>
      <c r="PJN17" s="573"/>
      <c r="PJO17" s="573"/>
      <c r="PJP17" s="573"/>
      <c r="PJQ17" s="573"/>
      <c r="PJR17" s="573"/>
      <c r="PJS17" s="573"/>
      <c r="PJT17" s="573"/>
      <c r="PJU17" s="573"/>
      <c r="PJV17" s="573"/>
      <c r="PJW17" s="573"/>
      <c r="PJX17" s="573"/>
      <c r="PJY17" s="573"/>
      <c r="PJZ17" s="573"/>
      <c r="PKA17" s="573"/>
      <c r="PKB17" s="573"/>
      <c r="PKC17" s="573"/>
      <c r="PKD17" s="573"/>
      <c r="PKE17" s="573"/>
      <c r="PKF17" s="573"/>
      <c r="PKG17" s="573"/>
      <c r="PKH17" s="573"/>
      <c r="PKI17" s="573"/>
      <c r="PKJ17" s="573"/>
      <c r="PKK17" s="573"/>
      <c r="PKL17" s="573"/>
      <c r="PKM17" s="573"/>
      <c r="PKN17" s="573"/>
      <c r="PKO17" s="573"/>
      <c r="PKP17" s="573"/>
      <c r="PKQ17" s="573"/>
      <c r="PKR17" s="573"/>
      <c r="PKS17" s="573"/>
      <c r="PKT17" s="573"/>
      <c r="PKU17" s="573"/>
      <c r="PKV17" s="573"/>
      <c r="PKW17" s="573"/>
      <c r="PKX17" s="573"/>
      <c r="PKY17" s="573"/>
      <c r="PKZ17" s="573"/>
      <c r="PLA17" s="573"/>
      <c r="PLB17" s="573"/>
      <c r="PLC17" s="573"/>
      <c r="PLD17" s="573"/>
      <c r="PLE17" s="573"/>
      <c r="PLF17" s="573"/>
      <c r="PLG17" s="573"/>
      <c r="PLH17" s="573"/>
      <c r="PLI17" s="573"/>
      <c r="PLJ17" s="573"/>
      <c r="PLK17" s="573"/>
      <c r="PLL17" s="573"/>
      <c r="PLM17" s="573"/>
      <c r="PLN17" s="573"/>
      <c r="PLO17" s="573"/>
      <c r="PLP17" s="573"/>
      <c r="PLQ17" s="573"/>
      <c r="PLR17" s="573"/>
      <c r="PLS17" s="573"/>
      <c r="PLT17" s="573"/>
      <c r="PLU17" s="573"/>
      <c r="PLV17" s="573"/>
      <c r="PLW17" s="573"/>
      <c r="PLX17" s="573"/>
      <c r="PLY17" s="573"/>
      <c r="PLZ17" s="573"/>
      <c r="PMA17" s="573"/>
      <c r="PMB17" s="573"/>
      <c r="PMC17" s="573"/>
      <c r="PMD17" s="573"/>
      <c r="PME17" s="573"/>
      <c r="PMF17" s="573"/>
      <c r="PMG17" s="573"/>
      <c r="PMH17" s="573"/>
      <c r="PMI17" s="573"/>
      <c r="PMJ17" s="573"/>
      <c r="PMK17" s="573"/>
      <c r="PML17" s="573"/>
      <c r="PMM17" s="573"/>
      <c r="PMN17" s="573"/>
      <c r="PMO17" s="573"/>
      <c r="PMP17" s="573"/>
      <c r="PMQ17" s="573"/>
      <c r="PMR17" s="573"/>
      <c r="PMS17" s="573"/>
      <c r="PMT17" s="573"/>
      <c r="PMU17" s="573"/>
      <c r="PMV17" s="573"/>
      <c r="PMW17" s="573"/>
      <c r="PMX17" s="573"/>
      <c r="PMY17" s="573"/>
      <c r="PMZ17" s="573"/>
      <c r="PNA17" s="573"/>
      <c r="PNB17" s="573"/>
      <c r="PNC17" s="573"/>
      <c r="PND17" s="573"/>
      <c r="PNE17" s="573"/>
      <c r="PNF17" s="573"/>
      <c r="PNG17" s="573"/>
      <c r="PNH17" s="573"/>
      <c r="PNI17" s="573"/>
      <c r="PNJ17" s="573"/>
      <c r="PNK17" s="573"/>
      <c r="PNL17" s="573"/>
      <c r="PNM17" s="573"/>
      <c r="PNN17" s="573"/>
      <c r="PNO17" s="573"/>
      <c r="PNP17" s="573"/>
      <c r="PNQ17" s="573"/>
      <c r="PNR17" s="573"/>
      <c r="PNS17" s="573"/>
      <c r="PNT17" s="573"/>
      <c r="PNU17" s="573"/>
      <c r="PNV17" s="573"/>
      <c r="PNW17" s="573"/>
      <c r="PNX17" s="573"/>
      <c r="PNY17" s="573"/>
      <c r="PNZ17" s="573"/>
      <c r="POA17" s="573"/>
      <c r="POB17" s="573"/>
      <c r="POC17" s="573"/>
      <c r="POD17" s="573"/>
      <c r="POE17" s="573"/>
      <c r="POF17" s="573"/>
      <c r="POG17" s="573"/>
      <c r="POH17" s="573"/>
      <c r="POI17" s="573"/>
      <c r="POJ17" s="573"/>
      <c r="POK17" s="573"/>
      <c r="POL17" s="573"/>
      <c r="POM17" s="573"/>
      <c r="PON17" s="573"/>
      <c r="POO17" s="573"/>
      <c r="POP17" s="573"/>
      <c r="POQ17" s="573"/>
      <c r="POR17" s="573"/>
      <c r="POS17" s="573"/>
      <c r="POT17" s="573"/>
      <c r="POU17" s="573"/>
      <c r="POV17" s="573"/>
      <c r="POW17" s="573"/>
      <c r="POX17" s="573"/>
      <c r="POY17" s="573"/>
      <c r="POZ17" s="573"/>
      <c r="PPA17" s="573"/>
      <c r="PPB17" s="573"/>
      <c r="PPC17" s="573"/>
      <c r="PPD17" s="573"/>
      <c r="PPE17" s="573"/>
      <c r="PPF17" s="573"/>
      <c r="PPG17" s="573"/>
      <c r="PPH17" s="573"/>
      <c r="PPI17" s="573"/>
      <c r="PPJ17" s="573"/>
      <c r="PPK17" s="573"/>
      <c r="PPL17" s="573"/>
      <c r="PPM17" s="573"/>
      <c r="PPN17" s="573"/>
      <c r="PPO17" s="573"/>
      <c r="PPP17" s="573"/>
      <c r="PPQ17" s="573"/>
      <c r="PPR17" s="573"/>
      <c r="PPS17" s="573"/>
      <c r="PPT17" s="573"/>
      <c r="PPU17" s="573"/>
      <c r="PPV17" s="573"/>
      <c r="PPW17" s="573"/>
      <c r="PPX17" s="573"/>
      <c r="PPY17" s="573"/>
      <c r="PPZ17" s="573"/>
      <c r="PQA17" s="573"/>
      <c r="PQB17" s="573"/>
      <c r="PQC17" s="573"/>
      <c r="PQD17" s="573"/>
      <c r="PQE17" s="573"/>
      <c r="PQF17" s="573"/>
      <c r="PQG17" s="573"/>
      <c r="PQH17" s="573"/>
      <c r="PQI17" s="573"/>
      <c r="PQJ17" s="573"/>
      <c r="PQK17" s="573"/>
      <c r="PQL17" s="573"/>
      <c r="PQM17" s="573"/>
      <c r="PQN17" s="573"/>
      <c r="PQO17" s="573"/>
      <c r="PQP17" s="573"/>
      <c r="PQQ17" s="573"/>
      <c r="PQR17" s="573"/>
      <c r="PQS17" s="573"/>
      <c r="PQT17" s="573"/>
      <c r="PQU17" s="573"/>
      <c r="PQV17" s="573"/>
      <c r="PQW17" s="573"/>
      <c r="PQX17" s="573"/>
      <c r="PQY17" s="573"/>
      <c r="PQZ17" s="573"/>
      <c r="PRA17" s="573"/>
      <c r="PRB17" s="573"/>
      <c r="PRC17" s="573"/>
      <c r="PRD17" s="573"/>
      <c r="PRE17" s="573"/>
      <c r="PRF17" s="573"/>
      <c r="PRG17" s="573"/>
      <c r="PRH17" s="573"/>
      <c r="PRI17" s="573"/>
      <c r="PRJ17" s="573"/>
      <c r="PRK17" s="573"/>
      <c r="PRL17" s="573"/>
      <c r="PRM17" s="573"/>
      <c r="PRN17" s="573"/>
      <c r="PRO17" s="573"/>
      <c r="PRP17" s="573"/>
      <c r="PRQ17" s="573"/>
      <c r="PRR17" s="573"/>
      <c r="PRS17" s="573"/>
      <c r="PRT17" s="573"/>
      <c r="PRU17" s="573"/>
      <c r="PRV17" s="573"/>
      <c r="PRW17" s="573"/>
      <c r="PRX17" s="573"/>
      <c r="PRY17" s="573"/>
      <c r="PRZ17" s="573"/>
      <c r="PSA17" s="573"/>
      <c r="PSB17" s="573"/>
      <c r="PSC17" s="573"/>
      <c r="PSD17" s="573"/>
      <c r="PSE17" s="573"/>
      <c r="PSF17" s="573"/>
      <c r="PSG17" s="573"/>
      <c r="PSH17" s="573"/>
      <c r="PSI17" s="573"/>
      <c r="PSJ17" s="573"/>
      <c r="PSK17" s="573"/>
      <c r="PSL17" s="573"/>
      <c r="PSM17" s="573"/>
      <c r="PSN17" s="573"/>
      <c r="PSO17" s="573"/>
      <c r="PSP17" s="573"/>
      <c r="PSQ17" s="573"/>
      <c r="PSR17" s="573"/>
      <c r="PSS17" s="573"/>
      <c r="PST17" s="573"/>
      <c r="PSU17" s="573"/>
      <c r="PSV17" s="573"/>
      <c r="PSW17" s="573"/>
      <c r="PSX17" s="573"/>
      <c r="PSY17" s="573"/>
      <c r="PSZ17" s="573"/>
      <c r="PTA17" s="573"/>
      <c r="PTB17" s="573"/>
      <c r="PTC17" s="573"/>
      <c r="PTD17" s="573"/>
      <c r="PTE17" s="573"/>
      <c r="PTF17" s="573"/>
      <c r="PTG17" s="573"/>
      <c r="PTH17" s="573"/>
      <c r="PTI17" s="573"/>
      <c r="PTJ17" s="573"/>
      <c r="PTK17" s="573"/>
      <c r="PTL17" s="573"/>
      <c r="PTM17" s="573"/>
      <c r="PTN17" s="573"/>
      <c r="PTO17" s="573"/>
      <c r="PTP17" s="573"/>
      <c r="PTQ17" s="573"/>
      <c r="PTR17" s="573"/>
      <c r="PTS17" s="573"/>
      <c r="PTT17" s="573"/>
      <c r="PTU17" s="573"/>
      <c r="PTV17" s="573"/>
      <c r="PTW17" s="573"/>
      <c r="PTX17" s="573"/>
      <c r="PTY17" s="573"/>
      <c r="PTZ17" s="573"/>
      <c r="PUA17" s="573"/>
      <c r="PUB17" s="573"/>
      <c r="PUC17" s="573"/>
      <c r="PUD17" s="573"/>
      <c r="PUE17" s="573"/>
      <c r="PUF17" s="573"/>
      <c r="PUG17" s="573"/>
      <c r="PUH17" s="573"/>
      <c r="PUI17" s="573"/>
      <c r="PUJ17" s="573"/>
      <c r="PUK17" s="573"/>
      <c r="PUL17" s="573"/>
      <c r="PUM17" s="573"/>
      <c r="PUN17" s="573"/>
      <c r="PUO17" s="573"/>
      <c r="PUP17" s="573"/>
      <c r="PUQ17" s="573"/>
      <c r="PUR17" s="573"/>
      <c r="PUS17" s="573"/>
      <c r="PUT17" s="573"/>
      <c r="PUU17" s="573"/>
      <c r="PUV17" s="573"/>
      <c r="PUW17" s="573"/>
      <c r="PUX17" s="573"/>
      <c r="PUY17" s="573"/>
      <c r="PUZ17" s="573"/>
      <c r="PVA17" s="573"/>
      <c r="PVB17" s="573"/>
      <c r="PVC17" s="573"/>
      <c r="PVD17" s="573"/>
      <c r="PVE17" s="573"/>
      <c r="PVF17" s="573"/>
      <c r="PVG17" s="573"/>
      <c r="PVH17" s="573"/>
      <c r="PVI17" s="573"/>
      <c r="PVJ17" s="573"/>
      <c r="PVK17" s="573"/>
      <c r="PVL17" s="573"/>
      <c r="PVM17" s="573"/>
      <c r="PVN17" s="573"/>
      <c r="PVO17" s="573"/>
      <c r="PVP17" s="573"/>
      <c r="PVQ17" s="573"/>
      <c r="PVR17" s="573"/>
      <c r="PVS17" s="573"/>
      <c r="PVT17" s="573"/>
      <c r="PVU17" s="573"/>
      <c r="PVV17" s="573"/>
      <c r="PVW17" s="573"/>
      <c r="PVX17" s="573"/>
      <c r="PVY17" s="573"/>
      <c r="PVZ17" s="573"/>
      <c r="PWA17" s="573"/>
      <c r="PWB17" s="573"/>
      <c r="PWC17" s="573"/>
      <c r="PWD17" s="573"/>
      <c r="PWE17" s="573"/>
      <c r="PWF17" s="573"/>
      <c r="PWG17" s="573"/>
      <c r="PWH17" s="573"/>
      <c r="PWI17" s="573"/>
      <c r="PWJ17" s="573"/>
      <c r="PWK17" s="573"/>
      <c r="PWL17" s="573"/>
      <c r="PWM17" s="573"/>
      <c r="PWN17" s="573"/>
      <c r="PWO17" s="573"/>
      <c r="PWP17" s="573"/>
      <c r="PWQ17" s="573"/>
      <c r="PWR17" s="573"/>
      <c r="PWS17" s="573"/>
      <c r="PWT17" s="573"/>
      <c r="PWU17" s="573"/>
      <c r="PWV17" s="573"/>
      <c r="PWW17" s="573"/>
      <c r="PWX17" s="573"/>
      <c r="PWY17" s="573"/>
      <c r="PWZ17" s="573"/>
      <c r="PXA17" s="573"/>
      <c r="PXB17" s="573"/>
      <c r="PXC17" s="573"/>
      <c r="PXD17" s="573"/>
      <c r="PXE17" s="573"/>
      <c r="PXF17" s="573"/>
      <c r="PXG17" s="573"/>
      <c r="PXH17" s="573"/>
      <c r="PXI17" s="573"/>
      <c r="PXJ17" s="573"/>
      <c r="PXK17" s="573"/>
      <c r="PXL17" s="573"/>
      <c r="PXM17" s="573"/>
      <c r="PXN17" s="573"/>
      <c r="PXO17" s="573"/>
      <c r="PXP17" s="573"/>
      <c r="PXQ17" s="573"/>
      <c r="PXR17" s="573"/>
      <c r="PXS17" s="573"/>
      <c r="PXT17" s="573"/>
      <c r="PXU17" s="573"/>
      <c r="PXV17" s="573"/>
      <c r="PXW17" s="573"/>
      <c r="PXX17" s="573"/>
      <c r="PXY17" s="573"/>
      <c r="PXZ17" s="573"/>
      <c r="PYA17" s="573"/>
      <c r="PYB17" s="573"/>
      <c r="PYC17" s="573"/>
      <c r="PYD17" s="573"/>
      <c r="PYE17" s="573"/>
      <c r="PYF17" s="573"/>
      <c r="PYG17" s="573"/>
      <c r="PYH17" s="573"/>
      <c r="PYI17" s="573"/>
      <c r="PYJ17" s="573"/>
      <c r="PYK17" s="573"/>
      <c r="PYL17" s="573"/>
      <c r="PYM17" s="573"/>
      <c r="PYN17" s="573"/>
      <c r="PYO17" s="573"/>
      <c r="PYP17" s="573"/>
      <c r="PYQ17" s="573"/>
      <c r="PYR17" s="573"/>
      <c r="PYS17" s="573"/>
      <c r="PYT17" s="573"/>
      <c r="PYU17" s="573"/>
      <c r="PYV17" s="573"/>
      <c r="PYW17" s="573"/>
      <c r="PYX17" s="573"/>
      <c r="PYY17" s="573"/>
      <c r="PYZ17" s="573"/>
      <c r="PZA17" s="573"/>
      <c r="PZB17" s="573"/>
      <c r="PZC17" s="573"/>
      <c r="PZD17" s="573"/>
      <c r="PZE17" s="573"/>
      <c r="PZF17" s="573"/>
      <c r="PZG17" s="573"/>
      <c r="PZH17" s="573"/>
      <c r="PZI17" s="573"/>
      <c r="PZJ17" s="573"/>
      <c r="PZK17" s="573"/>
      <c r="PZL17" s="573"/>
      <c r="PZM17" s="573"/>
      <c r="PZN17" s="573"/>
      <c r="PZO17" s="573"/>
      <c r="PZP17" s="573"/>
      <c r="PZQ17" s="573"/>
      <c r="PZR17" s="573"/>
      <c r="PZS17" s="573"/>
      <c r="PZT17" s="573"/>
      <c r="PZU17" s="573"/>
      <c r="PZV17" s="573"/>
      <c r="PZW17" s="573"/>
      <c r="PZX17" s="573"/>
      <c r="PZY17" s="573"/>
      <c r="PZZ17" s="573"/>
      <c r="QAA17" s="573"/>
      <c r="QAB17" s="573"/>
      <c r="QAC17" s="573"/>
      <c r="QAD17" s="573"/>
      <c r="QAE17" s="573"/>
      <c r="QAF17" s="573"/>
      <c r="QAG17" s="573"/>
      <c r="QAH17" s="573"/>
      <c r="QAI17" s="573"/>
      <c r="QAJ17" s="573"/>
      <c r="QAK17" s="573"/>
      <c r="QAL17" s="573"/>
      <c r="QAM17" s="573"/>
      <c r="QAN17" s="573"/>
      <c r="QAO17" s="573"/>
      <c r="QAP17" s="573"/>
      <c r="QAQ17" s="573"/>
      <c r="QAR17" s="573"/>
      <c r="QAS17" s="573"/>
      <c r="QAT17" s="573"/>
      <c r="QAU17" s="573"/>
      <c r="QAV17" s="573"/>
      <c r="QAW17" s="573"/>
      <c r="QAX17" s="573"/>
      <c r="QAY17" s="573"/>
      <c r="QAZ17" s="573"/>
      <c r="QBA17" s="573"/>
      <c r="QBB17" s="573"/>
      <c r="QBC17" s="573"/>
      <c r="QBD17" s="573"/>
      <c r="QBE17" s="573"/>
      <c r="QBF17" s="573"/>
      <c r="QBG17" s="573"/>
      <c r="QBH17" s="573"/>
      <c r="QBI17" s="573"/>
      <c r="QBJ17" s="573"/>
      <c r="QBK17" s="573"/>
      <c r="QBL17" s="573"/>
      <c r="QBM17" s="573"/>
      <c r="QBN17" s="573"/>
      <c r="QBO17" s="573"/>
      <c r="QBP17" s="573"/>
      <c r="QBQ17" s="573"/>
      <c r="QBR17" s="573"/>
      <c r="QBS17" s="573"/>
      <c r="QBT17" s="573"/>
      <c r="QBU17" s="573"/>
      <c r="QBV17" s="573"/>
      <c r="QBW17" s="573"/>
      <c r="QBX17" s="573"/>
      <c r="QBY17" s="573"/>
      <c r="QBZ17" s="573"/>
      <c r="QCA17" s="573"/>
      <c r="QCB17" s="573"/>
      <c r="QCC17" s="573"/>
      <c r="QCD17" s="573"/>
      <c r="QCE17" s="573"/>
      <c r="QCF17" s="573"/>
      <c r="QCG17" s="573"/>
      <c r="QCH17" s="573"/>
      <c r="QCI17" s="573"/>
      <c r="QCJ17" s="573"/>
      <c r="QCK17" s="573"/>
      <c r="QCL17" s="573"/>
      <c r="QCM17" s="573"/>
      <c r="QCN17" s="573"/>
      <c r="QCO17" s="573"/>
      <c r="QCP17" s="573"/>
      <c r="QCQ17" s="573"/>
      <c r="QCR17" s="573"/>
      <c r="QCS17" s="573"/>
      <c r="QCT17" s="573"/>
      <c r="QCU17" s="573"/>
      <c r="QCV17" s="573"/>
      <c r="QCW17" s="573"/>
      <c r="QCX17" s="573"/>
      <c r="QCY17" s="573"/>
      <c r="QCZ17" s="573"/>
      <c r="QDA17" s="573"/>
      <c r="QDB17" s="573"/>
      <c r="QDC17" s="573"/>
      <c r="QDD17" s="573"/>
      <c r="QDE17" s="573"/>
      <c r="QDF17" s="573"/>
      <c r="QDG17" s="573"/>
      <c r="QDH17" s="573"/>
      <c r="QDI17" s="573"/>
      <c r="QDJ17" s="573"/>
      <c r="QDK17" s="573"/>
      <c r="QDL17" s="573"/>
      <c r="QDM17" s="573"/>
      <c r="QDN17" s="573"/>
      <c r="QDO17" s="573"/>
      <c r="QDP17" s="573"/>
      <c r="QDQ17" s="573"/>
      <c r="QDR17" s="573"/>
      <c r="QDS17" s="573"/>
      <c r="QDT17" s="573"/>
      <c r="QDU17" s="573"/>
      <c r="QDV17" s="573"/>
      <c r="QDW17" s="573"/>
      <c r="QDX17" s="573"/>
      <c r="QDY17" s="573"/>
      <c r="QDZ17" s="573"/>
      <c r="QEA17" s="573"/>
      <c r="QEB17" s="573"/>
      <c r="QEC17" s="573"/>
      <c r="QED17" s="573"/>
      <c r="QEE17" s="573"/>
      <c r="QEF17" s="573"/>
      <c r="QEG17" s="573"/>
      <c r="QEH17" s="573"/>
      <c r="QEI17" s="573"/>
      <c r="QEJ17" s="573"/>
      <c r="QEK17" s="573"/>
      <c r="QEL17" s="573"/>
      <c r="QEM17" s="573"/>
      <c r="QEN17" s="573"/>
      <c r="QEO17" s="573"/>
      <c r="QEP17" s="573"/>
      <c r="QEQ17" s="573"/>
      <c r="QER17" s="573"/>
      <c r="QES17" s="573"/>
      <c r="QET17" s="573"/>
      <c r="QEU17" s="573"/>
      <c r="QEV17" s="573"/>
      <c r="QEW17" s="573"/>
      <c r="QEX17" s="573"/>
      <c r="QEY17" s="573"/>
      <c r="QEZ17" s="573"/>
      <c r="QFA17" s="573"/>
      <c r="QFB17" s="573"/>
      <c r="QFC17" s="573"/>
      <c r="QFD17" s="573"/>
      <c r="QFE17" s="573"/>
      <c r="QFF17" s="573"/>
      <c r="QFG17" s="573"/>
      <c r="QFH17" s="573"/>
      <c r="QFI17" s="573"/>
      <c r="QFJ17" s="573"/>
      <c r="QFK17" s="573"/>
      <c r="QFL17" s="573"/>
      <c r="QFM17" s="573"/>
      <c r="QFN17" s="573"/>
      <c r="QFO17" s="573"/>
      <c r="QFP17" s="573"/>
      <c r="QFQ17" s="573"/>
      <c r="QFR17" s="573"/>
      <c r="QFS17" s="573"/>
      <c r="QFT17" s="573"/>
      <c r="QFU17" s="573"/>
      <c r="QFV17" s="573"/>
      <c r="QFW17" s="573"/>
      <c r="QFX17" s="573"/>
      <c r="QFY17" s="573"/>
      <c r="QFZ17" s="573"/>
      <c r="QGA17" s="573"/>
      <c r="QGB17" s="573"/>
      <c r="QGC17" s="573"/>
      <c r="QGD17" s="573"/>
      <c r="QGE17" s="573"/>
      <c r="QGF17" s="573"/>
      <c r="QGG17" s="573"/>
      <c r="QGH17" s="573"/>
      <c r="QGI17" s="573"/>
      <c r="QGJ17" s="573"/>
      <c r="QGK17" s="573"/>
      <c r="QGL17" s="573"/>
      <c r="QGM17" s="573"/>
      <c r="QGN17" s="573"/>
      <c r="QGO17" s="573"/>
      <c r="QGP17" s="573"/>
      <c r="QGQ17" s="573"/>
      <c r="QGR17" s="573"/>
      <c r="QGS17" s="573"/>
      <c r="QGT17" s="573"/>
      <c r="QGU17" s="573"/>
      <c r="QGV17" s="573"/>
      <c r="QGW17" s="573"/>
      <c r="QGX17" s="573"/>
      <c r="QGY17" s="573"/>
      <c r="QGZ17" s="573"/>
      <c r="QHA17" s="573"/>
      <c r="QHB17" s="573"/>
      <c r="QHC17" s="573"/>
      <c r="QHD17" s="573"/>
      <c r="QHE17" s="573"/>
      <c r="QHF17" s="573"/>
      <c r="QHG17" s="573"/>
      <c r="QHH17" s="573"/>
      <c r="QHI17" s="573"/>
      <c r="QHJ17" s="573"/>
      <c r="QHK17" s="573"/>
      <c r="QHL17" s="573"/>
      <c r="QHM17" s="573"/>
      <c r="QHN17" s="573"/>
      <c r="QHO17" s="573"/>
      <c r="QHP17" s="573"/>
      <c r="QHQ17" s="573"/>
      <c r="QHR17" s="573"/>
      <c r="QHS17" s="573"/>
      <c r="QHT17" s="573"/>
      <c r="QHU17" s="573"/>
      <c r="QHV17" s="573"/>
      <c r="QHW17" s="573"/>
      <c r="QHX17" s="573"/>
      <c r="QHY17" s="573"/>
      <c r="QHZ17" s="573"/>
      <c r="QIA17" s="573"/>
      <c r="QIB17" s="573"/>
      <c r="QIC17" s="573"/>
      <c r="QID17" s="573"/>
      <c r="QIE17" s="573"/>
      <c r="QIF17" s="573"/>
      <c r="QIG17" s="573"/>
      <c r="QIH17" s="573"/>
      <c r="QII17" s="573"/>
      <c r="QIJ17" s="573"/>
      <c r="QIK17" s="573"/>
      <c r="QIL17" s="573"/>
      <c r="QIM17" s="573"/>
      <c r="QIN17" s="573"/>
      <c r="QIO17" s="573"/>
      <c r="QIP17" s="573"/>
      <c r="QIQ17" s="573"/>
      <c r="QIR17" s="573"/>
      <c r="QIS17" s="573"/>
      <c r="QIT17" s="573"/>
      <c r="QIU17" s="573"/>
      <c r="QIV17" s="573"/>
      <c r="QIW17" s="573"/>
      <c r="QIX17" s="573"/>
      <c r="QIY17" s="573"/>
      <c r="QIZ17" s="573"/>
      <c r="QJA17" s="573"/>
      <c r="QJB17" s="573"/>
      <c r="QJC17" s="573"/>
      <c r="QJD17" s="573"/>
      <c r="QJE17" s="573"/>
      <c r="QJF17" s="573"/>
      <c r="QJG17" s="573"/>
      <c r="QJH17" s="573"/>
      <c r="QJI17" s="573"/>
      <c r="QJJ17" s="573"/>
      <c r="QJK17" s="573"/>
      <c r="QJL17" s="573"/>
      <c r="QJM17" s="573"/>
      <c r="QJN17" s="573"/>
      <c r="QJO17" s="573"/>
      <c r="QJP17" s="573"/>
      <c r="QJQ17" s="573"/>
      <c r="QJR17" s="573"/>
      <c r="QJS17" s="573"/>
      <c r="QJT17" s="573"/>
      <c r="QJU17" s="573"/>
      <c r="QJV17" s="573"/>
      <c r="QJW17" s="573"/>
      <c r="QJX17" s="573"/>
      <c r="QJY17" s="573"/>
      <c r="QJZ17" s="573"/>
      <c r="QKA17" s="573"/>
      <c r="QKB17" s="573"/>
      <c r="QKC17" s="573"/>
      <c r="QKD17" s="573"/>
      <c r="QKE17" s="573"/>
      <c r="QKF17" s="573"/>
      <c r="QKG17" s="573"/>
      <c r="QKH17" s="573"/>
      <c r="QKI17" s="573"/>
      <c r="QKJ17" s="573"/>
      <c r="QKK17" s="573"/>
      <c r="QKL17" s="573"/>
      <c r="QKM17" s="573"/>
      <c r="QKN17" s="573"/>
      <c r="QKO17" s="573"/>
      <c r="QKP17" s="573"/>
      <c r="QKQ17" s="573"/>
      <c r="QKR17" s="573"/>
      <c r="QKS17" s="573"/>
      <c r="QKT17" s="573"/>
      <c r="QKU17" s="573"/>
      <c r="QKV17" s="573"/>
      <c r="QKW17" s="573"/>
      <c r="QKX17" s="573"/>
      <c r="QKY17" s="573"/>
      <c r="QKZ17" s="573"/>
      <c r="QLA17" s="573"/>
      <c r="QLB17" s="573"/>
      <c r="QLC17" s="573"/>
      <c r="QLD17" s="573"/>
      <c r="QLE17" s="573"/>
      <c r="QLF17" s="573"/>
      <c r="QLG17" s="573"/>
      <c r="QLH17" s="573"/>
      <c r="QLI17" s="573"/>
      <c r="QLJ17" s="573"/>
      <c r="QLK17" s="573"/>
      <c r="QLL17" s="573"/>
      <c r="QLM17" s="573"/>
      <c r="QLN17" s="573"/>
      <c r="QLO17" s="573"/>
      <c r="QLP17" s="573"/>
      <c r="QLQ17" s="573"/>
      <c r="QLR17" s="573"/>
      <c r="QLS17" s="573"/>
      <c r="QLT17" s="573"/>
      <c r="QLU17" s="573"/>
      <c r="QLV17" s="573"/>
      <c r="QLW17" s="573"/>
      <c r="QLX17" s="573"/>
      <c r="QLY17" s="573"/>
      <c r="QLZ17" s="573"/>
      <c r="QMA17" s="573"/>
      <c r="QMB17" s="573"/>
      <c r="QMC17" s="573"/>
      <c r="QMD17" s="573"/>
      <c r="QME17" s="573"/>
      <c r="QMF17" s="573"/>
      <c r="QMG17" s="573"/>
      <c r="QMH17" s="573"/>
      <c r="QMI17" s="573"/>
      <c r="QMJ17" s="573"/>
      <c r="QMK17" s="573"/>
      <c r="QML17" s="573"/>
      <c r="QMM17" s="573"/>
      <c r="QMN17" s="573"/>
      <c r="QMO17" s="573"/>
      <c r="QMP17" s="573"/>
      <c r="QMQ17" s="573"/>
      <c r="QMR17" s="573"/>
      <c r="QMS17" s="573"/>
      <c r="QMT17" s="573"/>
      <c r="QMU17" s="573"/>
      <c r="QMV17" s="573"/>
      <c r="QMW17" s="573"/>
      <c r="QMX17" s="573"/>
      <c r="QMY17" s="573"/>
      <c r="QMZ17" s="573"/>
      <c r="QNA17" s="573"/>
      <c r="QNB17" s="573"/>
      <c r="QNC17" s="573"/>
      <c r="QND17" s="573"/>
      <c r="QNE17" s="573"/>
      <c r="QNF17" s="573"/>
      <c r="QNG17" s="573"/>
      <c r="QNH17" s="573"/>
      <c r="QNI17" s="573"/>
      <c r="QNJ17" s="573"/>
      <c r="QNK17" s="573"/>
      <c r="QNL17" s="573"/>
      <c r="QNM17" s="573"/>
      <c r="QNN17" s="573"/>
      <c r="QNO17" s="573"/>
      <c r="QNP17" s="573"/>
      <c r="QNQ17" s="573"/>
      <c r="QNR17" s="573"/>
      <c r="QNS17" s="573"/>
      <c r="QNT17" s="573"/>
      <c r="QNU17" s="573"/>
      <c r="QNV17" s="573"/>
      <c r="QNW17" s="573"/>
      <c r="QNX17" s="573"/>
      <c r="QNY17" s="573"/>
      <c r="QNZ17" s="573"/>
      <c r="QOA17" s="573"/>
      <c r="QOB17" s="573"/>
      <c r="QOC17" s="573"/>
      <c r="QOD17" s="573"/>
      <c r="QOE17" s="573"/>
      <c r="QOF17" s="573"/>
      <c r="QOG17" s="573"/>
      <c r="QOH17" s="573"/>
      <c r="QOI17" s="573"/>
      <c r="QOJ17" s="573"/>
      <c r="QOK17" s="573"/>
      <c r="QOL17" s="573"/>
      <c r="QOM17" s="573"/>
      <c r="QON17" s="573"/>
      <c r="QOO17" s="573"/>
      <c r="QOP17" s="573"/>
      <c r="QOQ17" s="573"/>
      <c r="QOR17" s="573"/>
      <c r="QOS17" s="573"/>
      <c r="QOT17" s="573"/>
      <c r="QOU17" s="573"/>
      <c r="QOV17" s="573"/>
      <c r="QOW17" s="573"/>
      <c r="QOX17" s="573"/>
      <c r="QOY17" s="573"/>
      <c r="QOZ17" s="573"/>
      <c r="QPA17" s="573"/>
      <c r="QPB17" s="573"/>
      <c r="QPC17" s="573"/>
      <c r="QPD17" s="573"/>
      <c r="QPE17" s="573"/>
      <c r="QPF17" s="573"/>
      <c r="QPG17" s="573"/>
      <c r="QPH17" s="573"/>
      <c r="QPI17" s="573"/>
      <c r="QPJ17" s="573"/>
      <c r="QPK17" s="573"/>
      <c r="QPL17" s="573"/>
      <c r="QPM17" s="573"/>
      <c r="QPN17" s="573"/>
      <c r="QPO17" s="573"/>
      <c r="QPP17" s="573"/>
      <c r="QPQ17" s="573"/>
      <c r="QPR17" s="573"/>
      <c r="QPS17" s="573"/>
      <c r="QPT17" s="573"/>
      <c r="QPU17" s="573"/>
      <c r="QPV17" s="573"/>
      <c r="QPW17" s="573"/>
      <c r="QPX17" s="573"/>
      <c r="QPY17" s="573"/>
      <c r="QPZ17" s="573"/>
      <c r="QQA17" s="573"/>
      <c r="QQB17" s="573"/>
      <c r="QQC17" s="573"/>
      <c r="QQD17" s="573"/>
      <c r="QQE17" s="573"/>
      <c r="QQF17" s="573"/>
      <c r="QQG17" s="573"/>
      <c r="QQH17" s="573"/>
      <c r="QQI17" s="573"/>
      <c r="QQJ17" s="573"/>
      <c r="QQK17" s="573"/>
      <c r="QQL17" s="573"/>
      <c r="QQM17" s="573"/>
      <c r="QQN17" s="573"/>
      <c r="QQO17" s="573"/>
      <c r="QQP17" s="573"/>
      <c r="QQQ17" s="573"/>
      <c r="QQR17" s="573"/>
      <c r="QQS17" s="573"/>
      <c r="QQT17" s="573"/>
      <c r="QQU17" s="573"/>
      <c r="QQV17" s="573"/>
      <c r="QQW17" s="573"/>
      <c r="QQX17" s="573"/>
      <c r="QQY17" s="573"/>
      <c r="QQZ17" s="573"/>
      <c r="QRA17" s="573"/>
      <c r="QRB17" s="573"/>
      <c r="QRC17" s="573"/>
      <c r="QRD17" s="573"/>
      <c r="QRE17" s="573"/>
      <c r="QRF17" s="573"/>
      <c r="QRG17" s="573"/>
      <c r="QRH17" s="573"/>
      <c r="QRI17" s="573"/>
      <c r="QRJ17" s="573"/>
      <c r="QRK17" s="573"/>
      <c r="QRL17" s="573"/>
      <c r="QRM17" s="573"/>
      <c r="QRN17" s="573"/>
      <c r="QRO17" s="573"/>
      <c r="QRP17" s="573"/>
      <c r="QRQ17" s="573"/>
      <c r="QRR17" s="573"/>
      <c r="QRS17" s="573"/>
      <c r="QRT17" s="573"/>
      <c r="QRU17" s="573"/>
      <c r="QRV17" s="573"/>
      <c r="QRW17" s="573"/>
      <c r="QRX17" s="573"/>
      <c r="QRY17" s="573"/>
      <c r="QRZ17" s="573"/>
      <c r="QSA17" s="573"/>
      <c r="QSB17" s="573"/>
      <c r="QSC17" s="573"/>
      <c r="QSD17" s="573"/>
      <c r="QSE17" s="573"/>
      <c r="QSF17" s="573"/>
      <c r="QSG17" s="573"/>
      <c r="QSH17" s="573"/>
      <c r="QSI17" s="573"/>
      <c r="QSJ17" s="573"/>
      <c r="QSK17" s="573"/>
      <c r="QSL17" s="573"/>
      <c r="QSM17" s="573"/>
      <c r="QSN17" s="573"/>
      <c r="QSO17" s="573"/>
      <c r="QSP17" s="573"/>
      <c r="QSQ17" s="573"/>
      <c r="QSR17" s="573"/>
      <c r="QSS17" s="573"/>
      <c r="QST17" s="573"/>
      <c r="QSU17" s="573"/>
      <c r="QSV17" s="573"/>
      <c r="QSW17" s="573"/>
      <c r="QSX17" s="573"/>
      <c r="QSY17" s="573"/>
      <c r="QSZ17" s="573"/>
      <c r="QTA17" s="573"/>
      <c r="QTB17" s="573"/>
      <c r="QTC17" s="573"/>
      <c r="QTD17" s="573"/>
      <c r="QTE17" s="573"/>
      <c r="QTF17" s="573"/>
      <c r="QTG17" s="573"/>
      <c r="QTH17" s="573"/>
      <c r="QTI17" s="573"/>
      <c r="QTJ17" s="573"/>
      <c r="QTK17" s="573"/>
      <c r="QTL17" s="573"/>
      <c r="QTM17" s="573"/>
      <c r="QTN17" s="573"/>
      <c r="QTO17" s="573"/>
      <c r="QTP17" s="573"/>
      <c r="QTQ17" s="573"/>
      <c r="QTR17" s="573"/>
      <c r="QTS17" s="573"/>
      <c r="QTT17" s="573"/>
      <c r="QTU17" s="573"/>
      <c r="QTV17" s="573"/>
      <c r="QTW17" s="573"/>
      <c r="QTX17" s="573"/>
      <c r="QTY17" s="573"/>
      <c r="QTZ17" s="573"/>
      <c r="QUA17" s="573"/>
      <c r="QUB17" s="573"/>
      <c r="QUC17" s="573"/>
      <c r="QUD17" s="573"/>
      <c r="QUE17" s="573"/>
      <c r="QUF17" s="573"/>
      <c r="QUG17" s="573"/>
      <c r="QUH17" s="573"/>
      <c r="QUI17" s="573"/>
      <c r="QUJ17" s="573"/>
      <c r="QUK17" s="573"/>
      <c r="QUL17" s="573"/>
      <c r="QUM17" s="573"/>
      <c r="QUN17" s="573"/>
      <c r="QUO17" s="573"/>
      <c r="QUP17" s="573"/>
      <c r="QUQ17" s="573"/>
      <c r="QUR17" s="573"/>
      <c r="QUS17" s="573"/>
      <c r="QUT17" s="573"/>
      <c r="QUU17" s="573"/>
      <c r="QUV17" s="573"/>
      <c r="QUW17" s="573"/>
      <c r="QUX17" s="573"/>
      <c r="QUY17" s="573"/>
      <c r="QUZ17" s="573"/>
      <c r="QVA17" s="573"/>
      <c r="QVB17" s="573"/>
      <c r="QVC17" s="573"/>
      <c r="QVD17" s="573"/>
      <c r="QVE17" s="573"/>
      <c r="QVF17" s="573"/>
      <c r="QVG17" s="573"/>
      <c r="QVH17" s="573"/>
      <c r="QVI17" s="573"/>
      <c r="QVJ17" s="573"/>
      <c r="QVK17" s="573"/>
      <c r="QVL17" s="573"/>
      <c r="QVM17" s="573"/>
      <c r="QVN17" s="573"/>
      <c r="QVO17" s="573"/>
      <c r="QVP17" s="573"/>
      <c r="QVQ17" s="573"/>
      <c r="QVR17" s="573"/>
      <c r="QVS17" s="573"/>
      <c r="QVT17" s="573"/>
      <c r="QVU17" s="573"/>
      <c r="QVV17" s="573"/>
      <c r="QVW17" s="573"/>
      <c r="QVX17" s="573"/>
      <c r="QVY17" s="573"/>
      <c r="QVZ17" s="573"/>
      <c r="QWA17" s="573"/>
      <c r="QWB17" s="573"/>
      <c r="QWC17" s="573"/>
      <c r="QWD17" s="573"/>
      <c r="QWE17" s="573"/>
      <c r="QWF17" s="573"/>
      <c r="QWG17" s="573"/>
      <c r="QWH17" s="573"/>
      <c r="QWI17" s="573"/>
      <c r="QWJ17" s="573"/>
      <c r="QWK17" s="573"/>
      <c r="QWL17" s="573"/>
      <c r="QWM17" s="573"/>
      <c r="QWN17" s="573"/>
      <c r="QWO17" s="573"/>
      <c r="QWP17" s="573"/>
      <c r="QWQ17" s="573"/>
      <c r="QWR17" s="573"/>
      <c r="QWS17" s="573"/>
      <c r="QWT17" s="573"/>
      <c r="QWU17" s="573"/>
      <c r="QWV17" s="573"/>
      <c r="QWW17" s="573"/>
      <c r="QWX17" s="573"/>
      <c r="QWY17" s="573"/>
      <c r="QWZ17" s="573"/>
      <c r="QXA17" s="573"/>
      <c r="QXB17" s="573"/>
      <c r="QXC17" s="573"/>
      <c r="QXD17" s="573"/>
      <c r="QXE17" s="573"/>
      <c r="QXF17" s="573"/>
      <c r="QXG17" s="573"/>
      <c r="QXH17" s="573"/>
      <c r="QXI17" s="573"/>
      <c r="QXJ17" s="573"/>
      <c r="QXK17" s="573"/>
      <c r="QXL17" s="573"/>
      <c r="QXM17" s="573"/>
      <c r="QXN17" s="573"/>
      <c r="QXO17" s="573"/>
      <c r="QXP17" s="573"/>
      <c r="QXQ17" s="573"/>
      <c r="QXR17" s="573"/>
      <c r="QXS17" s="573"/>
      <c r="QXT17" s="573"/>
      <c r="QXU17" s="573"/>
      <c r="QXV17" s="573"/>
      <c r="QXW17" s="573"/>
      <c r="QXX17" s="573"/>
      <c r="QXY17" s="573"/>
      <c r="QXZ17" s="573"/>
      <c r="QYA17" s="573"/>
      <c r="QYB17" s="573"/>
      <c r="QYC17" s="573"/>
      <c r="QYD17" s="573"/>
      <c r="QYE17" s="573"/>
      <c r="QYF17" s="573"/>
      <c r="QYG17" s="573"/>
      <c r="QYH17" s="573"/>
      <c r="QYI17" s="573"/>
      <c r="QYJ17" s="573"/>
      <c r="QYK17" s="573"/>
      <c r="QYL17" s="573"/>
      <c r="QYM17" s="573"/>
      <c r="QYN17" s="573"/>
      <c r="QYO17" s="573"/>
      <c r="QYP17" s="573"/>
      <c r="QYQ17" s="573"/>
      <c r="QYR17" s="573"/>
      <c r="QYS17" s="573"/>
      <c r="QYT17" s="573"/>
      <c r="QYU17" s="573"/>
      <c r="QYV17" s="573"/>
      <c r="QYW17" s="573"/>
      <c r="QYX17" s="573"/>
      <c r="QYY17" s="573"/>
      <c r="QYZ17" s="573"/>
      <c r="QZA17" s="573"/>
      <c r="QZB17" s="573"/>
      <c r="QZC17" s="573"/>
      <c r="QZD17" s="573"/>
      <c r="QZE17" s="573"/>
      <c r="QZF17" s="573"/>
      <c r="QZG17" s="573"/>
      <c r="QZH17" s="573"/>
      <c r="QZI17" s="573"/>
      <c r="QZJ17" s="573"/>
      <c r="QZK17" s="573"/>
      <c r="QZL17" s="573"/>
      <c r="QZM17" s="573"/>
      <c r="QZN17" s="573"/>
      <c r="QZO17" s="573"/>
      <c r="QZP17" s="573"/>
      <c r="QZQ17" s="573"/>
      <c r="QZR17" s="573"/>
      <c r="QZS17" s="573"/>
      <c r="QZT17" s="573"/>
      <c r="QZU17" s="573"/>
      <c r="QZV17" s="573"/>
      <c r="QZW17" s="573"/>
      <c r="QZX17" s="573"/>
      <c r="QZY17" s="573"/>
      <c r="QZZ17" s="573"/>
      <c r="RAA17" s="573"/>
      <c r="RAB17" s="573"/>
      <c r="RAC17" s="573"/>
      <c r="RAD17" s="573"/>
      <c r="RAE17" s="573"/>
      <c r="RAF17" s="573"/>
      <c r="RAG17" s="573"/>
      <c r="RAH17" s="573"/>
      <c r="RAI17" s="573"/>
      <c r="RAJ17" s="573"/>
      <c r="RAK17" s="573"/>
      <c r="RAL17" s="573"/>
      <c r="RAM17" s="573"/>
      <c r="RAN17" s="573"/>
      <c r="RAO17" s="573"/>
      <c r="RAP17" s="573"/>
      <c r="RAQ17" s="573"/>
      <c r="RAR17" s="573"/>
      <c r="RAS17" s="573"/>
      <c r="RAT17" s="573"/>
      <c r="RAU17" s="573"/>
      <c r="RAV17" s="573"/>
      <c r="RAW17" s="573"/>
      <c r="RAX17" s="573"/>
      <c r="RAY17" s="573"/>
      <c r="RAZ17" s="573"/>
      <c r="RBA17" s="573"/>
      <c r="RBB17" s="573"/>
      <c r="RBC17" s="573"/>
      <c r="RBD17" s="573"/>
      <c r="RBE17" s="573"/>
      <c r="RBF17" s="573"/>
      <c r="RBG17" s="573"/>
      <c r="RBH17" s="573"/>
      <c r="RBI17" s="573"/>
      <c r="RBJ17" s="573"/>
      <c r="RBK17" s="573"/>
      <c r="RBL17" s="573"/>
      <c r="RBM17" s="573"/>
      <c r="RBN17" s="573"/>
      <c r="RBO17" s="573"/>
      <c r="RBP17" s="573"/>
      <c r="RBQ17" s="573"/>
      <c r="RBR17" s="573"/>
      <c r="RBS17" s="573"/>
      <c r="RBT17" s="573"/>
      <c r="RBU17" s="573"/>
      <c r="RBV17" s="573"/>
      <c r="RBW17" s="573"/>
      <c r="RBX17" s="573"/>
      <c r="RBY17" s="573"/>
      <c r="RBZ17" s="573"/>
      <c r="RCA17" s="573"/>
      <c r="RCB17" s="573"/>
      <c r="RCC17" s="573"/>
      <c r="RCD17" s="573"/>
      <c r="RCE17" s="573"/>
      <c r="RCF17" s="573"/>
      <c r="RCG17" s="573"/>
      <c r="RCH17" s="573"/>
      <c r="RCI17" s="573"/>
      <c r="RCJ17" s="573"/>
      <c r="RCK17" s="573"/>
      <c r="RCL17" s="573"/>
      <c r="RCM17" s="573"/>
      <c r="RCN17" s="573"/>
      <c r="RCO17" s="573"/>
      <c r="RCP17" s="573"/>
      <c r="RCQ17" s="573"/>
      <c r="RCR17" s="573"/>
      <c r="RCS17" s="573"/>
      <c r="RCT17" s="573"/>
      <c r="RCU17" s="573"/>
      <c r="RCV17" s="573"/>
      <c r="RCW17" s="573"/>
      <c r="RCX17" s="573"/>
      <c r="RCY17" s="573"/>
      <c r="RCZ17" s="573"/>
      <c r="RDA17" s="573"/>
      <c r="RDB17" s="573"/>
      <c r="RDC17" s="573"/>
      <c r="RDD17" s="573"/>
      <c r="RDE17" s="573"/>
      <c r="RDF17" s="573"/>
      <c r="RDG17" s="573"/>
      <c r="RDH17" s="573"/>
      <c r="RDI17" s="573"/>
      <c r="RDJ17" s="573"/>
      <c r="RDK17" s="573"/>
      <c r="RDL17" s="573"/>
      <c r="RDM17" s="573"/>
      <c r="RDN17" s="573"/>
      <c r="RDO17" s="573"/>
      <c r="RDP17" s="573"/>
      <c r="RDQ17" s="573"/>
      <c r="RDR17" s="573"/>
      <c r="RDS17" s="573"/>
      <c r="RDT17" s="573"/>
      <c r="RDU17" s="573"/>
      <c r="RDV17" s="573"/>
      <c r="RDW17" s="573"/>
      <c r="RDX17" s="573"/>
      <c r="RDY17" s="573"/>
      <c r="RDZ17" s="573"/>
      <c r="REA17" s="573"/>
      <c r="REB17" s="573"/>
      <c r="REC17" s="573"/>
      <c r="RED17" s="573"/>
      <c r="REE17" s="573"/>
      <c r="REF17" s="573"/>
      <c r="REG17" s="573"/>
      <c r="REH17" s="573"/>
      <c r="REI17" s="573"/>
      <c r="REJ17" s="573"/>
      <c r="REK17" s="573"/>
      <c r="REL17" s="573"/>
      <c r="REM17" s="573"/>
      <c r="REN17" s="573"/>
      <c r="REO17" s="573"/>
      <c r="REP17" s="573"/>
      <c r="REQ17" s="573"/>
      <c r="RER17" s="573"/>
      <c r="RES17" s="573"/>
      <c r="RET17" s="573"/>
      <c r="REU17" s="573"/>
      <c r="REV17" s="573"/>
      <c r="REW17" s="573"/>
      <c r="REX17" s="573"/>
      <c r="REY17" s="573"/>
      <c r="REZ17" s="573"/>
      <c r="RFA17" s="573"/>
      <c r="RFB17" s="573"/>
      <c r="RFC17" s="573"/>
      <c r="RFD17" s="573"/>
      <c r="RFE17" s="573"/>
      <c r="RFF17" s="573"/>
      <c r="RFG17" s="573"/>
      <c r="RFH17" s="573"/>
      <c r="RFI17" s="573"/>
      <c r="RFJ17" s="573"/>
      <c r="RFK17" s="573"/>
      <c r="RFL17" s="573"/>
      <c r="RFM17" s="573"/>
      <c r="RFN17" s="573"/>
      <c r="RFO17" s="573"/>
      <c r="RFP17" s="573"/>
      <c r="RFQ17" s="573"/>
      <c r="RFR17" s="573"/>
      <c r="RFS17" s="573"/>
      <c r="RFT17" s="573"/>
      <c r="RFU17" s="573"/>
      <c r="RFV17" s="573"/>
      <c r="RFW17" s="573"/>
      <c r="RFX17" s="573"/>
      <c r="RFY17" s="573"/>
      <c r="RFZ17" s="573"/>
      <c r="RGA17" s="573"/>
      <c r="RGB17" s="573"/>
      <c r="RGC17" s="573"/>
      <c r="RGD17" s="573"/>
      <c r="RGE17" s="573"/>
      <c r="RGF17" s="573"/>
      <c r="RGG17" s="573"/>
      <c r="RGH17" s="573"/>
      <c r="RGI17" s="573"/>
      <c r="RGJ17" s="573"/>
      <c r="RGK17" s="573"/>
      <c r="RGL17" s="573"/>
      <c r="RGM17" s="573"/>
      <c r="RGN17" s="573"/>
      <c r="RGO17" s="573"/>
      <c r="RGP17" s="573"/>
      <c r="RGQ17" s="573"/>
      <c r="RGR17" s="573"/>
      <c r="RGS17" s="573"/>
      <c r="RGT17" s="573"/>
      <c r="RGU17" s="573"/>
      <c r="RGV17" s="573"/>
      <c r="RGW17" s="573"/>
      <c r="RGX17" s="573"/>
      <c r="RGY17" s="573"/>
      <c r="RGZ17" s="573"/>
      <c r="RHA17" s="573"/>
      <c r="RHB17" s="573"/>
      <c r="RHC17" s="573"/>
      <c r="RHD17" s="573"/>
      <c r="RHE17" s="573"/>
      <c r="RHF17" s="573"/>
      <c r="RHG17" s="573"/>
      <c r="RHH17" s="573"/>
      <c r="RHI17" s="573"/>
      <c r="RHJ17" s="573"/>
      <c r="RHK17" s="573"/>
      <c r="RHL17" s="573"/>
      <c r="RHM17" s="573"/>
      <c r="RHN17" s="573"/>
      <c r="RHO17" s="573"/>
      <c r="RHP17" s="573"/>
      <c r="RHQ17" s="573"/>
      <c r="RHR17" s="573"/>
      <c r="RHS17" s="573"/>
      <c r="RHT17" s="573"/>
      <c r="RHU17" s="573"/>
      <c r="RHV17" s="573"/>
      <c r="RHW17" s="573"/>
      <c r="RHX17" s="573"/>
      <c r="RHY17" s="573"/>
      <c r="RHZ17" s="573"/>
      <c r="RIA17" s="573"/>
      <c r="RIB17" s="573"/>
      <c r="RIC17" s="573"/>
      <c r="RID17" s="573"/>
      <c r="RIE17" s="573"/>
      <c r="RIF17" s="573"/>
      <c r="RIG17" s="573"/>
      <c r="RIH17" s="573"/>
      <c r="RII17" s="573"/>
      <c r="RIJ17" s="573"/>
      <c r="RIK17" s="573"/>
      <c r="RIL17" s="573"/>
      <c r="RIM17" s="573"/>
      <c r="RIN17" s="573"/>
      <c r="RIO17" s="573"/>
      <c r="RIP17" s="573"/>
      <c r="RIQ17" s="573"/>
      <c r="RIR17" s="573"/>
      <c r="RIS17" s="573"/>
      <c r="RIT17" s="573"/>
      <c r="RIU17" s="573"/>
      <c r="RIV17" s="573"/>
      <c r="RIW17" s="573"/>
      <c r="RIX17" s="573"/>
      <c r="RIY17" s="573"/>
      <c r="RIZ17" s="573"/>
      <c r="RJA17" s="573"/>
      <c r="RJB17" s="573"/>
      <c r="RJC17" s="573"/>
      <c r="RJD17" s="573"/>
      <c r="RJE17" s="573"/>
      <c r="RJF17" s="573"/>
      <c r="RJG17" s="573"/>
      <c r="RJH17" s="573"/>
      <c r="RJI17" s="573"/>
      <c r="RJJ17" s="573"/>
      <c r="RJK17" s="573"/>
      <c r="RJL17" s="573"/>
      <c r="RJM17" s="573"/>
      <c r="RJN17" s="573"/>
      <c r="RJO17" s="573"/>
      <c r="RJP17" s="573"/>
      <c r="RJQ17" s="573"/>
      <c r="RJR17" s="573"/>
      <c r="RJS17" s="573"/>
      <c r="RJT17" s="573"/>
      <c r="RJU17" s="573"/>
      <c r="RJV17" s="573"/>
      <c r="RJW17" s="573"/>
      <c r="RJX17" s="573"/>
      <c r="RJY17" s="573"/>
      <c r="RJZ17" s="573"/>
      <c r="RKA17" s="573"/>
      <c r="RKB17" s="573"/>
      <c r="RKC17" s="573"/>
      <c r="RKD17" s="573"/>
      <c r="RKE17" s="573"/>
      <c r="RKF17" s="573"/>
      <c r="RKG17" s="573"/>
      <c r="RKH17" s="573"/>
      <c r="RKI17" s="573"/>
      <c r="RKJ17" s="573"/>
      <c r="RKK17" s="573"/>
      <c r="RKL17" s="573"/>
      <c r="RKM17" s="573"/>
      <c r="RKN17" s="573"/>
      <c r="RKO17" s="573"/>
      <c r="RKP17" s="573"/>
      <c r="RKQ17" s="573"/>
      <c r="RKR17" s="573"/>
      <c r="RKS17" s="573"/>
      <c r="RKT17" s="573"/>
      <c r="RKU17" s="573"/>
      <c r="RKV17" s="573"/>
      <c r="RKW17" s="573"/>
      <c r="RKX17" s="573"/>
      <c r="RKY17" s="573"/>
      <c r="RKZ17" s="573"/>
      <c r="RLA17" s="573"/>
      <c r="RLB17" s="573"/>
      <c r="RLC17" s="573"/>
      <c r="RLD17" s="573"/>
      <c r="RLE17" s="573"/>
      <c r="RLF17" s="573"/>
      <c r="RLG17" s="573"/>
      <c r="RLH17" s="573"/>
      <c r="RLI17" s="573"/>
      <c r="RLJ17" s="573"/>
      <c r="RLK17" s="573"/>
      <c r="RLL17" s="573"/>
      <c r="RLM17" s="573"/>
      <c r="RLN17" s="573"/>
      <c r="RLO17" s="573"/>
      <c r="RLP17" s="573"/>
      <c r="RLQ17" s="573"/>
      <c r="RLR17" s="573"/>
      <c r="RLS17" s="573"/>
      <c r="RLT17" s="573"/>
      <c r="RLU17" s="573"/>
      <c r="RLV17" s="573"/>
      <c r="RLW17" s="573"/>
      <c r="RLX17" s="573"/>
      <c r="RLY17" s="573"/>
      <c r="RLZ17" s="573"/>
      <c r="RMA17" s="573"/>
      <c r="RMB17" s="573"/>
      <c r="RMC17" s="573"/>
      <c r="RMD17" s="573"/>
      <c r="RME17" s="573"/>
      <c r="RMF17" s="573"/>
      <c r="RMG17" s="573"/>
      <c r="RMH17" s="573"/>
      <c r="RMI17" s="573"/>
      <c r="RMJ17" s="573"/>
      <c r="RMK17" s="573"/>
      <c r="RML17" s="573"/>
      <c r="RMM17" s="573"/>
      <c r="RMN17" s="573"/>
      <c r="RMO17" s="573"/>
      <c r="RMP17" s="573"/>
      <c r="RMQ17" s="573"/>
      <c r="RMR17" s="573"/>
      <c r="RMS17" s="573"/>
      <c r="RMT17" s="573"/>
      <c r="RMU17" s="573"/>
      <c r="RMV17" s="573"/>
      <c r="RMW17" s="573"/>
      <c r="RMX17" s="573"/>
      <c r="RMY17" s="573"/>
      <c r="RMZ17" s="573"/>
      <c r="RNA17" s="573"/>
      <c r="RNB17" s="573"/>
      <c r="RNC17" s="573"/>
      <c r="RND17" s="573"/>
      <c r="RNE17" s="573"/>
      <c r="RNF17" s="573"/>
      <c r="RNG17" s="573"/>
      <c r="RNH17" s="573"/>
      <c r="RNI17" s="573"/>
      <c r="RNJ17" s="573"/>
      <c r="RNK17" s="573"/>
      <c r="RNL17" s="573"/>
      <c r="RNM17" s="573"/>
      <c r="RNN17" s="573"/>
      <c r="RNO17" s="573"/>
      <c r="RNP17" s="573"/>
      <c r="RNQ17" s="573"/>
      <c r="RNR17" s="573"/>
      <c r="RNS17" s="573"/>
      <c r="RNT17" s="573"/>
      <c r="RNU17" s="573"/>
      <c r="RNV17" s="573"/>
      <c r="RNW17" s="573"/>
      <c r="RNX17" s="573"/>
      <c r="RNY17" s="573"/>
      <c r="RNZ17" s="573"/>
      <c r="ROA17" s="573"/>
      <c r="ROB17" s="573"/>
      <c r="ROC17" s="573"/>
      <c r="ROD17" s="573"/>
      <c r="ROE17" s="573"/>
      <c r="ROF17" s="573"/>
      <c r="ROG17" s="573"/>
      <c r="ROH17" s="573"/>
      <c r="ROI17" s="573"/>
      <c r="ROJ17" s="573"/>
      <c r="ROK17" s="573"/>
      <c r="ROL17" s="573"/>
      <c r="ROM17" s="573"/>
      <c r="RON17" s="573"/>
      <c r="ROO17" s="573"/>
      <c r="ROP17" s="573"/>
      <c r="ROQ17" s="573"/>
      <c r="ROR17" s="573"/>
      <c r="ROS17" s="573"/>
      <c r="ROT17" s="573"/>
      <c r="ROU17" s="573"/>
      <c r="ROV17" s="573"/>
      <c r="ROW17" s="573"/>
      <c r="ROX17" s="573"/>
      <c r="ROY17" s="573"/>
      <c r="ROZ17" s="573"/>
      <c r="RPA17" s="573"/>
      <c r="RPB17" s="573"/>
      <c r="RPC17" s="573"/>
      <c r="RPD17" s="573"/>
      <c r="RPE17" s="573"/>
      <c r="RPF17" s="573"/>
      <c r="RPG17" s="573"/>
      <c r="RPH17" s="573"/>
      <c r="RPI17" s="573"/>
      <c r="RPJ17" s="573"/>
      <c r="RPK17" s="573"/>
      <c r="RPL17" s="573"/>
      <c r="RPM17" s="573"/>
      <c r="RPN17" s="573"/>
      <c r="RPO17" s="573"/>
      <c r="RPP17" s="573"/>
      <c r="RPQ17" s="573"/>
      <c r="RPR17" s="573"/>
      <c r="RPS17" s="573"/>
      <c r="RPT17" s="573"/>
      <c r="RPU17" s="573"/>
      <c r="RPV17" s="573"/>
      <c r="RPW17" s="573"/>
      <c r="RPX17" s="573"/>
      <c r="RPY17" s="573"/>
      <c r="RPZ17" s="573"/>
      <c r="RQA17" s="573"/>
      <c r="RQB17" s="573"/>
      <c r="RQC17" s="573"/>
      <c r="RQD17" s="573"/>
      <c r="RQE17" s="573"/>
      <c r="RQF17" s="573"/>
      <c r="RQG17" s="573"/>
      <c r="RQH17" s="573"/>
      <c r="RQI17" s="573"/>
      <c r="RQJ17" s="573"/>
      <c r="RQK17" s="573"/>
      <c r="RQL17" s="573"/>
      <c r="RQM17" s="573"/>
      <c r="RQN17" s="573"/>
      <c r="RQO17" s="573"/>
      <c r="RQP17" s="573"/>
      <c r="RQQ17" s="573"/>
      <c r="RQR17" s="573"/>
      <c r="RQS17" s="573"/>
      <c r="RQT17" s="573"/>
      <c r="RQU17" s="573"/>
      <c r="RQV17" s="573"/>
      <c r="RQW17" s="573"/>
      <c r="RQX17" s="573"/>
      <c r="RQY17" s="573"/>
      <c r="RQZ17" s="573"/>
      <c r="RRA17" s="573"/>
      <c r="RRB17" s="573"/>
      <c r="RRC17" s="573"/>
      <c r="RRD17" s="573"/>
      <c r="RRE17" s="573"/>
      <c r="RRF17" s="573"/>
      <c r="RRG17" s="573"/>
      <c r="RRH17" s="573"/>
      <c r="RRI17" s="573"/>
      <c r="RRJ17" s="573"/>
      <c r="RRK17" s="573"/>
      <c r="RRL17" s="573"/>
      <c r="RRM17" s="573"/>
      <c r="RRN17" s="573"/>
      <c r="RRO17" s="573"/>
      <c r="RRP17" s="573"/>
      <c r="RRQ17" s="573"/>
      <c r="RRR17" s="573"/>
      <c r="RRS17" s="573"/>
      <c r="RRT17" s="573"/>
      <c r="RRU17" s="573"/>
      <c r="RRV17" s="573"/>
      <c r="RRW17" s="573"/>
      <c r="RRX17" s="573"/>
      <c r="RRY17" s="573"/>
      <c r="RRZ17" s="573"/>
      <c r="RSA17" s="573"/>
      <c r="RSB17" s="573"/>
      <c r="RSC17" s="573"/>
      <c r="RSD17" s="573"/>
      <c r="RSE17" s="573"/>
      <c r="RSF17" s="573"/>
      <c r="RSG17" s="573"/>
      <c r="RSH17" s="573"/>
      <c r="RSI17" s="573"/>
      <c r="RSJ17" s="573"/>
      <c r="RSK17" s="573"/>
      <c r="RSL17" s="573"/>
      <c r="RSM17" s="573"/>
      <c r="RSN17" s="573"/>
      <c r="RSO17" s="573"/>
      <c r="RSP17" s="573"/>
      <c r="RSQ17" s="573"/>
      <c r="RSR17" s="573"/>
      <c r="RSS17" s="573"/>
      <c r="RST17" s="573"/>
      <c r="RSU17" s="573"/>
      <c r="RSV17" s="573"/>
      <c r="RSW17" s="573"/>
      <c r="RSX17" s="573"/>
      <c r="RSY17" s="573"/>
      <c r="RSZ17" s="573"/>
      <c r="RTA17" s="573"/>
      <c r="RTB17" s="573"/>
      <c r="RTC17" s="573"/>
      <c r="RTD17" s="573"/>
      <c r="RTE17" s="573"/>
      <c r="RTF17" s="573"/>
      <c r="RTG17" s="573"/>
      <c r="RTH17" s="573"/>
      <c r="RTI17" s="573"/>
      <c r="RTJ17" s="573"/>
      <c r="RTK17" s="573"/>
      <c r="RTL17" s="573"/>
      <c r="RTM17" s="573"/>
      <c r="RTN17" s="573"/>
      <c r="RTO17" s="573"/>
      <c r="RTP17" s="573"/>
      <c r="RTQ17" s="573"/>
      <c r="RTR17" s="573"/>
      <c r="RTS17" s="573"/>
      <c r="RTT17" s="573"/>
      <c r="RTU17" s="573"/>
      <c r="RTV17" s="573"/>
      <c r="RTW17" s="573"/>
      <c r="RTX17" s="573"/>
      <c r="RTY17" s="573"/>
      <c r="RTZ17" s="573"/>
      <c r="RUA17" s="573"/>
      <c r="RUB17" s="573"/>
      <c r="RUC17" s="573"/>
      <c r="RUD17" s="573"/>
      <c r="RUE17" s="573"/>
      <c r="RUF17" s="573"/>
      <c r="RUG17" s="573"/>
      <c r="RUH17" s="573"/>
      <c r="RUI17" s="573"/>
      <c r="RUJ17" s="573"/>
      <c r="RUK17" s="573"/>
      <c r="RUL17" s="573"/>
      <c r="RUM17" s="573"/>
      <c r="RUN17" s="573"/>
      <c r="RUO17" s="573"/>
      <c r="RUP17" s="573"/>
      <c r="RUQ17" s="573"/>
      <c r="RUR17" s="573"/>
      <c r="RUS17" s="573"/>
      <c r="RUT17" s="573"/>
      <c r="RUU17" s="573"/>
      <c r="RUV17" s="573"/>
      <c r="RUW17" s="573"/>
      <c r="RUX17" s="573"/>
      <c r="RUY17" s="573"/>
      <c r="RUZ17" s="573"/>
      <c r="RVA17" s="573"/>
      <c r="RVB17" s="573"/>
      <c r="RVC17" s="573"/>
      <c r="RVD17" s="573"/>
      <c r="RVE17" s="573"/>
      <c r="RVF17" s="573"/>
      <c r="RVG17" s="573"/>
      <c r="RVH17" s="573"/>
      <c r="RVI17" s="573"/>
      <c r="RVJ17" s="573"/>
      <c r="RVK17" s="573"/>
      <c r="RVL17" s="573"/>
      <c r="RVM17" s="573"/>
      <c r="RVN17" s="573"/>
      <c r="RVO17" s="573"/>
      <c r="RVP17" s="573"/>
      <c r="RVQ17" s="573"/>
      <c r="RVR17" s="573"/>
      <c r="RVS17" s="573"/>
      <c r="RVT17" s="573"/>
      <c r="RVU17" s="573"/>
      <c r="RVV17" s="573"/>
      <c r="RVW17" s="573"/>
      <c r="RVX17" s="573"/>
      <c r="RVY17" s="573"/>
      <c r="RVZ17" s="573"/>
      <c r="RWA17" s="573"/>
      <c r="RWB17" s="573"/>
      <c r="RWC17" s="573"/>
      <c r="RWD17" s="573"/>
      <c r="RWE17" s="573"/>
      <c r="RWF17" s="573"/>
      <c r="RWG17" s="573"/>
      <c r="RWH17" s="573"/>
      <c r="RWI17" s="573"/>
      <c r="RWJ17" s="573"/>
      <c r="RWK17" s="573"/>
      <c r="RWL17" s="573"/>
      <c r="RWM17" s="573"/>
      <c r="RWN17" s="573"/>
      <c r="RWO17" s="573"/>
      <c r="RWP17" s="573"/>
      <c r="RWQ17" s="573"/>
      <c r="RWR17" s="573"/>
      <c r="RWS17" s="573"/>
      <c r="RWT17" s="573"/>
      <c r="RWU17" s="573"/>
      <c r="RWV17" s="573"/>
      <c r="RWW17" s="573"/>
      <c r="RWX17" s="573"/>
      <c r="RWY17" s="573"/>
      <c r="RWZ17" s="573"/>
      <c r="RXA17" s="573"/>
      <c r="RXB17" s="573"/>
      <c r="RXC17" s="573"/>
      <c r="RXD17" s="573"/>
      <c r="RXE17" s="573"/>
      <c r="RXF17" s="573"/>
      <c r="RXG17" s="573"/>
      <c r="RXH17" s="573"/>
      <c r="RXI17" s="573"/>
      <c r="RXJ17" s="573"/>
      <c r="RXK17" s="573"/>
      <c r="RXL17" s="573"/>
      <c r="RXM17" s="573"/>
      <c r="RXN17" s="573"/>
      <c r="RXO17" s="573"/>
      <c r="RXP17" s="573"/>
      <c r="RXQ17" s="573"/>
      <c r="RXR17" s="573"/>
      <c r="RXS17" s="573"/>
      <c r="RXT17" s="573"/>
      <c r="RXU17" s="573"/>
      <c r="RXV17" s="573"/>
      <c r="RXW17" s="573"/>
      <c r="RXX17" s="573"/>
      <c r="RXY17" s="573"/>
      <c r="RXZ17" s="573"/>
      <c r="RYA17" s="573"/>
      <c r="RYB17" s="573"/>
      <c r="RYC17" s="573"/>
      <c r="RYD17" s="573"/>
      <c r="RYE17" s="573"/>
      <c r="RYF17" s="573"/>
      <c r="RYG17" s="573"/>
      <c r="RYH17" s="573"/>
      <c r="RYI17" s="573"/>
      <c r="RYJ17" s="573"/>
      <c r="RYK17" s="573"/>
      <c r="RYL17" s="573"/>
      <c r="RYM17" s="573"/>
      <c r="RYN17" s="573"/>
      <c r="RYO17" s="573"/>
      <c r="RYP17" s="573"/>
      <c r="RYQ17" s="573"/>
      <c r="RYR17" s="573"/>
      <c r="RYS17" s="573"/>
      <c r="RYT17" s="573"/>
      <c r="RYU17" s="573"/>
      <c r="RYV17" s="573"/>
      <c r="RYW17" s="573"/>
      <c r="RYX17" s="573"/>
      <c r="RYY17" s="573"/>
      <c r="RYZ17" s="573"/>
      <c r="RZA17" s="573"/>
      <c r="RZB17" s="573"/>
      <c r="RZC17" s="573"/>
      <c r="RZD17" s="573"/>
      <c r="RZE17" s="573"/>
      <c r="RZF17" s="573"/>
      <c r="RZG17" s="573"/>
      <c r="RZH17" s="573"/>
      <c r="RZI17" s="573"/>
      <c r="RZJ17" s="573"/>
      <c r="RZK17" s="573"/>
      <c r="RZL17" s="573"/>
      <c r="RZM17" s="573"/>
      <c r="RZN17" s="573"/>
      <c r="RZO17" s="573"/>
      <c r="RZP17" s="573"/>
      <c r="RZQ17" s="573"/>
      <c r="RZR17" s="573"/>
      <c r="RZS17" s="573"/>
      <c r="RZT17" s="573"/>
      <c r="RZU17" s="573"/>
      <c r="RZV17" s="573"/>
      <c r="RZW17" s="573"/>
      <c r="RZX17" s="573"/>
      <c r="RZY17" s="573"/>
      <c r="RZZ17" s="573"/>
      <c r="SAA17" s="573"/>
      <c r="SAB17" s="573"/>
      <c r="SAC17" s="573"/>
      <c r="SAD17" s="573"/>
      <c r="SAE17" s="573"/>
      <c r="SAF17" s="573"/>
      <c r="SAG17" s="573"/>
      <c r="SAH17" s="573"/>
      <c r="SAI17" s="573"/>
      <c r="SAJ17" s="573"/>
      <c r="SAK17" s="573"/>
      <c r="SAL17" s="573"/>
      <c r="SAM17" s="573"/>
      <c r="SAN17" s="573"/>
      <c r="SAO17" s="573"/>
      <c r="SAP17" s="573"/>
      <c r="SAQ17" s="573"/>
      <c r="SAR17" s="573"/>
      <c r="SAS17" s="573"/>
      <c r="SAT17" s="573"/>
      <c r="SAU17" s="573"/>
      <c r="SAV17" s="573"/>
      <c r="SAW17" s="573"/>
      <c r="SAX17" s="573"/>
      <c r="SAY17" s="573"/>
      <c r="SAZ17" s="573"/>
      <c r="SBA17" s="573"/>
      <c r="SBB17" s="573"/>
      <c r="SBC17" s="573"/>
      <c r="SBD17" s="573"/>
      <c r="SBE17" s="573"/>
      <c r="SBF17" s="573"/>
      <c r="SBG17" s="573"/>
      <c r="SBH17" s="573"/>
      <c r="SBI17" s="573"/>
      <c r="SBJ17" s="573"/>
      <c r="SBK17" s="573"/>
      <c r="SBL17" s="573"/>
      <c r="SBM17" s="573"/>
      <c r="SBN17" s="573"/>
      <c r="SBO17" s="573"/>
      <c r="SBP17" s="573"/>
      <c r="SBQ17" s="573"/>
      <c r="SBR17" s="573"/>
      <c r="SBS17" s="573"/>
      <c r="SBT17" s="573"/>
      <c r="SBU17" s="573"/>
      <c r="SBV17" s="573"/>
      <c r="SBW17" s="573"/>
      <c r="SBX17" s="573"/>
      <c r="SBY17" s="573"/>
      <c r="SBZ17" s="573"/>
      <c r="SCA17" s="573"/>
      <c r="SCB17" s="573"/>
      <c r="SCC17" s="573"/>
      <c r="SCD17" s="573"/>
      <c r="SCE17" s="573"/>
      <c r="SCF17" s="573"/>
      <c r="SCG17" s="573"/>
      <c r="SCH17" s="573"/>
      <c r="SCI17" s="573"/>
      <c r="SCJ17" s="573"/>
      <c r="SCK17" s="573"/>
      <c r="SCL17" s="573"/>
      <c r="SCM17" s="573"/>
      <c r="SCN17" s="573"/>
      <c r="SCO17" s="573"/>
      <c r="SCP17" s="573"/>
      <c r="SCQ17" s="573"/>
      <c r="SCR17" s="573"/>
      <c r="SCS17" s="573"/>
      <c r="SCT17" s="573"/>
      <c r="SCU17" s="573"/>
      <c r="SCV17" s="573"/>
      <c r="SCW17" s="573"/>
      <c r="SCX17" s="573"/>
      <c r="SCY17" s="573"/>
      <c r="SCZ17" s="573"/>
      <c r="SDA17" s="573"/>
      <c r="SDB17" s="573"/>
      <c r="SDC17" s="573"/>
      <c r="SDD17" s="573"/>
      <c r="SDE17" s="573"/>
      <c r="SDF17" s="573"/>
      <c r="SDG17" s="573"/>
      <c r="SDH17" s="573"/>
      <c r="SDI17" s="573"/>
      <c r="SDJ17" s="573"/>
      <c r="SDK17" s="573"/>
      <c r="SDL17" s="573"/>
      <c r="SDM17" s="573"/>
      <c r="SDN17" s="573"/>
      <c r="SDO17" s="573"/>
      <c r="SDP17" s="573"/>
      <c r="SDQ17" s="573"/>
      <c r="SDR17" s="573"/>
      <c r="SDS17" s="573"/>
      <c r="SDT17" s="573"/>
      <c r="SDU17" s="573"/>
      <c r="SDV17" s="573"/>
      <c r="SDW17" s="573"/>
      <c r="SDX17" s="573"/>
      <c r="SDY17" s="573"/>
      <c r="SDZ17" s="573"/>
      <c r="SEA17" s="573"/>
      <c r="SEB17" s="573"/>
      <c r="SEC17" s="573"/>
      <c r="SED17" s="573"/>
      <c r="SEE17" s="573"/>
      <c r="SEF17" s="573"/>
      <c r="SEG17" s="573"/>
      <c r="SEH17" s="573"/>
      <c r="SEI17" s="573"/>
      <c r="SEJ17" s="573"/>
      <c r="SEK17" s="573"/>
      <c r="SEL17" s="573"/>
      <c r="SEM17" s="573"/>
      <c r="SEN17" s="573"/>
      <c r="SEO17" s="573"/>
      <c r="SEP17" s="573"/>
      <c r="SEQ17" s="573"/>
      <c r="SER17" s="573"/>
      <c r="SES17" s="573"/>
      <c r="SET17" s="573"/>
      <c r="SEU17" s="573"/>
      <c r="SEV17" s="573"/>
      <c r="SEW17" s="573"/>
      <c r="SEX17" s="573"/>
      <c r="SEY17" s="573"/>
      <c r="SEZ17" s="573"/>
      <c r="SFA17" s="573"/>
      <c r="SFB17" s="573"/>
      <c r="SFC17" s="573"/>
      <c r="SFD17" s="573"/>
      <c r="SFE17" s="573"/>
      <c r="SFF17" s="573"/>
      <c r="SFG17" s="573"/>
      <c r="SFH17" s="573"/>
      <c r="SFI17" s="573"/>
      <c r="SFJ17" s="573"/>
      <c r="SFK17" s="573"/>
      <c r="SFL17" s="573"/>
      <c r="SFM17" s="573"/>
      <c r="SFN17" s="573"/>
      <c r="SFO17" s="573"/>
      <c r="SFP17" s="573"/>
      <c r="SFQ17" s="573"/>
      <c r="SFR17" s="573"/>
      <c r="SFS17" s="573"/>
      <c r="SFT17" s="573"/>
      <c r="SFU17" s="573"/>
      <c r="SFV17" s="573"/>
      <c r="SFW17" s="573"/>
      <c r="SFX17" s="573"/>
      <c r="SFY17" s="573"/>
      <c r="SFZ17" s="573"/>
      <c r="SGA17" s="573"/>
      <c r="SGB17" s="573"/>
      <c r="SGC17" s="573"/>
      <c r="SGD17" s="573"/>
      <c r="SGE17" s="573"/>
      <c r="SGF17" s="573"/>
      <c r="SGG17" s="573"/>
      <c r="SGH17" s="573"/>
      <c r="SGI17" s="573"/>
      <c r="SGJ17" s="573"/>
      <c r="SGK17" s="573"/>
      <c r="SGL17" s="573"/>
      <c r="SGM17" s="573"/>
      <c r="SGN17" s="573"/>
      <c r="SGO17" s="573"/>
      <c r="SGP17" s="573"/>
      <c r="SGQ17" s="573"/>
      <c r="SGR17" s="573"/>
      <c r="SGS17" s="573"/>
      <c r="SGT17" s="573"/>
      <c r="SGU17" s="573"/>
      <c r="SGV17" s="573"/>
      <c r="SGW17" s="573"/>
      <c r="SGX17" s="573"/>
      <c r="SGY17" s="573"/>
      <c r="SGZ17" s="573"/>
      <c r="SHA17" s="573"/>
      <c r="SHB17" s="573"/>
      <c r="SHC17" s="573"/>
      <c r="SHD17" s="573"/>
      <c r="SHE17" s="573"/>
      <c r="SHF17" s="573"/>
      <c r="SHG17" s="573"/>
      <c r="SHH17" s="573"/>
      <c r="SHI17" s="573"/>
      <c r="SHJ17" s="573"/>
      <c r="SHK17" s="573"/>
      <c r="SHL17" s="573"/>
      <c r="SHM17" s="573"/>
      <c r="SHN17" s="573"/>
      <c r="SHO17" s="573"/>
      <c r="SHP17" s="573"/>
      <c r="SHQ17" s="573"/>
      <c r="SHR17" s="573"/>
      <c r="SHS17" s="573"/>
      <c r="SHT17" s="573"/>
      <c r="SHU17" s="573"/>
      <c r="SHV17" s="573"/>
      <c r="SHW17" s="573"/>
      <c r="SHX17" s="573"/>
      <c r="SHY17" s="573"/>
      <c r="SHZ17" s="573"/>
      <c r="SIA17" s="573"/>
      <c r="SIB17" s="573"/>
      <c r="SIC17" s="573"/>
      <c r="SID17" s="573"/>
      <c r="SIE17" s="573"/>
      <c r="SIF17" s="573"/>
      <c r="SIG17" s="573"/>
      <c r="SIH17" s="573"/>
      <c r="SII17" s="573"/>
      <c r="SIJ17" s="573"/>
      <c r="SIK17" s="573"/>
      <c r="SIL17" s="573"/>
      <c r="SIM17" s="573"/>
      <c r="SIN17" s="573"/>
      <c r="SIO17" s="573"/>
      <c r="SIP17" s="573"/>
      <c r="SIQ17" s="573"/>
      <c r="SIR17" s="573"/>
      <c r="SIS17" s="573"/>
      <c r="SIT17" s="573"/>
      <c r="SIU17" s="573"/>
      <c r="SIV17" s="573"/>
      <c r="SIW17" s="573"/>
      <c r="SIX17" s="573"/>
      <c r="SIY17" s="573"/>
      <c r="SIZ17" s="573"/>
      <c r="SJA17" s="573"/>
      <c r="SJB17" s="573"/>
      <c r="SJC17" s="573"/>
      <c r="SJD17" s="573"/>
      <c r="SJE17" s="573"/>
      <c r="SJF17" s="573"/>
      <c r="SJG17" s="573"/>
      <c r="SJH17" s="573"/>
      <c r="SJI17" s="573"/>
      <c r="SJJ17" s="573"/>
      <c r="SJK17" s="573"/>
      <c r="SJL17" s="573"/>
      <c r="SJM17" s="573"/>
      <c r="SJN17" s="573"/>
      <c r="SJO17" s="573"/>
      <c r="SJP17" s="573"/>
      <c r="SJQ17" s="573"/>
      <c r="SJR17" s="573"/>
      <c r="SJS17" s="573"/>
      <c r="SJT17" s="573"/>
      <c r="SJU17" s="573"/>
      <c r="SJV17" s="573"/>
      <c r="SJW17" s="573"/>
      <c r="SJX17" s="573"/>
      <c r="SJY17" s="573"/>
      <c r="SJZ17" s="573"/>
      <c r="SKA17" s="573"/>
      <c r="SKB17" s="573"/>
      <c r="SKC17" s="573"/>
      <c r="SKD17" s="573"/>
      <c r="SKE17" s="573"/>
      <c r="SKF17" s="573"/>
      <c r="SKG17" s="573"/>
      <c r="SKH17" s="573"/>
      <c r="SKI17" s="573"/>
      <c r="SKJ17" s="573"/>
      <c r="SKK17" s="573"/>
      <c r="SKL17" s="573"/>
      <c r="SKM17" s="573"/>
      <c r="SKN17" s="573"/>
      <c r="SKO17" s="573"/>
      <c r="SKP17" s="573"/>
      <c r="SKQ17" s="573"/>
      <c r="SKR17" s="573"/>
      <c r="SKS17" s="573"/>
      <c r="SKT17" s="573"/>
      <c r="SKU17" s="573"/>
      <c r="SKV17" s="573"/>
      <c r="SKW17" s="573"/>
      <c r="SKX17" s="573"/>
      <c r="SKY17" s="573"/>
      <c r="SKZ17" s="573"/>
      <c r="SLA17" s="573"/>
      <c r="SLB17" s="573"/>
      <c r="SLC17" s="573"/>
      <c r="SLD17" s="573"/>
      <c r="SLE17" s="573"/>
      <c r="SLF17" s="573"/>
      <c r="SLG17" s="573"/>
      <c r="SLH17" s="573"/>
      <c r="SLI17" s="573"/>
      <c r="SLJ17" s="573"/>
      <c r="SLK17" s="573"/>
      <c r="SLL17" s="573"/>
      <c r="SLM17" s="573"/>
      <c r="SLN17" s="573"/>
      <c r="SLO17" s="573"/>
      <c r="SLP17" s="573"/>
      <c r="SLQ17" s="573"/>
      <c r="SLR17" s="573"/>
      <c r="SLS17" s="573"/>
      <c r="SLT17" s="573"/>
      <c r="SLU17" s="573"/>
      <c r="SLV17" s="573"/>
      <c r="SLW17" s="573"/>
      <c r="SLX17" s="573"/>
      <c r="SLY17" s="573"/>
      <c r="SLZ17" s="573"/>
      <c r="SMA17" s="573"/>
      <c r="SMB17" s="573"/>
      <c r="SMC17" s="573"/>
      <c r="SMD17" s="573"/>
      <c r="SME17" s="573"/>
      <c r="SMF17" s="573"/>
      <c r="SMG17" s="573"/>
      <c r="SMH17" s="573"/>
      <c r="SMI17" s="573"/>
      <c r="SMJ17" s="573"/>
      <c r="SMK17" s="573"/>
      <c r="SML17" s="573"/>
      <c r="SMM17" s="573"/>
      <c r="SMN17" s="573"/>
      <c r="SMO17" s="573"/>
      <c r="SMP17" s="573"/>
      <c r="SMQ17" s="573"/>
      <c r="SMR17" s="573"/>
      <c r="SMS17" s="573"/>
      <c r="SMT17" s="573"/>
      <c r="SMU17" s="573"/>
      <c r="SMV17" s="573"/>
      <c r="SMW17" s="573"/>
      <c r="SMX17" s="573"/>
      <c r="SMY17" s="573"/>
      <c r="SMZ17" s="573"/>
      <c r="SNA17" s="573"/>
      <c r="SNB17" s="573"/>
      <c r="SNC17" s="573"/>
      <c r="SND17" s="573"/>
      <c r="SNE17" s="573"/>
      <c r="SNF17" s="573"/>
      <c r="SNG17" s="573"/>
      <c r="SNH17" s="573"/>
      <c r="SNI17" s="573"/>
      <c r="SNJ17" s="573"/>
      <c r="SNK17" s="573"/>
      <c r="SNL17" s="573"/>
      <c r="SNM17" s="573"/>
      <c r="SNN17" s="573"/>
      <c r="SNO17" s="573"/>
      <c r="SNP17" s="573"/>
      <c r="SNQ17" s="573"/>
      <c r="SNR17" s="573"/>
      <c r="SNS17" s="573"/>
      <c r="SNT17" s="573"/>
      <c r="SNU17" s="573"/>
      <c r="SNV17" s="573"/>
      <c r="SNW17" s="573"/>
      <c r="SNX17" s="573"/>
      <c r="SNY17" s="573"/>
      <c r="SNZ17" s="573"/>
      <c r="SOA17" s="573"/>
      <c r="SOB17" s="573"/>
      <c r="SOC17" s="573"/>
      <c r="SOD17" s="573"/>
      <c r="SOE17" s="573"/>
      <c r="SOF17" s="573"/>
      <c r="SOG17" s="573"/>
      <c r="SOH17" s="573"/>
      <c r="SOI17" s="573"/>
      <c r="SOJ17" s="573"/>
      <c r="SOK17" s="573"/>
      <c r="SOL17" s="573"/>
      <c r="SOM17" s="573"/>
      <c r="SON17" s="573"/>
      <c r="SOO17" s="573"/>
      <c r="SOP17" s="573"/>
      <c r="SOQ17" s="573"/>
      <c r="SOR17" s="573"/>
      <c r="SOS17" s="573"/>
      <c r="SOT17" s="573"/>
      <c r="SOU17" s="573"/>
      <c r="SOV17" s="573"/>
      <c r="SOW17" s="573"/>
      <c r="SOX17" s="573"/>
      <c r="SOY17" s="573"/>
      <c r="SOZ17" s="573"/>
      <c r="SPA17" s="573"/>
      <c r="SPB17" s="573"/>
      <c r="SPC17" s="573"/>
      <c r="SPD17" s="573"/>
      <c r="SPE17" s="573"/>
      <c r="SPF17" s="573"/>
      <c r="SPG17" s="573"/>
      <c r="SPH17" s="573"/>
      <c r="SPI17" s="573"/>
      <c r="SPJ17" s="573"/>
      <c r="SPK17" s="573"/>
      <c r="SPL17" s="573"/>
      <c r="SPM17" s="573"/>
      <c r="SPN17" s="573"/>
      <c r="SPO17" s="573"/>
      <c r="SPP17" s="573"/>
      <c r="SPQ17" s="573"/>
      <c r="SPR17" s="573"/>
      <c r="SPS17" s="573"/>
      <c r="SPT17" s="573"/>
      <c r="SPU17" s="573"/>
      <c r="SPV17" s="573"/>
      <c r="SPW17" s="573"/>
      <c r="SPX17" s="573"/>
      <c r="SPY17" s="573"/>
      <c r="SPZ17" s="573"/>
      <c r="SQA17" s="573"/>
      <c r="SQB17" s="573"/>
      <c r="SQC17" s="573"/>
      <c r="SQD17" s="573"/>
      <c r="SQE17" s="573"/>
      <c r="SQF17" s="573"/>
      <c r="SQG17" s="573"/>
      <c r="SQH17" s="573"/>
      <c r="SQI17" s="573"/>
      <c r="SQJ17" s="573"/>
      <c r="SQK17" s="573"/>
      <c r="SQL17" s="573"/>
      <c r="SQM17" s="573"/>
      <c r="SQN17" s="573"/>
      <c r="SQO17" s="573"/>
      <c r="SQP17" s="573"/>
      <c r="SQQ17" s="573"/>
      <c r="SQR17" s="573"/>
      <c r="SQS17" s="573"/>
      <c r="SQT17" s="573"/>
      <c r="SQU17" s="573"/>
      <c r="SQV17" s="573"/>
      <c r="SQW17" s="573"/>
      <c r="SQX17" s="573"/>
      <c r="SQY17" s="573"/>
      <c r="SQZ17" s="573"/>
      <c r="SRA17" s="573"/>
      <c r="SRB17" s="573"/>
      <c r="SRC17" s="573"/>
      <c r="SRD17" s="573"/>
      <c r="SRE17" s="573"/>
      <c r="SRF17" s="573"/>
      <c r="SRG17" s="573"/>
      <c r="SRH17" s="573"/>
      <c r="SRI17" s="573"/>
      <c r="SRJ17" s="573"/>
      <c r="SRK17" s="573"/>
      <c r="SRL17" s="573"/>
      <c r="SRM17" s="573"/>
      <c r="SRN17" s="573"/>
      <c r="SRO17" s="573"/>
      <c r="SRP17" s="573"/>
      <c r="SRQ17" s="573"/>
      <c r="SRR17" s="573"/>
      <c r="SRS17" s="573"/>
      <c r="SRT17" s="573"/>
      <c r="SRU17" s="573"/>
      <c r="SRV17" s="573"/>
      <c r="SRW17" s="573"/>
      <c r="SRX17" s="573"/>
      <c r="SRY17" s="573"/>
      <c r="SRZ17" s="573"/>
      <c r="SSA17" s="573"/>
      <c r="SSB17" s="573"/>
      <c r="SSC17" s="573"/>
      <c r="SSD17" s="573"/>
      <c r="SSE17" s="573"/>
      <c r="SSF17" s="573"/>
      <c r="SSG17" s="573"/>
      <c r="SSH17" s="573"/>
      <c r="SSI17" s="573"/>
      <c r="SSJ17" s="573"/>
      <c r="SSK17" s="573"/>
      <c r="SSL17" s="573"/>
      <c r="SSM17" s="573"/>
      <c r="SSN17" s="573"/>
      <c r="SSO17" s="573"/>
      <c r="SSP17" s="573"/>
      <c r="SSQ17" s="573"/>
      <c r="SSR17" s="573"/>
      <c r="SSS17" s="573"/>
      <c r="SST17" s="573"/>
      <c r="SSU17" s="573"/>
      <c r="SSV17" s="573"/>
      <c r="SSW17" s="573"/>
      <c r="SSX17" s="573"/>
      <c r="SSY17" s="573"/>
      <c r="SSZ17" s="573"/>
      <c r="STA17" s="573"/>
      <c r="STB17" s="573"/>
      <c r="STC17" s="573"/>
      <c r="STD17" s="573"/>
      <c r="STE17" s="573"/>
      <c r="STF17" s="573"/>
      <c r="STG17" s="573"/>
      <c r="STH17" s="573"/>
      <c r="STI17" s="573"/>
      <c r="STJ17" s="573"/>
      <c r="STK17" s="573"/>
      <c r="STL17" s="573"/>
      <c r="STM17" s="573"/>
      <c r="STN17" s="573"/>
      <c r="STO17" s="573"/>
      <c r="STP17" s="573"/>
      <c r="STQ17" s="573"/>
      <c r="STR17" s="573"/>
      <c r="STS17" s="573"/>
      <c r="STT17" s="573"/>
      <c r="STU17" s="573"/>
      <c r="STV17" s="573"/>
      <c r="STW17" s="573"/>
      <c r="STX17" s="573"/>
      <c r="STY17" s="573"/>
      <c r="STZ17" s="573"/>
      <c r="SUA17" s="573"/>
      <c r="SUB17" s="573"/>
      <c r="SUC17" s="573"/>
      <c r="SUD17" s="573"/>
      <c r="SUE17" s="573"/>
      <c r="SUF17" s="573"/>
      <c r="SUG17" s="573"/>
      <c r="SUH17" s="573"/>
      <c r="SUI17" s="573"/>
      <c r="SUJ17" s="573"/>
      <c r="SUK17" s="573"/>
      <c r="SUL17" s="573"/>
      <c r="SUM17" s="573"/>
      <c r="SUN17" s="573"/>
      <c r="SUO17" s="573"/>
      <c r="SUP17" s="573"/>
      <c r="SUQ17" s="573"/>
      <c r="SUR17" s="573"/>
      <c r="SUS17" s="573"/>
      <c r="SUT17" s="573"/>
      <c r="SUU17" s="573"/>
      <c r="SUV17" s="573"/>
      <c r="SUW17" s="573"/>
      <c r="SUX17" s="573"/>
      <c r="SUY17" s="573"/>
      <c r="SUZ17" s="573"/>
      <c r="SVA17" s="573"/>
      <c r="SVB17" s="573"/>
      <c r="SVC17" s="573"/>
      <c r="SVD17" s="573"/>
      <c r="SVE17" s="573"/>
      <c r="SVF17" s="573"/>
      <c r="SVG17" s="573"/>
      <c r="SVH17" s="573"/>
      <c r="SVI17" s="573"/>
      <c r="SVJ17" s="573"/>
      <c r="SVK17" s="573"/>
      <c r="SVL17" s="573"/>
      <c r="SVM17" s="573"/>
      <c r="SVN17" s="573"/>
      <c r="SVO17" s="573"/>
      <c r="SVP17" s="573"/>
      <c r="SVQ17" s="573"/>
      <c r="SVR17" s="573"/>
      <c r="SVS17" s="573"/>
      <c r="SVT17" s="573"/>
      <c r="SVU17" s="573"/>
      <c r="SVV17" s="573"/>
      <c r="SVW17" s="573"/>
      <c r="SVX17" s="573"/>
      <c r="SVY17" s="573"/>
      <c r="SVZ17" s="573"/>
      <c r="SWA17" s="573"/>
      <c r="SWB17" s="573"/>
      <c r="SWC17" s="573"/>
      <c r="SWD17" s="573"/>
      <c r="SWE17" s="573"/>
      <c r="SWF17" s="573"/>
      <c r="SWG17" s="573"/>
      <c r="SWH17" s="573"/>
      <c r="SWI17" s="573"/>
      <c r="SWJ17" s="573"/>
      <c r="SWK17" s="573"/>
      <c r="SWL17" s="573"/>
      <c r="SWM17" s="573"/>
      <c r="SWN17" s="573"/>
      <c r="SWO17" s="573"/>
      <c r="SWP17" s="573"/>
      <c r="SWQ17" s="573"/>
      <c r="SWR17" s="573"/>
      <c r="SWS17" s="573"/>
      <c r="SWT17" s="573"/>
      <c r="SWU17" s="573"/>
      <c r="SWV17" s="573"/>
      <c r="SWW17" s="573"/>
      <c r="SWX17" s="573"/>
      <c r="SWY17" s="573"/>
      <c r="SWZ17" s="573"/>
      <c r="SXA17" s="573"/>
      <c r="SXB17" s="573"/>
      <c r="SXC17" s="573"/>
      <c r="SXD17" s="573"/>
      <c r="SXE17" s="573"/>
      <c r="SXF17" s="573"/>
      <c r="SXG17" s="573"/>
      <c r="SXH17" s="573"/>
      <c r="SXI17" s="573"/>
      <c r="SXJ17" s="573"/>
      <c r="SXK17" s="573"/>
      <c r="SXL17" s="573"/>
      <c r="SXM17" s="573"/>
      <c r="SXN17" s="573"/>
      <c r="SXO17" s="573"/>
      <c r="SXP17" s="573"/>
      <c r="SXQ17" s="573"/>
      <c r="SXR17" s="573"/>
      <c r="SXS17" s="573"/>
      <c r="SXT17" s="573"/>
      <c r="SXU17" s="573"/>
      <c r="SXV17" s="573"/>
      <c r="SXW17" s="573"/>
      <c r="SXX17" s="573"/>
      <c r="SXY17" s="573"/>
      <c r="SXZ17" s="573"/>
      <c r="SYA17" s="573"/>
      <c r="SYB17" s="573"/>
      <c r="SYC17" s="573"/>
      <c r="SYD17" s="573"/>
      <c r="SYE17" s="573"/>
      <c r="SYF17" s="573"/>
      <c r="SYG17" s="573"/>
      <c r="SYH17" s="573"/>
      <c r="SYI17" s="573"/>
      <c r="SYJ17" s="573"/>
      <c r="SYK17" s="573"/>
      <c r="SYL17" s="573"/>
      <c r="SYM17" s="573"/>
      <c r="SYN17" s="573"/>
      <c r="SYO17" s="573"/>
      <c r="SYP17" s="573"/>
      <c r="SYQ17" s="573"/>
      <c r="SYR17" s="573"/>
      <c r="SYS17" s="573"/>
      <c r="SYT17" s="573"/>
      <c r="SYU17" s="573"/>
      <c r="SYV17" s="573"/>
      <c r="SYW17" s="573"/>
      <c r="SYX17" s="573"/>
      <c r="SYY17" s="573"/>
      <c r="SYZ17" s="573"/>
      <c r="SZA17" s="573"/>
      <c r="SZB17" s="573"/>
      <c r="SZC17" s="573"/>
      <c r="SZD17" s="573"/>
      <c r="SZE17" s="573"/>
      <c r="SZF17" s="573"/>
      <c r="SZG17" s="573"/>
      <c r="SZH17" s="573"/>
      <c r="SZI17" s="573"/>
      <c r="SZJ17" s="573"/>
      <c r="SZK17" s="573"/>
      <c r="SZL17" s="573"/>
      <c r="SZM17" s="573"/>
      <c r="SZN17" s="573"/>
      <c r="SZO17" s="573"/>
      <c r="SZP17" s="573"/>
      <c r="SZQ17" s="573"/>
      <c r="SZR17" s="573"/>
      <c r="SZS17" s="573"/>
      <c r="SZT17" s="573"/>
      <c r="SZU17" s="573"/>
      <c r="SZV17" s="573"/>
      <c r="SZW17" s="573"/>
      <c r="SZX17" s="573"/>
      <c r="SZY17" s="573"/>
      <c r="SZZ17" s="573"/>
      <c r="TAA17" s="573"/>
      <c r="TAB17" s="573"/>
      <c r="TAC17" s="573"/>
      <c r="TAD17" s="573"/>
      <c r="TAE17" s="573"/>
      <c r="TAF17" s="573"/>
      <c r="TAG17" s="573"/>
      <c r="TAH17" s="573"/>
      <c r="TAI17" s="573"/>
      <c r="TAJ17" s="573"/>
      <c r="TAK17" s="573"/>
      <c r="TAL17" s="573"/>
      <c r="TAM17" s="573"/>
      <c r="TAN17" s="573"/>
      <c r="TAO17" s="573"/>
      <c r="TAP17" s="573"/>
      <c r="TAQ17" s="573"/>
      <c r="TAR17" s="573"/>
      <c r="TAS17" s="573"/>
      <c r="TAT17" s="573"/>
      <c r="TAU17" s="573"/>
      <c r="TAV17" s="573"/>
      <c r="TAW17" s="573"/>
      <c r="TAX17" s="573"/>
      <c r="TAY17" s="573"/>
      <c r="TAZ17" s="573"/>
      <c r="TBA17" s="573"/>
      <c r="TBB17" s="573"/>
      <c r="TBC17" s="573"/>
      <c r="TBD17" s="573"/>
      <c r="TBE17" s="573"/>
      <c r="TBF17" s="573"/>
      <c r="TBG17" s="573"/>
      <c r="TBH17" s="573"/>
      <c r="TBI17" s="573"/>
      <c r="TBJ17" s="573"/>
      <c r="TBK17" s="573"/>
      <c r="TBL17" s="573"/>
      <c r="TBM17" s="573"/>
      <c r="TBN17" s="573"/>
      <c r="TBO17" s="573"/>
      <c r="TBP17" s="573"/>
      <c r="TBQ17" s="573"/>
      <c r="TBR17" s="573"/>
      <c r="TBS17" s="573"/>
      <c r="TBT17" s="573"/>
      <c r="TBU17" s="573"/>
      <c r="TBV17" s="573"/>
      <c r="TBW17" s="573"/>
      <c r="TBX17" s="573"/>
      <c r="TBY17" s="573"/>
      <c r="TBZ17" s="573"/>
      <c r="TCA17" s="573"/>
      <c r="TCB17" s="573"/>
      <c r="TCC17" s="573"/>
      <c r="TCD17" s="573"/>
      <c r="TCE17" s="573"/>
      <c r="TCF17" s="573"/>
      <c r="TCG17" s="573"/>
      <c r="TCH17" s="573"/>
      <c r="TCI17" s="573"/>
      <c r="TCJ17" s="573"/>
      <c r="TCK17" s="573"/>
      <c r="TCL17" s="573"/>
      <c r="TCM17" s="573"/>
      <c r="TCN17" s="573"/>
      <c r="TCO17" s="573"/>
      <c r="TCP17" s="573"/>
      <c r="TCQ17" s="573"/>
      <c r="TCR17" s="573"/>
      <c r="TCS17" s="573"/>
      <c r="TCT17" s="573"/>
      <c r="TCU17" s="573"/>
      <c r="TCV17" s="573"/>
      <c r="TCW17" s="573"/>
      <c r="TCX17" s="573"/>
      <c r="TCY17" s="573"/>
      <c r="TCZ17" s="573"/>
      <c r="TDA17" s="573"/>
      <c r="TDB17" s="573"/>
      <c r="TDC17" s="573"/>
      <c r="TDD17" s="573"/>
      <c r="TDE17" s="573"/>
      <c r="TDF17" s="573"/>
      <c r="TDG17" s="573"/>
      <c r="TDH17" s="573"/>
      <c r="TDI17" s="573"/>
      <c r="TDJ17" s="573"/>
      <c r="TDK17" s="573"/>
      <c r="TDL17" s="573"/>
      <c r="TDM17" s="573"/>
      <c r="TDN17" s="573"/>
      <c r="TDO17" s="573"/>
      <c r="TDP17" s="573"/>
      <c r="TDQ17" s="573"/>
      <c r="TDR17" s="573"/>
      <c r="TDS17" s="573"/>
      <c r="TDT17" s="573"/>
      <c r="TDU17" s="573"/>
      <c r="TDV17" s="573"/>
      <c r="TDW17" s="573"/>
      <c r="TDX17" s="573"/>
      <c r="TDY17" s="573"/>
      <c r="TDZ17" s="573"/>
      <c r="TEA17" s="573"/>
      <c r="TEB17" s="573"/>
      <c r="TEC17" s="573"/>
      <c r="TED17" s="573"/>
      <c r="TEE17" s="573"/>
      <c r="TEF17" s="573"/>
      <c r="TEG17" s="573"/>
      <c r="TEH17" s="573"/>
      <c r="TEI17" s="573"/>
      <c r="TEJ17" s="573"/>
      <c r="TEK17" s="573"/>
      <c r="TEL17" s="573"/>
      <c r="TEM17" s="573"/>
      <c r="TEN17" s="573"/>
      <c r="TEO17" s="573"/>
      <c r="TEP17" s="573"/>
      <c r="TEQ17" s="573"/>
      <c r="TER17" s="573"/>
      <c r="TES17" s="573"/>
      <c r="TET17" s="573"/>
      <c r="TEU17" s="573"/>
      <c r="TEV17" s="573"/>
      <c r="TEW17" s="573"/>
      <c r="TEX17" s="573"/>
      <c r="TEY17" s="573"/>
      <c r="TEZ17" s="573"/>
      <c r="TFA17" s="573"/>
      <c r="TFB17" s="573"/>
      <c r="TFC17" s="573"/>
      <c r="TFD17" s="573"/>
      <c r="TFE17" s="573"/>
      <c r="TFF17" s="573"/>
      <c r="TFG17" s="573"/>
      <c r="TFH17" s="573"/>
      <c r="TFI17" s="573"/>
      <c r="TFJ17" s="573"/>
      <c r="TFK17" s="573"/>
      <c r="TFL17" s="573"/>
      <c r="TFM17" s="573"/>
      <c r="TFN17" s="573"/>
      <c r="TFO17" s="573"/>
      <c r="TFP17" s="573"/>
      <c r="TFQ17" s="573"/>
      <c r="TFR17" s="573"/>
      <c r="TFS17" s="573"/>
      <c r="TFT17" s="573"/>
      <c r="TFU17" s="573"/>
      <c r="TFV17" s="573"/>
      <c r="TFW17" s="573"/>
      <c r="TFX17" s="573"/>
      <c r="TFY17" s="573"/>
      <c r="TFZ17" s="573"/>
      <c r="TGA17" s="573"/>
      <c r="TGB17" s="573"/>
      <c r="TGC17" s="573"/>
      <c r="TGD17" s="573"/>
      <c r="TGE17" s="573"/>
      <c r="TGF17" s="573"/>
      <c r="TGG17" s="573"/>
      <c r="TGH17" s="573"/>
      <c r="TGI17" s="573"/>
      <c r="TGJ17" s="573"/>
      <c r="TGK17" s="573"/>
      <c r="TGL17" s="573"/>
      <c r="TGM17" s="573"/>
      <c r="TGN17" s="573"/>
      <c r="TGO17" s="573"/>
      <c r="TGP17" s="573"/>
      <c r="TGQ17" s="573"/>
      <c r="TGR17" s="573"/>
      <c r="TGS17" s="573"/>
      <c r="TGT17" s="573"/>
      <c r="TGU17" s="573"/>
      <c r="TGV17" s="573"/>
      <c r="TGW17" s="573"/>
      <c r="TGX17" s="573"/>
      <c r="TGY17" s="573"/>
      <c r="TGZ17" s="573"/>
      <c r="THA17" s="573"/>
      <c r="THB17" s="573"/>
      <c r="THC17" s="573"/>
      <c r="THD17" s="573"/>
      <c r="THE17" s="573"/>
      <c r="THF17" s="573"/>
      <c r="THG17" s="573"/>
      <c r="THH17" s="573"/>
      <c r="THI17" s="573"/>
      <c r="THJ17" s="573"/>
      <c r="THK17" s="573"/>
      <c r="THL17" s="573"/>
      <c r="THM17" s="573"/>
      <c r="THN17" s="573"/>
      <c r="THO17" s="573"/>
      <c r="THP17" s="573"/>
      <c r="THQ17" s="573"/>
      <c r="THR17" s="573"/>
      <c r="THS17" s="573"/>
      <c r="THT17" s="573"/>
      <c r="THU17" s="573"/>
      <c r="THV17" s="573"/>
      <c r="THW17" s="573"/>
      <c r="THX17" s="573"/>
      <c r="THY17" s="573"/>
      <c r="THZ17" s="573"/>
      <c r="TIA17" s="573"/>
      <c r="TIB17" s="573"/>
      <c r="TIC17" s="573"/>
      <c r="TID17" s="573"/>
      <c r="TIE17" s="573"/>
      <c r="TIF17" s="573"/>
      <c r="TIG17" s="573"/>
      <c r="TIH17" s="573"/>
      <c r="TII17" s="573"/>
      <c r="TIJ17" s="573"/>
      <c r="TIK17" s="573"/>
      <c r="TIL17" s="573"/>
      <c r="TIM17" s="573"/>
      <c r="TIN17" s="573"/>
      <c r="TIO17" s="573"/>
      <c r="TIP17" s="573"/>
      <c r="TIQ17" s="573"/>
      <c r="TIR17" s="573"/>
      <c r="TIS17" s="573"/>
      <c r="TIT17" s="573"/>
      <c r="TIU17" s="573"/>
      <c r="TIV17" s="573"/>
      <c r="TIW17" s="573"/>
      <c r="TIX17" s="573"/>
      <c r="TIY17" s="573"/>
      <c r="TIZ17" s="573"/>
      <c r="TJA17" s="573"/>
      <c r="TJB17" s="573"/>
      <c r="TJC17" s="573"/>
      <c r="TJD17" s="573"/>
      <c r="TJE17" s="573"/>
      <c r="TJF17" s="573"/>
      <c r="TJG17" s="573"/>
      <c r="TJH17" s="573"/>
      <c r="TJI17" s="573"/>
      <c r="TJJ17" s="573"/>
      <c r="TJK17" s="573"/>
      <c r="TJL17" s="573"/>
      <c r="TJM17" s="573"/>
      <c r="TJN17" s="573"/>
      <c r="TJO17" s="573"/>
      <c r="TJP17" s="573"/>
      <c r="TJQ17" s="573"/>
      <c r="TJR17" s="573"/>
      <c r="TJS17" s="573"/>
      <c r="TJT17" s="573"/>
      <c r="TJU17" s="573"/>
      <c r="TJV17" s="573"/>
      <c r="TJW17" s="573"/>
      <c r="TJX17" s="573"/>
      <c r="TJY17" s="573"/>
      <c r="TJZ17" s="573"/>
      <c r="TKA17" s="573"/>
      <c r="TKB17" s="573"/>
      <c r="TKC17" s="573"/>
      <c r="TKD17" s="573"/>
      <c r="TKE17" s="573"/>
      <c r="TKF17" s="573"/>
      <c r="TKG17" s="573"/>
      <c r="TKH17" s="573"/>
      <c r="TKI17" s="573"/>
      <c r="TKJ17" s="573"/>
      <c r="TKK17" s="573"/>
      <c r="TKL17" s="573"/>
      <c r="TKM17" s="573"/>
      <c r="TKN17" s="573"/>
      <c r="TKO17" s="573"/>
      <c r="TKP17" s="573"/>
      <c r="TKQ17" s="573"/>
      <c r="TKR17" s="573"/>
      <c r="TKS17" s="573"/>
      <c r="TKT17" s="573"/>
      <c r="TKU17" s="573"/>
      <c r="TKV17" s="573"/>
      <c r="TKW17" s="573"/>
      <c r="TKX17" s="573"/>
      <c r="TKY17" s="573"/>
      <c r="TKZ17" s="573"/>
      <c r="TLA17" s="573"/>
      <c r="TLB17" s="573"/>
      <c r="TLC17" s="573"/>
      <c r="TLD17" s="573"/>
      <c r="TLE17" s="573"/>
      <c r="TLF17" s="573"/>
      <c r="TLG17" s="573"/>
      <c r="TLH17" s="573"/>
      <c r="TLI17" s="573"/>
      <c r="TLJ17" s="573"/>
      <c r="TLK17" s="573"/>
      <c r="TLL17" s="573"/>
      <c r="TLM17" s="573"/>
      <c r="TLN17" s="573"/>
      <c r="TLO17" s="573"/>
      <c r="TLP17" s="573"/>
      <c r="TLQ17" s="573"/>
      <c r="TLR17" s="573"/>
      <c r="TLS17" s="573"/>
      <c r="TLT17" s="573"/>
      <c r="TLU17" s="573"/>
      <c r="TLV17" s="573"/>
      <c r="TLW17" s="573"/>
      <c r="TLX17" s="573"/>
      <c r="TLY17" s="573"/>
      <c r="TLZ17" s="573"/>
      <c r="TMA17" s="573"/>
      <c r="TMB17" s="573"/>
      <c r="TMC17" s="573"/>
      <c r="TMD17" s="573"/>
      <c r="TME17" s="573"/>
      <c r="TMF17" s="573"/>
      <c r="TMG17" s="573"/>
      <c r="TMH17" s="573"/>
      <c r="TMI17" s="573"/>
      <c r="TMJ17" s="573"/>
      <c r="TMK17" s="573"/>
      <c r="TML17" s="573"/>
      <c r="TMM17" s="573"/>
      <c r="TMN17" s="573"/>
      <c r="TMO17" s="573"/>
      <c r="TMP17" s="573"/>
      <c r="TMQ17" s="573"/>
      <c r="TMR17" s="573"/>
      <c r="TMS17" s="573"/>
      <c r="TMT17" s="573"/>
      <c r="TMU17" s="573"/>
      <c r="TMV17" s="573"/>
      <c r="TMW17" s="573"/>
      <c r="TMX17" s="573"/>
      <c r="TMY17" s="573"/>
      <c r="TMZ17" s="573"/>
      <c r="TNA17" s="573"/>
      <c r="TNB17" s="573"/>
      <c r="TNC17" s="573"/>
      <c r="TND17" s="573"/>
      <c r="TNE17" s="573"/>
      <c r="TNF17" s="573"/>
      <c r="TNG17" s="573"/>
      <c r="TNH17" s="573"/>
      <c r="TNI17" s="573"/>
      <c r="TNJ17" s="573"/>
      <c r="TNK17" s="573"/>
      <c r="TNL17" s="573"/>
      <c r="TNM17" s="573"/>
      <c r="TNN17" s="573"/>
      <c r="TNO17" s="573"/>
      <c r="TNP17" s="573"/>
      <c r="TNQ17" s="573"/>
      <c r="TNR17" s="573"/>
      <c r="TNS17" s="573"/>
      <c r="TNT17" s="573"/>
      <c r="TNU17" s="573"/>
      <c r="TNV17" s="573"/>
      <c r="TNW17" s="573"/>
      <c r="TNX17" s="573"/>
      <c r="TNY17" s="573"/>
      <c r="TNZ17" s="573"/>
      <c r="TOA17" s="573"/>
      <c r="TOB17" s="573"/>
      <c r="TOC17" s="573"/>
      <c r="TOD17" s="573"/>
      <c r="TOE17" s="573"/>
      <c r="TOF17" s="573"/>
      <c r="TOG17" s="573"/>
      <c r="TOH17" s="573"/>
      <c r="TOI17" s="573"/>
      <c r="TOJ17" s="573"/>
      <c r="TOK17" s="573"/>
      <c r="TOL17" s="573"/>
      <c r="TOM17" s="573"/>
      <c r="TON17" s="573"/>
      <c r="TOO17" s="573"/>
      <c r="TOP17" s="573"/>
      <c r="TOQ17" s="573"/>
      <c r="TOR17" s="573"/>
      <c r="TOS17" s="573"/>
      <c r="TOT17" s="573"/>
      <c r="TOU17" s="573"/>
      <c r="TOV17" s="573"/>
      <c r="TOW17" s="573"/>
      <c r="TOX17" s="573"/>
      <c r="TOY17" s="573"/>
      <c r="TOZ17" s="573"/>
      <c r="TPA17" s="573"/>
      <c r="TPB17" s="573"/>
      <c r="TPC17" s="573"/>
      <c r="TPD17" s="573"/>
      <c r="TPE17" s="573"/>
      <c r="TPF17" s="573"/>
      <c r="TPG17" s="573"/>
      <c r="TPH17" s="573"/>
      <c r="TPI17" s="573"/>
      <c r="TPJ17" s="573"/>
      <c r="TPK17" s="573"/>
      <c r="TPL17" s="573"/>
      <c r="TPM17" s="573"/>
      <c r="TPN17" s="573"/>
      <c r="TPO17" s="573"/>
      <c r="TPP17" s="573"/>
      <c r="TPQ17" s="573"/>
      <c r="TPR17" s="573"/>
      <c r="TPS17" s="573"/>
      <c r="TPT17" s="573"/>
      <c r="TPU17" s="573"/>
      <c r="TPV17" s="573"/>
      <c r="TPW17" s="573"/>
      <c r="TPX17" s="573"/>
      <c r="TPY17" s="573"/>
      <c r="TPZ17" s="573"/>
      <c r="TQA17" s="573"/>
      <c r="TQB17" s="573"/>
      <c r="TQC17" s="573"/>
      <c r="TQD17" s="573"/>
      <c r="TQE17" s="573"/>
      <c r="TQF17" s="573"/>
      <c r="TQG17" s="573"/>
      <c r="TQH17" s="573"/>
      <c r="TQI17" s="573"/>
      <c r="TQJ17" s="573"/>
      <c r="TQK17" s="573"/>
      <c r="TQL17" s="573"/>
      <c r="TQM17" s="573"/>
      <c r="TQN17" s="573"/>
      <c r="TQO17" s="573"/>
      <c r="TQP17" s="573"/>
      <c r="TQQ17" s="573"/>
      <c r="TQR17" s="573"/>
      <c r="TQS17" s="573"/>
      <c r="TQT17" s="573"/>
      <c r="TQU17" s="573"/>
      <c r="TQV17" s="573"/>
      <c r="TQW17" s="573"/>
      <c r="TQX17" s="573"/>
      <c r="TQY17" s="573"/>
      <c r="TQZ17" s="573"/>
      <c r="TRA17" s="573"/>
      <c r="TRB17" s="573"/>
      <c r="TRC17" s="573"/>
      <c r="TRD17" s="573"/>
      <c r="TRE17" s="573"/>
      <c r="TRF17" s="573"/>
      <c r="TRG17" s="573"/>
      <c r="TRH17" s="573"/>
      <c r="TRI17" s="573"/>
      <c r="TRJ17" s="573"/>
      <c r="TRK17" s="573"/>
      <c r="TRL17" s="573"/>
      <c r="TRM17" s="573"/>
      <c r="TRN17" s="573"/>
      <c r="TRO17" s="573"/>
      <c r="TRP17" s="573"/>
      <c r="TRQ17" s="573"/>
      <c r="TRR17" s="573"/>
      <c r="TRS17" s="573"/>
      <c r="TRT17" s="573"/>
      <c r="TRU17" s="573"/>
      <c r="TRV17" s="573"/>
      <c r="TRW17" s="573"/>
      <c r="TRX17" s="573"/>
      <c r="TRY17" s="573"/>
      <c r="TRZ17" s="573"/>
      <c r="TSA17" s="573"/>
      <c r="TSB17" s="573"/>
      <c r="TSC17" s="573"/>
      <c r="TSD17" s="573"/>
      <c r="TSE17" s="573"/>
      <c r="TSF17" s="573"/>
      <c r="TSG17" s="573"/>
      <c r="TSH17" s="573"/>
      <c r="TSI17" s="573"/>
      <c r="TSJ17" s="573"/>
      <c r="TSK17" s="573"/>
      <c r="TSL17" s="573"/>
      <c r="TSM17" s="573"/>
      <c r="TSN17" s="573"/>
      <c r="TSO17" s="573"/>
      <c r="TSP17" s="573"/>
      <c r="TSQ17" s="573"/>
      <c r="TSR17" s="573"/>
      <c r="TSS17" s="573"/>
      <c r="TST17" s="573"/>
      <c r="TSU17" s="573"/>
      <c r="TSV17" s="573"/>
      <c r="TSW17" s="573"/>
      <c r="TSX17" s="573"/>
      <c r="TSY17" s="573"/>
      <c r="TSZ17" s="573"/>
      <c r="TTA17" s="573"/>
      <c r="TTB17" s="573"/>
      <c r="TTC17" s="573"/>
      <c r="TTD17" s="573"/>
      <c r="TTE17" s="573"/>
      <c r="TTF17" s="573"/>
      <c r="TTG17" s="573"/>
      <c r="TTH17" s="573"/>
      <c r="TTI17" s="573"/>
      <c r="TTJ17" s="573"/>
      <c r="TTK17" s="573"/>
      <c r="TTL17" s="573"/>
      <c r="TTM17" s="573"/>
      <c r="TTN17" s="573"/>
      <c r="TTO17" s="573"/>
      <c r="TTP17" s="573"/>
      <c r="TTQ17" s="573"/>
      <c r="TTR17" s="573"/>
      <c r="TTS17" s="573"/>
      <c r="TTT17" s="573"/>
      <c r="TTU17" s="573"/>
      <c r="TTV17" s="573"/>
      <c r="TTW17" s="573"/>
      <c r="TTX17" s="573"/>
      <c r="TTY17" s="573"/>
      <c r="TTZ17" s="573"/>
      <c r="TUA17" s="573"/>
      <c r="TUB17" s="573"/>
      <c r="TUC17" s="573"/>
      <c r="TUD17" s="573"/>
      <c r="TUE17" s="573"/>
      <c r="TUF17" s="573"/>
      <c r="TUG17" s="573"/>
      <c r="TUH17" s="573"/>
      <c r="TUI17" s="573"/>
      <c r="TUJ17" s="573"/>
      <c r="TUK17" s="573"/>
      <c r="TUL17" s="573"/>
      <c r="TUM17" s="573"/>
      <c r="TUN17" s="573"/>
      <c r="TUO17" s="573"/>
      <c r="TUP17" s="573"/>
      <c r="TUQ17" s="573"/>
      <c r="TUR17" s="573"/>
      <c r="TUS17" s="573"/>
      <c r="TUT17" s="573"/>
      <c r="TUU17" s="573"/>
      <c r="TUV17" s="573"/>
      <c r="TUW17" s="573"/>
      <c r="TUX17" s="573"/>
      <c r="TUY17" s="573"/>
      <c r="TUZ17" s="573"/>
      <c r="TVA17" s="573"/>
      <c r="TVB17" s="573"/>
      <c r="TVC17" s="573"/>
      <c r="TVD17" s="573"/>
      <c r="TVE17" s="573"/>
      <c r="TVF17" s="573"/>
      <c r="TVG17" s="573"/>
      <c r="TVH17" s="573"/>
      <c r="TVI17" s="573"/>
      <c r="TVJ17" s="573"/>
      <c r="TVK17" s="573"/>
      <c r="TVL17" s="573"/>
      <c r="TVM17" s="573"/>
      <c r="TVN17" s="573"/>
      <c r="TVO17" s="573"/>
      <c r="TVP17" s="573"/>
      <c r="TVQ17" s="573"/>
      <c r="TVR17" s="573"/>
      <c r="TVS17" s="573"/>
      <c r="TVT17" s="573"/>
      <c r="TVU17" s="573"/>
      <c r="TVV17" s="573"/>
      <c r="TVW17" s="573"/>
      <c r="TVX17" s="573"/>
      <c r="TVY17" s="573"/>
      <c r="TVZ17" s="573"/>
      <c r="TWA17" s="573"/>
      <c r="TWB17" s="573"/>
      <c r="TWC17" s="573"/>
      <c r="TWD17" s="573"/>
      <c r="TWE17" s="573"/>
      <c r="TWF17" s="573"/>
      <c r="TWG17" s="573"/>
      <c r="TWH17" s="573"/>
      <c r="TWI17" s="573"/>
      <c r="TWJ17" s="573"/>
      <c r="TWK17" s="573"/>
      <c r="TWL17" s="573"/>
      <c r="TWM17" s="573"/>
      <c r="TWN17" s="573"/>
      <c r="TWO17" s="573"/>
      <c r="TWP17" s="573"/>
      <c r="TWQ17" s="573"/>
      <c r="TWR17" s="573"/>
      <c r="TWS17" s="573"/>
      <c r="TWT17" s="573"/>
      <c r="TWU17" s="573"/>
      <c r="TWV17" s="573"/>
      <c r="TWW17" s="573"/>
      <c r="TWX17" s="573"/>
      <c r="TWY17" s="573"/>
      <c r="TWZ17" s="573"/>
      <c r="TXA17" s="573"/>
      <c r="TXB17" s="573"/>
      <c r="TXC17" s="573"/>
      <c r="TXD17" s="573"/>
      <c r="TXE17" s="573"/>
      <c r="TXF17" s="573"/>
      <c r="TXG17" s="573"/>
      <c r="TXH17" s="573"/>
      <c r="TXI17" s="573"/>
      <c r="TXJ17" s="573"/>
      <c r="TXK17" s="573"/>
      <c r="TXL17" s="573"/>
      <c r="TXM17" s="573"/>
      <c r="TXN17" s="573"/>
      <c r="TXO17" s="573"/>
      <c r="TXP17" s="573"/>
      <c r="TXQ17" s="573"/>
      <c r="TXR17" s="573"/>
      <c r="TXS17" s="573"/>
      <c r="TXT17" s="573"/>
      <c r="TXU17" s="573"/>
      <c r="TXV17" s="573"/>
      <c r="TXW17" s="573"/>
      <c r="TXX17" s="573"/>
      <c r="TXY17" s="573"/>
      <c r="TXZ17" s="573"/>
      <c r="TYA17" s="573"/>
      <c r="TYB17" s="573"/>
      <c r="TYC17" s="573"/>
      <c r="TYD17" s="573"/>
      <c r="TYE17" s="573"/>
      <c r="TYF17" s="573"/>
      <c r="TYG17" s="573"/>
      <c r="TYH17" s="573"/>
      <c r="TYI17" s="573"/>
      <c r="TYJ17" s="573"/>
      <c r="TYK17" s="573"/>
      <c r="TYL17" s="573"/>
      <c r="TYM17" s="573"/>
      <c r="TYN17" s="573"/>
      <c r="TYO17" s="573"/>
      <c r="TYP17" s="573"/>
      <c r="TYQ17" s="573"/>
      <c r="TYR17" s="573"/>
      <c r="TYS17" s="573"/>
      <c r="TYT17" s="573"/>
      <c r="TYU17" s="573"/>
      <c r="TYV17" s="573"/>
      <c r="TYW17" s="573"/>
      <c r="TYX17" s="573"/>
      <c r="TYY17" s="573"/>
      <c r="TYZ17" s="573"/>
      <c r="TZA17" s="573"/>
      <c r="TZB17" s="573"/>
      <c r="TZC17" s="573"/>
      <c r="TZD17" s="573"/>
      <c r="TZE17" s="573"/>
      <c r="TZF17" s="573"/>
      <c r="TZG17" s="573"/>
      <c r="TZH17" s="573"/>
      <c r="TZI17" s="573"/>
      <c r="TZJ17" s="573"/>
      <c r="TZK17" s="573"/>
      <c r="TZL17" s="573"/>
      <c r="TZM17" s="573"/>
      <c r="TZN17" s="573"/>
      <c r="TZO17" s="573"/>
      <c r="TZP17" s="573"/>
      <c r="TZQ17" s="573"/>
      <c r="TZR17" s="573"/>
      <c r="TZS17" s="573"/>
      <c r="TZT17" s="573"/>
      <c r="TZU17" s="573"/>
      <c r="TZV17" s="573"/>
      <c r="TZW17" s="573"/>
      <c r="TZX17" s="573"/>
      <c r="TZY17" s="573"/>
      <c r="TZZ17" s="573"/>
      <c r="UAA17" s="573"/>
      <c r="UAB17" s="573"/>
      <c r="UAC17" s="573"/>
      <c r="UAD17" s="573"/>
      <c r="UAE17" s="573"/>
      <c r="UAF17" s="573"/>
      <c r="UAG17" s="573"/>
      <c r="UAH17" s="573"/>
      <c r="UAI17" s="573"/>
      <c r="UAJ17" s="573"/>
      <c r="UAK17" s="573"/>
      <c r="UAL17" s="573"/>
      <c r="UAM17" s="573"/>
      <c r="UAN17" s="573"/>
      <c r="UAO17" s="573"/>
      <c r="UAP17" s="573"/>
      <c r="UAQ17" s="573"/>
      <c r="UAR17" s="573"/>
      <c r="UAS17" s="573"/>
      <c r="UAT17" s="573"/>
      <c r="UAU17" s="573"/>
      <c r="UAV17" s="573"/>
      <c r="UAW17" s="573"/>
      <c r="UAX17" s="573"/>
      <c r="UAY17" s="573"/>
      <c r="UAZ17" s="573"/>
      <c r="UBA17" s="573"/>
      <c r="UBB17" s="573"/>
      <c r="UBC17" s="573"/>
      <c r="UBD17" s="573"/>
      <c r="UBE17" s="573"/>
      <c r="UBF17" s="573"/>
      <c r="UBG17" s="573"/>
      <c r="UBH17" s="573"/>
      <c r="UBI17" s="573"/>
      <c r="UBJ17" s="573"/>
      <c r="UBK17" s="573"/>
      <c r="UBL17" s="573"/>
      <c r="UBM17" s="573"/>
      <c r="UBN17" s="573"/>
      <c r="UBO17" s="573"/>
      <c r="UBP17" s="573"/>
      <c r="UBQ17" s="573"/>
      <c r="UBR17" s="573"/>
      <c r="UBS17" s="573"/>
      <c r="UBT17" s="573"/>
      <c r="UBU17" s="573"/>
      <c r="UBV17" s="573"/>
      <c r="UBW17" s="573"/>
      <c r="UBX17" s="573"/>
      <c r="UBY17" s="573"/>
      <c r="UBZ17" s="573"/>
      <c r="UCA17" s="573"/>
      <c r="UCB17" s="573"/>
      <c r="UCC17" s="573"/>
      <c r="UCD17" s="573"/>
      <c r="UCE17" s="573"/>
      <c r="UCF17" s="573"/>
      <c r="UCG17" s="573"/>
      <c r="UCH17" s="573"/>
      <c r="UCI17" s="573"/>
      <c r="UCJ17" s="573"/>
      <c r="UCK17" s="573"/>
      <c r="UCL17" s="573"/>
      <c r="UCM17" s="573"/>
      <c r="UCN17" s="573"/>
      <c r="UCO17" s="573"/>
      <c r="UCP17" s="573"/>
      <c r="UCQ17" s="573"/>
      <c r="UCR17" s="573"/>
      <c r="UCS17" s="573"/>
      <c r="UCT17" s="573"/>
      <c r="UCU17" s="573"/>
      <c r="UCV17" s="573"/>
      <c r="UCW17" s="573"/>
      <c r="UCX17" s="573"/>
      <c r="UCY17" s="573"/>
      <c r="UCZ17" s="573"/>
      <c r="UDA17" s="573"/>
      <c r="UDB17" s="573"/>
      <c r="UDC17" s="573"/>
      <c r="UDD17" s="573"/>
      <c r="UDE17" s="573"/>
      <c r="UDF17" s="573"/>
      <c r="UDG17" s="573"/>
      <c r="UDH17" s="573"/>
      <c r="UDI17" s="573"/>
      <c r="UDJ17" s="573"/>
      <c r="UDK17" s="573"/>
      <c r="UDL17" s="573"/>
      <c r="UDM17" s="573"/>
      <c r="UDN17" s="573"/>
      <c r="UDO17" s="573"/>
      <c r="UDP17" s="573"/>
      <c r="UDQ17" s="573"/>
      <c r="UDR17" s="573"/>
      <c r="UDS17" s="573"/>
      <c r="UDT17" s="573"/>
      <c r="UDU17" s="573"/>
      <c r="UDV17" s="573"/>
      <c r="UDW17" s="573"/>
      <c r="UDX17" s="573"/>
      <c r="UDY17" s="573"/>
      <c r="UDZ17" s="573"/>
      <c r="UEA17" s="573"/>
      <c r="UEB17" s="573"/>
      <c r="UEC17" s="573"/>
      <c r="UED17" s="573"/>
      <c r="UEE17" s="573"/>
      <c r="UEF17" s="573"/>
      <c r="UEG17" s="573"/>
      <c r="UEH17" s="573"/>
      <c r="UEI17" s="573"/>
      <c r="UEJ17" s="573"/>
      <c r="UEK17" s="573"/>
      <c r="UEL17" s="573"/>
      <c r="UEM17" s="573"/>
      <c r="UEN17" s="573"/>
      <c r="UEO17" s="573"/>
      <c r="UEP17" s="573"/>
      <c r="UEQ17" s="573"/>
      <c r="UER17" s="573"/>
      <c r="UES17" s="573"/>
      <c r="UET17" s="573"/>
      <c r="UEU17" s="573"/>
      <c r="UEV17" s="573"/>
      <c r="UEW17" s="573"/>
      <c r="UEX17" s="573"/>
      <c r="UEY17" s="573"/>
      <c r="UEZ17" s="573"/>
      <c r="UFA17" s="573"/>
      <c r="UFB17" s="573"/>
      <c r="UFC17" s="573"/>
      <c r="UFD17" s="573"/>
      <c r="UFE17" s="573"/>
      <c r="UFF17" s="573"/>
      <c r="UFG17" s="573"/>
      <c r="UFH17" s="573"/>
      <c r="UFI17" s="573"/>
      <c r="UFJ17" s="573"/>
      <c r="UFK17" s="573"/>
      <c r="UFL17" s="573"/>
      <c r="UFM17" s="573"/>
      <c r="UFN17" s="573"/>
      <c r="UFO17" s="573"/>
      <c r="UFP17" s="573"/>
      <c r="UFQ17" s="573"/>
      <c r="UFR17" s="573"/>
      <c r="UFS17" s="573"/>
      <c r="UFT17" s="573"/>
      <c r="UFU17" s="573"/>
      <c r="UFV17" s="573"/>
      <c r="UFW17" s="573"/>
      <c r="UFX17" s="573"/>
      <c r="UFY17" s="573"/>
      <c r="UFZ17" s="573"/>
      <c r="UGA17" s="573"/>
      <c r="UGB17" s="573"/>
      <c r="UGC17" s="573"/>
      <c r="UGD17" s="573"/>
      <c r="UGE17" s="573"/>
      <c r="UGF17" s="573"/>
      <c r="UGG17" s="573"/>
      <c r="UGH17" s="573"/>
      <c r="UGI17" s="573"/>
      <c r="UGJ17" s="573"/>
      <c r="UGK17" s="573"/>
      <c r="UGL17" s="573"/>
      <c r="UGM17" s="573"/>
      <c r="UGN17" s="573"/>
      <c r="UGO17" s="573"/>
      <c r="UGP17" s="573"/>
      <c r="UGQ17" s="573"/>
      <c r="UGR17" s="573"/>
      <c r="UGS17" s="573"/>
      <c r="UGT17" s="573"/>
      <c r="UGU17" s="573"/>
      <c r="UGV17" s="573"/>
      <c r="UGW17" s="573"/>
      <c r="UGX17" s="573"/>
      <c r="UGY17" s="573"/>
      <c r="UGZ17" s="573"/>
      <c r="UHA17" s="573"/>
      <c r="UHB17" s="573"/>
      <c r="UHC17" s="573"/>
      <c r="UHD17" s="573"/>
      <c r="UHE17" s="573"/>
      <c r="UHF17" s="573"/>
      <c r="UHG17" s="573"/>
      <c r="UHH17" s="573"/>
      <c r="UHI17" s="573"/>
      <c r="UHJ17" s="573"/>
      <c r="UHK17" s="573"/>
      <c r="UHL17" s="573"/>
      <c r="UHM17" s="573"/>
      <c r="UHN17" s="573"/>
      <c r="UHO17" s="573"/>
      <c r="UHP17" s="573"/>
      <c r="UHQ17" s="573"/>
      <c r="UHR17" s="573"/>
      <c r="UHS17" s="573"/>
      <c r="UHT17" s="573"/>
      <c r="UHU17" s="573"/>
      <c r="UHV17" s="573"/>
      <c r="UHW17" s="573"/>
      <c r="UHX17" s="573"/>
      <c r="UHY17" s="573"/>
      <c r="UHZ17" s="573"/>
      <c r="UIA17" s="573"/>
      <c r="UIB17" s="573"/>
      <c r="UIC17" s="573"/>
      <c r="UID17" s="573"/>
      <c r="UIE17" s="573"/>
      <c r="UIF17" s="573"/>
      <c r="UIG17" s="573"/>
      <c r="UIH17" s="573"/>
      <c r="UII17" s="573"/>
      <c r="UIJ17" s="573"/>
      <c r="UIK17" s="573"/>
      <c r="UIL17" s="573"/>
      <c r="UIM17" s="573"/>
      <c r="UIN17" s="573"/>
      <c r="UIO17" s="573"/>
      <c r="UIP17" s="573"/>
      <c r="UIQ17" s="573"/>
      <c r="UIR17" s="573"/>
      <c r="UIS17" s="573"/>
      <c r="UIT17" s="573"/>
      <c r="UIU17" s="573"/>
      <c r="UIV17" s="573"/>
      <c r="UIW17" s="573"/>
      <c r="UIX17" s="573"/>
      <c r="UIY17" s="573"/>
      <c r="UIZ17" s="573"/>
      <c r="UJA17" s="573"/>
      <c r="UJB17" s="573"/>
      <c r="UJC17" s="573"/>
      <c r="UJD17" s="573"/>
      <c r="UJE17" s="573"/>
      <c r="UJF17" s="573"/>
      <c r="UJG17" s="573"/>
      <c r="UJH17" s="573"/>
      <c r="UJI17" s="573"/>
      <c r="UJJ17" s="573"/>
      <c r="UJK17" s="573"/>
      <c r="UJL17" s="573"/>
      <c r="UJM17" s="573"/>
      <c r="UJN17" s="573"/>
      <c r="UJO17" s="573"/>
      <c r="UJP17" s="573"/>
      <c r="UJQ17" s="573"/>
      <c r="UJR17" s="573"/>
      <c r="UJS17" s="573"/>
      <c r="UJT17" s="573"/>
      <c r="UJU17" s="573"/>
      <c r="UJV17" s="573"/>
      <c r="UJW17" s="573"/>
      <c r="UJX17" s="573"/>
      <c r="UJY17" s="573"/>
      <c r="UJZ17" s="573"/>
      <c r="UKA17" s="573"/>
      <c r="UKB17" s="573"/>
      <c r="UKC17" s="573"/>
      <c r="UKD17" s="573"/>
      <c r="UKE17" s="573"/>
      <c r="UKF17" s="573"/>
      <c r="UKG17" s="573"/>
      <c r="UKH17" s="573"/>
      <c r="UKI17" s="573"/>
      <c r="UKJ17" s="573"/>
      <c r="UKK17" s="573"/>
      <c r="UKL17" s="573"/>
      <c r="UKM17" s="573"/>
      <c r="UKN17" s="573"/>
      <c r="UKO17" s="573"/>
      <c r="UKP17" s="573"/>
      <c r="UKQ17" s="573"/>
      <c r="UKR17" s="573"/>
      <c r="UKS17" s="573"/>
      <c r="UKT17" s="573"/>
      <c r="UKU17" s="573"/>
      <c r="UKV17" s="573"/>
      <c r="UKW17" s="573"/>
      <c r="UKX17" s="573"/>
      <c r="UKY17" s="573"/>
      <c r="UKZ17" s="573"/>
      <c r="ULA17" s="573"/>
      <c r="ULB17" s="573"/>
      <c r="ULC17" s="573"/>
      <c r="ULD17" s="573"/>
      <c r="ULE17" s="573"/>
      <c r="ULF17" s="573"/>
      <c r="ULG17" s="573"/>
      <c r="ULH17" s="573"/>
      <c r="ULI17" s="573"/>
      <c r="ULJ17" s="573"/>
      <c r="ULK17" s="573"/>
      <c r="ULL17" s="573"/>
      <c r="ULM17" s="573"/>
      <c r="ULN17" s="573"/>
      <c r="ULO17" s="573"/>
      <c r="ULP17" s="573"/>
      <c r="ULQ17" s="573"/>
      <c r="ULR17" s="573"/>
      <c r="ULS17" s="573"/>
      <c r="ULT17" s="573"/>
      <c r="ULU17" s="573"/>
      <c r="ULV17" s="573"/>
      <c r="ULW17" s="573"/>
      <c r="ULX17" s="573"/>
      <c r="ULY17" s="573"/>
      <c r="ULZ17" s="573"/>
      <c r="UMA17" s="573"/>
      <c r="UMB17" s="573"/>
      <c r="UMC17" s="573"/>
      <c r="UMD17" s="573"/>
      <c r="UME17" s="573"/>
      <c r="UMF17" s="573"/>
      <c r="UMG17" s="573"/>
      <c r="UMH17" s="573"/>
      <c r="UMI17" s="573"/>
      <c r="UMJ17" s="573"/>
      <c r="UMK17" s="573"/>
      <c r="UML17" s="573"/>
      <c r="UMM17" s="573"/>
      <c r="UMN17" s="573"/>
      <c r="UMO17" s="573"/>
      <c r="UMP17" s="573"/>
      <c r="UMQ17" s="573"/>
      <c r="UMR17" s="573"/>
      <c r="UMS17" s="573"/>
      <c r="UMT17" s="573"/>
      <c r="UMU17" s="573"/>
      <c r="UMV17" s="573"/>
      <c r="UMW17" s="573"/>
      <c r="UMX17" s="573"/>
      <c r="UMY17" s="573"/>
      <c r="UMZ17" s="573"/>
      <c r="UNA17" s="573"/>
      <c r="UNB17" s="573"/>
      <c r="UNC17" s="573"/>
      <c r="UND17" s="573"/>
      <c r="UNE17" s="573"/>
      <c r="UNF17" s="573"/>
      <c r="UNG17" s="573"/>
      <c r="UNH17" s="573"/>
      <c r="UNI17" s="573"/>
      <c r="UNJ17" s="573"/>
      <c r="UNK17" s="573"/>
      <c r="UNL17" s="573"/>
      <c r="UNM17" s="573"/>
      <c r="UNN17" s="573"/>
      <c r="UNO17" s="573"/>
      <c r="UNP17" s="573"/>
      <c r="UNQ17" s="573"/>
      <c r="UNR17" s="573"/>
      <c r="UNS17" s="573"/>
      <c r="UNT17" s="573"/>
      <c r="UNU17" s="573"/>
      <c r="UNV17" s="573"/>
      <c r="UNW17" s="573"/>
      <c r="UNX17" s="573"/>
      <c r="UNY17" s="573"/>
      <c r="UNZ17" s="573"/>
      <c r="UOA17" s="573"/>
      <c r="UOB17" s="573"/>
      <c r="UOC17" s="573"/>
      <c r="UOD17" s="573"/>
      <c r="UOE17" s="573"/>
      <c r="UOF17" s="573"/>
      <c r="UOG17" s="573"/>
      <c r="UOH17" s="573"/>
      <c r="UOI17" s="573"/>
      <c r="UOJ17" s="573"/>
      <c r="UOK17" s="573"/>
      <c r="UOL17" s="573"/>
      <c r="UOM17" s="573"/>
      <c r="UON17" s="573"/>
      <c r="UOO17" s="573"/>
      <c r="UOP17" s="573"/>
      <c r="UOQ17" s="573"/>
      <c r="UOR17" s="573"/>
      <c r="UOS17" s="573"/>
      <c r="UOT17" s="573"/>
      <c r="UOU17" s="573"/>
      <c r="UOV17" s="573"/>
      <c r="UOW17" s="573"/>
      <c r="UOX17" s="573"/>
      <c r="UOY17" s="573"/>
      <c r="UOZ17" s="573"/>
      <c r="UPA17" s="573"/>
      <c r="UPB17" s="573"/>
      <c r="UPC17" s="573"/>
      <c r="UPD17" s="573"/>
      <c r="UPE17" s="573"/>
      <c r="UPF17" s="573"/>
      <c r="UPG17" s="573"/>
      <c r="UPH17" s="573"/>
      <c r="UPI17" s="573"/>
      <c r="UPJ17" s="573"/>
      <c r="UPK17" s="573"/>
      <c r="UPL17" s="573"/>
      <c r="UPM17" s="573"/>
      <c r="UPN17" s="573"/>
      <c r="UPO17" s="573"/>
      <c r="UPP17" s="573"/>
      <c r="UPQ17" s="573"/>
      <c r="UPR17" s="573"/>
      <c r="UPS17" s="573"/>
      <c r="UPT17" s="573"/>
      <c r="UPU17" s="573"/>
      <c r="UPV17" s="573"/>
      <c r="UPW17" s="573"/>
      <c r="UPX17" s="573"/>
      <c r="UPY17" s="573"/>
      <c r="UPZ17" s="573"/>
      <c r="UQA17" s="573"/>
      <c r="UQB17" s="573"/>
      <c r="UQC17" s="573"/>
      <c r="UQD17" s="573"/>
      <c r="UQE17" s="573"/>
      <c r="UQF17" s="573"/>
      <c r="UQG17" s="573"/>
      <c r="UQH17" s="573"/>
      <c r="UQI17" s="573"/>
      <c r="UQJ17" s="573"/>
      <c r="UQK17" s="573"/>
      <c r="UQL17" s="573"/>
      <c r="UQM17" s="573"/>
      <c r="UQN17" s="573"/>
      <c r="UQO17" s="573"/>
      <c r="UQP17" s="573"/>
      <c r="UQQ17" s="573"/>
      <c r="UQR17" s="573"/>
      <c r="UQS17" s="573"/>
      <c r="UQT17" s="573"/>
      <c r="UQU17" s="573"/>
      <c r="UQV17" s="573"/>
      <c r="UQW17" s="573"/>
      <c r="UQX17" s="573"/>
      <c r="UQY17" s="573"/>
      <c r="UQZ17" s="573"/>
      <c r="URA17" s="573"/>
      <c r="URB17" s="573"/>
      <c r="URC17" s="573"/>
      <c r="URD17" s="573"/>
      <c r="URE17" s="573"/>
      <c r="URF17" s="573"/>
      <c r="URG17" s="573"/>
      <c r="URH17" s="573"/>
      <c r="URI17" s="573"/>
      <c r="URJ17" s="573"/>
      <c r="URK17" s="573"/>
      <c r="URL17" s="573"/>
      <c r="URM17" s="573"/>
      <c r="URN17" s="573"/>
      <c r="URO17" s="573"/>
      <c r="URP17" s="573"/>
      <c r="URQ17" s="573"/>
      <c r="URR17" s="573"/>
      <c r="URS17" s="573"/>
      <c r="URT17" s="573"/>
      <c r="URU17" s="573"/>
      <c r="URV17" s="573"/>
      <c r="URW17" s="573"/>
      <c r="URX17" s="573"/>
      <c r="URY17" s="573"/>
      <c r="URZ17" s="573"/>
      <c r="USA17" s="573"/>
      <c r="USB17" s="573"/>
      <c r="USC17" s="573"/>
      <c r="USD17" s="573"/>
      <c r="USE17" s="573"/>
      <c r="USF17" s="573"/>
      <c r="USG17" s="573"/>
      <c r="USH17" s="573"/>
      <c r="USI17" s="573"/>
      <c r="USJ17" s="573"/>
      <c r="USK17" s="573"/>
      <c r="USL17" s="573"/>
      <c r="USM17" s="573"/>
      <c r="USN17" s="573"/>
      <c r="USO17" s="573"/>
      <c r="USP17" s="573"/>
      <c r="USQ17" s="573"/>
      <c r="USR17" s="573"/>
      <c r="USS17" s="573"/>
      <c r="UST17" s="573"/>
      <c r="USU17" s="573"/>
      <c r="USV17" s="573"/>
      <c r="USW17" s="573"/>
      <c r="USX17" s="573"/>
      <c r="USY17" s="573"/>
      <c r="USZ17" s="573"/>
      <c r="UTA17" s="573"/>
      <c r="UTB17" s="573"/>
      <c r="UTC17" s="573"/>
      <c r="UTD17" s="573"/>
      <c r="UTE17" s="573"/>
      <c r="UTF17" s="573"/>
      <c r="UTG17" s="573"/>
      <c r="UTH17" s="573"/>
      <c r="UTI17" s="573"/>
      <c r="UTJ17" s="573"/>
      <c r="UTK17" s="573"/>
      <c r="UTL17" s="573"/>
      <c r="UTM17" s="573"/>
      <c r="UTN17" s="573"/>
      <c r="UTO17" s="573"/>
      <c r="UTP17" s="573"/>
      <c r="UTQ17" s="573"/>
      <c r="UTR17" s="573"/>
      <c r="UTS17" s="573"/>
      <c r="UTT17" s="573"/>
      <c r="UTU17" s="573"/>
      <c r="UTV17" s="573"/>
      <c r="UTW17" s="573"/>
      <c r="UTX17" s="573"/>
      <c r="UTY17" s="573"/>
      <c r="UTZ17" s="573"/>
      <c r="UUA17" s="573"/>
      <c r="UUB17" s="573"/>
      <c r="UUC17" s="573"/>
      <c r="UUD17" s="573"/>
      <c r="UUE17" s="573"/>
      <c r="UUF17" s="573"/>
      <c r="UUG17" s="573"/>
      <c r="UUH17" s="573"/>
      <c r="UUI17" s="573"/>
      <c r="UUJ17" s="573"/>
      <c r="UUK17" s="573"/>
      <c r="UUL17" s="573"/>
      <c r="UUM17" s="573"/>
      <c r="UUN17" s="573"/>
      <c r="UUO17" s="573"/>
      <c r="UUP17" s="573"/>
      <c r="UUQ17" s="573"/>
      <c r="UUR17" s="573"/>
      <c r="UUS17" s="573"/>
      <c r="UUT17" s="573"/>
      <c r="UUU17" s="573"/>
      <c r="UUV17" s="573"/>
      <c r="UUW17" s="573"/>
      <c r="UUX17" s="573"/>
      <c r="UUY17" s="573"/>
      <c r="UUZ17" s="573"/>
      <c r="UVA17" s="573"/>
      <c r="UVB17" s="573"/>
      <c r="UVC17" s="573"/>
      <c r="UVD17" s="573"/>
      <c r="UVE17" s="573"/>
      <c r="UVF17" s="573"/>
      <c r="UVG17" s="573"/>
      <c r="UVH17" s="573"/>
      <c r="UVI17" s="573"/>
      <c r="UVJ17" s="573"/>
      <c r="UVK17" s="573"/>
      <c r="UVL17" s="573"/>
      <c r="UVM17" s="573"/>
      <c r="UVN17" s="573"/>
      <c r="UVO17" s="573"/>
      <c r="UVP17" s="573"/>
      <c r="UVQ17" s="573"/>
      <c r="UVR17" s="573"/>
      <c r="UVS17" s="573"/>
      <c r="UVT17" s="573"/>
      <c r="UVU17" s="573"/>
      <c r="UVV17" s="573"/>
      <c r="UVW17" s="573"/>
      <c r="UVX17" s="573"/>
      <c r="UVY17" s="573"/>
      <c r="UVZ17" s="573"/>
      <c r="UWA17" s="573"/>
      <c r="UWB17" s="573"/>
      <c r="UWC17" s="573"/>
      <c r="UWD17" s="573"/>
      <c r="UWE17" s="573"/>
      <c r="UWF17" s="573"/>
      <c r="UWG17" s="573"/>
      <c r="UWH17" s="573"/>
      <c r="UWI17" s="573"/>
      <c r="UWJ17" s="573"/>
      <c r="UWK17" s="573"/>
      <c r="UWL17" s="573"/>
      <c r="UWM17" s="573"/>
      <c r="UWN17" s="573"/>
      <c r="UWO17" s="573"/>
      <c r="UWP17" s="573"/>
      <c r="UWQ17" s="573"/>
      <c r="UWR17" s="573"/>
      <c r="UWS17" s="573"/>
      <c r="UWT17" s="573"/>
      <c r="UWU17" s="573"/>
      <c r="UWV17" s="573"/>
      <c r="UWW17" s="573"/>
      <c r="UWX17" s="573"/>
      <c r="UWY17" s="573"/>
      <c r="UWZ17" s="573"/>
      <c r="UXA17" s="573"/>
      <c r="UXB17" s="573"/>
      <c r="UXC17" s="573"/>
      <c r="UXD17" s="573"/>
      <c r="UXE17" s="573"/>
      <c r="UXF17" s="573"/>
      <c r="UXG17" s="573"/>
      <c r="UXH17" s="573"/>
      <c r="UXI17" s="573"/>
      <c r="UXJ17" s="573"/>
      <c r="UXK17" s="573"/>
      <c r="UXL17" s="573"/>
      <c r="UXM17" s="573"/>
      <c r="UXN17" s="573"/>
      <c r="UXO17" s="573"/>
      <c r="UXP17" s="573"/>
      <c r="UXQ17" s="573"/>
      <c r="UXR17" s="573"/>
      <c r="UXS17" s="573"/>
      <c r="UXT17" s="573"/>
      <c r="UXU17" s="573"/>
      <c r="UXV17" s="573"/>
      <c r="UXW17" s="573"/>
      <c r="UXX17" s="573"/>
      <c r="UXY17" s="573"/>
      <c r="UXZ17" s="573"/>
      <c r="UYA17" s="573"/>
      <c r="UYB17" s="573"/>
      <c r="UYC17" s="573"/>
      <c r="UYD17" s="573"/>
      <c r="UYE17" s="573"/>
      <c r="UYF17" s="573"/>
      <c r="UYG17" s="573"/>
      <c r="UYH17" s="573"/>
      <c r="UYI17" s="573"/>
      <c r="UYJ17" s="573"/>
      <c r="UYK17" s="573"/>
      <c r="UYL17" s="573"/>
      <c r="UYM17" s="573"/>
      <c r="UYN17" s="573"/>
      <c r="UYO17" s="573"/>
      <c r="UYP17" s="573"/>
      <c r="UYQ17" s="573"/>
      <c r="UYR17" s="573"/>
      <c r="UYS17" s="573"/>
      <c r="UYT17" s="573"/>
      <c r="UYU17" s="573"/>
      <c r="UYV17" s="573"/>
      <c r="UYW17" s="573"/>
      <c r="UYX17" s="573"/>
      <c r="UYY17" s="573"/>
      <c r="UYZ17" s="573"/>
      <c r="UZA17" s="573"/>
      <c r="UZB17" s="573"/>
      <c r="UZC17" s="573"/>
      <c r="UZD17" s="573"/>
      <c r="UZE17" s="573"/>
      <c r="UZF17" s="573"/>
      <c r="UZG17" s="573"/>
      <c r="UZH17" s="573"/>
      <c r="UZI17" s="573"/>
      <c r="UZJ17" s="573"/>
      <c r="UZK17" s="573"/>
      <c r="UZL17" s="573"/>
      <c r="UZM17" s="573"/>
      <c r="UZN17" s="573"/>
      <c r="UZO17" s="573"/>
      <c r="UZP17" s="573"/>
      <c r="UZQ17" s="573"/>
      <c r="UZR17" s="573"/>
      <c r="UZS17" s="573"/>
      <c r="UZT17" s="573"/>
      <c r="UZU17" s="573"/>
      <c r="UZV17" s="573"/>
      <c r="UZW17" s="573"/>
      <c r="UZX17" s="573"/>
      <c r="UZY17" s="573"/>
      <c r="UZZ17" s="573"/>
      <c r="VAA17" s="573"/>
      <c r="VAB17" s="573"/>
      <c r="VAC17" s="573"/>
      <c r="VAD17" s="573"/>
      <c r="VAE17" s="573"/>
      <c r="VAF17" s="573"/>
      <c r="VAG17" s="573"/>
      <c r="VAH17" s="573"/>
      <c r="VAI17" s="573"/>
      <c r="VAJ17" s="573"/>
      <c r="VAK17" s="573"/>
      <c r="VAL17" s="573"/>
      <c r="VAM17" s="573"/>
      <c r="VAN17" s="573"/>
      <c r="VAO17" s="573"/>
      <c r="VAP17" s="573"/>
      <c r="VAQ17" s="573"/>
      <c r="VAR17" s="573"/>
      <c r="VAS17" s="573"/>
      <c r="VAT17" s="573"/>
      <c r="VAU17" s="573"/>
      <c r="VAV17" s="573"/>
      <c r="VAW17" s="573"/>
      <c r="VAX17" s="573"/>
      <c r="VAY17" s="573"/>
      <c r="VAZ17" s="573"/>
      <c r="VBA17" s="573"/>
      <c r="VBB17" s="573"/>
      <c r="VBC17" s="573"/>
      <c r="VBD17" s="573"/>
      <c r="VBE17" s="573"/>
      <c r="VBF17" s="573"/>
      <c r="VBG17" s="573"/>
      <c r="VBH17" s="573"/>
      <c r="VBI17" s="573"/>
      <c r="VBJ17" s="573"/>
      <c r="VBK17" s="573"/>
      <c r="VBL17" s="573"/>
      <c r="VBM17" s="573"/>
      <c r="VBN17" s="573"/>
      <c r="VBO17" s="573"/>
      <c r="VBP17" s="573"/>
      <c r="VBQ17" s="573"/>
      <c r="VBR17" s="573"/>
      <c r="VBS17" s="573"/>
      <c r="VBT17" s="573"/>
      <c r="VBU17" s="573"/>
      <c r="VBV17" s="573"/>
      <c r="VBW17" s="573"/>
      <c r="VBX17" s="573"/>
      <c r="VBY17" s="573"/>
      <c r="VBZ17" s="573"/>
      <c r="VCA17" s="573"/>
      <c r="VCB17" s="573"/>
      <c r="VCC17" s="573"/>
      <c r="VCD17" s="573"/>
      <c r="VCE17" s="573"/>
      <c r="VCF17" s="573"/>
      <c r="VCG17" s="573"/>
      <c r="VCH17" s="573"/>
      <c r="VCI17" s="573"/>
      <c r="VCJ17" s="573"/>
      <c r="VCK17" s="573"/>
      <c r="VCL17" s="573"/>
      <c r="VCM17" s="573"/>
      <c r="VCN17" s="573"/>
      <c r="VCO17" s="573"/>
      <c r="VCP17" s="573"/>
      <c r="VCQ17" s="573"/>
      <c r="VCR17" s="573"/>
      <c r="VCS17" s="573"/>
      <c r="VCT17" s="573"/>
      <c r="VCU17" s="573"/>
      <c r="VCV17" s="573"/>
      <c r="VCW17" s="573"/>
      <c r="VCX17" s="573"/>
      <c r="VCY17" s="573"/>
      <c r="VCZ17" s="573"/>
      <c r="VDA17" s="573"/>
      <c r="VDB17" s="573"/>
      <c r="VDC17" s="573"/>
      <c r="VDD17" s="573"/>
      <c r="VDE17" s="573"/>
      <c r="VDF17" s="573"/>
      <c r="VDG17" s="573"/>
      <c r="VDH17" s="573"/>
      <c r="VDI17" s="573"/>
      <c r="VDJ17" s="573"/>
      <c r="VDK17" s="573"/>
      <c r="VDL17" s="573"/>
      <c r="VDM17" s="573"/>
      <c r="VDN17" s="573"/>
      <c r="VDO17" s="573"/>
      <c r="VDP17" s="573"/>
      <c r="VDQ17" s="573"/>
      <c r="VDR17" s="573"/>
      <c r="VDS17" s="573"/>
      <c r="VDT17" s="573"/>
      <c r="VDU17" s="573"/>
      <c r="VDV17" s="573"/>
      <c r="VDW17" s="573"/>
      <c r="VDX17" s="573"/>
      <c r="VDY17" s="573"/>
      <c r="VDZ17" s="573"/>
      <c r="VEA17" s="573"/>
      <c r="VEB17" s="573"/>
      <c r="VEC17" s="573"/>
      <c r="VED17" s="573"/>
      <c r="VEE17" s="573"/>
      <c r="VEF17" s="573"/>
      <c r="VEG17" s="573"/>
      <c r="VEH17" s="573"/>
      <c r="VEI17" s="573"/>
      <c r="VEJ17" s="573"/>
      <c r="VEK17" s="573"/>
      <c r="VEL17" s="573"/>
      <c r="VEM17" s="573"/>
      <c r="VEN17" s="573"/>
      <c r="VEO17" s="573"/>
      <c r="VEP17" s="573"/>
      <c r="VEQ17" s="573"/>
      <c r="VER17" s="573"/>
      <c r="VES17" s="573"/>
      <c r="VET17" s="573"/>
      <c r="VEU17" s="573"/>
      <c r="VEV17" s="573"/>
      <c r="VEW17" s="573"/>
      <c r="VEX17" s="573"/>
      <c r="VEY17" s="573"/>
      <c r="VEZ17" s="573"/>
      <c r="VFA17" s="573"/>
      <c r="VFB17" s="573"/>
      <c r="VFC17" s="573"/>
      <c r="VFD17" s="573"/>
      <c r="VFE17" s="573"/>
      <c r="VFF17" s="573"/>
      <c r="VFG17" s="573"/>
      <c r="VFH17" s="573"/>
      <c r="VFI17" s="573"/>
      <c r="VFJ17" s="573"/>
      <c r="VFK17" s="573"/>
      <c r="VFL17" s="573"/>
      <c r="VFM17" s="573"/>
      <c r="VFN17" s="573"/>
      <c r="VFO17" s="573"/>
      <c r="VFP17" s="573"/>
      <c r="VFQ17" s="573"/>
      <c r="VFR17" s="573"/>
      <c r="VFS17" s="573"/>
      <c r="VFT17" s="573"/>
      <c r="VFU17" s="573"/>
      <c r="VFV17" s="573"/>
      <c r="VFW17" s="573"/>
      <c r="VFX17" s="573"/>
      <c r="VFY17" s="573"/>
      <c r="VFZ17" s="573"/>
      <c r="VGA17" s="573"/>
      <c r="VGB17" s="573"/>
      <c r="VGC17" s="573"/>
      <c r="VGD17" s="573"/>
      <c r="VGE17" s="573"/>
      <c r="VGF17" s="573"/>
      <c r="VGG17" s="573"/>
      <c r="VGH17" s="573"/>
      <c r="VGI17" s="573"/>
      <c r="VGJ17" s="573"/>
      <c r="VGK17" s="573"/>
      <c r="VGL17" s="573"/>
      <c r="VGM17" s="573"/>
      <c r="VGN17" s="573"/>
      <c r="VGO17" s="573"/>
      <c r="VGP17" s="573"/>
      <c r="VGQ17" s="573"/>
      <c r="VGR17" s="573"/>
      <c r="VGS17" s="573"/>
      <c r="VGT17" s="573"/>
      <c r="VGU17" s="573"/>
      <c r="VGV17" s="573"/>
      <c r="VGW17" s="573"/>
      <c r="VGX17" s="573"/>
      <c r="VGY17" s="573"/>
      <c r="VGZ17" s="573"/>
      <c r="VHA17" s="573"/>
      <c r="VHB17" s="573"/>
      <c r="VHC17" s="573"/>
      <c r="VHD17" s="573"/>
      <c r="VHE17" s="573"/>
      <c r="VHF17" s="573"/>
      <c r="VHG17" s="573"/>
      <c r="VHH17" s="573"/>
      <c r="VHI17" s="573"/>
      <c r="VHJ17" s="573"/>
      <c r="VHK17" s="573"/>
      <c r="VHL17" s="573"/>
      <c r="VHM17" s="573"/>
      <c r="VHN17" s="573"/>
      <c r="VHO17" s="573"/>
      <c r="VHP17" s="573"/>
      <c r="VHQ17" s="573"/>
      <c r="VHR17" s="573"/>
      <c r="VHS17" s="573"/>
      <c r="VHT17" s="573"/>
      <c r="VHU17" s="573"/>
      <c r="VHV17" s="573"/>
      <c r="VHW17" s="573"/>
      <c r="VHX17" s="573"/>
      <c r="VHY17" s="573"/>
      <c r="VHZ17" s="573"/>
      <c r="VIA17" s="573"/>
      <c r="VIB17" s="573"/>
      <c r="VIC17" s="573"/>
      <c r="VID17" s="573"/>
      <c r="VIE17" s="573"/>
      <c r="VIF17" s="573"/>
      <c r="VIG17" s="573"/>
      <c r="VIH17" s="573"/>
      <c r="VII17" s="573"/>
      <c r="VIJ17" s="573"/>
      <c r="VIK17" s="573"/>
      <c r="VIL17" s="573"/>
      <c r="VIM17" s="573"/>
      <c r="VIN17" s="573"/>
      <c r="VIO17" s="573"/>
      <c r="VIP17" s="573"/>
      <c r="VIQ17" s="573"/>
      <c r="VIR17" s="573"/>
      <c r="VIS17" s="573"/>
      <c r="VIT17" s="573"/>
      <c r="VIU17" s="573"/>
      <c r="VIV17" s="573"/>
      <c r="VIW17" s="573"/>
      <c r="VIX17" s="573"/>
      <c r="VIY17" s="573"/>
      <c r="VIZ17" s="573"/>
      <c r="VJA17" s="573"/>
      <c r="VJB17" s="573"/>
      <c r="VJC17" s="573"/>
      <c r="VJD17" s="573"/>
      <c r="VJE17" s="573"/>
      <c r="VJF17" s="573"/>
      <c r="VJG17" s="573"/>
      <c r="VJH17" s="573"/>
      <c r="VJI17" s="573"/>
      <c r="VJJ17" s="573"/>
      <c r="VJK17" s="573"/>
      <c r="VJL17" s="573"/>
      <c r="VJM17" s="573"/>
      <c r="VJN17" s="573"/>
      <c r="VJO17" s="573"/>
      <c r="VJP17" s="573"/>
      <c r="VJQ17" s="573"/>
      <c r="VJR17" s="573"/>
      <c r="VJS17" s="573"/>
      <c r="VJT17" s="573"/>
      <c r="VJU17" s="573"/>
      <c r="VJV17" s="573"/>
      <c r="VJW17" s="573"/>
      <c r="VJX17" s="573"/>
      <c r="VJY17" s="573"/>
      <c r="VJZ17" s="573"/>
      <c r="VKA17" s="573"/>
      <c r="VKB17" s="573"/>
      <c r="VKC17" s="573"/>
      <c r="VKD17" s="573"/>
      <c r="VKE17" s="573"/>
      <c r="VKF17" s="573"/>
      <c r="VKG17" s="573"/>
      <c r="VKH17" s="573"/>
      <c r="VKI17" s="573"/>
      <c r="VKJ17" s="573"/>
      <c r="VKK17" s="573"/>
      <c r="VKL17" s="573"/>
      <c r="VKM17" s="573"/>
      <c r="VKN17" s="573"/>
      <c r="VKO17" s="573"/>
      <c r="VKP17" s="573"/>
      <c r="VKQ17" s="573"/>
      <c r="VKR17" s="573"/>
      <c r="VKS17" s="573"/>
      <c r="VKT17" s="573"/>
      <c r="VKU17" s="573"/>
      <c r="VKV17" s="573"/>
      <c r="VKW17" s="573"/>
      <c r="VKX17" s="573"/>
      <c r="VKY17" s="573"/>
      <c r="VKZ17" s="573"/>
      <c r="VLA17" s="573"/>
      <c r="VLB17" s="573"/>
      <c r="VLC17" s="573"/>
      <c r="VLD17" s="573"/>
      <c r="VLE17" s="573"/>
      <c r="VLF17" s="573"/>
      <c r="VLG17" s="573"/>
      <c r="VLH17" s="573"/>
      <c r="VLI17" s="573"/>
      <c r="VLJ17" s="573"/>
      <c r="VLK17" s="573"/>
      <c r="VLL17" s="573"/>
      <c r="VLM17" s="573"/>
      <c r="VLN17" s="573"/>
      <c r="VLO17" s="573"/>
      <c r="VLP17" s="573"/>
      <c r="VLQ17" s="573"/>
      <c r="VLR17" s="573"/>
      <c r="VLS17" s="573"/>
      <c r="VLT17" s="573"/>
      <c r="VLU17" s="573"/>
      <c r="VLV17" s="573"/>
      <c r="VLW17" s="573"/>
      <c r="VLX17" s="573"/>
      <c r="VLY17" s="573"/>
      <c r="VLZ17" s="573"/>
      <c r="VMA17" s="573"/>
      <c r="VMB17" s="573"/>
      <c r="VMC17" s="573"/>
      <c r="VMD17" s="573"/>
      <c r="VME17" s="573"/>
      <c r="VMF17" s="573"/>
      <c r="VMG17" s="573"/>
      <c r="VMH17" s="573"/>
      <c r="VMI17" s="573"/>
      <c r="VMJ17" s="573"/>
      <c r="VMK17" s="573"/>
      <c r="VML17" s="573"/>
      <c r="VMM17" s="573"/>
      <c r="VMN17" s="573"/>
      <c r="VMO17" s="573"/>
      <c r="VMP17" s="573"/>
      <c r="VMQ17" s="573"/>
      <c r="VMR17" s="573"/>
      <c r="VMS17" s="573"/>
      <c r="VMT17" s="573"/>
      <c r="VMU17" s="573"/>
      <c r="VMV17" s="573"/>
      <c r="VMW17" s="573"/>
      <c r="VMX17" s="573"/>
      <c r="VMY17" s="573"/>
      <c r="VMZ17" s="573"/>
      <c r="VNA17" s="573"/>
      <c r="VNB17" s="573"/>
      <c r="VNC17" s="573"/>
      <c r="VND17" s="573"/>
      <c r="VNE17" s="573"/>
      <c r="VNF17" s="573"/>
      <c r="VNG17" s="573"/>
      <c r="VNH17" s="573"/>
      <c r="VNI17" s="573"/>
      <c r="VNJ17" s="573"/>
      <c r="VNK17" s="573"/>
      <c r="VNL17" s="573"/>
      <c r="VNM17" s="573"/>
      <c r="VNN17" s="573"/>
      <c r="VNO17" s="573"/>
      <c r="VNP17" s="573"/>
      <c r="VNQ17" s="573"/>
      <c r="VNR17" s="573"/>
      <c r="VNS17" s="573"/>
      <c r="VNT17" s="573"/>
      <c r="VNU17" s="573"/>
      <c r="VNV17" s="573"/>
      <c r="VNW17" s="573"/>
      <c r="VNX17" s="573"/>
      <c r="VNY17" s="573"/>
      <c r="VNZ17" s="573"/>
      <c r="VOA17" s="573"/>
      <c r="VOB17" s="573"/>
      <c r="VOC17" s="573"/>
      <c r="VOD17" s="573"/>
      <c r="VOE17" s="573"/>
      <c r="VOF17" s="573"/>
      <c r="VOG17" s="573"/>
      <c r="VOH17" s="573"/>
      <c r="VOI17" s="573"/>
      <c r="VOJ17" s="573"/>
      <c r="VOK17" s="573"/>
      <c r="VOL17" s="573"/>
      <c r="VOM17" s="573"/>
      <c r="VON17" s="573"/>
      <c r="VOO17" s="573"/>
      <c r="VOP17" s="573"/>
      <c r="VOQ17" s="573"/>
      <c r="VOR17" s="573"/>
      <c r="VOS17" s="573"/>
      <c r="VOT17" s="573"/>
      <c r="VOU17" s="573"/>
      <c r="VOV17" s="573"/>
      <c r="VOW17" s="573"/>
      <c r="VOX17" s="573"/>
      <c r="VOY17" s="573"/>
      <c r="VOZ17" s="573"/>
      <c r="VPA17" s="573"/>
      <c r="VPB17" s="573"/>
      <c r="VPC17" s="573"/>
      <c r="VPD17" s="573"/>
      <c r="VPE17" s="573"/>
      <c r="VPF17" s="573"/>
      <c r="VPG17" s="573"/>
      <c r="VPH17" s="573"/>
      <c r="VPI17" s="573"/>
      <c r="VPJ17" s="573"/>
      <c r="VPK17" s="573"/>
      <c r="VPL17" s="573"/>
      <c r="VPM17" s="573"/>
      <c r="VPN17" s="573"/>
      <c r="VPO17" s="573"/>
      <c r="VPP17" s="573"/>
      <c r="VPQ17" s="573"/>
      <c r="VPR17" s="573"/>
      <c r="VPS17" s="573"/>
      <c r="VPT17" s="573"/>
      <c r="VPU17" s="573"/>
      <c r="VPV17" s="573"/>
      <c r="VPW17" s="573"/>
      <c r="VPX17" s="573"/>
      <c r="VPY17" s="573"/>
      <c r="VPZ17" s="573"/>
      <c r="VQA17" s="573"/>
      <c r="VQB17" s="573"/>
      <c r="VQC17" s="573"/>
      <c r="VQD17" s="573"/>
      <c r="VQE17" s="573"/>
      <c r="VQF17" s="573"/>
      <c r="VQG17" s="573"/>
      <c r="VQH17" s="573"/>
      <c r="VQI17" s="573"/>
      <c r="VQJ17" s="573"/>
      <c r="VQK17" s="573"/>
      <c r="VQL17" s="573"/>
      <c r="VQM17" s="573"/>
      <c r="VQN17" s="573"/>
      <c r="VQO17" s="573"/>
      <c r="VQP17" s="573"/>
      <c r="VQQ17" s="573"/>
      <c r="VQR17" s="573"/>
      <c r="VQS17" s="573"/>
      <c r="VQT17" s="573"/>
      <c r="VQU17" s="573"/>
      <c r="VQV17" s="573"/>
      <c r="VQW17" s="573"/>
      <c r="VQX17" s="573"/>
      <c r="VQY17" s="573"/>
      <c r="VQZ17" s="573"/>
      <c r="VRA17" s="573"/>
      <c r="VRB17" s="573"/>
      <c r="VRC17" s="573"/>
      <c r="VRD17" s="573"/>
      <c r="VRE17" s="573"/>
      <c r="VRF17" s="573"/>
      <c r="VRG17" s="573"/>
      <c r="VRH17" s="573"/>
      <c r="VRI17" s="573"/>
      <c r="VRJ17" s="573"/>
      <c r="VRK17" s="573"/>
      <c r="VRL17" s="573"/>
      <c r="VRM17" s="573"/>
      <c r="VRN17" s="573"/>
      <c r="VRO17" s="573"/>
      <c r="VRP17" s="573"/>
      <c r="VRQ17" s="573"/>
      <c r="VRR17" s="573"/>
      <c r="VRS17" s="573"/>
      <c r="VRT17" s="573"/>
      <c r="VRU17" s="573"/>
      <c r="VRV17" s="573"/>
      <c r="VRW17" s="573"/>
      <c r="VRX17" s="573"/>
      <c r="VRY17" s="573"/>
      <c r="VRZ17" s="573"/>
      <c r="VSA17" s="573"/>
      <c r="VSB17" s="573"/>
      <c r="VSC17" s="573"/>
      <c r="VSD17" s="573"/>
      <c r="VSE17" s="573"/>
      <c r="VSF17" s="573"/>
      <c r="VSG17" s="573"/>
      <c r="VSH17" s="573"/>
      <c r="VSI17" s="573"/>
      <c r="VSJ17" s="573"/>
      <c r="VSK17" s="573"/>
      <c r="VSL17" s="573"/>
      <c r="VSM17" s="573"/>
      <c r="VSN17" s="573"/>
      <c r="VSO17" s="573"/>
      <c r="VSP17" s="573"/>
      <c r="VSQ17" s="573"/>
      <c r="VSR17" s="573"/>
      <c r="VSS17" s="573"/>
      <c r="VST17" s="573"/>
      <c r="VSU17" s="573"/>
      <c r="VSV17" s="573"/>
      <c r="VSW17" s="573"/>
      <c r="VSX17" s="573"/>
      <c r="VSY17" s="573"/>
      <c r="VSZ17" s="573"/>
      <c r="VTA17" s="573"/>
      <c r="VTB17" s="573"/>
      <c r="VTC17" s="573"/>
      <c r="VTD17" s="573"/>
      <c r="VTE17" s="573"/>
      <c r="VTF17" s="573"/>
      <c r="VTG17" s="573"/>
      <c r="VTH17" s="573"/>
      <c r="VTI17" s="573"/>
      <c r="VTJ17" s="573"/>
      <c r="VTK17" s="573"/>
      <c r="VTL17" s="573"/>
      <c r="VTM17" s="573"/>
      <c r="VTN17" s="573"/>
      <c r="VTO17" s="573"/>
      <c r="VTP17" s="573"/>
      <c r="VTQ17" s="573"/>
      <c r="VTR17" s="573"/>
      <c r="VTS17" s="573"/>
      <c r="VTT17" s="573"/>
      <c r="VTU17" s="573"/>
      <c r="VTV17" s="573"/>
      <c r="VTW17" s="573"/>
      <c r="VTX17" s="573"/>
      <c r="VTY17" s="573"/>
      <c r="VTZ17" s="573"/>
      <c r="VUA17" s="573"/>
      <c r="VUB17" s="573"/>
      <c r="VUC17" s="573"/>
      <c r="VUD17" s="573"/>
      <c r="VUE17" s="573"/>
      <c r="VUF17" s="573"/>
      <c r="VUG17" s="573"/>
      <c r="VUH17" s="573"/>
      <c r="VUI17" s="573"/>
      <c r="VUJ17" s="573"/>
      <c r="VUK17" s="573"/>
      <c r="VUL17" s="573"/>
      <c r="VUM17" s="573"/>
      <c r="VUN17" s="573"/>
      <c r="VUO17" s="573"/>
      <c r="VUP17" s="573"/>
      <c r="VUQ17" s="573"/>
      <c r="VUR17" s="573"/>
      <c r="VUS17" s="573"/>
      <c r="VUT17" s="573"/>
      <c r="VUU17" s="573"/>
      <c r="VUV17" s="573"/>
      <c r="VUW17" s="573"/>
      <c r="VUX17" s="573"/>
      <c r="VUY17" s="573"/>
      <c r="VUZ17" s="573"/>
      <c r="VVA17" s="573"/>
      <c r="VVB17" s="573"/>
      <c r="VVC17" s="573"/>
      <c r="VVD17" s="573"/>
      <c r="VVE17" s="573"/>
      <c r="VVF17" s="573"/>
      <c r="VVG17" s="573"/>
      <c r="VVH17" s="573"/>
      <c r="VVI17" s="573"/>
      <c r="VVJ17" s="573"/>
      <c r="VVK17" s="573"/>
      <c r="VVL17" s="573"/>
      <c r="VVM17" s="573"/>
      <c r="VVN17" s="573"/>
      <c r="VVO17" s="573"/>
      <c r="VVP17" s="573"/>
      <c r="VVQ17" s="573"/>
      <c r="VVR17" s="573"/>
      <c r="VVS17" s="573"/>
      <c r="VVT17" s="573"/>
      <c r="VVU17" s="573"/>
      <c r="VVV17" s="573"/>
      <c r="VVW17" s="573"/>
      <c r="VVX17" s="573"/>
      <c r="VVY17" s="573"/>
      <c r="VVZ17" s="573"/>
      <c r="VWA17" s="573"/>
      <c r="VWB17" s="573"/>
      <c r="VWC17" s="573"/>
      <c r="VWD17" s="573"/>
      <c r="VWE17" s="573"/>
      <c r="VWF17" s="573"/>
      <c r="VWG17" s="573"/>
      <c r="VWH17" s="573"/>
      <c r="VWI17" s="573"/>
      <c r="VWJ17" s="573"/>
      <c r="VWK17" s="573"/>
      <c r="VWL17" s="573"/>
      <c r="VWM17" s="573"/>
      <c r="VWN17" s="573"/>
      <c r="VWO17" s="573"/>
      <c r="VWP17" s="573"/>
      <c r="VWQ17" s="573"/>
      <c r="VWR17" s="573"/>
      <c r="VWS17" s="573"/>
      <c r="VWT17" s="573"/>
      <c r="VWU17" s="573"/>
      <c r="VWV17" s="573"/>
      <c r="VWW17" s="573"/>
      <c r="VWX17" s="573"/>
      <c r="VWY17" s="573"/>
      <c r="VWZ17" s="573"/>
      <c r="VXA17" s="573"/>
      <c r="VXB17" s="573"/>
      <c r="VXC17" s="573"/>
      <c r="VXD17" s="573"/>
      <c r="VXE17" s="573"/>
      <c r="VXF17" s="573"/>
      <c r="VXG17" s="573"/>
      <c r="VXH17" s="573"/>
      <c r="VXI17" s="573"/>
      <c r="VXJ17" s="573"/>
      <c r="VXK17" s="573"/>
      <c r="VXL17" s="573"/>
      <c r="VXM17" s="573"/>
      <c r="VXN17" s="573"/>
      <c r="VXO17" s="573"/>
      <c r="VXP17" s="573"/>
      <c r="VXQ17" s="573"/>
      <c r="VXR17" s="573"/>
      <c r="VXS17" s="573"/>
      <c r="VXT17" s="573"/>
      <c r="VXU17" s="573"/>
      <c r="VXV17" s="573"/>
      <c r="VXW17" s="573"/>
      <c r="VXX17" s="573"/>
      <c r="VXY17" s="573"/>
      <c r="VXZ17" s="573"/>
      <c r="VYA17" s="573"/>
      <c r="VYB17" s="573"/>
      <c r="VYC17" s="573"/>
      <c r="VYD17" s="573"/>
      <c r="VYE17" s="573"/>
      <c r="VYF17" s="573"/>
      <c r="VYG17" s="573"/>
      <c r="VYH17" s="573"/>
      <c r="VYI17" s="573"/>
      <c r="VYJ17" s="573"/>
      <c r="VYK17" s="573"/>
      <c r="VYL17" s="573"/>
      <c r="VYM17" s="573"/>
      <c r="VYN17" s="573"/>
      <c r="VYO17" s="573"/>
      <c r="VYP17" s="573"/>
      <c r="VYQ17" s="573"/>
      <c r="VYR17" s="573"/>
      <c r="VYS17" s="573"/>
      <c r="VYT17" s="573"/>
      <c r="VYU17" s="573"/>
      <c r="VYV17" s="573"/>
      <c r="VYW17" s="573"/>
      <c r="VYX17" s="573"/>
      <c r="VYY17" s="573"/>
      <c r="VYZ17" s="573"/>
      <c r="VZA17" s="573"/>
      <c r="VZB17" s="573"/>
      <c r="VZC17" s="573"/>
      <c r="VZD17" s="573"/>
      <c r="VZE17" s="573"/>
      <c r="VZF17" s="573"/>
      <c r="VZG17" s="573"/>
      <c r="VZH17" s="573"/>
      <c r="VZI17" s="573"/>
      <c r="VZJ17" s="573"/>
      <c r="VZK17" s="573"/>
      <c r="VZL17" s="573"/>
      <c r="VZM17" s="573"/>
      <c r="VZN17" s="573"/>
      <c r="VZO17" s="573"/>
      <c r="VZP17" s="573"/>
      <c r="VZQ17" s="573"/>
      <c r="VZR17" s="573"/>
      <c r="VZS17" s="573"/>
      <c r="VZT17" s="573"/>
      <c r="VZU17" s="573"/>
      <c r="VZV17" s="573"/>
      <c r="VZW17" s="573"/>
      <c r="VZX17" s="573"/>
      <c r="VZY17" s="573"/>
      <c r="VZZ17" s="573"/>
      <c r="WAA17" s="573"/>
      <c r="WAB17" s="573"/>
      <c r="WAC17" s="573"/>
      <c r="WAD17" s="573"/>
      <c r="WAE17" s="573"/>
      <c r="WAF17" s="573"/>
      <c r="WAG17" s="573"/>
      <c r="WAH17" s="573"/>
      <c r="WAI17" s="573"/>
      <c r="WAJ17" s="573"/>
      <c r="WAK17" s="573"/>
      <c r="WAL17" s="573"/>
      <c r="WAM17" s="573"/>
      <c r="WAN17" s="573"/>
      <c r="WAO17" s="573"/>
      <c r="WAP17" s="573"/>
      <c r="WAQ17" s="573"/>
      <c r="WAR17" s="573"/>
      <c r="WAS17" s="573"/>
      <c r="WAT17" s="573"/>
      <c r="WAU17" s="573"/>
      <c r="WAV17" s="573"/>
      <c r="WAW17" s="573"/>
      <c r="WAX17" s="573"/>
      <c r="WAY17" s="573"/>
      <c r="WAZ17" s="573"/>
      <c r="WBA17" s="573"/>
      <c r="WBB17" s="573"/>
      <c r="WBC17" s="573"/>
      <c r="WBD17" s="573"/>
      <c r="WBE17" s="573"/>
      <c r="WBF17" s="573"/>
      <c r="WBG17" s="573"/>
      <c r="WBH17" s="573"/>
      <c r="WBI17" s="573"/>
      <c r="WBJ17" s="573"/>
      <c r="WBK17" s="573"/>
      <c r="WBL17" s="573"/>
      <c r="WBM17" s="573"/>
      <c r="WBN17" s="573"/>
      <c r="WBO17" s="573"/>
      <c r="WBP17" s="573"/>
      <c r="WBQ17" s="573"/>
      <c r="WBR17" s="573"/>
      <c r="WBS17" s="573"/>
      <c r="WBT17" s="573"/>
      <c r="WBU17" s="573"/>
      <c r="WBV17" s="573"/>
      <c r="WBW17" s="573"/>
      <c r="WBX17" s="573"/>
      <c r="WBY17" s="573"/>
      <c r="WBZ17" s="573"/>
      <c r="WCA17" s="573"/>
      <c r="WCB17" s="573"/>
      <c r="WCC17" s="573"/>
      <c r="WCD17" s="573"/>
      <c r="WCE17" s="573"/>
      <c r="WCF17" s="573"/>
      <c r="WCG17" s="573"/>
      <c r="WCH17" s="573"/>
      <c r="WCI17" s="573"/>
      <c r="WCJ17" s="573"/>
      <c r="WCK17" s="573"/>
      <c r="WCL17" s="573"/>
      <c r="WCM17" s="573"/>
      <c r="WCN17" s="573"/>
      <c r="WCO17" s="573"/>
      <c r="WCP17" s="573"/>
      <c r="WCQ17" s="573"/>
      <c r="WCR17" s="573"/>
      <c r="WCS17" s="573"/>
      <c r="WCT17" s="573"/>
      <c r="WCU17" s="573"/>
      <c r="WCV17" s="573"/>
      <c r="WCW17" s="573"/>
      <c r="WCX17" s="573"/>
      <c r="WCY17" s="573"/>
      <c r="WCZ17" s="573"/>
      <c r="WDA17" s="573"/>
      <c r="WDB17" s="573"/>
      <c r="WDC17" s="573"/>
      <c r="WDD17" s="573"/>
      <c r="WDE17" s="573"/>
      <c r="WDF17" s="573"/>
      <c r="WDG17" s="573"/>
      <c r="WDH17" s="573"/>
      <c r="WDI17" s="573"/>
      <c r="WDJ17" s="573"/>
      <c r="WDK17" s="573"/>
      <c r="WDL17" s="573"/>
      <c r="WDM17" s="573"/>
      <c r="WDN17" s="573"/>
      <c r="WDO17" s="573"/>
      <c r="WDP17" s="573"/>
      <c r="WDQ17" s="573"/>
      <c r="WDR17" s="573"/>
      <c r="WDS17" s="573"/>
      <c r="WDT17" s="573"/>
      <c r="WDU17" s="573"/>
      <c r="WDV17" s="573"/>
      <c r="WDW17" s="573"/>
      <c r="WDX17" s="573"/>
      <c r="WDY17" s="573"/>
      <c r="WDZ17" s="573"/>
      <c r="WEA17" s="573"/>
      <c r="WEB17" s="573"/>
      <c r="WEC17" s="573"/>
      <c r="WED17" s="573"/>
      <c r="WEE17" s="573"/>
      <c r="WEF17" s="573"/>
      <c r="WEG17" s="573"/>
      <c r="WEH17" s="573"/>
      <c r="WEI17" s="573"/>
      <c r="WEJ17" s="573"/>
      <c r="WEK17" s="573"/>
      <c r="WEL17" s="573"/>
      <c r="WEM17" s="573"/>
      <c r="WEN17" s="573"/>
      <c r="WEO17" s="573"/>
      <c r="WEP17" s="573"/>
      <c r="WEQ17" s="573"/>
      <c r="WER17" s="573"/>
      <c r="WES17" s="573"/>
      <c r="WET17" s="573"/>
      <c r="WEU17" s="573"/>
      <c r="WEV17" s="573"/>
      <c r="WEW17" s="573"/>
      <c r="WEX17" s="573"/>
      <c r="WEY17" s="573"/>
      <c r="WEZ17" s="573"/>
      <c r="WFA17" s="573"/>
      <c r="WFB17" s="573"/>
      <c r="WFC17" s="573"/>
      <c r="WFD17" s="573"/>
      <c r="WFE17" s="573"/>
      <c r="WFF17" s="573"/>
      <c r="WFG17" s="573"/>
      <c r="WFH17" s="573"/>
      <c r="WFI17" s="573"/>
      <c r="WFJ17" s="573"/>
      <c r="WFK17" s="573"/>
      <c r="WFL17" s="573"/>
      <c r="WFM17" s="573"/>
      <c r="WFN17" s="573"/>
      <c r="WFO17" s="573"/>
      <c r="WFP17" s="573"/>
      <c r="WFQ17" s="573"/>
      <c r="WFR17" s="573"/>
      <c r="WFS17" s="573"/>
      <c r="WFT17" s="573"/>
      <c r="WFU17" s="573"/>
      <c r="WFV17" s="573"/>
      <c r="WFW17" s="573"/>
      <c r="WFX17" s="573"/>
      <c r="WFY17" s="573"/>
      <c r="WFZ17" s="573"/>
      <c r="WGA17" s="573"/>
      <c r="WGB17" s="573"/>
      <c r="WGC17" s="573"/>
      <c r="WGD17" s="573"/>
      <c r="WGE17" s="573"/>
      <c r="WGF17" s="573"/>
      <c r="WGG17" s="573"/>
      <c r="WGH17" s="573"/>
      <c r="WGI17" s="573"/>
      <c r="WGJ17" s="573"/>
      <c r="WGK17" s="573"/>
      <c r="WGL17" s="573"/>
      <c r="WGM17" s="573"/>
      <c r="WGN17" s="573"/>
      <c r="WGO17" s="573"/>
      <c r="WGP17" s="573"/>
      <c r="WGQ17" s="573"/>
      <c r="WGR17" s="573"/>
      <c r="WGS17" s="573"/>
      <c r="WGT17" s="573"/>
      <c r="WGU17" s="573"/>
      <c r="WGV17" s="573"/>
      <c r="WGW17" s="573"/>
      <c r="WGX17" s="573"/>
      <c r="WGY17" s="573"/>
      <c r="WGZ17" s="573"/>
      <c r="WHA17" s="573"/>
      <c r="WHB17" s="573"/>
      <c r="WHC17" s="573"/>
      <c r="WHD17" s="573"/>
      <c r="WHE17" s="573"/>
      <c r="WHF17" s="573"/>
      <c r="WHG17" s="573"/>
      <c r="WHH17" s="573"/>
      <c r="WHI17" s="573"/>
      <c r="WHJ17" s="573"/>
      <c r="WHK17" s="573"/>
      <c r="WHL17" s="573"/>
      <c r="WHM17" s="573"/>
      <c r="WHN17" s="573"/>
      <c r="WHO17" s="573"/>
      <c r="WHP17" s="573"/>
      <c r="WHQ17" s="573"/>
      <c r="WHR17" s="573"/>
      <c r="WHS17" s="573"/>
      <c r="WHT17" s="573"/>
      <c r="WHU17" s="573"/>
      <c r="WHV17" s="573"/>
      <c r="WHW17" s="573"/>
      <c r="WHX17" s="573"/>
      <c r="WHY17" s="573"/>
      <c r="WHZ17" s="573"/>
      <c r="WIA17" s="573"/>
      <c r="WIB17" s="573"/>
      <c r="WIC17" s="573"/>
      <c r="WID17" s="573"/>
      <c r="WIE17" s="573"/>
      <c r="WIF17" s="573"/>
      <c r="WIG17" s="573"/>
      <c r="WIH17" s="573"/>
      <c r="WII17" s="573"/>
      <c r="WIJ17" s="573"/>
      <c r="WIK17" s="573"/>
      <c r="WIL17" s="573"/>
      <c r="WIM17" s="573"/>
      <c r="WIN17" s="573"/>
      <c r="WIO17" s="573"/>
      <c r="WIP17" s="573"/>
      <c r="WIQ17" s="573"/>
      <c r="WIR17" s="573"/>
      <c r="WIS17" s="573"/>
      <c r="WIT17" s="573"/>
      <c r="WIU17" s="573"/>
      <c r="WIV17" s="573"/>
      <c r="WIW17" s="573"/>
      <c r="WIX17" s="573"/>
      <c r="WIY17" s="573"/>
      <c r="WIZ17" s="573"/>
      <c r="WJA17" s="573"/>
      <c r="WJB17" s="573"/>
      <c r="WJC17" s="573"/>
      <c r="WJD17" s="573"/>
      <c r="WJE17" s="573"/>
      <c r="WJF17" s="573"/>
      <c r="WJG17" s="573"/>
      <c r="WJH17" s="573"/>
      <c r="WJI17" s="573"/>
      <c r="WJJ17" s="573"/>
      <c r="WJK17" s="573"/>
      <c r="WJL17" s="573"/>
      <c r="WJM17" s="573"/>
      <c r="WJN17" s="573"/>
      <c r="WJO17" s="573"/>
      <c r="WJP17" s="573"/>
      <c r="WJQ17" s="573"/>
      <c r="WJR17" s="573"/>
      <c r="WJS17" s="573"/>
      <c r="WJT17" s="573"/>
      <c r="WJU17" s="573"/>
      <c r="WJV17" s="573"/>
      <c r="WJW17" s="573"/>
      <c r="WJX17" s="573"/>
      <c r="WJY17" s="573"/>
      <c r="WJZ17" s="573"/>
      <c r="WKA17" s="573"/>
      <c r="WKB17" s="573"/>
      <c r="WKC17" s="573"/>
      <c r="WKD17" s="573"/>
      <c r="WKE17" s="573"/>
      <c r="WKF17" s="573"/>
      <c r="WKG17" s="573"/>
      <c r="WKH17" s="573"/>
      <c r="WKI17" s="573"/>
      <c r="WKJ17" s="573"/>
      <c r="WKK17" s="573"/>
      <c r="WKL17" s="573"/>
      <c r="WKM17" s="573"/>
      <c r="WKN17" s="573"/>
      <c r="WKO17" s="573"/>
      <c r="WKP17" s="573"/>
      <c r="WKQ17" s="573"/>
      <c r="WKR17" s="573"/>
      <c r="WKS17" s="573"/>
      <c r="WKT17" s="573"/>
      <c r="WKU17" s="573"/>
      <c r="WKV17" s="573"/>
      <c r="WKW17" s="573"/>
      <c r="WKX17" s="573"/>
      <c r="WKY17" s="573"/>
      <c r="WKZ17" s="573"/>
      <c r="WLA17" s="573"/>
      <c r="WLB17" s="573"/>
      <c r="WLC17" s="573"/>
      <c r="WLD17" s="573"/>
      <c r="WLE17" s="573"/>
      <c r="WLF17" s="573"/>
      <c r="WLG17" s="573"/>
      <c r="WLH17" s="573"/>
      <c r="WLI17" s="573"/>
      <c r="WLJ17" s="573"/>
      <c r="WLK17" s="573"/>
      <c r="WLL17" s="573"/>
      <c r="WLM17" s="573"/>
      <c r="WLN17" s="573"/>
      <c r="WLO17" s="573"/>
      <c r="WLP17" s="573"/>
      <c r="WLQ17" s="573"/>
      <c r="WLR17" s="573"/>
      <c r="WLS17" s="573"/>
      <c r="WLT17" s="573"/>
      <c r="WLU17" s="573"/>
      <c r="WLV17" s="573"/>
      <c r="WLW17" s="573"/>
      <c r="WLX17" s="573"/>
      <c r="WLY17" s="573"/>
      <c r="WLZ17" s="573"/>
      <c r="WMA17" s="573"/>
      <c r="WMB17" s="573"/>
      <c r="WMC17" s="573"/>
      <c r="WMD17" s="573"/>
      <c r="WME17" s="573"/>
      <c r="WMF17" s="573"/>
      <c r="WMG17" s="573"/>
      <c r="WMH17" s="573"/>
      <c r="WMI17" s="573"/>
      <c r="WMJ17" s="573"/>
      <c r="WMK17" s="573"/>
      <c r="WML17" s="573"/>
      <c r="WMM17" s="573"/>
      <c r="WMN17" s="573"/>
      <c r="WMO17" s="573"/>
      <c r="WMP17" s="573"/>
      <c r="WMQ17" s="573"/>
      <c r="WMR17" s="573"/>
      <c r="WMS17" s="573"/>
      <c r="WMT17" s="573"/>
      <c r="WMU17" s="573"/>
      <c r="WMV17" s="573"/>
      <c r="WMW17" s="573"/>
      <c r="WMX17" s="573"/>
      <c r="WMY17" s="573"/>
      <c r="WMZ17" s="573"/>
      <c r="WNA17" s="573"/>
      <c r="WNB17" s="573"/>
      <c r="WNC17" s="573"/>
      <c r="WND17" s="573"/>
      <c r="WNE17" s="573"/>
      <c r="WNF17" s="573"/>
      <c r="WNG17" s="573"/>
      <c r="WNH17" s="573"/>
      <c r="WNI17" s="573"/>
      <c r="WNJ17" s="573"/>
      <c r="WNK17" s="573"/>
      <c r="WNL17" s="573"/>
      <c r="WNM17" s="573"/>
      <c r="WNN17" s="573"/>
      <c r="WNO17" s="573"/>
      <c r="WNP17" s="573"/>
      <c r="WNQ17" s="573"/>
      <c r="WNR17" s="573"/>
      <c r="WNS17" s="573"/>
      <c r="WNT17" s="573"/>
      <c r="WNU17" s="573"/>
      <c r="WNV17" s="573"/>
      <c r="WNW17" s="573"/>
      <c r="WNX17" s="573"/>
      <c r="WNY17" s="573"/>
      <c r="WNZ17" s="573"/>
      <c r="WOA17" s="573"/>
      <c r="WOB17" s="573"/>
      <c r="WOC17" s="573"/>
      <c r="WOD17" s="573"/>
      <c r="WOE17" s="573"/>
      <c r="WOF17" s="573"/>
      <c r="WOG17" s="573"/>
      <c r="WOH17" s="573"/>
      <c r="WOI17" s="573"/>
      <c r="WOJ17" s="573"/>
      <c r="WOK17" s="573"/>
      <c r="WOL17" s="573"/>
      <c r="WOM17" s="573"/>
      <c r="WON17" s="573"/>
      <c r="WOO17" s="573"/>
      <c r="WOP17" s="573"/>
      <c r="WOQ17" s="573"/>
      <c r="WOR17" s="573"/>
      <c r="WOS17" s="573"/>
      <c r="WOT17" s="573"/>
      <c r="WOU17" s="573"/>
      <c r="WOV17" s="573"/>
      <c r="WOW17" s="573"/>
      <c r="WOX17" s="573"/>
      <c r="WOY17" s="573"/>
      <c r="WOZ17" s="573"/>
      <c r="WPA17" s="573"/>
      <c r="WPB17" s="573"/>
      <c r="WPC17" s="573"/>
      <c r="WPD17" s="573"/>
      <c r="WPE17" s="573"/>
      <c r="WPF17" s="573"/>
      <c r="WPG17" s="573"/>
      <c r="WPH17" s="573"/>
      <c r="WPI17" s="573"/>
      <c r="WPJ17" s="573"/>
      <c r="WPK17" s="573"/>
      <c r="WPL17" s="573"/>
      <c r="WPM17" s="573"/>
      <c r="WPN17" s="573"/>
      <c r="WPO17" s="573"/>
      <c r="WPP17" s="573"/>
      <c r="WPQ17" s="573"/>
      <c r="WPR17" s="573"/>
      <c r="WPS17" s="573"/>
      <c r="WPT17" s="573"/>
      <c r="WPU17" s="573"/>
      <c r="WPV17" s="573"/>
      <c r="WPW17" s="573"/>
      <c r="WPX17" s="573"/>
      <c r="WPY17" s="573"/>
      <c r="WPZ17" s="573"/>
      <c r="WQA17" s="573"/>
      <c r="WQB17" s="573"/>
      <c r="WQC17" s="573"/>
      <c r="WQD17" s="573"/>
      <c r="WQE17" s="573"/>
      <c r="WQF17" s="573"/>
      <c r="WQG17" s="573"/>
      <c r="WQH17" s="573"/>
      <c r="WQI17" s="573"/>
      <c r="WQJ17" s="573"/>
      <c r="WQK17" s="573"/>
      <c r="WQL17" s="573"/>
      <c r="WQM17" s="573"/>
      <c r="WQN17" s="573"/>
      <c r="WQO17" s="573"/>
      <c r="WQP17" s="573"/>
      <c r="WQQ17" s="573"/>
      <c r="WQR17" s="573"/>
      <c r="WQS17" s="573"/>
      <c r="WQT17" s="573"/>
      <c r="WQU17" s="573"/>
      <c r="WQV17" s="573"/>
      <c r="WQW17" s="573"/>
      <c r="WQX17" s="573"/>
      <c r="WQY17" s="573"/>
      <c r="WQZ17" s="573"/>
      <c r="WRA17" s="573"/>
      <c r="WRB17" s="573"/>
      <c r="WRC17" s="573"/>
      <c r="WRD17" s="573"/>
      <c r="WRE17" s="573"/>
      <c r="WRF17" s="573"/>
      <c r="WRG17" s="573"/>
      <c r="WRH17" s="573"/>
      <c r="WRI17" s="573"/>
      <c r="WRJ17" s="573"/>
      <c r="WRK17" s="573"/>
      <c r="WRL17" s="573"/>
      <c r="WRM17" s="573"/>
      <c r="WRN17" s="573"/>
      <c r="WRO17" s="573"/>
      <c r="WRP17" s="573"/>
      <c r="WRQ17" s="573"/>
      <c r="WRR17" s="573"/>
      <c r="WRS17" s="573"/>
      <c r="WRT17" s="573"/>
      <c r="WRU17" s="573"/>
      <c r="WRV17" s="573"/>
      <c r="WRW17" s="573"/>
      <c r="WRX17" s="573"/>
      <c r="WRY17" s="573"/>
      <c r="WRZ17" s="573"/>
      <c r="WSA17" s="573"/>
      <c r="WSB17" s="573"/>
      <c r="WSC17" s="573"/>
      <c r="WSD17" s="573"/>
      <c r="WSE17" s="573"/>
      <c r="WSF17" s="573"/>
      <c r="WSG17" s="573"/>
      <c r="WSH17" s="573"/>
      <c r="WSI17" s="573"/>
      <c r="WSJ17" s="573"/>
      <c r="WSK17" s="573"/>
      <c r="WSL17" s="573"/>
      <c r="WSM17" s="573"/>
      <c r="WSN17" s="573"/>
      <c r="WSO17" s="573"/>
      <c r="WSP17" s="573"/>
      <c r="WSQ17" s="573"/>
      <c r="WSR17" s="573"/>
      <c r="WSS17" s="573"/>
      <c r="WST17" s="573"/>
      <c r="WSU17" s="573"/>
      <c r="WSV17" s="573"/>
      <c r="WSW17" s="573"/>
      <c r="WSX17" s="573"/>
      <c r="WSY17" s="573"/>
      <c r="WSZ17" s="573"/>
      <c r="WTA17" s="573"/>
      <c r="WTB17" s="573"/>
      <c r="WTC17" s="573"/>
      <c r="WTD17" s="573"/>
      <c r="WTE17" s="573"/>
      <c r="WTF17" s="573"/>
      <c r="WTG17" s="573"/>
      <c r="WTH17" s="573"/>
      <c r="WTI17" s="573"/>
      <c r="WTJ17" s="573"/>
      <c r="WTK17" s="573"/>
      <c r="WTL17" s="573"/>
      <c r="WTM17" s="573"/>
      <c r="WTN17" s="573"/>
      <c r="WTO17" s="573"/>
      <c r="WTP17" s="573"/>
      <c r="WTQ17" s="573"/>
      <c r="WTR17" s="573"/>
      <c r="WTS17" s="573"/>
      <c r="WTT17" s="573"/>
      <c r="WTU17" s="573"/>
      <c r="WTV17" s="573"/>
      <c r="WTW17" s="573"/>
      <c r="WTX17" s="573"/>
      <c r="WTY17" s="573"/>
      <c r="WTZ17" s="573"/>
      <c r="WUA17" s="573"/>
      <c r="WUB17" s="573"/>
      <c r="WUC17" s="573"/>
      <c r="WUD17" s="573"/>
      <c r="WUE17" s="573"/>
      <c r="WUF17" s="573"/>
      <c r="WUG17" s="573"/>
      <c r="WUH17" s="573"/>
      <c r="WUI17" s="573"/>
      <c r="WUJ17" s="573"/>
      <c r="WUK17" s="573"/>
      <c r="WUL17" s="573"/>
      <c r="WUM17" s="573"/>
      <c r="WUN17" s="573"/>
      <c r="WUO17" s="573"/>
      <c r="WUP17" s="573"/>
      <c r="WUQ17" s="573"/>
      <c r="WUR17" s="573"/>
      <c r="WUS17" s="573"/>
      <c r="WUT17" s="573"/>
      <c r="WUU17" s="573"/>
      <c r="WUV17" s="573"/>
      <c r="WUW17" s="573"/>
      <c r="WUX17" s="573"/>
      <c r="WUY17" s="573"/>
      <c r="WUZ17" s="573"/>
      <c r="WVA17" s="573"/>
      <c r="WVB17" s="573"/>
      <c r="WVC17" s="573"/>
      <c r="WVD17" s="573"/>
      <c r="WVE17" s="573"/>
      <c r="WVF17" s="573"/>
      <c r="WVG17" s="573"/>
      <c r="WVH17" s="573"/>
      <c r="WVI17" s="573"/>
      <c r="WVJ17" s="573"/>
      <c r="WVK17" s="573"/>
      <c r="WVL17" s="573"/>
      <c r="WVM17" s="573"/>
      <c r="WVN17" s="573"/>
      <c r="WVO17" s="573"/>
      <c r="WVP17" s="573"/>
      <c r="WVQ17" s="573"/>
      <c r="WVR17" s="573"/>
      <c r="WVS17" s="573"/>
      <c r="WVT17" s="573"/>
      <c r="WVU17" s="573"/>
      <c r="WVV17" s="573"/>
      <c r="WVW17" s="573"/>
      <c r="WVX17" s="573"/>
      <c r="WVY17" s="573"/>
      <c r="WVZ17" s="573"/>
      <c r="WWA17" s="573"/>
      <c r="WWB17" s="573"/>
      <c r="WWC17" s="573"/>
      <c r="WWD17" s="573"/>
      <c r="WWE17" s="573"/>
      <c r="WWF17" s="573"/>
      <c r="WWG17" s="573"/>
      <c r="WWH17" s="573"/>
      <c r="WWI17" s="573"/>
      <c r="WWJ17" s="573"/>
      <c r="WWK17" s="573"/>
      <c r="WWL17" s="573"/>
      <c r="WWM17" s="573"/>
      <c r="WWN17" s="573"/>
      <c r="WWO17" s="573"/>
      <c r="WWP17" s="573"/>
      <c r="WWQ17" s="573"/>
      <c r="WWR17" s="573"/>
      <c r="WWS17" s="573"/>
      <c r="WWT17" s="573"/>
      <c r="WWU17" s="573"/>
      <c r="WWV17" s="573"/>
      <c r="WWW17" s="573"/>
      <c r="WWX17" s="573"/>
      <c r="WWY17" s="573"/>
      <c r="WWZ17" s="573"/>
      <c r="WXA17" s="573"/>
      <c r="WXB17" s="573"/>
      <c r="WXC17" s="573"/>
      <c r="WXD17" s="573"/>
      <c r="WXE17" s="573"/>
      <c r="WXF17" s="573"/>
      <c r="WXG17" s="573"/>
      <c r="WXH17" s="573"/>
      <c r="WXI17" s="573"/>
      <c r="WXJ17" s="573"/>
      <c r="WXK17" s="573"/>
      <c r="WXL17" s="573"/>
      <c r="WXM17" s="573"/>
      <c r="WXN17" s="573"/>
      <c r="WXO17" s="573"/>
      <c r="WXP17" s="573"/>
      <c r="WXQ17" s="573"/>
      <c r="WXR17" s="573"/>
      <c r="WXS17" s="573"/>
      <c r="WXT17" s="573"/>
      <c r="WXU17" s="573"/>
      <c r="WXV17" s="573"/>
      <c r="WXW17" s="573"/>
      <c r="WXX17" s="573"/>
      <c r="WXY17" s="573"/>
      <c r="WXZ17" s="573"/>
      <c r="WYA17" s="573"/>
      <c r="WYB17" s="573"/>
      <c r="WYC17" s="573"/>
      <c r="WYD17" s="573"/>
      <c r="WYE17" s="573"/>
      <c r="WYF17" s="573"/>
      <c r="WYG17" s="573"/>
      <c r="WYH17" s="573"/>
      <c r="WYI17" s="573"/>
      <c r="WYJ17" s="573"/>
      <c r="WYK17" s="573"/>
      <c r="WYL17" s="573"/>
      <c r="WYM17" s="573"/>
      <c r="WYN17" s="573"/>
      <c r="WYO17" s="573"/>
      <c r="WYP17" s="573"/>
      <c r="WYQ17" s="573"/>
      <c r="WYR17" s="573"/>
      <c r="WYS17" s="573"/>
      <c r="WYT17" s="573"/>
      <c r="WYU17" s="573"/>
      <c r="WYV17" s="573"/>
      <c r="WYW17" s="573"/>
      <c r="WYX17" s="573"/>
      <c r="WYY17" s="573"/>
      <c r="WYZ17" s="573"/>
      <c r="WZA17" s="573"/>
      <c r="WZB17" s="573"/>
      <c r="WZC17" s="573"/>
      <c r="WZD17" s="573"/>
      <c r="WZE17" s="573"/>
      <c r="WZF17" s="573"/>
      <c r="WZG17" s="573"/>
      <c r="WZH17" s="573"/>
      <c r="WZI17" s="573"/>
      <c r="WZJ17" s="573"/>
      <c r="WZK17" s="573"/>
      <c r="WZL17" s="573"/>
      <c r="WZM17" s="573"/>
      <c r="WZN17" s="573"/>
      <c r="WZO17" s="573"/>
      <c r="WZP17" s="573"/>
      <c r="WZQ17" s="573"/>
      <c r="WZR17" s="573"/>
      <c r="WZS17" s="573"/>
      <c r="WZT17" s="573"/>
      <c r="WZU17" s="573"/>
      <c r="WZV17" s="573"/>
      <c r="WZW17" s="573"/>
      <c r="WZX17" s="573"/>
      <c r="WZY17" s="573"/>
      <c r="WZZ17" s="573"/>
      <c r="XAA17" s="573"/>
      <c r="XAB17" s="573"/>
      <c r="XAC17" s="573"/>
      <c r="XAD17" s="573"/>
      <c r="XAE17" s="573"/>
      <c r="XAF17" s="573"/>
      <c r="XAG17" s="573"/>
      <c r="XAH17" s="573"/>
      <c r="XAI17" s="573"/>
      <c r="XAJ17" s="573"/>
      <c r="XAK17" s="573"/>
      <c r="XAL17" s="573"/>
      <c r="XAM17" s="573"/>
      <c r="XAN17" s="573"/>
      <c r="XAO17" s="573"/>
      <c r="XAP17" s="573"/>
      <c r="XAQ17" s="573"/>
      <c r="XAR17" s="573"/>
      <c r="XAS17" s="573"/>
      <c r="XAT17" s="573"/>
      <c r="XAU17" s="573"/>
      <c r="XAV17" s="573"/>
      <c r="XAW17" s="573"/>
      <c r="XAX17" s="573"/>
      <c r="XAY17" s="573"/>
      <c r="XAZ17" s="573"/>
      <c r="XBA17" s="573"/>
      <c r="XBB17" s="573"/>
      <c r="XBC17" s="573"/>
      <c r="XBD17" s="573"/>
      <c r="XBE17" s="573"/>
      <c r="XBF17" s="573"/>
      <c r="XBG17" s="573"/>
      <c r="XBH17" s="573"/>
      <c r="XBI17" s="573"/>
      <c r="XBJ17" s="573"/>
      <c r="XBK17" s="573"/>
      <c r="XBL17" s="573"/>
      <c r="XBM17" s="573"/>
      <c r="XBN17" s="573"/>
      <c r="XBO17" s="573"/>
      <c r="XBP17" s="573"/>
      <c r="XBQ17" s="573"/>
      <c r="XBR17" s="573"/>
      <c r="XBS17" s="573"/>
      <c r="XBT17" s="573"/>
      <c r="XBU17" s="573"/>
      <c r="XBV17" s="573"/>
      <c r="XBW17" s="573"/>
      <c r="XBX17" s="573"/>
      <c r="XBY17" s="573"/>
      <c r="XBZ17" s="573"/>
      <c r="XCA17" s="573"/>
      <c r="XCB17" s="573"/>
      <c r="XCC17" s="573"/>
      <c r="XCD17" s="573"/>
      <c r="XCE17" s="573"/>
      <c r="XCF17" s="573"/>
      <c r="XCG17" s="573"/>
      <c r="XCH17" s="573"/>
      <c r="XCI17" s="573"/>
      <c r="XCJ17" s="573"/>
      <c r="XCK17" s="573"/>
      <c r="XCL17" s="573"/>
      <c r="XCM17" s="573"/>
      <c r="XCN17" s="573"/>
      <c r="XCO17" s="573"/>
      <c r="XCP17" s="573"/>
      <c r="XCQ17" s="573"/>
      <c r="XCR17" s="573"/>
      <c r="XCS17" s="573"/>
      <c r="XCT17" s="573"/>
      <c r="XCU17" s="573"/>
      <c r="XCV17" s="573"/>
      <c r="XCW17" s="573"/>
      <c r="XCX17" s="573"/>
      <c r="XCY17" s="573"/>
      <c r="XCZ17" s="573"/>
      <c r="XDA17" s="573"/>
      <c r="XDB17" s="573"/>
      <c r="XDC17" s="573"/>
      <c r="XDD17" s="573"/>
      <c r="XDE17" s="573"/>
      <c r="XDF17" s="573"/>
      <c r="XDG17" s="573"/>
      <c r="XDH17" s="573"/>
      <c r="XDI17" s="573"/>
      <c r="XDJ17" s="573"/>
      <c r="XDK17" s="573"/>
      <c r="XDL17" s="573"/>
      <c r="XDM17" s="573"/>
      <c r="XDN17" s="573"/>
      <c r="XDO17" s="573"/>
      <c r="XDP17" s="573"/>
      <c r="XDQ17" s="573"/>
      <c r="XDR17" s="573"/>
      <c r="XDS17" s="573"/>
      <c r="XDT17" s="573"/>
      <c r="XDU17" s="573"/>
      <c r="XDV17" s="573"/>
      <c r="XDW17" s="573"/>
      <c r="XDX17" s="573"/>
      <c r="XDY17" s="573"/>
      <c r="XDZ17" s="573"/>
      <c r="XEA17" s="573"/>
      <c r="XEB17" s="573"/>
      <c r="XEC17" s="573"/>
      <c r="XED17" s="573"/>
      <c r="XEE17" s="573"/>
      <c r="XEF17" s="573"/>
      <c r="XEG17" s="573"/>
      <c r="XEH17" s="573"/>
      <c r="XEI17" s="573"/>
      <c r="XEJ17" s="573"/>
      <c r="XEK17" s="573"/>
      <c r="XEL17" s="573"/>
      <c r="XEM17" s="573"/>
      <c r="XEN17" s="573"/>
      <c r="XEO17" s="573"/>
      <c r="XEP17" s="573"/>
      <c r="XEQ17" s="573"/>
      <c r="XER17" s="573"/>
      <c r="XES17" s="573"/>
      <c r="XET17" s="573"/>
      <c r="XEU17" s="573"/>
      <c r="XEV17" s="573"/>
      <c r="XEW17" s="573"/>
      <c r="XEX17" s="573"/>
      <c r="XEY17" s="573"/>
      <c r="XEZ17" s="573"/>
      <c r="XFA17" s="573"/>
      <c r="XFB17" s="573"/>
      <c r="XFC17" s="573"/>
      <c r="XFD17" s="573"/>
    </row>
    <row r="19" spans="1:16384" hidden="1"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16384" hidden="1"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16384"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16384"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16384"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16384"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16384"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16384"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16384"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16384"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16384"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16384"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16384"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16384"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7" si="10">IFERROR(INDEX(B$1:B$85,MATCH(A300,A$1:A$85,0)),"")</f>
        <v>Hillar Neiland, Kaspar Mänd</v>
      </c>
      <c r="C300" s="734">
        <f t="shared" ref="C300:C307" si="11">LARGE(A$300:A$399,1)*2+2-A300*2</f>
        <v>16</v>
      </c>
    </row>
    <row r="301" spans="1:40" x14ac:dyDescent="0.2">
      <c r="A301" s="627">
        <v>2</v>
      </c>
      <c r="B301" s="628" t="str">
        <f t="shared" si="10"/>
        <v>Kenneth Muusikus, Sander Rose</v>
      </c>
      <c r="C301" s="734">
        <f t="shared" si="11"/>
        <v>14</v>
      </c>
    </row>
    <row r="302" spans="1:40" x14ac:dyDescent="0.2">
      <c r="A302" s="627">
        <v>3</v>
      </c>
      <c r="B302" s="628" t="str">
        <f t="shared" si="10"/>
        <v>Henri Mitt, Urmas Randlaine</v>
      </c>
      <c r="C302" s="734">
        <f t="shared" si="11"/>
        <v>12</v>
      </c>
    </row>
    <row r="303" spans="1:40" x14ac:dyDescent="0.2">
      <c r="A303" s="627">
        <v>4</v>
      </c>
      <c r="B303" s="628" t="str">
        <f t="shared" si="10"/>
        <v>Oksana Rõndenkova, Oleg Rõndenkov</v>
      </c>
      <c r="C303" s="734">
        <f t="shared" si="11"/>
        <v>10</v>
      </c>
    </row>
    <row r="304" spans="1:40" x14ac:dyDescent="0.2">
      <c r="A304" s="627">
        <v>5</v>
      </c>
      <c r="B304" s="628" t="str">
        <f t="shared" si="10"/>
        <v>Andres Veski, Tõnu Kapper</v>
      </c>
      <c r="C304" s="734">
        <f t="shared" si="11"/>
        <v>8</v>
      </c>
    </row>
    <row r="305" spans="1:3" x14ac:dyDescent="0.2">
      <c r="A305" s="627">
        <v>6</v>
      </c>
      <c r="B305" s="628" t="str">
        <f t="shared" si="10"/>
        <v>Kristel Tihhonjuk, Vadim Tihhonjuk</v>
      </c>
      <c r="C305" s="734">
        <f t="shared" si="11"/>
        <v>6</v>
      </c>
    </row>
    <row r="306" spans="1:3" x14ac:dyDescent="0.2">
      <c r="A306" s="627">
        <v>7</v>
      </c>
      <c r="B306" s="628" t="str">
        <f t="shared" si="10"/>
        <v>Enn Tokman, Johannes Neiland, Oliver Ojasalu</v>
      </c>
      <c r="C306" s="734">
        <f t="shared" si="11"/>
        <v>4</v>
      </c>
    </row>
    <row r="307" spans="1:3" x14ac:dyDescent="0.2">
      <c r="A307" s="627">
        <v>8</v>
      </c>
      <c r="B307" s="628" t="str">
        <f t="shared" si="10"/>
        <v>Jaan Saar, Sirje Maala</v>
      </c>
      <c r="C307" s="734">
        <f t="shared" si="11"/>
        <v>2</v>
      </c>
    </row>
    <row r="309" spans="1:3" x14ac:dyDescent="0.2">
      <c r="C309" s="734"/>
    </row>
    <row r="310" spans="1:3" x14ac:dyDescent="0.2">
      <c r="C310" s="734"/>
    </row>
    <row r="311" spans="1:3" x14ac:dyDescent="0.2">
      <c r="C311" s="734"/>
    </row>
  </sheetData>
  <conditionalFormatting sqref="C8:C15">
    <cfRule type="expression" dxfId="291" priority="18">
      <formula>IF($C8&gt;$E8,TRUE)</formula>
    </cfRule>
  </conditionalFormatting>
  <conditionalFormatting sqref="E8:E15">
    <cfRule type="expression" dxfId="290" priority="19">
      <formula>IF($C8&lt;$E8,TRUE)</formula>
    </cfRule>
  </conditionalFormatting>
  <conditionalFormatting sqref="K8:K15">
    <cfRule type="expression" dxfId="289" priority="26">
      <formula>IF($K8&gt;$M8,TRUE)</formula>
    </cfRule>
  </conditionalFormatting>
  <conditionalFormatting sqref="M8:M15">
    <cfRule type="expression" dxfId="288" priority="27">
      <formula>IF($K8&lt;$M8,TRUE)</formula>
    </cfRule>
  </conditionalFormatting>
  <conditionalFormatting sqref="O8:O15">
    <cfRule type="expression" dxfId="287" priority="30">
      <formula>IF($O8&gt;$Q8,TRUE)</formula>
    </cfRule>
  </conditionalFormatting>
  <conditionalFormatting sqref="Q8:Q15">
    <cfRule type="expression" dxfId="286" priority="31">
      <formula>IF($O8&lt;$Q8,TRUE)</formula>
    </cfRule>
  </conditionalFormatting>
  <conditionalFormatting sqref="S8:S15">
    <cfRule type="expression" dxfId="285" priority="34">
      <formula>IF($S8&gt;$U8,TRUE)</formula>
    </cfRule>
  </conditionalFormatting>
  <conditionalFormatting sqref="U8:U15">
    <cfRule type="expression" dxfId="284" priority="35">
      <formula>IF($S8&lt;$U8,TRUE)</formula>
    </cfRule>
  </conditionalFormatting>
  <conditionalFormatting sqref="G8:G15">
    <cfRule type="expression" dxfId="283" priority="22">
      <formula>IF($G8&gt;$I8,TRUE)</formula>
    </cfRule>
  </conditionalFormatting>
  <conditionalFormatting sqref="I8:I15">
    <cfRule type="expression" dxfId="282" priority="23">
      <formula>IF($G8&lt;$I8,TRUE)</formula>
    </cfRule>
  </conditionalFormatting>
  <conditionalFormatting sqref="F8:F15">
    <cfRule type="containsText" dxfId="281" priority="9" operator="containsText" text="vaba voor">
      <formula>NOT(ISERROR(SEARCH("vaba voor",F8)))</formula>
    </cfRule>
  </conditionalFormatting>
  <conditionalFormatting sqref="N8:N15">
    <cfRule type="containsText" dxfId="280" priority="7" operator="containsText" text="vaba voor">
      <formula>NOT(ISERROR(SEARCH("vaba voor",N8)))</formula>
    </cfRule>
  </conditionalFormatting>
  <conditionalFormatting sqref="R8:R15">
    <cfRule type="containsText" dxfId="279" priority="10" operator="containsText" text="vaba voor">
      <formula>NOT(ISERROR(SEARCH("vaba voor",R8)))</formula>
    </cfRule>
  </conditionalFormatting>
  <conditionalFormatting sqref="V8:V15">
    <cfRule type="containsText" dxfId="278" priority="6" operator="containsText" text="vaba voor">
      <formula>NOT(ISERROR(SEARCH("vaba voor",V8)))</formula>
    </cfRule>
  </conditionalFormatting>
  <conditionalFormatting sqref="J8:J15">
    <cfRule type="containsText" dxfId="277" priority="8" operator="containsText" text="vaba voor">
      <formula>NOT(ISERROR(SEARCH("vaba voor",J8)))</formula>
    </cfRule>
  </conditionalFormatting>
  <conditionalFormatting sqref="C8:F15">
    <cfRule type="expression" dxfId="276" priority="14">
      <formula>IF(AND(ISNUMBER($C8),$C8=$E8),TRUE)</formula>
    </cfRule>
    <cfRule type="expression" dxfId="275" priority="16">
      <formula>IF($C8&gt;$E8,TRUE)</formula>
    </cfRule>
    <cfRule type="expression" dxfId="274" priority="17">
      <formula>IF($C8&lt;$E8,TRUE)</formula>
    </cfRule>
  </conditionalFormatting>
  <conditionalFormatting sqref="G8:J15">
    <cfRule type="expression" dxfId="273" priority="15">
      <formula>IF(AND(ISNUMBER($G8),$G8=$I8),TRUE)</formula>
    </cfRule>
    <cfRule type="expression" dxfId="272" priority="20">
      <formula>IF($G8&gt;$I8,TRUE)</formula>
    </cfRule>
    <cfRule type="expression" dxfId="271" priority="21">
      <formula>IF($G8&lt;$I8,TRUE)</formula>
    </cfRule>
  </conditionalFormatting>
  <conditionalFormatting sqref="K8:N15">
    <cfRule type="expression" dxfId="270" priority="13">
      <formula>IF(AND(ISNUMBER($K8),$K8=$M8),TRUE)</formula>
    </cfRule>
    <cfRule type="expression" dxfId="269" priority="24">
      <formula>IF($K8&gt;$M8,TRUE)</formula>
    </cfRule>
    <cfRule type="expression" dxfId="268" priority="25">
      <formula>IF($K8&lt;$M8,TRUE)</formula>
    </cfRule>
  </conditionalFormatting>
  <conditionalFormatting sqref="O8:R15">
    <cfRule type="expression" dxfId="267" priority="12">
      <formula>IF(AND(ISNUMBER($O8),$O8=$Q8),TRUE)</formula>
    </cfRule>
    <cfRule type="expression" dxfId="266" priority="28">
      <formula>IF($O8&gt;$Q8,TRUE)</formula>
    </cfRule>
    <cfRule type="expression" dxfId="265" priority="29">
      <formula>IF($O8&lt;$Q8,TRUE)</formula>
    </cfRule>
  </conditionalFormatting>
  <conditionalFormatting sqref="S8:V15">
    <cfRule type="expression" dxfId="264" priority="11">
      <formula>IF(AND(ISNUMBER($S8),$S8=$U8),TRUE)</formula>
    </cfRule>
    <cfRule type="expression" dxfId="263" priority="32">
      <formula>IF($S8&gt;$U8,TRUE)</formula>
    </cfRule>
    <cfRule type="expression" dxfId="262" priority="33">
      <formula>IF($S8&lt;$U8,TRUE)</formula>
    </cfRule>
  </conditionalFormatting>
  <conditionalFormatting sqref="C8:C15 G8:G15 K8:K15 O8:O15 S8:S15">
    <cfRule type="expression" dxfId="261" priority="4">
      <formula>AND(C8=0,E8=13)</formula>
    </cfRule>
  </conditionalFormatting>
  <conditionalFormatting sqref="E8:E15 I8:I15 M8:M15 Q8:Q15 U8:U15">
    <cfRule type="expression" dxfId="260" priority="5">
      <formula>AND(E8=0,C8=13)</formula>
    </cfRule>
  </conditionalFormatting>
  <conditionalFormatting sqref="AG8:AG15 AK8:AK15 AM8:AM15">
    <cfRule type="expression" dxfId="259" priority="1">
      <formula>AND(AF8="",COUNTIF(AG8,"*,*")=0)</formula>
    </cfRule>
  </conditionalFormatting>
  <conditionalFormatting sqref="AI8:AI15">
    <cfRule type="expression" dxfId="258" priority="2">
      <formula>AND(AH8="",FIND(",",AI8))</formula>
    </cfRule>
    <cfRule type="expression" dxfId="257" priority="3">
      <formula>AND(AH8="",COUNTIF(AI8,"*,*")=0)</formula>
    </cfRule>
  </conditionalFormatting>
  <conditionalFormatting sqref="A8:A15">
    <cfRule type="duplicateValues" dxfId="256" priority="36"/>
  </conditionalFormatting>
  <conditionalFormatting sqref="A300:A307">
    <cfRule type="duplicateValues" dxfId="255" priority="2372"/>
  </conditionalFormatting>
  <conditionalFormatting sqref="B300:B307">
    <cfRule type="expression" dxfId="254" priority="2373">
      <formula>A300=3</formula>
    </cfRule>
    <cfRule type="expression" dxfId="253" priority="2374">
      <formula>A300=2</formula>
    </cfRule>
    <cfRule type="expression" dxfId="252" priority="2375">
      <formula>A300=1</formula>
    </cfRule>
    <cfRule type="containsBlanks" dxfId="251" priority="2376">
      <formula>LEN(TRIM(B300))=0</formula>
    </cfRule>
    <cfRule type="duplicateValues" dxfId="250" priority="2377"/>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N310"/>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9.140625" style="581" hidden="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15.2851562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16384" width="9.140625" style="581"/>
  </cols>
  <sheetData>
    <row r="1" spans="1:40" x14ac:dyDescent="0.2">
      <c r="A1" s="572" t="str">
        <f>UPPER((Kalend!E36)&amp;" - "&amp;(Kalend!C36)&amp;" - "&amp;(Kalend!D36))</f>
        <v>V10 - VOKA IX KV 10. ETAPP - 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"&amp;(Kalend!A36)&amp;" kell "&amp;(Kalend!B36)</f>
        <v>Toimumisaeg: T, 20.09.2022 kell 18:00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"&amp;(Kalend!F36)</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"&amp;(Kalend!G36)</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660</v>
      </c>
      <c r="C8" s="613">
        <v>11</v>
      </c>
      <c r="D8" s="614" t="s">
        <v>288</v>
      </c>
      <c r="E8" s="614">
        <v>9</v>
      </c>
      <c r="F8" s="636" t="s">
        <v>292</v>
      </c>
      <c r="G8" s="613">
        <v>13</v>
      </c>
      <c r="H8" s="614" t="s">
        <v>288</v>
      </c>
      <c r="I8" s="614">
        <v>5</v>
      </c>
      <c r="J8" s="636" t="s">
        <v>526</v>
      </c>
      <c r="K8" s="613">
        <v>13</v>
      </c>
      <c r="L8" s="614" t="s">
        <v>288</v>
      </c>
      <c r="M8" s="614">
        <v>2</v>
      </c>
      <c r="N8" s="636" t="s">
        <v>655</v>
      </c>
      <c r="O8" s="613">
        <v>13</v>
      </c>
      <c r="P8" s="614" t="s">
        <v>288</v>
      </c>
      <c r="Q8" s="614">
        <v>9</v>
      </c>
      <c r="R8" s="636" t="s">
        <v>567</v>
      </c>
      <c r="S8" s="613"/>
      <c r="T8" s="614" t="s">
        <v>288</v>
      </c>
      <c r="U8" s="614"/>
      <c r="V8" s="636"/>
      <c r="W8" s="637">
        <f>IF(C8&gt;E8,J$3,IF(C8&lt;E8,J$5,IF(ISNUMBER(C8),J$4,0)))+IF(G8&gt;I8,J$3,IF(G8&lt;I8,J$5,IF(ISNUMBER(G8),J$4,0)))+IF(K8&gt;M8,J$3,IF(K8&lt;M8,J$5,IF(ISNUMBER(K8),J$4,0)))+IF(O8&gt;Q8,J$3,IF(O8&lt;Q8,J$5,IF(ISNUMBER(O8),J$4,0)))+IF(S8&gt;U8,J$3,IF(S8&lt;U8,J$5,IF(ISNUMBER(S8),J$4,0)))</f>
        <v>4</v>
      </c>
      <c r="X8" s="612">
        <v>18</v>
      </c>
      <c r="Y8" s="730">
        <v>30</v>
      </c>
      <c r="Z8" s="613">
        <f t="shared" ref="Z8:Z15" si="0">C8+G8+K8+O8+S8</f>
        <v>50</v>
      </c>
      <c r="AA8" s="614" t="s">
        <v>288</v>
      </c>
      <c r="AB8" s="615">
        <f t="shared" ref="AB8:AB15" si="1">E8+I8+M8+Q8+U8</f>
        <v>25</v>
      </c>
      <c r="AC8" s="616">
        <f>Z8-AB8</f>
        <v>25</v>
      </c>
      <c r="AD8" s="617"/>
      <c r="AE8" s="731">
        <f t="shared" ref="AE8" si="2">SUM(AF8:AM8)</f>
        <v>144</v>
      </c>
      <c r="AF8" s="732">
        <f>IFERROR(INDEX(V!R$7:R$56,MATCH(AG8,V!L$7:L$56,0)),"")</f>
        <v>48</v>
      </c>
      <c r="AG8" s="733" t="str">
        <f t="shared" ref="AG8:AG15" si="3">IFERROR(LEFT(B8,(FIND(",",B8,1)-1)),"")</f>
        <v>Oliver Ojasalu</v>
      </c>
      <c r="AH8" s="732">
        <f>IFERROR(INDEX(V!R$7:R$56,MATCH(AI8,V!L$7:L$56,0)),"")</f>
        <v>96</v>
      </c>
      <c r="AI8" s="733" t="str">
        <f t="shared" ref="AI8:AI15" si="4">IFERROR(MID(B8,FIND(", ",B8)+2,256),"")</f>
        <v>Tõnis Neiland</v>
      </c>
      <c r="AJ8" s="732" t="str">
        <f>IFERROR(INDEX(V!R$7:R$56,MATCH(AK8,V!L$7:L$56,0)),"")</f>
        <v/>
      </c>
      <c r="AK8" s="733" t="str">
        <f t="shared" ref="AK8:AK15" si="5">IFERROR(MID(B8,FIND("^",SUBSTITUTE(B8,", ","^",1))+2,FIND("^",SUBSTITUTE(B8,", ","^",2))-FIND("^",SUBSTITUTE(B8,", ","^",1))-2),"")</f>
        <v/>
      </c>
      <c r="AL8" s="732" t="str">
        <f>IFERROR(INDEX(V!R$7:R$56,MATCH(AM8,V!L$7:L$56,0)),"")</f>
        <v/>
      </c>
      <c r="AM8" s="733" t="str">
        <f t="shared" ref="AM8:AM15" si="6">IFERROR(MID(B8,FIND(", ",B8,FIND(", ",B8,FIND(", ",B8))+1)+2,700),"")</f>
        <v/>
      </c>
      <c r="AN8" s="573"/>
    </row>
    <row r="9" spans="1:40" x14ac:dyDescent="0.2">
      <c r="A9" s="634">
        <v>2</v>
      </c>
      <c r="B9" s="635" t="s">
        <v>655</v>
      </c>
      <c r="C9" s="613">
        <v>13</v>
      </c>
      <c r="D9" s="614" t="s">
        <v>288</v>
      </c>
      <c r="E9" s="614">
        <v>6</v>
      </c>
      <c r="F9" s="636" t="s">
        <v>294</v>
      </c>
      <c r="G9" s="613">
        <v>13</v>
      </c>
      <c r="H9" s="614" t="s">
        <v>288</v>
      </c>
      <c r="I9" s="614">
        <v>8</v>
      </c>
      <c r="J9" s="636" t="s">
        <v>477</v>
      </c>
      <c r="K9" s="613">
        <v>2</v>
      </c>
      <c r="L9" s="614" t="s">
        <v>288</v>
      </c>
      <c r="M9" s="614">
        <v>13</v>
      </c>
      <c r="N9" s="636" t="s">
        <v>660</v>
      </c>
      <c r="O9" s="613">
        <v>13</v>
      </c>
      <c r="P9" s="614" t="s">
        <v>288</v>
      </c>
      <c r="Q9" s="614">
        <v>4</v>
      </c>
      <c r="R9" s="636" t="s">
        <v>526</v>
      </c>
      <c r="S9" s="613"/>
      <c r="T9" s="614" t="s">
        <v>288</v>
      </c>
      <c r="U9" s="614"/>
      <c r="V9" s="636"/>
      <c r="W9" s="637">
        <f t="shared" ref="W9:W15" si="7">IF(C9&gt;E9,J$3,IF(C9&lt;E9,J$5,IF(ISNUMBER(C9),J$4,0)))+IF(G9&gt;I9,J$3,IF(G9&lt;I9,J$5,IF(ISNUMBER(G9),J$4,0)))+IF(K9&gt;M9,J$3,IF(K9&lt;M9,J$5,IF(ISNUMBER(K9),J$4,0)))+IF(O9&gt;Q9,J$3,IF(O9&lt;Q9,J$5,IF(ISNUMBER(O9),J$4,0)))+IF(S9&gt;U9,J$3,IF(S9&lt;U9,J$5,IF(ISNUMBER(S9),J$4,0)))</f>
        <v>3</v>
      </c>
      <c r="X9" s="612">
        <v>16</v>
      </c>
      <c r="Y9" s="730">
        <v>70</v>
      </c>
      <c r="Z9" s="613">
        <f t="shared" si="0"/>
        <v>41</v>
      </c>
      <c r="AA9" s="614" t="s">
        <v>288</v>
      </c>
      <c r="AB9" s="615">
        <f t="shared" si="1"/>
        <v>31</v>
      </c>
      <c r="AC9" s="616">
        <f t="shared" ref="AC9:AC15" si="8">Z9-AB9</f>
        <v>10</v>
      </c>
      <c r="AD9" s="617"/>
      <c r="AE9" s="731">
        <f t="shared" ref="AE9:AE15" si="9">SUM(AF9:AM9)</f>
        <v>212</v>
      </c>
      <c r="AF9" s="732">
        <f>IFERROR(INDEX(V!R$7:R$56,MATCH(AG9,V!L$7:L$56,0)),"")</f>
        <v>108</v>
      </c>
      <c r="AG9" s="733" t="str">
        <f t="shared" si="3"/>
        <v>Hillar Neiland</v>
      </c>
      <c r="AH9" s="732">
        <f>IFERROR(INDEX(V!R$7:R$56,MATCH(AI9,V!L$7:L$56,0)),"")</f>
        <v>104</v>
      </c>
      <c r="AI9" s="733" t="str">
        <f t="shared" si="4"/>
        <v>Kaspar Mänd</v>
      </c>
      <c r="AJ9" s="732" t="str">
        <f>IFERROR(INDEX(V!R$7:R$56,MATCH(AK9,V!L$7:L$56,0)),"")</f>
        <v/>
      </c>
      <c r="AK9" s="733" t="str">
        <f t="shared" si="5"/>
        <v/>
      </c>
      <c r="AL9" s="732" t="str">
        <f>IFERROR(INDEX(V!R$7:R$56,MATCH(AM9,V!L$7:L$56,0)),"")</f>
        <v/>
      </c>
      <c r="AM9" s="733" t="str">
        <f t="shared" si="6"/>
        <v/>
      </c>
      <c r="AN9" s="573"/>
    </row>
    <row r="10" spans="1:40" x14ac:dyDescent="0.2">
      <c r="A10" s="634">
        <v>3</v>
      </c>
      <c r="B10" s="635" t="s">
        <v>526</v>
      </c>
      <c r="C10" s="613">
        <v>13</v>
      </c>
      <c r="D10" s="614" t="s">
        <v>288</v>
      </c>
      <c r="E10" s="614">
        <v>6</v>
      </c>
      <c r="F10" s="636" t="s">
        <v>567</v>
      </c>
      <c r="G10" s="613">
        <v>5</v>
      </c>
      <c r="H10" s="614" t="s">
        <v>288</v>
      </c>
      <c r="I10" s="614">
        <v>13</v>
      </c>
      <c r="J10" s="636" t="s">
        <v>660</v>
      </c>
      <c r="K10" s="613">
        <v>9</v>
      </c>
      <c r="L10" s="614" t="s">
        <v>288</v>
      </c>
      <c r="M10" s="614">
        <v>6</v>
      </c>
      <c r="N10" s="636" t="s">
        <v>294</v>
      </c>
      <c r="O10" s="613">
        <v>4</v>
      </c>
      <c r="P10" s="614" t="s">
        <v>288</v>
      </c>
      <c r="Q10" s="614">
        <v>13</v>
      </c>
      <c r="R10" s="636" t="s">
        <v>655</v>
      </c>
      <c r="S10" s="613"/>
      <c r="T10" s="614" t="s">
        <v>288</v>
      </c>
      <c r="U10" s="614"/>
      <c r="V10" s="636"/>
      <c r="W10" s="637">
        <f t="shared" si="7"/>
        <v>2</v>
      </c>
      <c r="X10" s="612">
        <v>20</v>
      </c>
      <c r="Y10" s="730">
        <v>66</v>
      </c>
      <c r="Z10" s="613">
        <f t="shared" si="0"/>
        <v>31</v>
      </c>
      <c r="AA10" s="614" t="s">
        <v>288</v>
      </c>
      <c r="AB10" s="615">
        <f t="shared" si="1"/>
        <v>38</v>
      </c>
      <c r="AC10" s="616">
        <f t="shared" si="8"/>
        <v>-7</v>
      </c>
      <c r="AD10" s="617"/>
      <c r="AE10" s="731">
        <f t="shared" si="9"/>
        <v>152</v>
      </c>
      <c r="AF10" s="732">
        <f>IFERROR(INDEX(V!R$7:R$56,MATCH(AG10,V!L$7:L$56,0)),"")</f>
        <v>76</v>
      </c>
      <c r="AG10" s="733" t="str">
        <f t="shared" si="3"/>
        <v>Olav Türk</v>
      </c>
      <c r="AH10" s="732">
        <f>IFERROR(INDEX(V!R$7:R$56,MATCH(AI10,V!L$7:L$56,0)),"")</f>
        <v>76</v>
      </c>
      <c r="AI10" s="733" t="str">
        <f t="shared" si="4"/>
        <v>Sirje Maala</v>
      </c>
      <c r="AJ10" s="732" t="str">
        <f>IFERROR(INDEX(V!R$7:R$56,MATCH(AK10,V!L$7:L$56,0)),"")</f>
        <v/>
      </c>
      <c r="AK10" s="733" t="str">
        <f t="shared" si="5"/>
        <v/>
      </c>
      <c r="AL10" s="732" t="str">
        <f>IFERROR(INDEX(V!R$7:R$56,MATCH(AM10,V!L$7:L$56,0)),"")</f>
        <v/>
      </c>
      <c r="AM10" s="733" t="str">
        <f t="shared" si="6"/>
        <v/>
      </c>
      <c r="AN10" s="573"/>
    </row>
    <row r="11" spans="1:40" x14ac:dyDescent="0.2">
      <c r="A11" s="634">
        <v>4</v>
      </c>
      <c r="B11" s="635" t="s">
        <v>567</v>
      </c>
      <c r="C11" s="613">
        <v>6</v>
      </c>
      <c r="D11" s="614" t="s">
        <v>288</v>
      </c>
      <c r="E11" s="614">
        <v>13</v>
      </c>
      <c r="F11" s="636" t="s">
        <v>526</v>
      </c>
      <c r="G11" s="613">
        <v>13</v>
      </c>
      <c r="H11" s="614" t="s">
        <v>288</v>
      </c>
      <c r="I11" s="614">
        <v>8</v>
      </c>
      <c r="J11" s="636" t="s">
        <v>530</v>
      </c>
      <c r="K11" s="613">
        <v>13</v>
      </c>
      <c r="L11" s="614" t="s">
        <v>288</v>
      </c>
      <c r="M11" s="614">
        <v>9</v>
      </c>
      <c r="N11" s="636" t="s">
        <v>477</v>
      </c>
      <c r="O11" s="613">
        <v>9</v>
      </c>
      <c r="P11" s="614" t="s">
        <v>288</v>
      </c>
      <c r="Q11" s="614">
        <v>13</v>
      </c>
      <c r="R11" s="636" t="s">
        <v>660</v>
      </c>
      <c r="S11" s="613"/>
      <c r="T11" s="614" t="s">
        <v>288</v>
      </c>
      <c r="U11" s="614"/>
      <c r="V11" s="636"/>
      <c r="W11" s="637">
        <f t="shared" si="7"/>
        <v>2</v>
      </c>
      <c r="X11" s="612">
        <v>16</v>
      </c>
      <c r="Y11" s="730">
        <v>66</v>
      </c>
      <c r="Z11" s="613">
        <f t="shared" si="0"/>
        <v>41</v>
      </c>
      <c r="AA11" s="614" t="s">
        <v>288</v>
      </c>
      <c r="AB11" s="615">
        <f t="shared" si="1"/>
        <v>43</v>
      </c>
      <c r="AC11" s="616">
        <f t="shared" si="8"/>
        <v>-2</v>
      </c>
      <c r="AD11" s="617"/>
      <c r="AE11" s="731">
        <f t="shared" si="9"/>
        <v>208</v>
      </c>
      <c r="AF11" s="732">
        <f>IFERROR(INDEX(V!R$7:R$56,MATCH(AG11,V!L$7:L$56,0)),"")</f>
        <v>108</v>
      </c>
      <c r="AG11" s="733" t="str">
        <f t="shared" si="3"/>
        <v>Andres Veski</v>
      </c>
      <c r="AH11" s="732">
        <f>IFERROR(INDEX(V!R$7:R$56,MATCH(AI11,V!L$7:L$56,0)),"")</f>
        <v>100</v>
      </c>
      <c r="AI11" s="733" t="str">
        <f t="shared" si="4"/>
        <v>Svetlana Veski</v>
      </c>
      <c r="AJ11" s="732" t="str">
        <f>IFERROR(INDEX(V!R$7:R$56,MATCH(AK11,V!L$7:L$56,0)),"")</f>
        <v/>
      </c>
      <c r="AK11" s="733" t="str">
        <f t="shared" si="5"/>
        <v/>
      </c>
      <c r="AL11" s="732" t="str">
        <f>IFERROR(INDEX(V!R$7:R$56,MATCH(AM11,V!L$7:L$56,0)),"")</f>
        <v/>
      </c>
      <c r="AM11" s="733" t="str">
        <f t="shared" si="6"/>
        <v/>
      </c>
      <c r="AN11" s="573"/>
    </row>
    <row r="12" spans="1:40" x14ac:dyDescent="0.2">
      <c r="A12" s="634">
        <v>5</v>
      </c>
      <c r="B12" s="635" t="s">
        <v>292</v>
      </c>
      <c r="C12" s="613">
        <v>9</v>
      </c>
      <c r="D12" s="614" t="s">
        <v>288</v>
      </c>
      <c r="E12" s="614">
        <v>11</v>
      </c>
      <c r="F12" s="636" t="s">
        <v>660</v>
      </c>
      <c r="G12" s="613">
        <v>6</v>
      </c>
      <c r="H12" s="614" t="s">
        <v>288</v>
      </c>
      <c r="I12" s="614">
        <v>13</v>
      </c>
      <c r="J12" s="636" t="s">
        <v>294</v>
      </c>
      <c r="K12" s="613">
        <v>13</v>
      </c>
      <c r="L12" s="614" t="s">
        <v>288</v>
      </c>
      <c r="M12" s="614">
        <v>8</v>
      </c>
      <c r="N12" s="636" t="s">
        <v>530</v>
      </c>
      <c r="O12" s="613">
        <v>13</v>
      </c>
      <c r="P12" s="614" t="s">
        <v>288</v>
      </c>
      <c r="Q12" s="614">
        <v>10</v>
      </c>
      <c r="R12" s="636" t="s">
        <v>477</v>
      </c>
      <c r="S12" s="613"/>
      <c r="T12" s="614" t="s">
        <v>288</v>
      </c>
      <c r="U12" s="614"/>
      <c r="V12" s="636"/>
      <c r="W12" s="637">
        <f t="shared" si="7"/>
        <v>2</v>
      </c>
      <c r="X12" s="612">
        <v>14</v>
      </c>
      <c r="Y12" s="730">
        <v>62</v>
      </c>
      <c r="Z12" s="613">
        <f t="shared" si="0"/>
        <v>41</v>
      </c>
      <c r="AA12" s="614" t="s">
        <v>288</v>
      </c>
      <c r="AB12" s="615">
        <f t="shared" si="1"/>
        <v>42</v>
      </c>
      <c r="AC12" s="616">
        <f t="shared" si="8"/>
        <v>-1</v>
      </c>
      <c r="AD12" s="617"/>
      <c r="AE12" s="731">
        <f t="shared" si="9"/>
        <v>244</v>
      </c>
      <c r="AF12" s="732">
        <f>IFERROR(INDEX(V!R$7:R$56,MATCH(AG12,V!L$7:L$56,0)),"")</f>
        <v>122</v>
      </c>
      <c r="AG12" s="733" t="str">
        <f t="shared" si="3"/>
        <v>Oksana Rõndenkova</v>
      </c>
      <c r="AH12" s="732">
        <f>IFERROR(INDEX(V!R$7:R$56,MATCH(AI12,V!L$7:L$56,0)),"")</f>
        <v>122</v>
      </c>
      <c r="AI12" s="733" t="str">
        <f t="shared" si="4"/>
        <v>Oleg Rõndenkov</v>
      </c>
      <c r="AJ12" s="732" t="str">
        <f>IFERROR(INDEX(V!R$7:R$56,MATCH(AK12,V!L$7:L$56,0)),"")</f>
        <v/>
      </c>
      <c r="AK12" s="733" t="str">
        <f t="shared" si="5"/>
        <v/>
      </c>
      <c r="AL12" s="732" t="str">
        <f>IFERROR(INDEX(V!R$7:R$56,MATCH(AM12,V!L$7:L$56,0)),"")</f>
        <v/>
      </c>
      <c r="AM12" s="733" t="str">
        <f t="shared" si="6"/>
        <v/>
      </c>
      <c r="AN12" s="573"/>
    </row>
    <row r="13" spans="1:40" x14ac:dyDescent="0.2">
      <c r="A13" s="634">
        <v>6</v>
      </c>
      <c r="B13" s="635" t="s">
        <v>294</v>
      </c>
      <c r="C13" s="613">
        <v>6</v>
      </c>
      <c r="D13" s="614" t="s">
        <v>288</v>
      </c>
      <c r="E13" s="614">
        <v>13</v>
      </c>
      <c r="F13" s="636" t="s">
        <v>655</v>
      </c>
      <c r="G13" s="613">
        <v>13</v>
      </c>
      <c r="H13" s="614" t="s">
        <v>288</v>
      </c>
      <c r="I13" s="614">
        <v>6</v>
      </c>
      <c r="J13" s="636" t="s">
        <v>292</v>
      </c>
      <c r="K13" s="613">
        <v>6</v>
      </c>
      <c r="L13" s="614" t="s">
        <v>288</v>
      </c>
      <c r="M13" s="614">
        <v>9</v>
      </c>
      <c r="N13" s="636" t="s">
        <v>526</v>
      </c>
      <c r="O13" s="613">
        <v>1</v>
      </c>
      <c r="P13" s="614" t="s">
        <v>288</v>
      </c>
      <c r="Q13" s="614">
        <v>13</v>
      </c>
      <c r="R13" s="636" t="s">
        <v>530</v>
      </c>
      <c r="S13" s="613"/>
      <c r="T13" s="614" t="s">
        <v>288</v>
      </c>
      <c r="U13" s="614"/>
      <c r="V13" s="636"/>
      <c r="W13" s="637">
        <f t="shared" si="7"/>
        <v>1</v>
      </c>
      <c r="X13" s="612">
        <v>16</v>
      </c>
      <c r="Y13" s="730">
        <v>62</v>
      </c>
      <c r="Z13" s="613">
        <f t="shared" si="0"/>
        <v>26</v>
      </c>
      <c r="AA13" s="614" t="s">
        <v>288</v>
      </c>
      <c r="AB13" s="615">
        <f t="shared" si="1"/>
        <v>41</v>
      </c>
      <c r="AC13" s="616">
        <f t="shared" si="8"/>
        <v>-15</v>
      </c>
      <c r="AD13" s="617"/>
      <c r="AE13" s="731">
        <f t="shared" si="9"/>
        <v>188</v>
      </c>
      <c r="AF13" s="732">
        <f>IFERROR(INDEX(V!R$7:R$56,MATCH(AG13,V!L$7:L$56,0)),"")</f>
        <v>90</v>
      </c>
      <c r="AG13" s="733" t="str">
        <f t="shared" si="3"/>
        <v>Henri Mitt</v>
      </c>
      <c r="AH13" s="732">
        <f>IFERROR(INDEX(V!R$7:R$56,MATCH(AI13,V!L$7:L$56,0)),"")</f>
        <v>98</v>
      </c>
      <c r="AI13" s="733" t="str">
        <f t="shared" si="4"/>
        <v>Urmas Randlaine</v>
      </c>
      <c r="AJ13" s="732" t="str">
        <f>IFERROR(INDEX(V!R$7:R$56,MATCH(AK13,V!L$7:L$56,0)),"")</f>
        <v/>
      </c>
      <c r="AK13" s="733" t="str">
        <f t="shared" si="5"/>
        <v/>
      </c>
      <c r="AL13" s="732" t="str">
        <f>IFERROR(INDEX(V!R$7:R$56,MATCH(AM13,V!L$7:L$56,0)),"")</f>
        <v/>
      </c>
      <c r="AM13" s="733" t="str">
        <f t="shared" si="6"/>
        <v/>
      </c>
      <c r="AN13" s="573"/>
    </row>
    <row r="14" spans="1:40" x14ac:dyDescent="0.2">
      <c r="A14" s="634">
        <v>7</v>
      </c>
      <c r="B14" s="638" t="s">
        <v>477</v>
      </c>
      <c r="C14" s="613">
        <v>13</v>
      </c>
      <c r="D14" s="614" t="s">
        <v>288</v>
      </c>
      <c r="E14" s="614">
        <v>6</v>
      </c>
      <c r="F14" s="636" t="s">
        <v>530</v>
      </c>
      <c r="G14" s="613">
        <v>8</v>
      </c>
      <c r="H14" s="614" t="s">
        <v>288</v>
      </c>
      <c r="I14" s="614">
        <v>13</v>
      </c>
      <c r="J14" s="636" t="s">
        <v>655</v>
      </c>
      <c r="K14" s="613">
        <v>9</v>
      </c>
      <c r="L14" s="614" t="s">
        <v>288</v>
      </c>
      <c r="M14" s="614">
        <v>13</v>
      </c>
      <c r="N14" s="636" t="s">
        <v>567</v>
      </c>
      <c r="O14" s="613">
        <v>10</v>
      </c>
      <c r="P14" s="614" t="s">
        <v>288</v>
      </c>
      <c r="Q14" s="614">
        <v>13</v>
      </c>
      <c r="R14" s="636" t="s">
        <v>292</v>
      </c>
      <c r="S14" s="613"/>
      <c r="T14" s="614" t="s">
        <v>288</v>
      </c>
      <c r="U14" s="614"/>
      <c r="V14" s="636"/>
      <c r="W14" s="637">
        <f t="shared" si="7"/>
        <v>1</v>
      </c>
      <c r="X14" s="612">
        <v>16</v>
      </c>
      <c r="Y14" s="730">
        <v>58</v>
      </c>
      <c r="Z14" s="613">
        <f t="shared" si="0"/>
        <v>40</v>
      </c>
      <c r="AA14" s="614" t="s">
        <v>288</v>
      </c>
      <c r="AB14" s="615">
        <f t="shared" si="1"/>
        <v>45</v>
      </c>
      <c r="AC14" s="616">
        <f t="shared" si="8"/>
        <v>-5</v>
      </c>
      <c r="AD14" s="617"/>
      <c r="AE14" s="731">
        <f t="shared" si="9"/>
        <v>280</v>
      </c>
      <c r="AF14" s="732">
        <f>IFERROR(INDEX(V!R$7:R$56,MATCH(AG14,V!L$7:L$56,0)),"")</f>
        <v>140</v>
      </c>
      <c r="AG14" s="733" t="str">
        <f t="shared" si="3"/>
        <v>Kenneth Muusikus</v>
      </c>
      <c r="AH14" s="732">
        <f>IFERROR(INDEX(V!R$7:R$56,MATCH(AI14,V!L$7:L$56,0)),"")</f>
        <v>140</v>
      </c>
      <c r="AI14" s="733" t="str">
        <f t="shared" si="4"/>
        <v>Sander Rose</v>
      </c>
      <c r="AJ14" s="732" t="str">
        <f>IFERROR(INDEX(V!R$7:R$56,MATCH(AK14,V!L$7:L$56,0)),"")</f>
        <v/>
      </c>
      <c r="AK14" s="733" t="str">
        <f t="shared" si="5"/>
        <v/>
      </c>
      <c r="AL14" s="732" t="str">
        <f>IFERROR(INDEX(V!R$7:R$56,MATCH(AM14,V!L$7:L$56,0)),"")</f>
        <v/>
      </c>
      <c r="AM14" s="733" t="str">
        <f t="shared" si="6"/>
        <v/>
      </c>
      <c r="AN14" s="573"/>
    </row>
    <row r="15" spans="1:40" x14ac:dyDescent="0.2">
      <c r="A15" s="634">
        <v>8</v>
      </c>
      <c r="B15" s="638" t="s">
        <v>530</v>
      </c>
      <c r="C15" s="613">
        <v>6</v>
      </c>
      <c r="D15" s="614" t="s">
        <v>288</v>
      </c>
      <c r="E15" s="614">
        <v>13</v>
      </c>
      <c r="F15" s="636" t="s">
        <v>477</v>
      </c>
      <c r="G15" s="613">
        <v>8</v>
      </c>
      <c r="H15" s="614" t="s">
        <v>288</v>
      </c>
      <c r="I15" s="614">
        <v>13</v>
      </c>
      <c r="J15" s="636" t="s">
        <v>567</v>
      </c>
      <c r="K15" s="613">
        <v>8</v>
      </c>
      <c r="L15" s="614" t="s">
        <v>288</v>
      </c>
      <c r="M15" s="614">
        <v>13</v>
      </c>
      <c r="N15" s="636" t="s">
        <v>292</v>
      </c>
      <c r="O15" s="613">
        <v>13</v>
      </c>
      <c r="P15" s="614" t="s">
        <v>288</v>
      </c>
      <c r="Q15" s="614">
        <v>1</v>
      </c>
      <c r="R15" s="636" t="s">
        <v>294</v>
      </c>
      <c r="S15" s="613"/>
      <c r="T15" s="614" t="s">
        <v>288</v>
      </c>
      <c r="U15" s="614"/>
      <c r="V15" s="636"/>
      <c r="W15" s="637">
        <f t="shared" si="7"/>
        <v>1</v>
      </c>
      <c r="X15" s="612">
        <v>12</v>
      </c>
      <c r="Y15" s="730">
        <v>22</v>
      </c>
      <c r="Z15" s="613">
        <f t="shared" si="0"/>
        <v>35</v>
      </c>
      <c r="AA15" s="614" t="s">
        <v>288</v>
      </c>
      <c r="AB15" s="615">
        <f t="shared" si="1"/>
        <v>40</v>
      </c>
      <c r="AC15" s="616">
        <f t="shared" si="8"/>
        <v>-5</v>
      </c>
      <c r="AD15" s="617"/>
      <c r="AE15" s="731">
        <f t="shared" si="9"/>
        <v>96</v>
      </c>
      <c r="AF15" s="732">
        <f>IFERROR(INDEX(V!R$7:R$56,MATCH(AG15,V!L$7:L$56,0)),"")</f>
        <v>40</v>
      </c>
      <c r="AG15" s="733" t="str">
        <f t="shared" si="3"/>
        <v>Enn Tokman</v>
      </c>
      <c r="AH15" s="732">
        <f>IFERROR(INDEX(V!R$7:R$56,MATCH(AI15,V!L$7:L$56,0)),"")</f>
        <v>56</v>
      </c>
      <c r="AI15" s="733" t="str">
        <f t="shared" si="4"/>
        <v>Jaan Saar</v>
      </c>
      <c r="AJ15" s="732" t="str">
        <f>IFERROR(INDEX(V!R$7:R$56,MATCH(AK15,V!L$7:L$56,0)),"")</f>
        <v/>
      </c>
      <c r="AK15" s="733" t="str">
        <f t="shared" si="5"/>
        <v/>
      </c>
      <c r="AL15" s="732" t="str">
        <f>IFERROR(INDEX(V!R$7:R$56,MATCH(AM15,V!L$7:L$56,0)),"")</f>
        <v/>
      </c>
      <c r="AM15" s="733" t="str">
        <f t="shared" si="6"/>
        <v/>
      </c>
      <c r="AN15" s="573"/>
    </row>
    <row r="18" spans="1:40" hidden="1" x14ac:dyDescent="0.2"/>
    <row r="19" spans="1:40" hidden="1"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hidden="1"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7" si="10">IFERROR(INDEX(B$1:B$85,MATCH(A300,A$1:A$85,0)),"")</f>
        <v>Oliver Ojasalu, Tõnis Neiland</v>
      </c>
      <c r="C300" s="734">
        <f t="shared" ref="C300:C307" si="11">LARGE(A$300:A$398,1)*2+2-A300*2</f>
        <v>16</v>
      </c>
    </row>
    <row r="301" spans="1:40" x14ac:dyDescent="0.2">
      <c r="A301" s="627">
        <v>2</v>
      </c>
      <c r="B301" s="628" t="str">
        <f t="shared" si="10"/>
        <v>Hillar Neiland, Kaspar Mänd</v>
      </c>
      <c r="C301" s="734">
        <f t="shared" si="11"/>
        <v>14</v>
      </c>
    </row>
    <row r="302" spans="1:40" x14ac:dyDescent="0.2">
      <c r="A302" s="627">
        <v>3</v>
      </c>
      <c r="B302" s="628" t="str">
        <f t="shared" si="10"/>
        <v>Olav Türk, Sirje Maala</v>
      </c>
      <c r="C302" s="734">
        <f t="shared" si="11"/>
        <v>12</v>
      </c>
    </row>
    <row r="303" spans="1:40" x14ac:dyDescent="0.2">
      <c r="A303" s="627">
        <v>4</v>
      </c>
      <c r="B303" s="628" t="str">
        <f t="shared" si="10"/>
        <v>Andres Veski, Svetlana Veski</v>
      </c>
      <c r="C303" s="734">
        <f t="shared" si="11"/>
        <v>10</v>
      </c>
    </row>
    <row r="304" spans="1:40" x14ac:dyDescent="0.2">
      <c r="A304" s="627">
        <v>5</v>
      </c>
      <c r="B304" s="628" t="str">
        <f t="shared" si="10"/>
        <v>Oksana Rõndenkova, Oleg Rõndenkov</v>
      </c>
      <c r="C304" s="734">
        <f t="shared" si="11"/>
        <v>8</v>
      </c>
    </row>
    <row r="305" spans="1:3" x14ac:dyDescent="0.2">
      <c r="A305" s="627">
        <v>6</v>
      </c>
      <c r="B305" s="628" t="str">
        <f t="shared" si="10"/>
        <v>Henri Mitt, Urmas Randlaine</v>
      </c>
      <c r="C305" s="734">
        <f t="shared" si="11"/>
        <v>6</v>
      </c>
    </row>
    <row r="306" spans="1:3" x14ac:dyDescent="0.2">
      <c r="A306" s="627">
        <v>7</v>
      </c>
      <c r="B306" s="628" t="str">
        <f t="shared" si="10"/>
        <v>Kenneth Muusikus, Sander Rose</v>
      </c>
      <c r="C306" s="734">
        <f t="shared" si="11"/>
        <v>4</v>
      </c>
    </row>
    <row r="307" spans="1:3" x14ac:dyDescent="0.2">
      <c r="A307" s="627">
        <v>8</v>
      </c>
      <c r="B307" s="628" t="str">
        <f t="shared" si="10"/>
        <v>Enn Tokman, Jaan Saar</v>
      </c>
      <c r="C307" s="734">
        <f t="shared" si="11"/>
        <v>2</v>
      </c>
    </row>
    <row r="308" spans="1:3" x14ac:dyDescent="0.2">
      <c r="C308" s="734"/>
    </row>
    <row r="309" spans="1:3" x14ac:dyDescent="0.2">
      <c r="C309" s="734"/>
    </row>
    <row r="310" spans="1:3" x14ac:dyDescent="0.2">
      <c r="C310" s="734"/>
    </row>
  </sheetData>
  <conditionalFormatting sqref="C8:C15">
    <cfRule type="expression" dxfId="249" priority="18">
      <formula>IF($C8&gt;$E8,TRUE)</formula>
    </cfRule>
  </conditionalFormatting>
  <conditionalFormatting sqref="E8:E15">
    <cfRule type="expression" dxfId="248" priority="19">
      <formula>IF($C8&lt;$E8,TRUE)</formula>
    </cfRule>
  </conditionalFormatting>
  <conditionalFormatting sqref="K8:K15">
    <cfRule type="expression" dxfId="247" priority="26">
      <formula>IF($K8&gt;$M8,TRUE)</formula>
    </cfRule>
  </conditionalFormatting>
  <conditionalFormatting sqref="M8:M15">
    <cfRule type="expression" dxfId="246" priority="27">
      <formula>IF($K8&lt;$M8,TRUE)</formula>
    </cfRule>
  </conditionalFormatting>
  <conditionalFormatting sqref="O8:O15">
    <cfRule type="expression" dxfId="245" priority="30">
      <formula>IF($O8&gt;$Q8,TRUE)</formula>
    </cfRule>
  </conditionalFormatting>
  <conditionalFormatting sqref="Q8:Q15">
    <cfRule type="expression" dxfId="244" priority="31">
      <formula>IF($O8&lt;$Q8,TRUE)</formula>
    </cfRule>
  </conditionalFormatting>
  <conditionalFormatting sqref="S8:S15">
    <cfRule type="expression" dxfId="243" priority="34">
      <formula>IF($S8&gt;$U8,TRUE)</formula>
    </cfRule>
  </conditionalFormatting>
  <conditionalFormatting sqref="U8:U15">
    <cfRule type="expression" dxfId="242" priority="35">
      <formula>IF($S8&lt;$U8,TRUE)</formula>
    </cfRule>
  </conditionalFormatting>
  <conditionalFormatting sqref="G8:G15">
    <cfRule type="expression" dxfId="241" priority="22">
      <formula>IF($G8&gt;$I8,TRUE)</formula>
    </cfRule>
  </conditionalFormatting>
  <conditionalFormatting sqref="I8:I15">
    <cfRule type="expression" dxfId="240" priority="23">
      <formula>IF($G8&lt;$I8,TRUE)</formula>
    </cfRule>
  </conditionalFormatting>
  <conditionalFormatting sqref="F8:F15">
    <cfRule type="containsText" dxfId="239" priority="9" operator="containsText" text="vaba voor">
      <formula>NOT(ISERROR(SEARCH("vaba voor",F8)))</formula>
    </cfRule>
  </conditionalFormatting>
  <conditionalFormatting sqref="N8:N15">
    <cfRule type="containsText" dxfId="238" priority="7" operator="containsText" text="vaba voor">
      <formula>NOT(ISERROR(SEARCH("vaba voor",N8)))</formula>
    </cfRule>
  </conditionalFormatting>
  <conditionalFormatting sqref="R8:R15">
    <cfRule type="containsText" dxfId="237" priority="10" operator="containsText" text="vaba voor">
      <formula>NOT(ISERROR(SEARCH("vaba voor",R8)))</formula>
    </cfRule>
  </conditionalFormatting>
  <conditionalFormatting sqref="V8:V15">
    <cfRule type="containsText" dxfId="236" priority="6" operator="containsText" text="vaba voor">
      <formula>NOT(ISERROR(SEARCH("vaba voor",V8)))</formula>
    </cfRule>
  </conditionalFormatting>
  <conditionalFormatting sqref="J8:J15">
    <cfRule type="containsText" dxfId="235" priority="8" operator="containsText" text="vaba voor">
      <formula>NOT(ISERROR(SEARCH("vaba voor",J8)))</formula>
    </cfRule>
  </conditionalFormatting>
  <conditionalFormatting sqref="C8:F15">
    <cfRule type="expression" dxfId="234" priority="14">
      <formula>IF(AND(ISNUMBER($C8),$C8=$E8),TRUE)</formula>
    </cfRule>
    <cfRule type="expression" dxfId="233" priority="16">
      <formula>IF($C8&gt;$E8,TRUE)</formula>
    </cfRule>
    <cfRule type="expression" dxfId="232" priority="17">
      <formula>IF($C8&lt;$E8,TRUE)</formula>
    </cfRule>
  </conditionalFormatting>
  <conditionalFormatting sqref="G8:J15">
    <cfRule type="expression" dxfId="231" priority="15">
      <formula>IF(AND(ISNUMBER($G8),$G8=$I8),TRUE)</formula>
    </cfRule>
    <cfRule type="expression" dxfId="230" priority="20">
      <formula>IF($G8&gt;$I8,TRUE)</formula>
    </cfRule>
    <cfRule type="expression" dxfId="229" priority="21">
      <formula>IF($G8&lt;$I8,TRUE)</formula>
    </cfRule>
  </conditionalFormatting>
  <conditionalFormatting sqref="K8:N15">
    <cfRule type="expression" dxfId="228" priority="13">
      <formula>IF(AND(ISNUMBER($K8),$K8=$M8),TRUE)</formula>
    </cfRule>
    <cfRule type="expression" dxfId="227" priority="24">
      <formula>IF($K8&gt;$M8,TRUE)</formula>
    </cfRule>
    <cfRule type="expression" dxfId="226" priority="25">
      <formula>IF($K8&lt;$M8,TRUE)</formula>
    </cfRule>
  </conditionalFormatting>
  <conditionalFormatting sqref="O8:R15">
    <cfRule type="expression" dxfId="225" priority="12">
      <formula>IF(AND(ISNUMBER($O8),$O8=$Q8),TRUE)</formula>
    </cfRule>
    <cfRule type="expression" dxfId="224" priority="28">
      <formula>IF($O8&gt;$Q8,TRUE)</formula>
    </cfRule>
    <cfRule type="expression" dxfId="223" priority="29">
      <formula>IF($O8&lt;$Q8,TRUE)</formula>
    </cfRule>
  </conditionalFormatting>
  <conditionalFormatting sqref="S8:V15">
    <cfRule type="expression" dxfId="222" priority="11">
      <formula>IF(AND(ISNUMBER($S8),$S8=$U8),TRUE)</formula>
    </cfRule>
    <cfRule type="expression" dxfId="221" priority="32">
      <formula>IF($S8&gt;$U8,TRUE)</formula>
    </cfRule>
    <cfRule type="expression" dxfId="220" priority="33">
      <formula>IF($S8&lt;$U8,TRUE)</formula>
    </cfRule>
  </conditionalFormatting>
  <conditionalFormatting sqref="C8:C15 G8:G15 K8:K15 O8:O15 S8:S15">
    <cfRule type="expression" dxfId="219" priority="4">
      <formula>AND(C8=0,E8=13)</formula>
    </cfRule>
  </conditionalFormatting>
  <conditionalFormatting sqref="E8:E15 I8:I15 M8:M15 Q8:Q15 U8:U15">
    <cfRule type="expression" dxfId="218" priority="5">
      <formula>AND(E8=0,C8=13)</formula>
    </cfRule>
  </conditionalFormatting>
  <conditionalFormatting sqref="AG8:AG15 AK8:AK15 AM8:AM15">
    <cfRule type="expression" dxfId="217" priority="1">
      <formula>AND(AF8="",COUNTIF(AG8,"*,*")=0)</formula>
    </cfRule>
  </conditionalFormatting>
  <conditionalFormatting sqref="AI8:AI15">
    <cfRule type="expression" dxfId="216" priority="2">
      <formula>AND(AH8="",FIND(",",AI8))</formula>
    </cfRule>
    <cfRule type="expression" dxfId="215" priority="3">
      <formula>AND(AH8="",COUNTIF(AI8,"*,*")=0)</formula>
    </cfRule>
  </conditionalFormatting>
  <conditionalFormatting sqref="A8:A15">
    <cfRule type="duplicateValues" dxfId="214" priority="36"/>
  </conditionalFormatting>
  <conditionalFormatting sqref="A300:A307">
    <cfRule type="duplicateValues" dxfId="213" priority="2574"/>
  </conditionalFormatting>
  <conditionalFormatting sqref="B300:B307">
    <cfRule type="expression" dxfId="212" priority="2575">
      <formula>A300=3</formula>
    </cfRule>
    <cfRule type="expression" dxfId="211" priority="2576">
      <formula>A300=2</formula>
    </cfRule>
    <cfRule type="expression" dxfId="210" priority="2577">
      <formula>A300=1</formula>
    </cfRule>
    <cfRule type="containsBlanks" dxfId="209" priority="2578">
      <formula>LEN(TRIM(B300))=0</formula>
    </cfRule>
    <cfRule type="duplicateValues" dxfId="208" priority="2579"/>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sheetPr>
  <dimension ref="A1:AF161"/>
  <sheetViews>
    <sheetView showGridLines="0" showRowColHeaders="0" zoomScaleNormal="100" workbookViewId="0">
      <pane ySplit="6" topLeftCell="A7" activePane="bottomLeft" state="frozen"/>
      <selection activeCell="I1" sqref="I1"/>
      <selection pane="bottomLeft" activeCell="N1" sqref="N1"/>
    </sheetView>
  </sheetViews>
  <sheetFormatPr defaultRowHeight="12.75" x14ac:dyDescent="0.2"/>
  <cols>
    <col min="1" max="1" width="6.140625" style="581" bestFit="1" customWidth="1"/>
    <col min="2" max="2" width="18.42578125" style="581" customWidth="1"/>
    <col min="3" max="4" width="3" style="581" hidden="1" customWidth="1"/>
    <col min="5" max="5" width="7.5703125" style="581" bestFit="1" customWidth="1"/>
    <col min="6" max="6" width="23" style="581" hidden="1" customWidth="1"/>
    <col min="7" max="7" width="28.28515625" style="581" hidden="1" customWidth="1"/>
    <col min="8" max="8" width="9" style="581" hidden="1" customWidth="1"/>
    <col min="9" max="9" width="7.5703125" style="581" hidden="1" customWidth="1"/>
    <col min="10" max="10" width="32" style="581" hidden="1" customWidth="1"/>
    <col min="11" max="11" width="11.28515625" style="581" hidden="1" customWidth="1"/>
    <col min="12" max="12" width="20.7109375" style="581" hidden="1" customWidth="1"/>
    <col min="13" max="17" width="3.7109375" style="581" customWidth="1"/>
    <col min="18" max="20" width="3.28515625" style="581" customWidth="1"/>
    <col min="21" max="21" width="9.140625" style="581"/>
    <col min="22" max="25" width="9.140625" style="581" hidden="1" customWidth="1"/>
    <col min="26" max="26" width="9.140625" style="581"/>
    <col min="27" max="32" width="9.140625" style="581" hidden="1" customWidth="1"/>
    <col min="33" max="16384" width="9.140625" style="581"/>
  </cols>
  <sheetData>
    <row r="1" spans="1:32" x14ac:dyDescent="0.2">
      <c r="A1" s="641" t="s">
        <v>495</v>
      </c>
      <c r="B1" s="642"/>
      <c r="C1" s="582" t="s">
        <v>53</v>
      </c>
      <c r="D1" s="580"/>
      <c r="E1" s="643"/>
      <c r="F1" s="644"/>
      <c r="G1" s="644"/>
      <c r="H1" s="644"/>
      <c r="I1" s="644"/>
      <c r="J1" s="644"/>
      <c r="K1" s="644"/>
      <c r="L1" s="644"/>
      <c r="M1" s="643"/>
      <c r="N1" s="643"/>
      <c r="O1" s="643"/>
      <c r="P1" s="643"/>
      <c r="Q1" s="645" t="s">
        <v>54</v>
      </c>
      <c r="R1" s="646" t="s">
        <v>55</v>
      </c>
      <c r="S1" s="646"/>
      <c r="T1" s="641"/>
      <c r="U1" s="642"/>
      <c r="V1" s="647"/>
      <c r="W1" s="647"/>
      <c r="X1" s="647"/>
      <c r="Y1" s="647"/>
      <c r="AA1" s="582" t="s">
        <v>53</v>
      </c>
      <c r="AB1" s="648"/>
      <c r="AC1" s="648"/>
      <c r="AD1" s="648"/>
      <c r="AE1" s="648"/>
      <c r="AF1" s="648"/>
    </row>
    <row r="2" spans="1:32" x14ac:dyDescent="0.2">
      <c r="A2" s="581" t="s">
        <v>491</v>
      </c>
      <c r="B2" s="642"/>
      <c r="C2" s="642"/>
      <c r="D2" s="642"/>
      <c r="E2" s="643" t="s">
        <v>446</v>
      </c>
      <c r="F2" s="643"/>
      <c r="G2" s="643"/>
      <c r="H2" s="643"/>
      <c r="I2" s="643"/>
      <c r="J2" s="643"/>
      <c r="K2" s="643"/>
      <c r="L2" s="643"/>
      <c r="N2" s="643"/>
      <c r="O2" s="643"/>
      <c r="P2" s="643"/>
      <c r="Q2" s="643"/>
      <c r="R2" s="648" t="s">
        <v>56</v>
      </c>
      <c r="S2" s="648"/>
      <c r="T2" s="642"/>
      <c r="U2" s="642"/>
      <c r="AA2" s="642"/>
      <c r="AB2" s="642"/>
      <c r="AC2" s="642"/>
      <c r="AD2" s="642"/>
      <c r="AE2" s="642"/>
      <c r="AF2" s="642"/>
    </row>
    <row r="3" spans="1:32" x14ac:dyDescent="0.2">
      <c r="A3" s="649" t="s">
        <v>492</v>
      </c>
      <c r="B3" s="642"/>
      <c r="C3" s="642"/>
      <c r="D3" s="642"/>
      <c r="E3" s="643"/>
      <c r="F3" s="643"/>
      <c r="G3" s="643"/>
      <c r="H3" s="643"/>
      <c r="I3" s="643"/>
      <c r="J3" s="643"/>
      <c r="K3" s="643"/>
      <c r="L3" s="643"/>
      <c r="M3" s="643"/>
      <c r="N3" s="643"/>
      <c r="O3" s="643"/>
      <c r="P3" s="643"/>
      <c r="Q3" s="643"/>
      <c r="R3" s="650" t="s">
        <v>57</v>
      </c>
      <c r="S3" s="650"/>
      <c r="T3" s="642"/>
      <c r="U3" s="642"/>
      <c r="AA3" s="651">
        <v>1</v>
      </c>
      <c r="AB3" s="652" t="s">
        <v>168</v>
      </c>
      <c r="AC3" s="653"/>
      <c r="AD3" s="653"/>
      <c r="AE3" s="653"/>
      <c r="AF3" s="642"/>
    </row>
    <row r="4" spans="1:32" ht="29.25" x14ac:dyDescent="0.2">
      <c r="A4" s="654"/>
      <c r="B4" s="654"/>
      <c r="C4" s="655"/>
      <c r="D4" s="655"/>
      <c r="E4" s="654"/>
      <c r="F4" s="656" t="s">
        <v>169</v>
      </c>
      <c r="G4" s="656"/>
      <c r="H4" s="657" t="s">
        <v>170</v>
      </c>
      <c r="I4" s="656" t="s">
        <v>171</v>
      </c>
      <c r="J4" s="656" t="s">
        <v>172</v>
      </c>
      <c r="K4" s="656"/>
      <c r="L4" s="658" t="s">
        <v>63</v>
      </c>
      <c r="M4" s="659" t="str">
        <f>MID(Kalend!$A7,4,5)</f>
        <v>28.05</v>
      </c>
      <c r="N4" s="659" t="str">
        <f>MID(Kalend!$A19,4,5)</f>
        <v>02.07</v>
      </c>
      <c r="O4" s="659" t="str">
        <f>MID(Kalend!$A30,4,5)</f>
        <v>27.08</v>
      </c>
      <c r="P4" s="659" t="str">
        <f>MID(Kalend!$A37,4,5)</f>
        <v>24.09</v>
      </c>
      <c r="Q4" s="659" t="str">
        <f>MID(Kalend!$A40,4,5)</f>
        <v>01.10</v>
      </c>
      <c r="R4" s="1446" t="s">
        <v>66</v>
      </c>
      <c r="S4" s="1447" t="s">
        <v>67</v>
      </c>
      <c r="T4" s="1448" t="s">
        <v>68</v>
      </c>
      <c r="U4" s="642"/>
      <c r="AA4" s="642"/>
      <c r="AD4" s="642"/>
      <c r="AE4" s="642"/>
      <c r="AF4" s="642"/>
    </row>
    <row r="5" spans="1:32" x14ac:dyDescent="0.2">
      <c r="B5" s="660"/>
      <c r="C5" s="661"/>
      <c r="D5" s="661"/>
      <c r="E5" s="662"/>
      <c r="F5" s="663" t="s">
        <v>173</v>
      </c>
      <c r="G5" s="664"/>
      <c r="H5" s="665" t="s">
        <v>174</v>
      </c>
      <c r="I5" s="666"/>
      <c r="J5" s="666"/>
      <c r="K5" s="666"/>
      <c r="L5" s="667" t="s">
        <v>175</v>
      </c>
      <c r="M5" s="668" t="s">
        <v>73</v>
      </c>
      <c r="N5" s="668" t="s">
        <v>73</v>
      </c>
      <c r="O5" s="668" t="s">
        <v>73</v>
      </c>
      <c r="P5" s="668" t="s">
        <v>73</v>
      </c>
      <c r="Q5" s="668" t="s">
        <v>73</v>
      </c>
      <c r="R5" s="1446"/>
      <c r="S5" s="1447"/>
      <c r="T5" s="1448"/>
      <c r="U5" s="642"/>
      <c r="AA5" s="642"/>
      <c r="AB5" s="642"/>
      <c r="AC5" s="642"/>
      <c r="AD5" s="642"/>
      <c r="AE5" s="642"/>
      <c r="AF5" s="642"/>
    </row>
    <row r="6" spans="1:32" x14ac:dyDescent="0.2">
      <c r="A6" s="669" t="s">
        <v>69</v>
      </c>
      <c r="B6" s="670" t="s">
        <v>77</v>
      </c>
      <c r="C6" s="671" t="s">
        <v>74</v>
      </c>
      <c r="D6" s="672" t="s">
        <v>75</v>
      </c>
      <c r="E6" s="673" t="s">
        <v>70</v>
      </c>
      <c r="F6" s="674" t="s">
        <v>184</v>
      </c>
      <c r="G6" s="674" t="s">
        <v>80</v>
      </c>
      <c r="H6" s="674" t="s">
        <v>185</v>
      </c>
      <c r="I6" s="675" t="s">
        <v>186</v>
      </c>
      <c r="J6" s="674" t="s">
        <v>83</v>
      </c>
      <c r="K6" s="674" t="s">
        <v>187</v>
      </c>
      <c r="L6" s="674" t="s">
        <v>188</v>
      </c>
      <c r="M6" s="676" t="str">
        <f>HYPERLINK("#M1!N1","M1")</f>
        <v>M1</v>
      </c>
      <c r="N6" s="676" t="str">
        <f>HYPERLINK("#M2!N1","M2")</f>
        <v>M2</v>
      </c>
      <c r="O6" s="676" t="str">
        <f>HYPERLINK("#M3!N1","M3")</f>
        <v>M3</v>
      </c>
      <c r="P6" s="676" t="str">
        <f>HYPERLINK("#M4!N1","M4")</f>
        <v>M4</v>
      </c>
      <c r="Q6" s="676" t="str">
        <f>HYPERLINK("#M5!N1","M5")</f>
        <v>M5</v>
      </c>
      <c r="R6" s="677"/>
      <c r="S6" s="678"/>
      <c r="T6" s="679"/>
      <c r="U6" s="642"/>
      <c r="AA6" s="642"/>
      <c r="AB6" s="642"/>
      <c r="AC6" s="642"/>
      <c r="AD6" s="642"/>
      <c r="AE6" s="642"/>
      <c r="AF6" s="642"/>
    </row>
    <row r="7" spans="1:32" x14ac:dyDescent="0.2">
      <c r="A7" s="680">
        <f t="shared" ref="A7:A38" si="0">IF(E7&gt;0,RANK(H7,H$7:H$155,1),"")</f>
        <v>1</v>
      </c>
      <c r="B7" s="681" t="s">
        <v>12</v>
      </c>
      <c r="C7" s="682"/>
      <c r="D7" s="683"/>
      <c r="E7" s="673">
        <f>(IF(COUNT(M7,N7,O7,P7,Q7)&lt;4,SUM(M7,N7,O7,P7,Q7),SUM(LARGE((M7,N7,O7,P7,Q7),{1;2;3;4}))))</f>
        <v>126</v>
      </c>
      <c r="F7" s="684" t="str">
        <f>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amp;INDEX(ETAPP!B$1:B$32,MATCH(COUNTIF(M7:Q7,#REF!),ETAPP!A$1:A$32,0))</f>
        <v>0000000000000000000</v>
      </c>
      <c r="G7" s="684" t="str">
        <f t="shared" ref="G7:G38" si="1">TEXT(E7,"000,0")&amp;"-"&amp;F7</f>
        <v>126,0-0000000000000000000</v>
      </c>
      <c r="H7" s="684">
        <f t="shared" ref="H7:H38" si="2">COUNTIF(G$7:G$155,"&gt;="&amp;G7)</f>
        <v>1</v>
      </c>
      <c r="I7" s="684">
        <f t="shared" ref="I7:I38" si="3">COUNTIF(B$7:B$155,"&gt;="&amp;B7)</f>
        <v>105</v>
      </c>
      <c r="J7" s="684" t="str">
        <f t="shared" ref="J7:J38" si="4">TEXT(E7,"000,0")&amp;"-"&amp;F7&amp;"-"&amp;TEXT(I7,"000")</f>
        <v>126,0-0000000000000000000-105</v>
      </c>
      <c r="K7" s="684">
        <f t="shared" ref="K7:K38" si="5">COUNTIF(J$7:J$155,"&gt;="&amp;J7)</f>
        <v>1</v>
      </c>
      <c r="L7" s="685">
        <f t="shared" ref="L7:L38" si="6">RANK(K7,K$7:K$155,0)</f>
        <v>149</v>
      </c>
      <c r="M7" s="686">
        <f>IFERROR(INDEX('M1'!C$300:C$400,MATCH("*"&amp;B7&amp;"*",'M1'!B$300:B$400,0)),"  ")</f>
        <v>40</v>
      </c>
      <c r="N7" s="686">
        <f>IFERROR(INDEX('M2'!C$300:C$400,MATCH("*"&amp;B7&amp;"*",'M2'!B$300:B$400,0)),"  ")</f>
        <v>30</v>
      </c>
      <c r="O7" s="686">
        <f>IFERROR(INDEX('M3'!C$300:C$400,MATCH("*"&amp;B7&amp;"*",'M3'!B$300:B$400,0)),"  ")</f>
        <v>30</v>
      </c>
      <c r="P7" s="686">
        <f>IFERROR(INDEX('M4'!C$300:C$400,MATCH("*"&amp;B7&amp;"*",'M4'!B$300:B$400,0)),"  ")</f>
        <v>14</v>
      </c>
      <c r="Q7" s="686">
        <f>IFERROR(INDEX('M5'!C$300:C$400,MATCH("*"&amp;B7&amp;"*",'M5'!B$300:B$400,0)),"  ")</f>
        <v>26</v>
      </c>
      <c r="R7" s="687">
        <f t="shared" ref="R7:R38" si="7">COUNTIF(M7:Q7,"&gt;=0")</f>
        <v>5</v>
      </c>
      <c r="S7" s="688">
        <f t="shared" ref="S7:S38" si="8">COUNTIF(M7:Q7,"&gt;=30")</f>
        <v>3</v>
      </c>
      <c r="T7" s="688">
        <f t="shared" ref="T7:T38" si="9">COUNTIF(M7:Q7,"=40")</f>
        <v>1</v>
      </c>
      <c r="U7" s="642"/>
      <c r="V7" s="689"/>
      <c r="W7" s="690"/>
      <c r="X7" s="690"/>
      <c r="Y7" s="690"/>
      <c r="Z7" s="690"/>
      <c r="AA7" s="689">
        <f t="shared" ref="AA7:AA38" si="10">SMALL(AB7:AF7,AA$3)</f>
        <v>14.000400000000001</v>
      </c>
      <c r="AB7" s="690">
        <f t="shared" ref="AB7:AB38" si="11">IF(M7="  ",0+MID(M$6,FIND("M",M$6)+1,256)/10000,M7+MID(M$6,FIND("M",M$6)+1,256)/10000)</f>
        <v>40.000100000000003</v>
      </c>
      <c r="AC7" s="690">
        <f t="shared" ref="AC7:AC38" si="12">IF(N7="  ",0+MID(N$6,FIND("M",N$6)+1,256)/10000,N7+MID(N$6,FIND("M",N$6)+1,256)/10000)</f>
        <v>30.0002</v>
      </c>
      <c r="AD7" s="690">
        <f t="shared" ref="AD7:AD38" si="13">IF(O7="  ",0+MID(O$6,FIND("M",O$6)+1,256)/10000,O7+MID(O$6,FIND("M",O$6)+1,256)/10000)</f>
        <v>30.000299999999999</v>
      </c>
      <c r="AE7" s="690">
        <f t="shared" ref="AE7:AE38" si="14">IF(P7="  ",0+MID(P$6,FIND("M",P$6)+1,256)/10000,P7+MID(P$6,FIND("M",P$6)+1,256)/10000)</f>
        <v>14.000400000000001</v>
      </c>
      <c r="AF7" s="690">
        <f t="shared" ref="AF7:AF38" si="15">IF(Q7="  ",0+MID(Q$6,FIND("M",Q$6)+1,256)/10000,Q7+MID(Q$6,FIND("M",Q$6)+1,256)/10000)</f>
        <v>26.000499999999999</v>
      </c>
    </row>
    <row r="8" spans="1:32" x14ac:dyDescent="0.2">
      <c r="A8" s="680">
        <f t="shared" si="0"/>
        <v>2</v>
      </c>
      <c r="B8" s="681" t="s">
        <v>95</v>
      </c>
      <c r="C8" s="691"/>
      <c r="D8" s="692"/>
      <c r="E8" s="673">
        <f>(IF(COUNT(M8,N8,O8,P8,Q8)&lt;4,SUM(M8,N8,O8,P8,Q8),SUM(LARGE((M8,N8,O8,P8,Q8),{1;2;3;4}))))</f>
        <v>108</v>
      </c>
      <c r="F8" s="684" t="str">
        <f>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amp;INDEX(ETAPP!B$1:B$32,MATCH(COUNTIF(M8:Q8,#REF!),ETAPP!A$1:A$32,0))</f>
        <v>0000000000000000000</v>
      </c>
      <c r="G8" s="684" t="str">
        <f t="shared" si="1"/>
        <v>108,0-0000000000000000000</v>
      </c>
      <c r="H8" s="684">
        <f t="shared" si="2"/>
        <v>2</v>
      </c>
      <c r="I8" s="684">
        <f t="shared" si="3"/>
        <v>149</v>
      </c>
      <c r="J8" s="684" t="str">
        <f t="shared" si="4"/>
        <v>108,0-0000000000000000000-149</v>
      </c>
      <c r="K8" s="684">
        <f t="shared" si="5"/>
        <v>2</v>
      </c>
      <c r="L8" s="685">
        <f t="shared" si="6"/>
        <v>148</v>
      </c>
      <c r="M8" s="686">
        <f>IFERROR(INDEX('M1'!C$300:C$400,MATCH("*"&amp;B8&amp;"*",'M1'!B$300:B$400,0)),"  ")</f>
        <v>24</v>
      </c>
      <c r="N8" s="686">
        <f>IFERROR(INDEX('M2'!C$300:C$400,MATCH("*"&amp;B8&amp;"*",'M2'!B$300:B$400,0)),"  ")</f>
        <v>20</v>
      </c>
      <c r="O8" s="686">
        <f>IFERROR(INDEX('M3'!C$300:C$400,MATCH("*"&amp;B8&amp;"*",'M3'!B$300:B$400,0)),"  ")</f>
        <v>20</v>
      </c>
      <c r="P8" s="686">
        <f>IFERROR(INDEX('M4'!C$300:C$400,MATCH("*"&amp;B8&amp;"*",'M4'!B$300:B$400,0)),"  ")</f>
        <v>40</v>
      </c>
      <c r="Q8" s="686">
        <f>IFERROR(INDEX('M5'!C$300:C$400,MATCH("*"&amp;B8&amp;"*",'M5'!B$300:B$400,0)),"  ")</f>
        <v>24</v>
      </c>
      <c r="R8" s="687">
        <f t="shared" si="7"/>
        <v>5</v>
      </c>
      <c r="S8" s="688">
        <f t="shared" si="8"/>
        <v>1</v>
      </c>
      <c r="T8" s="688">
        <f t="shared" si="9"/>
        <v>1</v>
      </c>
      <c r="U8" s="642"/>
      <c r="V8" s="689"/>
      <c r="W8" s="690"/>
      <c r="X8" s="690"/>
      <c r="Y8" s="690"/>
      <c r="Z8" s="690"/>
      <c r="AA8" s="689">
        <f t="shared" si="10"/>
        <v>20.0002</v>
      </c>
      <c r="AB8" s="690">
        <f t="shared" si="11"/>
        <v>24.0001</v>
      </c>
      <c r="AC8" s="690">
        <f t="shared" si="12"/>
        <v>20.0002</v>
      </c>
      <c r="AD8" s="690">
        <f t="shared" si="13"/>
        <v>20.000299999999999</v>
      </c>
      <c r="AE8" s="690">
        <f t="shared" si="14"/>
        <v>40.000399999999999</v>
      </c>
      <c r="AF8" s="690">
        <f t="shared" si="15"/>
        <v>24.000499999999999</v>
      </c>
    </row>
    <row r="9" spans="1:32" x14ac:dyDescent="0.2">
      <c r="A9" s="680">
        <f t="shared" si="0"/>
        <v>3</v>
      </c>
      <c r="B9" s="681" t="s">
        <v>119</v>
      </c>
      <c r="C9" s="691"/>
      <c r="D9" s="692"/>
      <c r="E9" s="673">
        <f>(IF(COUNT(M9,N9,O9,P9,Q9)&lt;4,SUM(M9,N9,O9,P9,Q9),SUM(LARGE((M9,N9,O9,P9,Q9),{1;2;3;4}))))</f>
        <v>102</v>
      </c>
      <c r="F9" s="684" t="str">
        <f>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amp;INDEX(ETAPP!B$1:B$32,MATCH(COUNTIF(M9:Q9,#REF!),ETAPP!A$1:A$32,0))</f>
        <v>0000000000000000000</v>
      </c>
      <c r="G9" s="684" t="str">
        <f t="shared" si="1"/>
        <v>102,0-0000000000000000000</v>
      </c>
      <c r="H9" s="684">
        <f t="shared" si="2"/>
        <v>3</v>
      </c>
      <c r="I9" s="684">
        <f t="shared" si="3"/>
        <v>7</v>
      </c>
      <c r="J9" s="684" t="str">
        <f t="shared" si="4"/>
        <v>102,0-0000000000000000000-007</v>
      </c>
      <c r="K9" s="684">
        <f t="shared" si="5"/>
        <v>3</v>
      </c>
      <c r="L9" s="685">
        <f t="shared" si="6"/>
        <v>147</v>
      </c>
      <c r="M9" s="686">
        <f>IFERROR(INDEX('M1'!C$300:C$400,MATCH("*"&amp;B9&amp;"*",'M1'!B$300:B$400,0)),"  ")</f>
        <v>26</v>
      </c>
      <c r="N9" s="686">
        <f>IFERROR(INDEX('M2'!C$300:C$400,MATCH("*"&amp;B9&amp;"*",'M2'!B$300:B$400,0)),"  ")</f>
        <v>14</v>
      </c>
      <c r="O9" s="686">
        <f>IFERROR(INDEX('M3'!C$300:C$400,MATCH("*"&amp;B9&amp;"*",'M3'!B$300:B$400,0)),"  ")</f>
        <v>40</v>
      </c>
      <c r="P9" s="686" t="str">
        <f>IFERROR(INDEX('M4'!C$300:C$400,MATCH("*"&amp;B9&amp;"*",'M4'!B$300:B$400,0)),"  ")</f>
        <v xml:space="preserve">  </v>
      </c>
      <c r="Q9" s="686">
        <f>IFERROR(INDEX('M5'!C$300:C$400,MATCH("*"&amp;B9&amp;"*",'M5'!B$300:B$400,0)),"  ")</f>
        <v>22</v>
      </c>
      <c r="R9" s="687">
        <f t="shared" si="7"/>
        <v>4</v>
      </c>
      <c r="S9" s="688">
        <f t="shared" si="8"/>
        <v>1</v>
      </c>
      <c r="T9" s="688">
        <f t="shared" si="9"/>
        <v>1</v>
      </c>
      <c r="U9" s="642"/>
      <c r="V9" s="689"/>
      <c r="W9" s="690"/>
      <c r="X9" s="690"/>
      <c r="Y9" s="690"/>
      <c r="Z9" s="690"/>
      <c r="AA9" s="689">
        <f t="shared" si="10"/>
        <v>4.0000000000000002E-4</v>
      </c>
      <c r="AB9" s="690">
        <f t="shared" si="11"/>
        <v>26.0001</v>
      </c>
      <c r="AC9" s="690">
        <f t="shared" si="12"/>
        <v>14.0002</v>
      </c>
      <c r="AD9" s="690">
        <f t="shared" si="13"/>
        <v>40.000300000000003</v>
      </c>
      <c r="AE9" s="690">
        <f t="shared" si="14"/>
        <v>4.0000000000000002E-4</v>
      </c>
      <c r="AF9" s="690">
        <f t="shared" si="15"/>
        <v>22.000499999999999</v>
      </c>
    </row>
    <row r="10" spans="1:32" x14ac:dyDescent="0.2">
      <c r="A10" s="680">
        <f t="shared" si="0"/>
        <v>4</v>
      </c>
      <c r="B10" s="681" t="s">
        <v>496</v>
      </c>
      <c r="C10" s="691" t="s">
        <v>99</v>
      </c>
      <c r="D10" s="692"/>
      <c r="E10" s="673">
        <f>(IF(COUNT(M10,N10,O10,P10,Q10)&lt;4,SUM(M10,N10,O10,P10,Q10),SUM(LARGE((M10,N10,O10,P10,Q10),{1;2;3;4}))))</f>
        <v>94</v>
      </c>
      <c r="F10" s="684" t="str">
        <f>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amp;INDEX(ETAPP!B$1:B$32,MATCH(COUNTIF(M10:Q10,#REF!),ETAPP!A$1:A$32,0))</f>
        <v>0000000000000000000</v>
      </c>
      <c r="G10" s="684" t="str">
        <f t="shared" si="1"/>
        <v>094,0-0000000000000000000</v>
      </c>
      <c r="H10" s="684">
        <f t="shared" si="2"/>
        <v>4</v>
      </c>
      <c r="I10" s="684">
        <f t="shared" si="3"/>
        <v>35</v>
      </c>
      <c r="J10" s="684" t="str">
        <f t="shared" si="4"/>
        <v>094,0-0000000000000000000-035</v>
      </c>
      <c r="K10" s="684">
        <f t="shared" si="5"/>
        <v>4</v>
      </c>
      <c r="L10" s="685">
        <f t="shared" si="6"/>
        <v>146</v>
      </c>
      <c r="M10" s="686">
        <f>IFERROR(INDEX('M1'!C$300:C$400,MATCH("*"&amp;B10&amp;"*",'M1'!B$300:B$400,0)),"  ")</f>
        <v>14</v>
      </c>
      <c r="N10" s="686">
        <f>IFERROR(INDEX('M2'!C$300:C$400,MATCH("*"&amp;B10&amp;"*",'M2'!B$300:B$400,0)),"  ")</f>
        <v>40</v>
      </c>
      <c r="O10" s="686">
        <f>IFERROR(INDEX('M3'!C$300:C$400,MATCH("*"&amp;B10&amp;"*",'M3'!B$300:B$400,0)),"  ")</f>
        <v>14</v>
      </c>
      <c r="P10" s="686">
        <f>IFERROR(INDEX('M4'!C$300:C$400,MATCH("*"&amp;B10&amp;"*",'M4'!B$300:B$400,0)),"  ")</f>
        <v>26</v>
      </c>
      <c r="Q10" s="686">
        <f>IFERROR(INDEX('M5'!C$300:C$400,MATCH("*"&amp;B10&amp;"*",'M5'!B$300:B$400,0)),"  ")</f>
        <v>10</v>
      </c>
      <c r="R10" s="687">
        <f t="shared" si="7"/>
        <v>5</v>
      </c>
      <c r="S10" s="688">
        <f t="shared" si="8"/>
        <v>1</v>
      </c>
      <c r="T10" s="688">
        <f t="shared" si="9"/>
        <v>1</v>
      </c>
      <c r="U10" s="642"/>
      <c r="V10" s="689"/>
      <c r="W10" s="690"/>
      <c r="X10" s="690"/>
      <c r="Y10" s="690"/>
      <c r="Z10" s="690"/>
      <c r="AA10" s="689">
        <f t="shared" si="10"/>
        <v>10.000500000000001</v>
      </c>
      <c r="AB10" s="690">
        <f t="shared" si="11"/>
        <v>14.0001</v>
      </c>
      <c r="AC10" s="690">
        <f t="shared" si="12"/>
        <v>40.0002</v>
      </c>
      <c r="AD10" s="690">
        <f t="shared" si="13"/>
        <v>14.000299999999999</v>
      </c>
      <c r="AE10" s="690">
        <f t="shared" si="14"/>
        <v>26.000399999999999</v>
      </c>
      <c r="AF10" s="690">
        <f t="shared" si="15"/>
        <v>10.000500000000001</v>
      </c>
    </row>
    <row r="11" spans="1:32" x14ac:dyDescent="0.2">
      <c r="A11" s="680">
        <f t="shared" si="0"/>
        <v>5</v>
      </c>
      <c r="B11" s="681" t="s">
        <v>471</v>
      </c>
      <c r="C11" s="691"/>
      <c r="D11" s="692"/>
      <c r="E11" s="673">
        <f>(IF(COUNT(M11,N11,O11,P11,Q11)&lt;4,SUM(M11,N11,O11,P11,Q11),SUM(LARGE((M11,N11,O11,P11,Q11),{1;2;3;4}))))</f>
        <v>85</v>
      </c>
      <c r="F11" s="684" t="str">
        <f>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amp;INDEX(ETAPP!B$1:B$32,MATCH(COUNTIF(M11:Q11,#REF!),ETAPP!A$1:A$32,0))</f>
        <v>0000000000000000000</v>
      </c>
      <c r="G11" s="684" t="str">
        <f t="shared" si="1"/>
        <v>085,0-0000000000000000000</v>
      </c>
      <c r="H11" s="684">
        <f t="shared" si="2"/>
        <v>5</v>
      </c>
      <c r="I11" s="684">
        <f t="shared" si="3"/>
        <v>53</v>
      </c>
      <c r="J11" s="684" t="str">
        <f t="shared" si="4"/>
        <v>085,0-0000000000000000000-053</v>
      </c>
      <c r="K11" s="684">
        <f t="shared" si="5"/>
        <v>5</v>
      </c>
      <c r="L11" s="685">
        <f t="shared" si="6"/>
        <v>145</v>
      </c>
      <c r="M11" s="686">
        <f>IFERROR(INDEX('M1'!C$300:C$400,MATCH("*"&amp;B11&amp;"*",'M1'!B$300:B$400,0)),"  ")</f>
        <v>30</v>
      </c>
      <c r="N11" s="686">
        <f>IFERROR(INDEX('M2'!C$300:C$400,MATCH("*"&amp;B11&amp;"*",'M2'!B$300:B$400,0)),"  ")</f>
        <v>1</v>
      </c>
      <c r="O11" s="686" t="str">
        <f>IFERROR(INDEX('M3'!C$300:C$400,MATCH("*"&amp;B11&amp;"*",'M3'!B$300:B$400,0)),"  ")</f>
        <v xml:space="preserve">  </v>
      </c>
      <c r="P11" s="686">
        <f>IFERROR(INDEX('M4'!C$300:C$400,MATCH("*"&amp;B11&amp;"*",'M4'!B$300:B$400,0)),"  ")</f>
        <v>34</v>
      </c>
      <c r="Q11" s="686">
        <f>IFERROR(INDEX('M5'!C$300:C$400,MATCH("*"&amp;B11&amp;"*",'M5'!B$300:B$400,0)),"  ")</f>
        <v>20</v>
      </c>
      <c r="R11" s="687">
        <f t="shared" si="7"/>
        <v>4</v>
      </c>
      <c r="S11" s="688">
        <f t="shared" si="8"/>
        <v>2</v>
      </c>
      <c r="T11" s="688">
        <f t="shared" si="9"/>
        <v>0</v>
      </c>
      <c r="U11" s="642"/>
      <c r="V11" s="689"/>
      <c r="W11" s="690"/>
      <c r="X11" s="690"/>
      <c r="Y11" s="690"/>
      <c r="Z11" s="690"/>
      <c r="AA11" s="689">
        <f t="shared" si="10"/>
        <v>2.9999999999999997E-4</v>
      </c>
      <c r="AB11" s="690">
        <f t="shared" si="11"/>
        <v>30.0001</v>
      </c>
      <c r="AC11" s="690">
        <f t="shared" si="12"/>
        <v>1.0002</v>
      </c>
      <c r="AD11" s="690">
        <f t="shared" si="13"/>
        <v>2.9999999999999997E-4</v>
      </c>
      <c r="AE11" s="690">
        <f t="shared" si="14"/>
        <v>34.000399999999999</v>
      </c>
      <c r="AF11" s="690">
        <f t="shared" si="15"/>
        <v>20.000499999999999</v>
      </c>
    </row>
    <row r="12" spans="1:32" x14ac:dyDescent="0.2">
      <c r="A12" s="680">
        <f t="shared" si="0"/>
        <v>6</v>
      </c>
      <c r="B12" s="681" t="s">
        <v>92</v>
      </c>
      <c r="C12" s="682"/>
      <c r="D12" s="683"/>
      <c r="E12" s="673">
        <f>(IF(COUNT(M12,N12,O12,P12,Q12)&lt;4,SUM(M12,N12,O12,P12,Q12),SUM(LARGE((M12,N12,O12,P12,Q12),{1;2;3;4}))))</f>
        <v>81</v>
      </c>
      <c r="F12" s="684" t="str">
        <f>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amp;INDEX(ETAPP!B$1:B$32,MATCH(COUNTIF(M12:Q12,#REF!),ETAPP!A$1:A$32,0))</f>
        <v>0000000000000000000</v>
      </c>
      <c r="G12" s="684" t="str">
        <f t="shared" si="1"/>
        <v>081,0-0000000000000000000</v>
      </c>
      <c r="H12" s="684">
        <f t="shared" si="2"/>
        <v>6</v>
      </c>
      <c r="I12" s="684">
        <f t="shared" si="3"/>
        <v>140</v>
      </c>
      <c r="J12" s="684" t="str">
        <f t="shared" si="4"/>
        <v>081,0-0000000000000000000-140</v>
      </c>
      <c r="K12" s="684">
        <f t="shared" si="5"/>
        <v>6</v>
      </c>
      <c r="L12" s="685">
        <f t="shared" si="6"/>
        <v>144</v>
      </c>
      <c r="M12" s="686" t="str">
        <f>IFERROR(INDEX('M1'!C$300:C$400,MATCH("*"&amp;B12&amp;"*",'M1'!B$300:B$400,0)),"  ")</f>
        <v xml:space="preserve">  </v>
      </c>
      <c r="N12" s="686">
        <f>IFERROR(INDEX('M2'!C$300:C$400,MATCH("*"&amp;B12&amp;"*",'M2'!B$300:B$400,0)),"  ")</f>
        <v>1</v>
      </c>
      <c r="O12" s="686">
        <f>IFERROR(INDEX('M3'!C$300:C$400,MATCH("*"&amp;B12&amp;"*",'M3'!B$300:B$400,0)),"  ")</f>
        <v>22</v>
      </c>
      <c r="P12" s="686">
        <f>IFERROR(INDEX('M4'!C$300:C$400,MATCH("*"&amp;B12&amp;"*",'M4'!B$300:B$400,0)),"  ")</f>
        <v>24</v>
      </c>
      <c r="Q12" s="686">
        <f>IFERROR(INDEX('M5'!C$300:C$400,MATCH("*"&amp;B12&amp;"*",'M5'!B$300:B$400,0)),"  ")</f>
        <v>34</v>
      </c>
      <c r="R12" s="687">
        <f t="shared" si="7"/>
        <v>4</v>
      </c>
      <c r="S12" s="688">
        <f t="shared" si="8"/>
        <v>1</v>
      </c>
      <c r="T12" s="688">
        <f t="shared" si="9"/>
        <v>0</v>
      </c>
      <c r="U12" s="642"/>
      <c r="V12" s="689"/>
      <c r="W12" s="690"/>
      <c r="X12" s="690"/>
      <c r="Y12" s="690"/>
      <c r="Z12" s="690"/>
      <c r="AA12" s="689">
        <f t="shared" si="10"/>
        <v>1E-4</v>
      </c>
      <c r="AB12" s="690">
        <f t="shared" si="11"/>
        <v>1E-4</v>
      </c>
      <c r="AC12" s="690">
        <f t="shared" si="12"/>
        <v>1.0002</v>
      </c>
      <c r="AD12" s="690">
        <f t="shared" si="13"/>
        <v>22.000299999999999</v>
      </c>
      <c r="AE12" s="690">
        <f t="shared" si="14"/>
        <v>24.000399999999999</v>
      </c>
      <c r="AF12" s="690">
        <f t="shared" si="15"/>
        <v>34.000500000000002</v>
      </c>
    </row>
    <row r="13" spans="1:32" x14ac:dyDescent="0.2">
      <c r="A13" s="680">
        <f t="shared" si="0"/>
        <v>7</v>
      </c>
      <c r="B13" s="681" t="s">
        <v>90</v>
      </c>
      <c r="C13" s="682"/>
      <c r="D13" s="683"/>
      <c r="E13" s="673">
        <f>(IF(COUNT(M13,N13,O13,P13,Q13)&lt;4,SUM(M13,N13,O13,P13,Q13),SUM(LARGE((M13,N13,O13,P13,Q13),{1;2;3;4}))))</f>
        <v>78</v>
      </c>
      <c r="F13" s="684" t="str">
        <f>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amp;INDEX(ETAPP!B$1:B$32,MATCH(COUNTIF(M13:Q13,#REF!),ETAPP!A$1:A$32,0))</f>
        <v>0000000000000000000</v>
      </c>
      <c r="G13" s="684" t="str">
        <f t="shared" si="1"/>
        <v>078,0-0000000000000000000</v>
      </c>
      <c r="H13" s="684">
        <f t="shared" si="2"/>
        <v>7</v>
      </c>
      <c r="I13" s="684">
        <f t="shared" si="3"/>
        <v>87</v>
      </c>
      <c r="J13" s="684" t="str">
        <f t="shared" si="4"/>
        <v>078,0-0000000000000000000-087</v>
      </c>
      <c r="K13" s="684">
        <f t="shared" si="5"/>
        <v>7</v>
      </c>
      <c r="L13" s="685">
        <f t="shared" si="6"/>
        <v>143</v>
      </c>
      <c r="M13" s="686">
        <f>IFERROR(INDEX('M1'!C$300:C$400,MATCH("*"&amp;B13&amp;"*",'M1'!B$300:B$400,0)),"  ")</f>
        <v>22</v>
      </c>
      <c r="N13" s="686">
        <f>IFERROR(INDEX('M2'!C$300:C$400,MATCH("*"&amp;B13&amp;"*",'M2'!B$300:B$400,0)),"  ")</f>
        <v>8</v>
      </c>
      <c r="O13" s="686">
        <f>IFERROR(INDEX('M3'!C$300:C$400,MATCH("*"&amp;B13&amp;"*",'M3'!B$300:B$400,0)),"  ")</f>
        <v>34</v>
      </c>
      <c r="P13" s="686">
        <f>IFERROR(INDEX('M4'!C$300:C$400,MATCH("*"&amp;B13&amp;"*",'M4'!B$300:B$400,0)),"  ")</f>
        <v>10</v>
      </c>
      <c r="Q13" s="686">
        <f>IFERROR(INDEX('M5'!C$300:C$400,MATCH("*"&amp;B13&amp;"*",'M5'!B$300:B$400,0)),"  ")</f>
        <v>12</v>
      </c>
      <c r="R13" s="687">
        <f t="shared" si="7"/>
        <v>5</v>
      </c>
      <c r="S13" s="688">
        <f t="shared" si="8"/>
        <v>1</v>
      </c>
      <c r="T13" s="688">
        <f t="shared" si="9"/>
        <v>0</v>
      </c>
      <c r="U13" s="642"/>
      <c r="V13" s="689"/>
      <c r="W13" s="690"/>
      <c r="X13" s="690"/>
      <c r="Y13" s="690"/>
      <c r="Z13" s="690"/>
      <c r="AA13" s="689">
        <f t="shared" si="10"/>
        <v>8.0001999999999995</v>
      </c>
      <c r="AB13" s="690">
        <f t="shared" si="11"/>
        <v>22.0001</v>
      </c>
      <c r="AC13" s="690">
        <f t="shared" si="12"/>
        <v>8.0001999999999995</v>
      </c>
      <c r="AD13" s="690">
        <f t="shared" si="13"/>
        <v>34.000300000000003</v>
      </c>
      <c r="AE13" s="690">
        <f t="shared" si="14"/>
        <v>10.000400000000001</v>
      </c>
      <c r="AF13" s="690">
        <f t="shared" si="15"/>
        <v>12.000500000000001</v>
      </c>
    </row>
    <row r="14" spans="1:32" x14ac:dyDescent="0.2">
      <c r="A14" s="680">
        <f t="shared" si="0"/>
        <v>8</v>
      </c>
      <c r="B14" s="681" t="s">
        <v>135</v>
      </c>
      <c r="C14" s="682"/>
      <c r="D14" s="683"/>
      <c r="E14" s="673">
        <f>(IF(COUNT(M14,N14,O14,P14,Q14)&lt;4,SUM(M14,N14,O14,P14,Q14),SUM(LARGE((M14,N14,O14,P14,Q14),{1;2;3;4}))))</f>
        <v>68</v>
      </c>
      <c r="F14" s="684" t="str">
        <f>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amp;INDEX(ETAPP!B$1:B$32,MATCH(COUNTIF(M14:Q14,#REF!),ETAPP!A$1:A$32,0))</f>
        <v>0000000000000000000</v>
      </c>
      <c r="G14" s="684" t="str">
        <f t="shared" si="1"/>
        <v>068,0-0000000000000000000</v>
      </c>
      <c r="H14" s="684">
        <f t="shared" si="2"/>
        <v>8</v>
      </c>
      <c r="I14" s="684">
        <f t="shared" si="3"/>
        <v>12</v>
      </c>
      <c r="J14" s="684" t="str">
        <f t="shared" si="4"/>
        <v>068,0-0000000000000000000-012</v>
      </c>
      <c r="K14" s="684">
        <f t="shared" si="5"/>
        <v>8</v>
      </c>
      <c r="L14" s="685">
        <f t="shared" si="6"/>
        <v>142</v>
      </c>
      <c r="M14" s="686">
        <f>IFERROR(INDEX('M1'!C$300:C$400,MATCH("*"&amp;B14&amp;"*",'M1'!B$300:B$400,0)),"  ")</f>
        <v>20</v>
      </c>
      <c r="N14" s="686" t="str">
        <f>IFERROR(INDEX('M2'!C$300:C$400,MATCH("*"&amp;B14&amp;"*",'M2'!B$300:B$400,0)),"  ")</f>
        <v xml:space="preserve">  </v>
      </c>
      <c r="O14" s="686">
        <f>IFERROR(INDEX('M3'!C$300:C$400,MATCH("*"&amp;B14&amp;"*",'M3'!B$300:B$400,0)),"  ")</f>
        <v>26</v>
      </c>
      <c r="P14" s="686">
        <f>IFERROR(INDEX('M4'!C$300:C$400,MATCH("*"&amp;B14&amp;"*",'M4'!B$300:B$400,0)),"  ")</f>
        <v>22</v>
      </c>
      <c r="Q14" s="686" t="str">
        <f>IFERROR(INDEX('M5'!C$300:C$400,MATCH("*"&amp;B14&amp;"*",'M5'!B$300:B$400,0)),"  ")</f>
        <v xml:space="preserve">  </v>
      </c>
      <c r="R14" s="687">
        <f t="shared" si="7"/>
        <v>3</v>
      </c>
      <c r="S14" s="688">
        <f t="shared" si="8"/>
        <v>0</v>
      </c>
      <c r="T14" s="688">
        <f t="shared" si="9"/>
        <v>0</v>
      </c>
      <c r="U14" s="642"/>
      <c r="V14" s="689"/>
      <c r="W14" s="690"/>
      <c r="X14" s="690"/>
      <c r="Y14" s="690"/>
      <c r="Z14" s="690"/>
      <c r="AA14" s="689">
        <f t="shared" si="10"/>
        <v>2.0000000000000001E-4</v>
      </c>
      <c r="AB14" s="690">
        <f t="shared" si="11"/>
        <v>20.0001</v>
      </c>
      <c r="AC14" s="690">
        <f t="shared" si="12"/>
        <v>2.0000000000000001E-4</v>
      </c>
      <c r="AD14" s="690">
        <f t="shared" si="13"/>
        <v>26.000299999999999</v>
      </c>
      <c r="AE14" s="690">
        <f t="shared" si="14"/>
        <v>22.000399999999999</v>
      </c>
      <c r="AF14" s="690">
        <f t="shared" si="15"/>
        <v>5.0000000000000001E-4</v>
      </c>
    </row>
    <row r="15" spans="1:32" x14ac:dyDescent="0.2">
      <c r="A15" s="680">
        <f t="shared" si="0"/>
        <v>9</v>
      </c>
      <c r="B15" s="681" t="s">
        <v>104</v>
      </c>
      <c r="C15" s="682"/>
      <c r="D15" s="683"/>
      <c r="E15" s="673">
        <f>(IF(COUNT(M15,N15,O15,P15,Q15)&lt;4,SUM(M15,N15,O15,P15,Q15),SUM(LARGE((M15,N15,O15,P15,Q15),{1;2;3;4}))))</f>
        <v>58</v>
      </c>
      <c r="F15" s="684" t="str">
        <f>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amp;INDEX(ETAPP!B$1:B$32,MATCH(COUNTIF(M15:Q15,#REF!),ETAPP!A$1:A$32,0))</f>
        <v>0000000000000000000</v>
      </c>
      <c r="G15" s="684" t="str">
        <f t="shared" si="1"/>
        <v>058,0-0000000000000000000</v>
      </c>
      <c r="H15" s="684">
        <f t="shared" si="2"/>
        <v>9</v>
      </c>
      <c r="I15" s="684">
        <f t="shared" si="3"/>
        <v>110</v>
      </c>
      <c r="J15" s="684" t="str">
        <f t="shared" si="4"/>
        <v>058,0-0000000000000000000-110</v>
      </c>
      <c r="K15" s="684">
        <f t="shared" si="5"/>
        <v>9</v>
      </c>
      <c r="L15" s="685">
        <f t="shared" si="6"/>
        <v>141</v>
      </c>
      <c r="M15" s="686">
        <f>IFERROR(INDEX('M1'!C$300:C$400,MATCH("*"&amp;B15&amp;"*",'M1'!B$300:B$400,0)),"  ")</f>
        <v>34</v>
      </c>
      <c r="N15" s="686">
        <f>IFERROR(INDEX('M2'!C$300:C$400,MATCH("*"&amp;B15&amp;"*",'M2'!B$300:B$400,0)),"  ")</f>
        <v>24</v>
      </c>
      <c r="O15" s="686" t="str">
        <f>IFERROR(INDEX('M3'!C$300:C$400,MATCH("*"&amp;B15&amp;"*",'M3'!B$300:B$400,0)),"  ")</f>
        <v xml:space="preserve">  </v>
      </c>
      <c r="P15" s="686" t="str">
        <f>IFERROR(INDEX('M4'!C$300:C$400,MATCH("*"&amp;B15&amp;"*",'M4'!B$300:B$400,0)),"  ")</f>
        <v xml:space="preserve">  </v>
      </c>
      <c r="Q15" s="686" t="str">
        <f>IFERROR(INDEX('M5'!C$300:C$400,MATCH("*"&amp;B15&amp;"*",'M5'!B$300:B$400,0)),"  ")</f>
        <v xml:space="preserve">  </v>
      </c>
      <c r="R15" s="687">
        <f t="shared" si="7"/>
        <v>2</v>
      </c>
      <c r="S15" s="688">
        <f t="shared" si="8"/>
        <v>1</v>
      </c>
      <c r="T15" s="688">
        <f t="shared" si="9"/>
        <v>0</v>
      </c>
      <c r="U15" s="642"/>
      <c r="V15" s="689"/>
      <c r="W15" s="690"/>
      <c r="X15" s="690"/>
      <c r="Y15" s="690"/>
      <c r="Z15" s="690"/>
      <c r="AA15" s="689">
        <f t="shared" si="10"/>
        <v>2.9999999999999997E-4</v>
      </c>
      <c r="AB15" s="690">
        <f t="shared" si="11"/>
        <v>34.000100000000003</v>
      </c>
      <c r="AC15" s="690">
        <f t="shared" si="12"/>
        <v>24.0002</v>
      </c>
      <c r="AD15" s="690">
        <f t="shared" si="13"/>
        <v>2.9999999999999997E-4</v>
      </c>
      <c r="AE15" s="690">
        <f t="shared" si="14"/>
        <v>4.0000000000000002E-4</v>
      </c>
      <c r="AF15" s="690">
        <f t="shared" si="15"/>
        <v>5.0000000000000001E-4</v>
      </c>
    </row>
    <row r="16" spans="1:32" x14ac:dyDescent="0.2">
      <c r="A16" s="680">
        <f t="shared" si="0"/>
        <v>10</v>
      </c>
      <c r="B16" s="681" t="s">
        <v>87</v>
      </c>
      <c r="C16" s="682"/>
      <c r="D16" s="683"/>
      <c r="E16" s="673">
        <f>(IF(COUNT(M16,N16,O16,P16,Q16)&lt;4,SUM(M16,N16,O16,P16,Q16),SUM(LARGE((M16,N16,O16,P16,Q16),{1;2;3;4}))))</f>
        <v>56</v>
      </c>
      <c r="F16" s="684" t="str">
        <f>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amp;INDEX(ETAPP!B$1:B$32,MATCH(COUNTIF(M16:Q16,#REF!),ETAPP!A$1:A$32,0))</f>
        <v>0000000000000000000</v>
      </c>
      <c r="G16" s="684" t="str">
        <f t="shared" si="1"/>
        <v>056,0-0000000000000000000</v>
      </c>
      <c r="H16" s="684">
        <f t="shared" si="2"/>
        <v>10</v>
      </c>
      <c r="I16" s="684">
        <f t="shared" si="3"/>
        <v>64</v>
      </c>
      <c r="J16" s="684" t="str">
        <f t="shared" si="4"/>
        <v>056,0-0000000000000000000-064</v>
      </c>
      <c r="K16" s="684">
        <f t="shared" si="5"/>
        <v>10</v>
      </c>
      <c r="L16" s="685">
        <f t="shared" si="6"/>
        <v>140</v>
      </c>
      <c r="M16" s="686" t="str">
        <f>IFERROR(INDEX('M1'!C$300:C$400,MATCH("*"&amp;B16&amp;"*",'M1'!B$300:B$400,0)),"  ")</f>
        <v xml:space="preserve">  </v>
      </c>
      <c r="N16" s="686">
        <f>IFERROR(INDEX('M2'!C$300:C$400,MATCH("*"&amp;B16&amp;"*",'M2'!B$300:B$400,0)),"  ")</f>
        <v>26</v>
      </c>
      <c r="O16" s="686" t="str">
        <f>IFERROR(INDEX('M3'!C$300:C$400,MATCH("*"&amp;B16&amp;"*",'M3'!B$300:B$400,0)),"  ")</f>
        <v xml:space="preserve">  </v>
      </c>
      <c r="P16" s="686" t="str">
        <f>IFERROR(INDEX('M4'!C$300:C$400,MATCH("*"&amp;B16&amp;"*",'M4'!B$300:B$400,0)),"  ")</f>
        <v xml:space="preserve">  </v>
      </c>
      <c r="Q16" s="686">
        <f>IFERROR(INDEX('M5'!C$300:C$400,MATCH("*"&amp;B16&amp;"*",'M5'!B$300:B$400,0)),"  ")</f>
        <v>30</v>
      </c>
      <c r="R16" s="687">
        <f t="shared" si="7"/>
        <v>2</v>
      </c>
      <c r="S16" s="688">
        <f t="shared" si="8"/>
        <v>1</v>
      </c>
      <c r="T16" s="688">
        <f t="shared" si="9"/>
        <v>0</v>
      </c>
      <c r="U16" s="642"/>
      <c r="V16" s="689"/>
      <c r="W16" s="690"/>
      <c r="X16" s="690"/>
      <c r="Y16" s="690"/>
      <c r="Z16" s="690"/>
      <c r="AA16" s="689">
        <f t="shared" si="10"/>
        <v>1E-4</v>
      </c>
      <c r="AB16" s="690">
        <f t="shared" si="11"/>
        <v>1E-4</v>
      </c>
      <c r="AC16" s="690">
        <f t="shared" si="12"/>
        <v>26.0002</v>
      </c>
      <c r="AD16" s="690">
        <f t="shared" si="13"/>
        <v>2.9999999999999997E-4</v>
      </c>
      <c r="AE16" s="690">
        <f t="shared" si="14"/>
        <v>4.0000000000000002E-4</v>
      </c>
      <c r="AF16" s="690">
        <f t="shared" si="15"/>
        <v>30.000499999999999</v>
      </c>
    </row>
    <row r="17" spans="1:32" x14ac:dyDescent="0.2">
      <c r="A17" s="680">
        <f t="shared" si="0"/>
        <v>11</v>
      </c>
      <c r="B17" s="681" t="s">
        <v>88</v>
      </c>
      <c r="C17" s="682"/>
      <c r="D17" s="683"/>
      <c r="E17" s="673">
        <f>(IF(COUNT(M17,N17,O17,P17,Q17)&lt;4,SUM(M17,N17,O17,P17,Q17),SUM(LARGE((M17,N17,O17,P17,Q17),{1;2;3;4}))))</f>
        <v>52</v>
      </c>
      <c r="F17" s="684" t="str">
        <f>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amp;INDEX(ETAPP!B$1:B$32,MATCH(COUNTIF(M17:Q17,#REF!),ETAPP!A$1:A$32,0))</f>
        <v>0000000000000000000</v>
      </c>
      <c r="G17" s="684" t="str">
        <f t="shared" si="1"/>
        <v>052,0-0000000000000000000</v>
      </c>
      <c r="H17" s="684">
        <f t="shared" si="2"/>
        <v>11</v>
      </c>
      <c r="I17" s="684">
        <f t="shared" si="3"/>
        <v>52</v>
      </c>
      <c r="J17" s="684" t="str">
        <f t="shared" si="4"/>
        <v>052,0-0000000000000000000-052</v>
      </c>
      <c r="K17" s="684">
        <f t="shared" si="5"/>
        <v>11</v>
      </c>
      <c r="L17" s="685">
        <f t="shared" si="6"/>
        <v>139</v>
      </c>
      <c r="M17" s="686">
        <f>IFERROR(INDEX('M1'!C$300:C$400,MATCH("*"&amp;B17&amp;"*",'M1'!B$300:B$400,0)),"  ")</f>
        <v>18</v>
      </c>
      <c r="N17" s="686">
        <f>IFERROR(INDEX('M2'!C$300:C$400,MATCH("*"&amp;B17&amp;"*",'M2'!B$300:B$400,0)),"  ")</f>
        <v>22</v>
      </c>
      <c r="O17" s="686">
        <f>IFERROR(INDEX('M3'!C$300:C$400,MATCH("*"&amp;B17&amp;"*",'M3'!B$300:B$400,0)),"  ")</f>
        <v>12</v>
      </c>
      <c r="P17" s="686" t="str">
        <f>IFERROR(INDEX('M4'!C$300:C$400,MATCH("*"&amp;B17&amp;"*",'M4'!B$300:B$400,0)),"  ")</f>
        <v xml:space="preserve">  </v>
      </c>
      <c r="Q17" s="686" t="str">
        <f>IFERROR(INDEX('M5'!C$300:C$400,MATCH("*"&amp;B17&amp;"*",'M5'!B$300:B$400,0)),"  ")</f>
        <v xml:space="preserve">  </v>
      </c>
      <c r="R17" s="687">
        <f t="shared" si="7"/>
        <v>3</v>
      </c>
      <c r="S17" s="688">
        <f t="shared" si="8"/>
        <v>0</v>
      </c>
      <c r="T17" s="688">
        <f t="shared" si="9"/>
        <v>0</v>
      </c>
      <c r="U17" s="642"/>
      <c r="V17" s="689"/>
      <c r="W17" s="690"/>
      <c r="X17" s="690"/>
      <c r="Y17" s="690"/>
      <c r="Z17" s="690"/>
      <c r="AA17" s="689">
        <f t="shared" si="10"/>
        <v>4.0000000000000002E-4</v>
      </c>
      <c r="AB17" s="690">
        <f t="shared" si="11"/>
        <v>18.0001</v>
      </c>
      <c r="AC17" s="690">
        <f t="shared" si="12"/>
        <v>22.0002</v>
      </c>
      <c r="AD17" s="690">
        <f t="shared" si="13"/>
        <v>12.000299999999999</v>
      </c>
      <c r="AE17" s="690">
        <f t="shared" si="14"/>
        <v>4.0000000000000002E-4</v>
      </c>
      <c r="AF17" s="690">
        <f t="shared" si="15"/>
        <v>5.0000000000000001E-4</v>
      </c>
    </row>
    <row r="18" spans="1:32" x14ac:dyDescent="0.2">
      <c r="A18" s="680">
        <f t="shared" si="0"/>
        <v>12</v>
      </c>
      <c r="B18" s="681" t="s">
        <v>102</v>
      </c>
      <c r="C18" s="682"/>
      <c r="D18" s="683"/>
      <c r="E18" s="673">
        <f>(IF(COUNT(M18,N18,O18,P18,Q18)&lt;4,SUM(M18,N18,O18,P18,Q18),SUM(LARGE((M18,N18,O18,P18,Q18),{1;2;3;4}))))</f>
        <v>49</v>
      </c>
      <c r="F18" s="684" t="str">
        <f>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amp;INDEX(ETAPP!B$1:B$32,MATCH(COUNTIF(M18:Q18,#REF!),ETAPP!A$1:A$32,0))</f>
        <v>0000000000000000000</v>
      </c>
      <c r="G18" s="684" t="str">
        <f t="shared" si="1"/>
        <v>049,0-0000000000000000000</v>
      </c>
      <c r="H18" s="684">
        <f t="shared" si="2"/>
        <v>12</v>
      </c>
      <c r="I18" s="684">
        <f t="shared" si="3"/>
        <v>4</v>
      </c>
      <c r="J18" s="684" t="str">
        <f t="shared" si="4"/>
        <v>049,0-0000000000000000000-004</v>
      </c>
      <c r="K18" s="684">
        <f t="shared" si="5"/>
        <v>12</v>
      </c>
      <c r="L18" s="685">
        <f t="shared" si="6"/>
        <v>138</v>
      </c>
      <c r="M18" s="686">
        <f>IFERROR(INDEX('M1'!C$300:C$400,MATCH("*"&amp;B18&amp;"*",'M1'!B$300:B$400,0)),"  ")</f>
        <v>1</v>
      </c>
      <c r="N18" s="686">
        <f>IFERROR(INDEX('M2'!C$300:C$400,MATCH("*"&amp;B18&amp;"*",'M2'!B$300:B$400,0)),"  ")</f>
        <v>16</v>
      </c>
      <c r="O18" s="686">
        <f>IFERROR(INDEX('M3'!C$300:C$400,MATCH("*"&amp;B18&amp;"*",'M3'!B$300:B$400,0)),"  ")</f>
        <v>16</v>
      </c>
      <c r="P18" s="686">
        <f>IFERROR(INDEX('M4'!C$300:C$400,MATCH("*"&amp;B18&amp;"*",'M4'!B$300:B$400,0)),"  ")</f>
        <v>16</v>
      </c>
      <c r="Q18" s="686" t="str">
        <f>IFERROR(INDEX('M5'!C$300:C$400,MATCH("*"&amp;B18&amp;"*",'M5'!B$300:B$400,0)),"  ")</f>
        <v xml:space="preserve">  </v>
      </c>
      <c r="R18" s="687">
        <f t="shared" si="7"/>
        <v>4</v>
      </c>
      <c r="S18" s="688">
        <f t="shared" si="8"/>
        <v>0</v>
      </c>
      <c r="T18" s="688">
        <f t="shared" si="9"/>
        <v>0</v>
      </c>
      <c r="U18" s="642"/>
      <c r="V18" s="689"/>
      <c r="W18" s="690"/>
      <c r="X18" s="690"/>
      <c r="Y18" s="690"/>
      <c r="Z18" s="690"/>
      <c r="AA18" s="689">
        <f t="shared" si="10"/>
        <v>5.0000000000000001E-4</v>
      </c>
      <c r="AB18" s="690">
        <f t="shared" si="11"/>
        <v>1.0001</v>
      </c>
      <c r="AC18" s="690">
        <f t="shared" si="12"/>
        <v>16.0002</v>
      </c>
      <c r="AD18" s="690">
        <f t="shared" si="13"/>
        <v>16.000299999999999</v>
      </c>
      <c r="AE18" s="690">
        <f t="shared" si="14"/>
        <v>16.000399999999999</v>
      </c>
      <c r="AF18" s="690">
        <f t="shared" si="15"/>
        <v>5.0000000000000001E-4</v>
      </c>
    </row>
    <row r="19" spans="1:32" x14ac:dyDescent="0.2">
      <c r="A19" s="680">
        <f t="shared" si="0"/>
        <v>13</v>
      </c>
      <c r="B19" s="681" t="s">
        <v>129</v>
      </c>
      <c r="C19" s="682"/>
      <c r="D19" s="683"/>
      <c r="E19" s="673">
        <f>(IF(COUNT(M19,N19,O19,P19,Q19)&lt;4,SUM(M19,N19,O19,P19,Q19),SUM(LARGE((M19,N19,O19,P19,Q19),{1;2;3;4}))))</f>
        <v>48</v>
      </c>
      <c r="F19" s="684" t="str">
        <f>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amp;INDEX(ETAPP!B$1:B$32,MATCH(COUNTIF(M19:Q19,#REF!),ETAPP!A$1:A$32,0))</f>
        <v>0000000000000000000</v>
      </c>
      <c r="G19" s="684" t="str">
        <f t="shared" si="1"/>
        <v>048,0-0000000000000000000</v>
      </c>
      <c r="H19" s="684">
        <f t="shared" si="2"/>
        <v>13</v>
      </c>
      <c r="I19" s="684">
        <f t="shared" si="3"/>
        <v>16</v>
      </c>
      <c r="J19" s="684" t="str">
        <f t="shared" si="4"/>
        <v>048,0-0000000000000000000-016</v>
      </c>
      <c r="K19" s="684">
        <f t="shared" si="5"/>
        <v>13</v>
      </c>
      <c r="L19" s="685">
        <f t="shared" si="6"/>
        <v>137</v>
      </c>
      <c r="M19" s="686" t="str">
        <f>IFERROR(INDEX('M1'!C$300:C$400,MATCH("*"&amp;B19&amp;"*",'M1'!B$300:B$400,0)),"  ")</f>
        <v xml:space="preserve">  </v>
      </c>
      <c r="N19" s="686" t="str">
        <f>IFERROR(INDEX('M2'!C$300:C$400,MATCH("*"&amp;B19&amp;"*",'M2'!B$300:B$400,0)),"  ")</f>
        <v xml:space="preserve">  </v>
      </c>
      <c r="O19" s="686" t="str">
        <f>IFERROR(INDEX('M3'!C$300:C$400,MATCH("*"&amp;B19&amp;"*",'M3'!B$300:B$400,0)),"  ")</f>
        <v xml:space="preserve">  </v>
      </c>
      <c r="P19" s="686">
        <f>IFERROR(INDEX('M4'!C$300:C$400,MATCH("*"&amp;B19&amp;"*",'M4'!B$300:B$400,0)),"  ")</f>
        <v>30</v>
      </c>
      <c r="Q19" s="686">
        <f>IFERROR(INDEX('M5'!C$300:C$400,MATCH("*"&amp;B19&amp;"*",'M5'!B$300:B$400,0)),"  ")</f>
        <v>18</v>
      </c>
      <c r="R19" s="687">
        <f t="shared" si="7"/>
        <v>2</v>
      </c>
      <c r="S19" s="688">
        <f t="shared" si="8"/>
        <v>1</v>
      </c>
      <c r="T19" s="688">
        <f t="shared" si="9"/>
        <v>0</v>
      </c>
      <c r="U19" s="642"/>
      <c r="V19" s="689"/>
      <c r="W19" s="690"/>
      <c r="X19" s="690"/>
      <c r="Y19" s="690"/>
      <c r="Z19" s="690"/>
      <c r="AA19" s="689">
        <f t="shared" si="10"/>
        <v>1E-4</v>
      </c>
      <c r="AB19" s="690">
        <f t="shared" si="11"/>
        <v>1E-4</v>
      </c>
      <c r="AC19" s="690">
        <f t="shared" si="12"/>
        <v>2.0000000000000001E-4</v>
      </c>
      <c r="AD19" s="690">
        <f t="shared" si="13"/>
        <v>2.9999999999999997E-4</v>
      </c>
      <c r="AE19" s="690">
        <f t="shared" si="14"/>
        <v>30.000399999999999</v>
      </c>
      <c r="AF19" s="690">
        <f t="shared" si="15"/>
        <v>18.000499999999999</v>
      </c>
    </row>
    <row r="20" spans="1:32" x14ac:dyDescent="0.2">
      <c r="A20" s="680">
        <f t="shared" si="0"/>
        <v>14</v>
      </c>
      <c r="B20" s="681" t="s">
        <v>116</v>
      </c>
      <c r="C20" s="682"/>
      <c r="D20" s="693"/>
      <c r="E20" s="673">
        <f>(IF(COUNT(M20,N20,O20,P20,Q20)&lt;4,SUM(M20,N20,O20,P20,Q20),SUM(LARGE((M20,N20,O20,P20,Q20),{1;2;3;4}))))</f>
        <v>47</v>
      </c>
      <c r="F20" s="684" t="str">
        <f>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amp;INDEX(ETAPP!B$1:B$32,MATCH(COUNTIF(M20:Q20,#REF!),ETAPP!A$1:A$32,0))</f>
        <v>0000000000000000000</v>
      </c>
      <c r="G20" s="684" t="str">
        <f t="shared" si="1"/>
        <v>047,0-0000000000000000000</v>
      </c>
      <c r="H20" s="684">
        <f t="shared" si="2"/>
        <v>14</v>
      </c>
      <c r="I20" s="684">
        <f t="shared" si="3"/>
        <v>89</v>
      </c>
      <c r="J20" s="684" t="str">
        <f t="shared" si="4"/>
        <v>047,0-0000000000000000000-089</v>
      </c>
      <c r="K20" s="684">
        <f t="shared" si="5"/>
        <v>14</v>
      </c>
      <c r="L20" s="685">
        <f t="shared" si="6"/>
        <v>136</v>
      </c>
      <c r="M20" s="686" t="str">
        <f>IFERROR(INDEX('M1'!C$300:C$400,MATCH("*"&amp;B20&amp;"*",'M1'!B$300:B$400,0)),"  ")</f>
        <v xml:space="preserve">  </v>
      </c>
      <c r="N20" s="686">
        <f>IFERROR(INDEX('M2'!C$300:C$400,MATCH("*"&amp;B20&amp;"*",'M2'!B$300:B$400,0)),"  ")</f>
        <v>1</v>
      </c>
      <c r="O20" s="686">
        <f>IFERROR(INDEX('M3'!C$300:C$400,MATCH("*"&amp;B20&amp;"*",'M3'!B$300:B$400,0)),"  ")</f>
        <v>6</v>
      </c>
      <c r="P20" s="686" t="str">
        <f>IFERROR(INDEX('M4'!C$300:C$400,MATCH("*"&amp;B20&amp;"*",'M4'!B$300:B$400,0)),"  ")</f>
        <v xml:space="preserve">  </v>
      </c>
      <c r="Q20" s="686">
        <f>IFERROR(INDEX('M5'!C$300:C$400,MATCH("*"&amp;B20&amp;"*",'M5'!B$300:B$400,0)),"  ")</f>
        <v>40</v>
      </c>
      <c r="R20" s="687">
        <f t="shared" si="7"/>
        <v>3</v>
      </c>
      <c r="S20" s="688">
        <f t="shared" si="8"/>
        <v>1</v>
      </c>
      <c r="T20" s="688">
        <f t="shared" si="9"/>
        <v>1</v>
      </c>
      <c r="U20" s="642"/>
      <c r="V20" s="689"/>
      <c r="W20" s="690"/>
      <c r="X20" s="690"/>
      <c r="Y20" s="690"/>
      <c r="Z20" s="690"/>
      <c r="AA20" s="689">
        <f t="shared" si="10"/>
        <v>1E-4</v>
      </c>
      <c r="AB20" s="690">
        <f t="shared" si="11"/>
        <v>1E-4</v>
      </c>
      <c r="AC20" s="690">
        <f t="shared" si="12"/>
        <v>1.0002</v>
      </c>
      <c r="AD20" s="690">
        <f t="shared" si="13"/>
        <v>6.0003000000000002</v>
      </c>
      <c r="AE20" s="690">
        <f t="shared" si="14"/>
        <v>4.0000000000000002E-4</v>
      </c>
      <c r="AF20" s="690">
        <f t="shared" si="15"/>
        <v>40.000500000000002</v>
      </c>
    </row>
    <row r="21" spans="1:32" x14ac:dyDescent="0.2">
      <c r="A21" s="680">
        <f t="shared" si="0"/>
        <v>15</v>
      </c>
      <c r="B21" s="681" t="s">
        <v>136</v>
      </c>
      <c r="C21" s="694"/>
      <c r="D21" s="695"/>
      <c r="E21" s="673">
        <f>(IF(COUNT(M21,N21,O21,P21,Q21)&lt;4,SUM(M21,N21,O21,P21,Q21),SUM(LARGE((M21,N21,O21,P21,Q21),{1;2;3;4}))))</f>
        <v>46</v>
      </c>
      <c r="F21" s="684" t="str">
        <f>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amp;INDEX(ETAPP!B$1:B$32,MATCH(COUNTIF(M21:Q21,#REF!),ETAPP!A$1:A$32,0))</f>
        <v>0000000000000000000</v>
      </c>
      <c r="G21" s="684" t="str">
        <f t="shared" si="1"/>
        <v>046,0-0000000000000000000</v>
      </c>
      <c r="H21" s="684">
        <f t="shared" si="2"/>
        <v>16</v>
      </c>
      <c r="I21" s="684">
        <f t="shared" si="3"/>
        <v>69</v>
      </c>
      <c r="J21" s="684" t="str">
        <f t="shared" si="4"/>
        <v>046,0-0000000000000000000-069</v>
      </c>
      <c r="K21" s="684">
        <f t="shared" si="5"/>
        <v>16</v>
      </c>
      <c r="L21" s="685">
        <f t="shared" si="6"/>
        <v>134</v>
      </c>
      <c r="M21" s="686" t="str">
        <f>IFERROR(INDEX('M1'!C$300:C$400,MATCH("*"&amp;B21&amp;"*",'M1'!B$300:B$400,0)),"  ")</f>
        <v xml:space="preserve">  </v>
      </c>
      <c r="N21" s="686">
        <f>IFERROR(INDEX('M2'!C$300:C$400,MATCH("*"&amp;B21&amp;"*",'M2'!B$300:B$400,0)),"  ")</f>
        <v>18</v>
      </c>
      <c r="O21" s="686">
        <f>IFERROR(INDEX('M3'!C$300:C$400,MATCH("*"&amp;B21&amp;"*",'M3'!B$300:B$400,0)),"  ")</f>
        <v>8</v>
      </c>
      <c r="P21" s="686">
        <f>IFERROR(INDEX('M4'!C$300:C$400,MATCH("*"&amp;B21&amp;"*",'M4'!B$300:B$400,0)),"  ")</f>
        <v>20</v>
      </c>
      <c r="Q21" s="686" t="str">
        <f>IFERROR(INDEX('M5'!C$300:C$400,MATCH("*"&amp;B21&amp;"*",'M5'!B$300:B$400,0)),"  ")</f>
        <v xml:space="preserve">  </v>
      </c>
      <c r="R21" s="687">
        <f t="shared" si="7"/>
        <v>3</v>
      </c>
      <c r="S21" s="688">
        <f t="shared" si="8"/>
        <v>0</v>
      </c>
      <c r="T21" s="688">
        <f t="shared" si="9"/>
        <v>0</v>
      </c>
      <c r="U21" s="642"/>
      <c r="V21" s="689"/>
      <c r="W21" s="690"/>
      <c r="X21" s="690"/>
      <c r="Y21" s="690"/>
      <c r="Z21" s="690"/>
      <c r="AA21" s="689">
        <f t="shared" si="10"/>
        <v>1E-4</v>
      </c>
      <c r="AB21" s="690">
        <f t="shared" si="11"/>
        <v>1E-4</v>
      </c>
      <c r="AC21" s="690">
        <f t="shared" si="12"/>
        <v>18.0002</v>
      </c>
      <c r="AD21" s="690">
        <f t="shared" si="13"/>
        <v>8.0002999999999993</v>
      </c>
      <c r="AE21" s="690">
        <f t="shared" si="14"/>
        <v>20.000399999999999</v>
      </c>
      <c r="AF21" s="690">
        <f t="shared" si="15"/>
        <v>5.0000000000000001E-4</v>
      </c>
    </row>
    <row r="22" spans="1:32" x14ac:dyDescent="0.2">
      <c r="A22" s="680">
        <f t="shared" si="0"/>
        <v>15</v>
      </c>
      <c r="B22" s="681" t="s">
        <v>94</v>
      </c>
      <c r="C22" s="682"/>
      <c r="D22" s="683"/>
      <c r="E22" s="673">
        <f>(IF(COUNT(M22,N22,O22,P22,Q22)&lt;4,SUM(M22,N22,O22,P22,Q22),SUM(LARGE((M22,N22,O22,P22,Q22),{1;2;3;4}))))</f>
        <v>46</v>
      </c>
      <c r="F22" s="684" t="str">
        <f>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amp;INDEX(ETAPP!B$1:B$32,MATCH(COUNTIF(M22:Q22,#REF!),ETAPP!A$1:A$32,0))</f>
        <v>0000000000000000000</v>
      </c>
      <c r="G22" s="684" t="str">
        <f t="shared" si="1"/>
        <v>046,0-0000000000000000000</v>
      </c>
      <c r="H22" s="684">
        <f t="shared" si="2"/>
        <v>16</v>
      </c>
      <c r="I22" s="684">
        <f t="shared" si="3"/>
        <v>100</v>
      </c>
      <c r="J22" s="684" t="str">
        <f t="shared" si="4"/>
        <v>046,0-0000000000000000000-100</v>
      </c>
      <c r="K22" s="684">
        <f t="shared" si="5"/>
        <v>15</v>
      </c>
      <c r="L22" s="685">
        <f t="shared" si="6"/>
        <v>135</v>
      </c>
      <c r="M22" s="686">
        <f>IFERROR(INDEX('M1'!C$300:C$400,MATCH("*"&amp;B22&amp;"*",'M1'!B$300:B$400,0)),"  ")</f>
        <v>2</v>
      </c>
      <c r="N22" s="686">
        <f>IFERROR(INDEX('M2'!C$300:C$400,MATCH("*"&amp;B22&amp;"*",'M2'!B$300:B$400,0)),"  ")</f>
        <v>34</v>
      </c>
      <c r="O22" s="686">
        <f>IFERROR(INDEX('M3'!C$300:C$400,MATCH("*"&amp;B22&amp;"*",'M3'!B$300:B$400,0)),"  ")</f>
        <v>10</v>
      </c>
      <c r="P22" s="686" t="str">
        <f>IFERROR(INDEX('M4'!C$300:C$400,MATCH("*"&amp;B22&amp;"*",'M4'!B$300:B$400,0)),"  ")</f>
        <v xml:space="preserve">  </v>
      </c>
      <c r="Q22" s="686" t="str">
        <f>IFERROR(INDEX('M5'!C$300:C$400,MATCH("*"&amp;B22&amp;"*",'M5'!B$300:B$400,0)),"  ")</f>
        <v xml:space="preserve">  </v>
      </c>
      <c r="R22" s="687">
        <f t="shared" si="7"/>
        <v>3</v>
      </c>
      <c r="S22" s="688">
        <f t="shared" si="8"/>
        <v>1</v>
      </c>
      <c r="T22" s="688">
        <f t="shared" si="9"/>
        <v>0</v>
      </c>
      <c r="U22" s="642"/>
      <c r="V22" s="689"/>
      <c r="W22" s="690"/>
      <c r="X22" s="690"/>
      <c r="Y22" s="690"/>
      <c r="Z22" s="690"/>
      <c r="AA22" s="689">
        <f t="shared" si="10"/>
        <v>4.0000000000000002E-4</v>
      </c>
      <c r="AB22" s="690">
        <f t="shared" si="11"/>
        <v>2.0001000000000002</v>
      </c>
      <c r="AC22" s="690">
        <f t="shared" si="12"/>
        <v>34.0002</v>
      </c>
      <c r="AD22" s="690">
        <f t="shared" si="13"/>
        <v>10.000299999999999</v>
      </c>
      <c r="AE22" s="690">
        <f t="shared" si="14"/>
        <v>4.0000000000000002E-4</v>
      </c>
      <c r="AF22" s="690">
        <f t="shared" si="15"/>
        <v>5.0000000000000001E-4</v>
      </c>
    </row>
    <row r="23" spans="1:32" x14ac:dyDescent="0.2">
      <c r="A23" s="680">
        <f t="shared" si="0"/>
        <v>17</v>
      </c>
      <c r="B23" s="681" t="s">
        <v>118</v>
      </c>
      <c r="C23" s="682" t="s">
        <v>99</v>
      </c>
      <c r="D23" s="683"/>
      <c r="E23" s="673">
        <f>(IF(COUNT(M23,N23,O23,P23,Q23)&lt;4,SUM(M23,N23,O23,P23,Q23),SUM(LARGE((M23,N23,O23,P23,Q23),{1;2;3;4}))))</f>
        <v>39</v>
      </c>
      <c r="F23" s="684" t="str">
        <f>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amp;INDEX(ETAPP!B$1:B$32,MATCH(COUNTIF(M23:Q23,#REF!),ETAPP!A$1:A$32,0))</f>
        <v>0000000000000000000</v>
      </c>
      <c r="G23" s="684" t="str">
        <f t="shared" si="1"/>
        <v>039,0-0000000000000000000</v>
      </c>
      <c r="H23" s="684">
        <f t="shared" si="2"/>
        <v>17</v>
      </c>
      <c r="I23" s="684">
        <f t="shared" si="3"/>
        <v>74</v>
      </c>
      <c r="J23" s="684" t="str">
        <f t="shared" si="4"/>
        <v>039,0-0000000000000000000-074</v>
      </c>
      <c r="K23" s="684">
        <f t="shared" si="5"/>
        <v>17</v>
      </c>
      <c r="L23" s="685">
        <f t="shared" si="6"/>
        <v>133</v>
      </c>
      <c r="M23" s="686">
        <f>IFERROR(INDEX('M1'!C$300:C$400,MATCH("*"&amp;B23&amp;"*",'M1'!B$300:B$400,0)),"  ")</f>
        <v>12</v>
      </c>
      <c r="N23" s="686">
        <f>IFERROR(INDEX('M2'!C$300:C$400,MATCH("*"&amp;B23&amp;"*",'M2'!B$300:B$400,0)),"  ")</f>
        <v>1</v>
      </c>
      <c r="O23" s="686">
        <f>IFERROR(INDEX('M3'!C$300:C$400,MATCH("*"&amp;B23&amp;"*",'M3'!B$300:B$400,0)),"  ")</f>
        <v>18</v>
      </c>
      <c r="P23" s="686" t="str">
        <f>IFERROR(INDEX('M4'!C$300:C$400,MATCH("*"&amp;B23&amp;"*",'M4'!B$300:B$400,0)),"  ")</f>
        <v xml:space="preserve">  </v>
      </c>
      <c r="Q23" s="686">
        <f>IFERROR(INDEX('M5'!C$300:C$400,MATCH("*"&amp;B23&amp;"*",'M5'!B$300:B$400,0)),"  ")</f>
        <v>8</v>
      </c>
      <c r="R23" s="687">
        <f t="shared" si="7"/>
        <v>4</v>
      </c>
      <c r="S23" s="688">
        <f t="shared" si="8"/>
        <v>0</v>
      </c>
      <c r="T23" s="688">
        <f t="shared" si="9"/>
        <v>0</v>
      </c>
      <c r="U23" s="642"/>
      <c r="V23" s="689"/>
      <c r="W23" s="690"/>
      <c r="X23" s="690"/>
      <c r="Y23" s="690"/>
      <c r="Z23" s="690"/>
      <c r="AA23" s="689">
        <f t="shared" si="10"/>
        <v>4.0000000000000002E-4</v>
      </c>
      <c r="AB23" s="690">
        <f t="shared" si="11"/>
        <v>12.0001</v>
      </c>
      <c r="AC23" s="690">
        <f t="shared" si="12"/>
        <v>1.0002</v>
      </c>
      <c r="AD23" s="690">
        <f t="shared" si="13"/>
        <v>18.000299999999999</v>
      </c>
      <c r="AE23" s="690">
        <f t="shared" si="14"/>
        <v>4.0000000000000002E-4</v>
      </c>
      <c r="AF23" s="690">
        <f t="shared" si="15"/>
        <v>8.0005000000000006</v>
      </c>
    </row>
    <row r="24" spans="1:32" x14ac:dyDescent="0.2">
      <c r="A24" s="680">
        <f t="shared" si="0"/>
        <v>18</v>
      </c>
      <c r="B24" s="681" t="s">
        <v>666</v>
      </c>
      <c r="C24" s="682"/>
      <c r="D24" s="683"/>
      <c r="E24" s="673">
        <f>(IF(COUNT(M24,N24,O24,P24,Q24)&lt;4,SUM(M24,N24,O24,P24,Q24),SUM(LARGE((M24,N24,O24,P24,Q24),{1;2;3;4}))))</f>
        <v>34</v>
      </c>
      <c r="F24" s="684" t="str">
        <f>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amp;INDEX(ETAPP!B$1:B$32,MATCH(COUNTIF(M24:Q24,#REF!),ETAPP!A$1:A$32,0))</f>
        <v>0000000000000000000</v>
      </c>
      <c r="G24" s="684" t="str">
        <f t="shared" si="1"/>
        <v>034,0-0000000000000000000</v>
      </c>
      <c r="H24" s="684">
        <f t="shared" si="2"/>
        <v>18</v>
      </c>
      <c r="I24" s="684">
        <f t="shared" si="3"/>
        <v>86</v>
      </c>
      <c r="J24" s="684" t="str">
        <f t="shared" si="4"/>
        <v>034,0-0000000000000000000-086</v>
      </c>
      <c r="K24" s="684">
        <f t="shared" si="5"/>
        <v>18</v>
      </c>
      <c r="L24" s="685">
        <f t="shared" si="6"/>
        <v>132</v>
      </c>
      <c r="M24" s="686" t="str">
        <f>IFERROR(INDEX('M1'!C$300:C$400,MATCH("*"&amp;B24&amp;"*",'M1'!B$300:B$400,0)),"  ")</f>
        <v xml:space="preserve">  </v>
      </c>
      <c r="N24" s="686" t="str">
        <f>IFERROR(INDEX('M2'!C$300:C$400,MATCH("*"&amp;B24&amp;"*",'M2'!B$300:B$400,0)),"  ")</f>
        <v xml:space="preserve">  </v>
      </c>
      <c r="O24" s="686">
        <f>IFERROR(INDEX('M3'!C$300:C$400,MATCH("*"&amp;B24&amp;"*",'M3'!B$300:B$400,0)),"  ")</f>
        <v>34</v>
      </c>
      <c r="P24" s="686" t="str">
        <f>IFERROR(INDEX('M4'!C$300:C$400,MATCH("*"&amp;B24&amp;"*",'M4'!B$300:B$400,0)),"  ")</f>
        <v xml:space="preserve">  </v>
      </c>
      <c r="Q24" s="686" t="str">
        <f>IFERROR(INDEX('M5'!C$300:C$400,MATCH("*"&amp;B24&amp;"*",'M5'!B$300:B$400,0)),"  ")</f>
        <v xml:space="preserve">  </v>
      </c>
      <c r="R24" s="687">
        <f t="shared" si="7"/>
        <v>1</v>
      </c>
      <c r="S24" s="688">
        <f t="shared" si="8"/>
        <v>1</v>
      </c>
      <c r="T24" s="688">
        <f t="shared" si="9"/>
        <v>0</v>
      </c>
      <c r="U24" s="642"/>
      <c r="V24" s="689"/>
      <c r="W24" s="690"/>
      <c r="X24" s="690"/>
      <c r="Y24" s="690"/>
      <c r="Z24" s="690"/>
      <c r="AA24" s="689">
        <f t="shared" si="10"/>
        <v>1E-4</v>
      </c>
      <c r="AB24" s="690">
        <f t="shared" si="11"/>
        <v>1E-4</v>
      </c>
      <c r="AC24" s="690">
        <f t="shared" si="12"/>
        <v>2.0000000000000001E-4</v>
      </c>
      <c r="AD24" s="690">
        <f t="shared" si="13"/>
        <v>34.000300000000003</v>
      </c>
      <c r="AE24" s="690">
        <f t="shared" si="14"/>
        <v>4.0000000000000002E-4</v>
      </c>
      <c r="AF24" s="690">
        <f t="shared" si="15"/>
        <v>5.0000000000000001E-4</v>
      </c>
    </row>
    <row r="25" spans="1:32" x14ac:dyDescent="0.2">
      <c r="A25" s="680">
        <f t="shared" si="0"/>
        <v>19</v>
      </c>
      <c r="B25" s="681" t="s">
        <v>86</v>
      </c>
      <c r="C25" s="682"/>
      <c r="D25" s="683"/>
      <c r="E25" s="673">
        <f>(IF(COUNT(M25,N25,O25,P25,Q25)&lt;4,SUM(M25,N25,O25,P25,Q25),SUM(LARGE((M25,N25,O25,P25,Q25),{1;2;3;4}))))</f>
        <v>30</v>
      </c>
      <c r="F25" s="684" t="str">
        <f>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amp;INDEX(ETAPP!B$1:B$32,MATCH(COUNTIF(M25:Q25,#REF!),ETAPP!A$1:A$32,0))</f>
        <v>0000000000000000000</v>
      </c>
      <c r="G25" s="684" t="str">
        <f t="shared" si="1"/>
        <v>030,0-0000000000000000000</v>
      </c>
      <c r="H25" s="684">
        <f t="shared" si="2"/>
        <v>19</v>
      </c>
      <c r="I25" s="684">
        <f t="shared" si="3"/>
        <v>102</v>
      </c>
      <c r="J25" s="684" t="str">
        <f t="shared" si="4"/>
        <v>030,0-0000000000000000000-102</v>
      </c>
      <c r="K25" s="684">
        <f t="shared" si="5"/>
        <v>19</v>
      </c>
      <c r="L25" s="685">
        <f t="shared" si="6"/>
        <v>131</v>
      </c>
      <c r="M25" s="686" t="str">
        <f>IFERROR(INDEX('M1'!C$300:C$400,MATCH("*"&amp;B25&amp;"*",'M1'!B$300:B$400,0)),"  ")</f>
        <v xml:space="preserve">  </v>
      </c>
      <c r="N25" s="686">
        <f>IFERROR(INDEX('M2'!C$300:C$400,MATCH("*"&amp;B25&amp;"*",'M2'!B$300:B$400,0)),"  ")</f>
        <v>12</v>
      </c>
      <c r="O25" s="686" t="str">
        <f>IFERROR(INDEX('M3'!C$300:C$400,MATCH("*"&amp;B25&amp;"*",'M3'!B$300:B$400,0)),"  ")</f>
        <v xml:space="preserve">  </v>
      </c>
      <c r="P25" s="686">
        <f>IFERROR(INDEX('M4'!C$300:C$400,MATCH("*"&amp;B25&amp;"*",'M4'!B$300:B$400,0)),"  ")</f>
        <v>18</v>
      </c>
      <c r="Q25" s="686" t="str">
        <f>IFERROR(INDEX('M5'!C$300:C$400,MATCH("*"&amp;B25&amp;"*",'M5'!B$300:B$400,0)),"  ")</f>
        <v xml:space="preserve">  </v>
      </c>
      <c r="R25" s="687">
        <f t="shared" si="7"/>
        <v>2</v>
      </c>
      <c r="S25" s="688">
        <f t="shared" si="8"/>
        <v>0</v>
      </c>
      <c r="T25" s="688">
        <f t="shared" si="9"/>
        <v>0</v>
      </c>
      <c r="U25" s="642"/>
      <c r="V25" s="689"/>
      <c r="W25" s="690"/>
      <c r="X25" s="690"/>
      <c r="Y25" s="690"/>
      <c r="Z25" s="690"/>
      <c r="AA25" s="689">
        <f t="shared" si="10"/>
        <v>1E-4</v>
      </c>
      <c r="AB25" s="690">
        <f t="shared" si="11"/>
        <v>1E-4</v>
      </c>
      <c r="AC25" s="690">
        <f t="shared" si="12"/>
        <v>12.0002</v>
      </c>
      <c r="AD25" s="690">
        <f t="shared" si="13"/>
        <v>2.9999999999999997E-4</v>
      </c>
      <c r="AE25" s="690">
        <f t="shared" si="14"/>
        <v>18.000399999999999</v>
      </c>
      <c r="AF25" s="690">
        <f t="shared" si="15"/>
        <v>5.0000000000000001E-4</v>
      </c>
    </row>
    <row r="26" spans="1:32" x14ac:dyDescent="0.2">
      <c r="A26" s="680">
        <f t="shared" si="0"/>
        <v>20</v>
      </c>
      <c r="B26" s="681" t="s">
        <v>667</v>
      </c>
      <c r="C26" s="682"/>
      <c r="D26" s="683"/>
      <c r="E26" s="673">
        <f>(IF(COUNT(M26,N26,O26,P26,Q26)&lt;4,SUM(M26,N26,O26,P26,Q26),SUM(LARGE((M26,N26,O26,P26,Q26),{1;2;3;4}))))</f>
        <v>26</v>
      </c>
      <c r="F26" s="684" t="str">
        <f>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amp;INDEX(ETAPP!B$1:B$32,MATCH(COUNTIF(M26:Q26,#REF!),ETAPP!A$1:A$32,0))</f>
        <v>0000000000000000000</v>
      </c>
      <c r="G26" s="684" t="str">
        <f t="shared" si="1"/>
        <v>026,0-0000000000000000000</v>
      </c>
      <c r="H26" s="684">
        <f t="shared" si="2"/>
        <v>20</v>
      </c>
      <c r="I26" s="684">
        <f t="shared" si="3"/>
        <v>11</v>
      </c>
      <c r="J26" s="684" t="str">
        <f t="shared" si="4"/>
        <v>026,0-0000000000000000000-011</v>
      </c>
      <c r="K26" s="684">
        <f t="shared" si="5"/>
        <v>20</v>
      </c>
      <c r="L26" s="685">
        <f t="shared" si="6"/>
        <v>130</v>
      </c>
      <c r="M26" s="686" t="str">
        <f>IFERROR(INDEX('M1'!C$300:C$400,MATCH("*"&amp;B26&amp;"*",'M1'!B$300:B$400,0)),"  ")</f>
        <v xml:space="preserve">  </v>
      </c>
      <c r="N26" s="686" t="str">
        <f>IFERROR(INDEX('M2'!C$300:C$400,MATCH("*"&amp;B26&amp;"*",'M2'!B$300:B$400,0)),"  ")</f>
        <v xml:space="preserve">  </v>
      </c>
      <c r="O26" s="686">
        <f>IFERROR(INDEX('M3'!C$300:C$400,MATCH("*"&amp;B26&amp;"*",'M3'!B$300:B$400,0)),"  ")</f>
        <v>26</v>
      </c>
      <c r="P26" s="686" t="str">
        <f>IFERROR(INDEX('M4'!C$300:C$400,MATCH("*"&amp;B26&amp;"*",'M4'!B$300:B$400,0)),"  ")</f>
        <v xml:space="preserve">  </v>
      </c>
      <c r="Q26" s="686" t="str">
        <f>IFERROR(INDEX('M5'!C$300:C$400,MATCH("*"&amp;B26&amp;"*",'M5'!B$300:B$400,0)),"  ")</f>
        <v xml:space="preserve">  </v>
      </c>
      <c r="R26" s="687">
        <f t="shared" si="7"/>
        <v>1</v>
      </c>
      <c r="S26" s="688">
        <f t="shared" si="8"/>
        <v>0</v>
      </c>
      <c r="T26" s="688">
        <f t="shared" si="9"/>
        <v>0</v>
      </c>
      <c r="U26" s="642"/>
      <c r="V26" s="689"/>
      <c r="W26" s="690"/>
      <c r="X26" s="690"/>
      <c r="Y26" s="690"/>
      <c r="Z26" s="690"/>
      <c r="AA26" s="689">
        <f t="shared" si="10"/>
        <v>1E-4</v>
      </c>
      <c r="AB26" s="690">
        <f t="shared" si="11"/>
        <v>1E-4</v>
      </c>
      <c r="AC26" s="690">
        <f t="shared" si="12"/>
        <v>2.0000000000000001E-4</v>
      </c>
      <c r="AD26" s="690">
        <f t="shared" si="13"/>
        <v>26.000299999999999</v>
      </c>
      <c r="AE26" s="690">
        <f t="shared" si="14"/>
        <v>4.0000000000000002E-4</v>
      </c>
      <c r="AF26" s="690">
        <f t="shared" si="15"/>
        <v>5.0000000000000001E-4</v>
      </c>
    </row>
    <row r="27" spans="1:32" x14ac:dyDescent="0.2">
      <c r="A27" s="680">
        <f t="shared" si="0"/>
        <v>21</v>
      </c>
      <c r="B27" s="681" t="s">
        <v>107</v>
      </c>
      <c r="C27" s="682" t="s">
        <v>99</v>
      </c>
      <c r="D27" s="683"/>
      <c r="E27" s="673">
        <f>(IF(COUNT(M27,N27,O27,P27,Q27)&lt;4,SUM(M27,N27,O27,P27,Q27),SUM(LARGE((M27,N27,O27,P27,Q27),{1;2;3;4}))))</f>
        <v>24</v>
      </c>
      <c r="F27" s="684" t="str">
        <f>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amp;INDEX(ETAPP!B$1:B$32,MATCH(COUNTIF(M27:Q27,#REF!),ETAPP!A$1:A$32,0))</f>
        <v>0000000000000000000</v>
      </c>
      <c r="G27" s="684" t="str">
        <f t="shared" si="1"/>
        <v>024,0-0000000000000000000</v>
      </c>
      <c r="H27" s="684">
        <f t="shared" si="2"/>
        <v>21</v>
      </c>
      <c r="I27" s="684">
        <f t="shared" si="3"/>
        <v>54</v>
      </c>
      <c r="J27" s="684" t="str">
        <f t="shared" si="4"/>
        <v>024,0-0000000000000000000-054</v>
      </c>
      <c r="K27" s="684">
        <f t="shared" si="5"/>
        <v>21</v>
      </c>
      <c r="L27" s="685">
        <f t="shared" si="6"/>
        <v>129</v>
      </c>
      <c r="M27" s="686" t="str">
        <f>IFERROR(INDEX('M1'!C$300:C$400,MATCH("*"&amp;B27&amp;"*",'M1'!B$300:B$400,0)),"  ")</f>
        <v xml:space="preserve">  </v>
      </c>
      <c r="N27" s="686" t="str">
        <f>IFERROR(INDEX('M2'!C$300:C$400,MATCH("*"&amp;B27&amp;"*",'M2'!B$300:B$400,0)),"  ")</f>
        <v xml:space="preserve">  </v>
      </c>
      <c r="O27" s="686">
        <f>IFERROR(INDEX('M3'!C$300:C$400,MATCH("*"&amp;B27&amp;"*",'M3'!B$300:B$400,0)),"  ")</f>
        <v>24</v>
      </c>
      <c r="P27" s="686" t="str">
        <f>IFERROR(INDEX('M4'!C$300:C$400,MATCH("*"&amp;B27&amp;"*",'M4'!B$300:B$400,0)),"  ")</f>
        <v xml:space="preserve">  </v>
      </c>
      <c r="Q27" s="686" t="str">
        <f>IFERROR(INDEX('M5'!C$300:C$400,MATCH("*"&amp;B27&amp;"*",'M5'!B$300:B$400,0)),"  ")</f>
        <v xml:space="preserve">  </v>
      </c>
      <c r="R27" s="687">
        <f t="shared" si="7"/>
        <v>1</v>
      </c>
      <c r="S27" s="688">
        <f t="shared" si="8"/>
        <v>0</v>
      </c>
      <c r="T27" s="688">
        <f t="shared" si="9"/>
        <v>0</v>
      </c>
      <c r="U27" s="642"/>
      <c r="V27" s="689"/>
      <c r="W27" s="690"/>
      <c r="X27" s="690"/>
      <c r="Y27" s="690"/>
      <c r="Z27" s="690"/>
      <c r="AA27" s="689">
        <f t="shared" si="10"/>
        <v>1E-4</v>
      </c>
      <c r="AB27" s="690">
        <f t="shared" si="11"/>
        <v>1E-4</v>
      </c>
      <c r="AC27" s="690">
        <f t="shared" si="12"/>
        <v>2.0000000000000001E-4</v>
      </c>
      <c r="AD27" s="690">
        <f t="shared" si="13"/>
        <v>24.000299999999999</v>
      </c>
      <c r="AE27" s="690">
        <f t="shared" si="14"/>
        <v>4.0000000000000002E-4</v>
      </c>
      <c r="AF27" s="690">
        <f t="shared" si="15"/>
        <v>5.0000000000000001E-4</v>
      </c>
    </row>
    <row r="28" spans="1:32" x14ac:dyDescent="0.2">
      <c r="A28" s="680">
        <f t="shared" si="0"/>
        <v>22</v>
      </c>
      <c r="B28" s="681" t="s">
        <v>96</v>
      </c>
      <c r="C28" s="682"/>
      <c r="D28" s="683"/>
      <c r="E28" s="673">
        <f>(IF(COUNT(M28,N28,O28,P28,Q28)&lt;4,SUM(M28,N28,O28,P28,Q28),SUM(LARGE((M28,N28,O28,P28,Q28),{1;2;3;4}))))</f>
        <v>22</v>
      </c>
      <c r="F28" s="684" t="str">
        <f>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amp;INDEX(ETAPP!B$1:B$32,MATCH(COUNTIF(M28:Q28,#REF!),ETAPP!A$1:A$32,0))</f>
        <v>0000000000000000000</v>
      </c>
      <c r="G28" s="684" t="str">
        <f t="shared" si="1"/>
        <v>022,0-0000000000000000000</v>
      </c>
      <c r="H28" s="684">
        <f t="shared" si="2"/>
        <v>24</v>
      </c>
      <c r="I28" s="684">
        <f t="shared" si="3"/>
        <v>130</v>
      </c>
      <c r="J28" s="684" t="str">
        <f t="shared" si="4"/>
        <v>022,0-0000000000000000000-130</v>
      </c>
      <c r="K28" s="684">
        <f t="shared" si="5"/>
        <v>23</v>
      </c>
      <c r="L28" s="685">
        <f t="shared" si="6"/>
        <v>127</v>
      </c>
      <c r="M28" s="686">
        <f>IFERROR(INDEX('M1'!C$300:C$400,MATCH("*"&amp;B28&amp;"*",'M1'!B$300:B$400,0)),"  ")</f>
        <v>16</v>
      </c>
      <c r="N28" s="686">
        <f>IFERROR(INDEX('M2'!C$300:C$400,MATCH("*"&amp;B28&amp;"*",'M2'!B$300:B$400,0)),"  ")</f>
        <v>6</v>
      </c>
      <c r="O28" s="686" t="str">
        <f>IFERROR(INDEX('M3'!C$300:C$400,MATCH("*"&amp;B28&amp;"*",'M3'!B$300:B$400,0)),"  ")</f>
        <v xml:space="preserve">  </v>
      </c>
      <c r="P28" s="686" t="str">
        <f>IFERROR(INDEX('M4'!C$300:C$400,MATCH("*"&amp;B28&amp;"*",'M4'!B$300:B$400,0)),"  ")</f>
        <v xml:space="preserve">  </v>
      </c>
      <c r="Q28" s="686" t="str">
        <f>IFERROR(INDEX('M5'!C$300:C$400,MATCH("*"&amp;B28&amp;"*",'M5'!B$300:B$400,0)),"  ")</f>
        <v xml:space="preserve">  </v>
      </c>
      <c r="R28" s="687">
        <f t="shared" si="7"/>
        <v>2</v>
      </c>
      <c r="S28" s="688">
        <f t="shared" si="8"/>
        <v>0</v>
      </c>
      <c r="T28" s="688">
        <f t="shared" si="9"/>
        <v>0</v>
      </c>
      <c r="U28" s="642"/>
      <c r="V28" s="689"/>
      <c r="W28" s="690"/>
      <c r="X28" s="690"/>
      <c r="Y28" s="690"/>
      <c r="Z28" s="690"/>
      <c r="AA28" s="689">
        <f t="shared" si="10"/>
        <v>2.9999999999999997E-4</v>
      </c>
      <c r="AB28" s="690">
        <f t="shared" si="11"/>
        <v>16.0001</v>
      </c>
      <c r="AC28" s="690">
        <f t="shared" si="12"/>
        <v>6.0002000000000004</v>
      </c>
      <c r="AD28" s="690">
        <f t="shared" si="13"/>
        <v>2.9999999999999997E-4</v>
      </c>
      <c r="AE28" s="690">
        <f t="shared" si="14"/>
        <v>4.0000000000000002E-4</v>
      </c>
      <c r="AF28" s="690">
        <f t="shared" si="15"/>
        <v>5.0000000000000001E-4</v>
      </c>
    </row>
    <row r="29" spans="1:32" x14ac:dyDescent="0.2">
      <c r="A29" s="680">
        <f t="shared" si="0"/>
        <v>22</v>
      </c>
      <c r="B29" s="681" t="s">
        <v>98</v>
      </c>
      <c r="C29" s="682" t="s">
        <v>99</v>
      </c>
      <c r="D29" s="683"/>
      <c r="E29" s="673">
        <f>(IF(COUNT(M29,N29,O29,P29,Q29)&lt;4,SUM(M29,N29,O29,P29,Q29),SUM(LARGE((M29,N29,O29,P29,Q29),{1;2;3;4}))))</f>
        <v>22</v>
      </c>
      <c r="F29" s="684" t="str">
        <f>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amp;INDEX(ETAPP!B$1:B$32,MATCH(COUNTIF(M29:Q29,#REF!),ETAPP!A$1:A$32,0))</f>
        <v>0000000000000000000</v>
      </c>
      <c r="G29" s="684" t="str">
        <f t="shared" si="1"/>
        <v>022,0-0000000000000000000</v>
      </c>
      <c r="H29" s="684">
        <f t="shared" si="2"/>
        <v>24</v>
      </c>
      <c r="I29" s="684">
        <f t="shared" si="3"/>
        <v>31</v>
      </c>
      <c r="J29" s="684" t="str">
        <f t="shared" si="4"/>
        <v>022,0-0000000000000000000-031</v>
      </c>
      <c r="K29" s="684">
        <f t="shared" si="5"/>
        <v>24</v>
      </c>
      <c r="L29" s="685">
        <f t="shared" si="6"/>
        <v>126</v>
      </c>
      <c r="M29" s="686">
        <f>IFERROR(INDEX('M1'!C$300:C$400,MATCH("*"&amp;B29&amp;"*",'M1'!B$300:B$400,0)),"  ")</f>
        <v>6</v>
      </c>
      <c r="N29" s="686">
        <f>IFERROR(INDEX('M2'!C$300:C$400,MATCH("*"&amp;B29&amp;"*",'M2'!B$300:B$400,0)),"  ")</f>
        <v>10</v>
      </c>
      <c r="O29" s="686" t="str">
        <f>IFERROR(INDEX('M3'!C$300:C$400,MATCH("*"&amp;B29&amp;"*",'M3'!B$300:B$400,0)),"  ")</f>
        <v xml:space="preserve">  </v>
      </c>
      <c r="P29" s="686" t="str">
        <f>IFERROR(INDEX('M4'!C$300:C$400,MATCH("*"&amp;B29&amp;"*",'M4'!B$300:B$400,0)),"  ")</f>
        <v xml:space="preserve">  </v>
      </c>
      <c r="Q29" s="686">
        <f>IFERROR(INDEX('M5'!C$300:C$400,MATCH("*"&amp;B29&amp;"*",'M5'!B$300:B$400,0)),"  ")</f>
        <v>6</v>
      </c>
      <c r="R29" s="687">
        <f t="shared" si="7"/>
        <v>3</v>
      </c>
      <c r="S29" s="688">
        <f t="shared" si="8"/>
        <v>0</v>
      </c>
      <c r="T29" s="688">
        <f t="shared" si="9"/>
        <v>0</v>
      </c>
      <c r="U29" s="642"/>
      <c r="V29" s="689"/>
      <c r="W29" s="690"/>
      <c r="X29" s="690"/>
      <c r="Y29" s="690"/>
      <c r="Z29" s="690"/>
      <c r="AA29" s="689">
        <f t="shared" si="10"/>
        <v>2.9999999999999997E-4</v>
      </c>
      <c r="AB29" s="690">
        <f t="shared" si="11"/>
        <v>6.0000999999999998</v>
      </c>
      <c r="AC29" s="690">
        <f t="shared" si="12"/>
        <v>10.0002</v>
      </c>
      <c r="AD29" s="690">
        <f t="shared" si="13"/>
        <v>2.9999999999999997E-4</v>
      </c>
      <c r="AE29" s="690">
        <f t="shared" si="14"/>
        <v>4.0000000000000002E-4</v>
      </c>
      <c r="AF29" s="690">
        <f t="shared" si="15"/>
        <v>6.0004999999999997</v>
      </c>
    </row>
    <row r="30" spans="1:32" x14ac:dyDescent="0.2">
      <c r="A30" s="680">
        <f t="shared" si="0"/>
        <v>22</v>
      </c>
      <c r="B30" s="681" t="s">
        <v>668</v>
      </c>
      <c r="C30" s="682"/>
      <c r="D30" s="683"/>
      <c r="E30" s="673">
        <f>(IF(COUNT(M30,N30,O30,P30,Q30)&lt;4,SUM(M30,N30,O30,P30,Q30),SUM(LARGE((M30,N30,O30,P30,Q30),{1;2;3;4}))))</f>
        <v>22</v>
      </c>
      <c r="F30" s="684" t="str">
        <f>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amp;INDEX(ETAPP!B$1:B$32,MATCH(COUNTIF(M30:Q30,#REF!),ETAPP!A$1:A$32,0))</f>
        <v>0000000000000000000</v>
      </c>
      <c r="G30" s="684" t="str">
        <f t="shared" si="1"/>
        <v>022,0-0000000000000000000</v>
      </c>
      <c r="H30" s="684">
        <f t="shared" si="2"/>
        <v>24</v>
      </c>
      <c r="I30" s="684">
        <f t="shared" si="3"/>
        <v>139</v>
      </c>
      <c r="J30" s="684" t="str">
        <f t="shared" si="4"/>
        <v>022,0-0000000000000000000-139</v>
      </c>
      <c r="K30" s="684">
        <f t="shared" si="5"/>
        <v>22</v>
      </c>
      <c r="L30" s="685">
        <f t="shared" si="6"/>
        <v>128</v>
      </c>
      <c r="M30" s="686" t="str">
        <f>IFERROR(INDEX('M1'!C$300:C$400,MATCH("*"&amp;B30&amp;"*",'M1'!B$300:B$400,0)),"  ")</f>
        <v xml:space="preserve">  </v>
      </c>
      <c r="N30" s="686" t="str">
        <f>IFERROR(INDEX('M2'!C$300:C$400,MATCH("*"&amp;B30&amp;"*",'M2'!B$300:B$400,0)),"  ")</f>
        <v xml:space="preserve">  </v>
      </c>
      <c r="O30" s="686">
        <f>IFERROR(INDEX('M3'!C$300:C$400,MATCH("*"&amp;B30&amp;"*",'M3'!B$300:B$400,0)),"  ")</f>
        <v>22</v>
      </c>
      <c r="P30" s="686" t="str">
        <f>IFERROR(INDEX('M4'!C$300:C$400,MATCH("*"&amp;B30&amp;"*",'M4'!B$300:B$400,0)),"  ")</f>
        <v xml:space="preserve">  </v>
      </c>
      <c r="Q30" s="686" t="str">
        <f>IFERROR(INDEX('M5'!C$300:C$400,MATCH("*"&amp;B30&amp;"*",'M5'!B$300:B$400,0)),"  ")</f>
        <v xml:space="preserve">  </v>
      </c>
      <c r="R30" s="687">
        <f t="shared" si="7"/>
        <v>1</v>
      </c>
      <c r="S30" s="688">
        <f t="shared" si="8"/>
        <v>0</v>
      </c>
      <c r="T30" s="688">
        <f t="shared" si="9"/>
        <v>0</v>
      </c>
      <c r="U30" s="642"/>
      <c r="V30" s="689"/>
      <c r="W30" s="690"/>
      <c r="X30" s="690"/>
      <c r="Y30" s="690"/>
      <c r="Z30" s="690"/>
      <c r="AA30" s="689">
        <f t="shared" si="10"/>
        <v>1E-4</v>
      </c>
      <c r="AB30" s="690">
        <f t="shared" si="11"/>
        <v>1E-4</v>
      </c>
      <c r="AC30" s="690">
        <f t="shared" si="12"/>
        <v>2.0000000000000001E-4</v>
      </c>
      <c r="AD30" s="690">
        <f t="shared" si="13"/>
        <v>22.000299999999999</v>
      </c>
      <c r="AE30" s="690">
        <f t="shared" si="14"/>
        <v>4.0000000000000002E-4</v>
      </c>
      <c r="AF30" s="690">
        <f t="shared" si="15"/>
        <v>5.0000000000000001E-4</v>
      </c>
    </row>
    <row r="31" spans="1:32" x14ac:dyDescent="0.2">
      <c r="A31" s="680">
        <f t="shared" si="0"/>
        <v>25</v>
      </c>
      <c r="B31" s="681" t="s">
        <v>669</v>
      </c>
      <c r="C31" s="682" t="s">
        <v>99</v>
      </c>
      <c r="D31" s="683"/>
      <c r="E31" s="673">
        <f>(IF(COUNT(M31,N31,O31,P31,Q31)&lt;4,SUM(M31,N31,O31,P31,Q31),SUM(LARGE((M31,N31,O31,P31,Q31),{1;2;3;4}))))</f>
        <v>18</v>
      </c>
      <c r="F31" s="684" t="str">
        <f>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amp;INDEX(ETAPP!B$1:B$32,MATCH(COUNTIF(M31:Q31,#REF!),ETAPP!A$1:A$32,0))</f>
        <v>0000000000000000000</v>
      </c>
      <c r="G31" s="684" t="str">
        <f t="shared" si="1"/>
        <v>018,0-0000000000000000000</v>
      </c>
      <c r="H31" s="684">
        <f t="shared" si="2"/>
        <v>26</v>
      </c>
      <c r="I31" s="684">
        <f t="shared" si="3"/>
        <v>73</v>
      </c>
      <c r="J31" s="684" t="str">
        <f t="shared" si="4"/>
        <v>018,0-0000000000000000000-073</v>
      </c>
      <c r="K31" s="684">
        <f t="shared" si="5"/>
        <v>25</v>
      </c>
      <c r="L31" s="685">
        <f t="shared" si="6"/>
        <v>125</v>
      </c>
      <c r="M31" s="686" t="str">
        <f>IFERROR(INDEX('M1'!C$300:C$400,MATCH("*"&amp;B31&amp;"*",'M1'!B$300:B$400,0)),"  ")</f>
        <v xml:space="preserve">  </v>
      </c>
      <c r="N31" s="686" t="str">
        <f>IFERROR(INDEX('M2'!C$300:C$400,MATCH("*"&amp;B31&amp;"*",'M2'!B$300:B$400,0)),"  ")</f>
        <v xml:space="preserve">  </v>
      </c>
      <c r="O31" s="686">
        <f>IFERROR(INDEX('M3'!C$300:C$400,MATCH("*"&amp;B31&amp;"*",'M3'!B$300:B$400,0)),"  ")</f>
        <v>18</v>
      </c>
      <c r="P31" s="686" t="str">
        <f>IFERROR(INDEX('M4'!C$300:C$400,MATCH("*"&amp;B31&amp;"*",'M4'!B$300:B$400,0)),"  ")</f>
        <v xml:space="preserve">  </v>
      </c>
      <c r="Q31" s="686" t="str">
        <f>IFERROR(INDEX('M5'!C$300:C$400,MATCH("*"&amp;B31&amp;"*",'M5'!B$300:B$400,0)),"  ")</f>
        <v xml:space="preserve">  </v>
      </c>
      <c r="R31" s="687">
        <f t="shared" si="7"/>
        <v>1</v>
      </c>
      <c r="S31" s="688">
        <f t="shared" si="8"/>
        <v>0</v>
      </c>
      <c r="T31" s="688">
        <f t="shared" si="9"/>
        <v>0</v>
      </c>
      <c r="U31" s="642"/>
      <c r="V31" s="689"/>
      <c r="W31" s="690"/>
      <c r="X31" s="690"/>
      <c r="Y31" s="690"/>
      <c r="Z31" s="690"/>
      <c r="AA31" s="689">
        <f t="shared" si="10"/>
        <v>1E-4</v>
      </c>
      <c r="AB31" s="690">
        <f t="shared" si="11"/>
        <v>1E-4</v>
      </c>
      <c r="AC31" s="690">
        <f t="shared" si="12"/>
        <v>2.0000000000000001E-4</v>
      </c>
      <c r="AD31" s="690">
        <f t="shared" si="13"/>
        <v>18.000299999999999</v>
      </c>
      <c r="AE31" s="690">
        <f t="shared" si="14"/>
        <v>4.0000000000000002E-4</v>
      </c>
      <c r="AF31" s="690">
        <f t="shared" si="15"/>
        <v>5.0000000000000001E-4</v>
      </c>
    </row>
    <row r="32" spans="1:32" x14ac:dyDescent="0.2">
      <c r="A32" s="680">
        <f t="shared" si="0"/>
        <v>25</v>
      </c>
      <c r="B32" s="681" t="s">
        <v>139</v>
      </c>
      <c r="C32" s="682"/>
      <c r="D32" s="683"/>
      <c r="E32" s="673">
        <f>(IF(COUNT(M32,N32,O32,P32,Q32)&lt;4,SUM(M32,N32,O32,P32,Q32),SUM(LARGE((M32,N32,O32,P32,Q32),{1;2;3;4}))))</f>
        <v>18</v>
      </c>
      <c r="F32" s="684" t="str">
        <f>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amp;INDEX(ETAPP!B$1:B$32,MATCH(COUNTIF(M32:Q32,#REF!),ETAPP!A$1:A$32,0))</f>
        <v>0000000000000000000</v>
      </c>
      <c r="G32" s="684" t="str">
        <f t="shared" si="1"/>
        <v>018,0-0000000000000000000</v>
      </c>
      <c r="H32" s="684">
        <f t="shared" si="2"/>
        <v>26</v>
      </c>
      <c r="I32" s="684">
        <f t="shared" si="3"/>
        <v>40</v>
      </c>
      <c r="J32" s="684" t="str">
        <f t="shared" si="4"/>
        <v>018,0-0000000000000000000-040</v>
      </c>
      <c r="K32" s="684">
        <f t="shared" si="5"/>
        <v>26</v>
      </c>
      <c r="L32" s="685">
        <f t="shared" si="6"/>
        <v>124</v>
      </c>
      <c r="M32" s="686">
        <f>IFERROR(INDEX('M1'!C$300:C$400,MATCH("*"&amp;B32&amp;"*",'M1'!B$300:B$400,0)),"  ")</f>
        <v>1</v>
      </c>
      <c r="N32" s="686">
        <f>IFERROR(INDEX('M2'!C$300:C$400,MATCH("*"&amp;B32&amp;"*",'M2'!B$300:B$400,0)),"  ")</f>
        <v>1</v>
      </c>
      <c r="O32" s="686" t="str">
        <f>IFERROR(INDEX('M3'!C$300:C$400,MATCH("*"&amp;B32&amp;"*",'M3'!B$300:B$400,0)),"  ")</f>
        <v xml:space="preserve">  </v>
      </c>
      <c r="P32" s="686" t="str">
        <f>IFERROR(INDEX('M4'!C$300:C$400,MATCH("*"&amp;B32&amp;"*",'M4'!B$300:B$400,0)),"  ")</f>
        <v xml:space="preserve">  </v>
      </c>
      <c r="Q32" s="686">
        <f>IFERROR(INDEX('M5'!C$300:C$400,MATCH("*"&amp;B32&amp;"*",'M5'!B$300:B$400,0)),"  ")</f>
        <v>16</v>
      </c>
      <c r="R32" s="687">
        <f t="shared" si="7"/>
        <v>3</v>
      </c>
      <c r="S32" s="688">
        <f t="shared" si="8"/>
        <v>0</v>
      </c>
      <c r="T32" s="688">
        <f t="shared" si="9"/>
        <v>0</v>
      </c>
      <c r="U32" s="642"/>
      <c r="V32" s="689"/>
      <c r="W32" s="690"/>
      <c r="X32" s="690"/>
      <c r="Y32" s="690"/>
      <c r="Z32" s="690"/>
      <c r="AA32" s="689">
        <f t="shared" si="10"/>
        <v>2.9999999999999997E-4</v>
      </c>
      <c r="AB32" s="690">
        <f t="shared" si="11"/>
        <v>1.0001</v>
      </c>
      <c r="AC32" s="690">
        <f t="shared" si="12"/>
        <v>1.0002</v>
      </c>
      <c r="AD32" s="690">
        <f t="shared" si="13"/>
        <v>2.9999999999999997E-4</v>
      </c>
      <c r="AE32" s="690">
        <f t="shared" si="14"/>
        <v>4.0000000000000002E-4</v>
      </c>
      <c r="AF32" s="690">
        <f t="shared" si="15"/>
        <v>16.000499999999999</v>
      </c>
    </row>
    <row r="33" spans="1:32" x14ac:dyDescent="0.2">
      <c r="A33" s="680">
        <f t="shared" si="0"/>
        <v>27</v>
      </c>
      <c r="B33" s="681" t="s">
        <v>670</v>
      </c>
      <c r="C33" s="682"/>
      <c r="D33" s="683"/>
      <c r="E33" s="673">
        <f>(IF(COUNT(M33,N33,O33,P33,Q33)&lt;4,SUM(M33,N33,O33,P33,Q33),SUM(LARGE((M33,N33,O33,P33,Q33),{1;2;3;4}))))</f>
        <v>16</v>
      </c>
      <c r="F33" s="684" t="str">
        <f>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amp;INDEX(ETAPP!B$1:B$32,MATCH(COUNTIF(M33:Q33,#REF!),ETAPP!A$1:A$32,0))</f>
        <v>0000000000000000000</v>
      </c>
      <c r="G33" s="684" t="str">
        <f t="shared" si="1"/>
        <v>016,0-0000000000000000000</v>
      </c>
      <c r="H33" s="684">
        <f t="shared" si="2"/>
        <v>27</v>
      </c>
      <c r="I33" s="684">
        <f t="shared" si="3"/>
        <v>3</v>
      </c>
      <c r="J33" s="684" t="str">
        <f t="shared" si="4"/>
        <v>016,0-0000000000000000000-003</v>
      </c>
      <c r="K33" s="684">
        <f t="shared" si="5"/>
        <v>27</v>
      </c>
      <c r="L33" s="685">
        <f t="shared" si="6"/>
        <v>123</v>
      </c>
      <c r="M33" s="686" t="str">
        <f>IFERROR(INDEX('M1'!C$300:C$400,MATCH("*"&amp;B33&amp;"*",'M1'!B$300:B$400,0)),"  ")</f>
        <v xml:space="preserve">  </v>
      </c>
      <c r="N33" s="686" t="str">
        <f>IFERROR(INDEX('M2'!C$300:C$400,MATCH("*"&amp;B33&amp;"*",'M2'!B$300:B$400,0)),"  ")</f>
        <v xml:space="preserve">  </v>
      </c>
      <c r="O33" s="686">
        <f>IFERROR(INDEX('M3'!C$300:C$400,MATCH("*"&amp;B33&amp;"*",'M3'!B$300:B$400,0)),"  ")</f>
        <v>16</v>
      </c>
      <c r="P33" s="686" t="str">
        <f>IFERROR(INDEX('M4'!C$300:C$400,MATCH("*"&amp;B33&amp;"*",'M4'!B$300:B$400,0)),"  ")</f>
        <v xml:space="preserve">  </v>
      </c>
      <c r="Q33" s="686" t="str">
        <f>IFERROR(INDEX('M5'!C$300:C$400,MATCH("*"&amp;B33&amp;"*",'M5'!B$300:B$400,0)),"  ")</f>
        <v xml:space="preserve">  </v>
      </c>
      <c r="R33" s="687">
        <f t="shared" si="7"/>
        <v>1</v>
      </c>
      <c r="S33" s="688">
        <f t="shared" si="8"/>
        <v>0</v>
      </c>
      <c r="T33" s="688">
        <f t="shared" si="9"/>
        <v>0</v>
      </c>
      <c r="U33" s="642"/>
      <c r="V33" s="689"/>
      <c r="W33" s="690"/>
      <c r="X33" s="690"/>
      <c r="Y33" s="690"/>
      <c r="Z33" s="690"/>
      <c r="AA33" s="689">
        <f t="shared" si="10"/>
        <v>1E-4</v>
      </c>
      <c r="AB33" s="690">
        <f t="shared" si="11"/>
        <v>1E-4</v>
      </c>
      <c r="AC33" s="690">
        <f t="shared" si="12"/>
        <v>2.0000000000000001E-4</v>
      </c>
      <c r="AD33" s="690">
        <f t="shared" si="13"/>
        <v>16.000299999999999</v>
      </c>
      <c r="AE33" s="690">
        <f t="shared" si="14"/>
        <v>4.0000000000000002E-4</v>
      </c>
      <c r="AF33" s="690">
        <f t="shared" si="15"/>
        <v>5.0000000000000001E-4</v>
      </c>
    </row>
    <row r="34" spans="1:32" x14ac:dyDescent="0.2">
      <c r="A34" s="680">
        <f t="shared" si="0"/>
        <v>28</v>
      </c>
      <c r="B34" s="681" t="s">
        <v>122</v>
      </c>
      <c r="C34" s="696" t="s">
        <v>99</v>
      </c>
      <c r="D34" s="697"/>
      <c r="E34" s="673">
        <f>(IF(COUNT(M34,N34,O34,P34,Q34)&lt;4,SUM(M34,N34,O34,P34,Q34),SUM(LARGE((M34,N34,O34,P34,Q34),{1;2;3;4}))))</f>
        <v>15</v>
      </c>
      <c r="F34" s="684" t="str">
        <f>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amp;INDEX(ETAPP!B$1:B$32,MATCH(COUNTIF(M34:Q34,#REF!),ETAPP!A$1:A$32,0))</f>
        <v>0000000000000000000</v>
      </c>
      <c r="G34" s="684" t="str">
        <f t="shared" si="1"/>
        <v>015,0-0000000000000000000</v>
      </c>
      <c r="H34" s="684">
        <f t="shared" si="2"/>
        <v>28</v>
      </c>
      <c r="I34" s="684">
        <f t="shared" si="3"/>
        <v>76</v>
      </c>
      <c r="J34" s="684" t="str">
        <f t="shared" si="4"/>
        <v>015,0-0000000000000000000-076</v>
      </c>
      <c r="K34" s="684">
        <f t="shared" si="5"/>
        <v>28</v>
      </c>
      <c r="L34" s="685">
        <f t="shared" si="6"/>
        <v>122</v>
      </c>
      <c r="M34" s="686">
        <f>IFERROR(INDEX('M1'!C$300:C$400,MATCH("*"&amp;B34&amp;"*",'M1'!B$300:B$400,0)),"  ")</f>
        <v>8</v>
      </c>
      <c r="N34" s="686" t="str">
        <f>IFERROR(INDEX('M2'!C$300:C$400,MATCH("*"&amp;B34&amp;"*",'M2'!B$300:B$400,0)),"  ")</f>
        <v xml:space="preserve">  </v>
      </c>
      <c r="O34" s="686" t="str">
        <f>IFERROR(INDEX('M3'!C$300:C$400,MATCH("*"&amp;B34&amp;"*",'M3'!B$300:B$400,0)),"  ")</f>
        <v xml:space="preserve">  </v>
      </c>
      <c r="P34" s="686">
        <f>IFERROR(INDEX('M4'!C$300:C$400,MATCH("*"&amp;B34&amp;"*",'M4'!B$300:B$400,0)),"  ")</f>
        <v>6</v>
      </c>
      <c r="Q34" s="686">
        <f>IFERROR(INDEX('M5'!C$300:C$400,MATCH("*"&amp;B34&amp;"*",'M5'!B$300:B$400,0)),"  ")</f>
        <v>1</v>
      </c>
      <c r="R34" s="687">
        <f t="shared" si="7"/>
        <v>3</v>
      </c>
      <c r="S34" s="688">
        <f t="shared" si="8"/>
        <v>0</v>
      </c>
      <c r="T34" s="688">
        <f t="shared" si="9"/>
        <v>0</v>
      </c>
      <c r="U34" s="642"/>
      <c r="V34" s="689"/>
      <c r="W34" s="690"/>
      <c r="X34" s="690"/>
      <c r="Y34" s="690"/>
      <c r="Z34" s="690"/>
      <c r="AA34" s="689">
        <f t="shared" si="10"/>
        <v>2.0000000000000001E-4</v>
      </c>
      <c r="AB34" s="690">
        <f t="shared" si="11"/>
        <v>8.0000999999999998</v>
      </c>
      <c r="AC34" s="690">
        <f t="shared" si="12"/>
        <v>2.0000000000000001E-4</v>
      </c>
      <c r="AD34" s="690">
        <f t="shared" si="13"/>
        <v>2.9999999999999997E-4</v>
      </c>
      <c r="AE34" s="690">
        <f t="shared" si="14"/>
        <v>6.0004</v>
      </c>
      <c r="AF34" s="690">
        <f t="shared" si="15"/>
        <v>1.0004999999999999</v>
      </c>
    </row>
    <row r="35" spans="1:32" x14ac:dyDescent="0.2">
      <c r="A35" s="680">
        <f t="shared" si="0"/>
        <v>29</v>
      </c>
      <c r="B35" s="681" t="s">
        <v>120</v>
      </c>
      <c r="C35" s="682"/>
      <c r="D35" s="683"/>
      <c r="E35" s="673">
        <f>(IF(COUNT(M35,N35,O35,P35,Q35)&lt;4,SUM(M35,N35,O35,P35,Q35),SUM(LARGE((M35,N35,O35,P35,Q35),{1;2;3;4}))))</f>
        <v>14</v>
      </c>
      <c r="F35" s="684" t="str">
        <f>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amp;INDEX(ETAPP!B$1:B$32,MATCH(COUNTIF(M35:Q35,#REF!),ETAPP!A$1:A$32,0))</f>
        <v>0000000000000000000</v>
      </c>
      <c r="G35" s="684" t="str">
        <f t="shared" si="1"/>
        <v>014,0-0000000000000000000</v>
      </c>
      <c r="H35" s="684">
        <f t="shared" si="2"/>
        <v>31</v>
      </c>
      <c r="I35" s="684">
        <f t="shared" si="3"/>
        <v>103</v>
      </c>
      <c r="J35" s="684" t="str">
        <f t="shared" si="4"/>
        <v>014,0-0000000000000000000-103</v>
      </c>
      <c r="K35" s="684">
        <f t="shared" si="5"/>
        <v>30</v>
      </c>
      <c r="L35" s="685">
        <f t="shared" si="6"/>
        <v>120</v>
      </c>
      <c r="M35" s="686" t="str">
        <f>IFERROR(INDEX('M1'!C$300:C$400,MATCH("*"&amp;B35&amp;"*",'M1'!B$300:B$400,0)),"  ")</f>
        <v xml:space="preserve">  </v>
      </c>
      <c r="N35" s="686" t="str">
        <f>IFERROR(INDEX('M2'!C$300:C$400,MATCH("*"&amp;B35&amp;"*",'M2'!B$300:B$400,0)),"  ")</f>
        <v xml:space="preserve">  </v>
      </c>
      <c r="O35" s="686" t="str">
        <f>IFERROR(INDEX('M3'!C$300:C$400,MATCH("*"&amp;B35&amp;"*",'M3'!B$300:B$400,0)),"  ")</f>
        <v xml:space="preserve">  </v>
      </c>
      <c r="P35" s="686" t="str">
        <f>IFERROR(INDEX('M4'!C$300:C$400,MATCH("*"&amp;B35&amp;"*",'M4'!B$300:B$400,0)),"  ")</f>
        <v xml:space="preserve">  </v>
      </c>
      <c r="Q35" s="686">
        <f>IFERROR(INDEX('M5'!C$300:C$400,MATCH("*"&amp;B35&amp;"*",'M5'!B$300:B$400,0)),"  ")</f>
        <v>14</v>
      </c>
      <c r="R35" s="687">
        <f t="shared" si="7"/>
        <v>1</v>
      </c>
      <c r="S35" s="688">
        <f t="shared" si="8"/>
        <v>0</v>
      </c>
      <c r="T35" s="688">
        <f t="shared" si="9"/>
        <v>0</v>
      </c>
      <c r="U35" s="642"/>
      <c r="V35" s="689"/>
      <c r="W35" s="690"/>
      <c r="X35" s="690"/>
      <c r="Y35" s="690"/>
      <c r="Z35" s="690"/>
      <c r="AA35" s="689">
        <f t="shared" si="10"/>
        <v>1E-4</v>
      </c>
      <c r="AB35" s="690">
        <f t="shared" si="11"/>
        <v>1E-4</v>
      </c>
      <c r="AC35" s="690">
        <f t="shared" si="12"/>
        <v>2.0000000000000001E-4</v>
      </c>
      <c r="AD35" s="690">
        <f t="shared" si="13"/>
        <v>2.9999999999999997E-4</v>
      </c>
      <c r="AE35" s="690">
        <f t="shared" si="14"/>
        <v>4.0000000000000002E-4</v>
      </c>
      <c r="AF35" s="690">
        <f t="shared" si="15"/>
        <v>14.000500000000001</v>
      </c>
    </row>
    <row r="36" spans="1:32" x14ac:dyDescent="0.2">
      <c r="A36" s="680">
        <f t="shared" si="0"/>
        <v>29</v>
      </c>
      <c r="B36" s="681" t="s">
        <v>671</v>
      </c>
      <c r="C36" s="682" t="s">
        <v>99</v>
      </c>
      <c r="D36" s="683"/>
      <c r="E36" s="673">
        <f>(IF(COUNT(M36,N36,O36,P36,Q36)&lt;4,SUM(M36,N36,O36,P36,Q36),SUM(LARGE((M36,N36,O36,P36,Q36),{1;2;3;4}))))</f>
        <v>14</v>
      </c>
      <c r="F36" s="684" t="str">
        <f>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amp;INDEX(ETAPP!B$1:B$32,MATCH(COUNTIF(M36:Q36,#REF!),ETAPP!A$1:A$32,0))</f>
        <v>0000000000000000000</v>
      </c>
      <c r="G36" s="684" t="str">
        <f t="shared" si="1"/>
        <v>014,0-0000000000000000000</v>
      </c>
      <c r="H36" s="684">
        <f t="shared" si="2"/>
        <v>31</v>
      </c>
      <c r="I36" s="684">
        <f t="shared" si="3"/>
        <v>34</v>
      </c>
      <c r="J36" s="684" t="str">
        <f t="shared" si="4"/>
        <v>014,0-0000000000000000000-034</v>
      </c>
      <c r="K36" s="684">
        <f t="shared" si="5"/>
        <v>31</v>
      </c>
      <c r="L36" s="685">
        <f t="shared" si="6"/>
        <v>119</v>
      </c>
      <c r="M36" s="686" t="str">
        <f>IFERROR(INDEX('M1'!C$300:C$400,MATCH("*"&amp;B36&amp;"*",'M1'!B$300:B$400,0)),"  ")</f>
        <v xml:space="preserve">  </v>
      </c>
      <c r="N36" s="686" t="str">
        <f>IFERROR(INDEX('M2'!C$300:C$400,MATCH("*"&amp;B36&amp;"*",'M2'!B$300:B$400,0)),"  ")</f>
        <v xml:space="preserve">  </v>
      </c>
      <c r="O36" s="686">
        <f>IFERROR(INDEX('M3'!C$300:C$400,MATCH("*"&amp;B36&amp;"*",'M3'!B$300:B$400,0)),"  ")</f>
        <v>14</v>
      </c>
      <c r="P36" s="686" t="str">
        <f>IFERROR(INDEX('M4'!C$300:C$400,MATCH("*"&amp;B36&amp;"*",'M4'!B$300:B$400,0)),"  ")</f>
        <v xml:space="preserve">  </v>
      </c>
      <c r="Q36" s="686" t="str">
        <f>IFERROR(INDEX('M5'!C$300:C$400,MATCH("*"&amp;B36&amp;"*",'M5'!B$300:B$400,0)),"  ")</f>
        <v xml:space="preserve">  </v>
      </c>
      <c r="R36" s="687">
        <f t="shared" si="7"/>
        <v>1</v>
      </c>
      <c r="S36" s="688">
        <f t="shared" si="8"/>
        <v>0</v>
      </c>
      <c r="T36" s="688">
        <f t="shared" si="9"/>
        <v>0</v>
      </c>
      <c r="U36" s="642"/>
      <c r="V36" s="689"/>
      <c r="W36" s="690"/>
      <c r="X36" s="690"/>
      <c r="Y36" s="690"/>
      <c r="Z36" s="690"/>
      <c r="AA36" s="689">
        <f t="shared" si="10"/>
        <v>1E-4</v>
      </c>
      <c r="AB36" s="690">
        <f t="shared" si="11"/>
        <v>1E-4</v>
      </c>
      <c r="AC36" s="690">
        <f t="shared" si="12"/>
        <v>2.0000000000000001E-4</v>
      </c>
      <c r="AD36" s="690">
        <f t="shared" si="13"/>
        <v>14.000299999999999</v>
      </c>
      <c r="AE36" s="690">
        <f t="shared" si="14"/>
        <v>4.0000000000000002E-4</v>
      </c>
      <c r="AF36" s="690">
        <f t="shared" si="15"/>
        <v>5.0000000000000001E-4</v>
      </c>
    </row>
    <row r="37" spans="1:32" x14ac:dyDescent="0.2">
      <c r="A37" s="680">
        <f t="shared" si="0"/>
        <v>29</v>
      </c>
      <c r="B37" s="681" t="s">
        <v>109</v>
      </c>
      <c r="C37" s="682"/>
      <c r="D37" s="683"/>
      <c r="E37" s="673">
        <f>(IF(COUNT(M37,N37,O37,P37,Q37)&lt;4,SUM(M37,N37,O37,P37,Q37),SUM(LARGE((M37,N37,O37,P37,Q37),{1;2;3;4}))))</f>
        <v>14</v>
      </c>
      <c r="F37" s="684" t="str">
        <f>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amp;INDEX(ETAPP!B$1:B$32,MATCH(COUNTIF(M37:Q37,#REF!),ETAPP!A$1:A$32,0))</f>
        <v>0000000000000000000</v>
      </c>
      <c r="G37" s="684" t="str">
        <f t="shared" si="1"/>
        <v>014,0-0000000000000000000</v>
      </c>
      <c r="H37" s="684">
        <f t="shared" si="2"/>
        <v>31</v>
      </c>
      <c r="I37" s="684">
        <f t="shared" si="3"/>
        <v>119</v>
      </c>
      <c r="J37" s="684" t="str">
        <f t="shared" si="4"/>
        <v>014,0-0000000000000000000-119</v>
      </c>
      <c r="K37" s="684">
        <f t="shared" si="5"/>
        <v>29</v>
      </c>
      <c r="L37" s="685">
        <f t="shared" si="6"/>
        <v>121</v>
      </c>
      <c r="M37" s="686">
        <f>IFERROR(INDEX('M1'!C$300:C$400,MATCH("*"&amp;B37&amp;"*",'M1'!B$300:B$400,0)),"  ")</f>
        <v>4</v>
      </c>
      <c r="N37" s="686">
        <f>IFERROR(INDEX('M2'!C$300:C$400,MATCH("*"&amp;B37&amp;"*",'M2'!B$300:B$400,0)),"  ")</f>
        <v>1</v>
      </c>
      <c r="O37" s="686" t="str">
        <f>IFERROR(INDEX('M3'!C$300:C$400,MATCH("*"&amp;B37&amp;"*",'M3'!B$300:B$400,0)),"  ")</f>
        <v xml:space="preserve">  </v>
      </c>
      <c r="P37" s="686">
        <f>IFERROR(INDEX('M4'!C$300:C$400,MATCH("*"&amp;B37&amp;"*",'M4'!B$300:B$400,0)),"  ")</f>
        <v>8</v>
      </c>
      <c r="Q37" s="686">
        <f>IFERROR(INDEX('M5'!C$300:C$400,MATCH("*"&amp;B37&amp;"*",'M5'!B$300:B$400,0)),"  ")</f>
        <v>1</v>
      </c>
      <c r="R37" s="687">
        <f t="shared" si="7"/>
        <v>4</v>
      </c>
      <c r="S37" s="688">
        <f t="shared" si="8"/>
        <v>0</v>
      </c>
      <c r="T37" s="688">
        <f t="shared" si="9"/>
        <v>0</v>
      </c>
      <c r="U37" s="642"/>
      <c r="V37" s="689"/>
      <c r="W37" s="690"/>
      <c r="X37" s="690"/>
      <c r="Y37" s="690"/>
      <c r="Z37" s="690"/>
      <c r="AA37" s="689">
        <f t="shared" si="10"/>
        <v>2.9999999999999997E-4</v>
      </c>
      <c r="AB37" s="690">
        <f t="shared" si="11"/>
        <v>4.0000999999999998</v>
      </c>
      <c r="AC37" s="690">
        <f t="shared" si="12"/>
        <v>1.0002</v>
      </c>
      <c r="AD37" s="690">
        <f t="shared" si="13"/>
        <v>2.9999999999999997E-4</v>
      </c>
      <c r="AE37" s="690">
        <f t="shared" si="14"/>
        <v>8.0004000000000008</v>
      </c>
      <c r="AF37" s="690">
        <f t="shared" si="15"/>
        <v>1.0004999999999999</v>
      </c>
    </row>
    <row r="38" spans="1:32" x14ac:dyDescent="0.2">
      <c r="A38" s="680">
        <f t="shared" si="0"/>
        <v>32</v>
      </c>
      <c r="B38" s="681" t="s">
        <v>150</v>
      </c>
      <c r="C38" s="682" t="s">
        <v>99</v>
      </c>
      <c r="D38" s="683"/>
      <c r="E38" s="673">
        <f>(IF(COUNT(M38,N38,O38,P38,Q38)&lt;4,SUM(M38,N38,O38,P38,Q38),SUM(LARGE((M38,N38,O38,P38,Q38),{1;2;3;4}))))</f>
        <v>12</v>
      </c>
      <c r="F38" s="684" t="str">
        <f>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amp;INDEX(ETAPP!B$1:B$32,MATCH(COUNTIF(M38:Q38,#REF!),ETAPP!A$1:A$32,0))</f>
        <v>0000000000000000000</v>
      </c>
      <c r="G38" s="684" t="str">
        <f t="shared" si="1"/>
        <v>012,0-0000000000000000000</v>
      </c>
      <c r="H38" s="684">
        <f t="shared" si="2"/>
        <v>32</v>
      </c>
      <c r="I38" s="684">
        <f t="shared" si="3"/>
        <v>112</v>
      </c>
      <c r="J38" s="684" t="str">
        <f t="shared" si="4"/>
        <v>012,0-0000000000000000000-112</v>
      </c>
      <c r="K38" s="684">
        <f t="shared" si="5"/>
        <v>32</v>
      </c>
      <c r="L38" s="685">
        <f t="shared" si="6"/>
        <v>118</v>
      </c>
      <c r="M38" s="686" t="str">
        <f>IFERROR(INDEX('M1'!C$300:C$400,MATCH("*"&amp;B38&amp;"*",'M1'!B$300:B$400,0)),"  ")</f>
        <v xml:space="preserve">  </v>
      </c>
      <c r="N38" s="686" t="str">
        <f>IFERROR(INDEX('M2'!C$300:C$400,MATCH("*"&amp;B38&amp;"*",'M2'!B$300:B$400,0)),"  ")</f>
        <v xml:space="preserve">  </v>
      </c>
      <c r="O38" s="686" t="str">
        <f>IFERROR(INDEX('M3'!C$300:C$400,MATCH("*"&amp;B38&amp;"*",'M3'!B$300:B$400,0)),"  ")</f>
        <v xml:space="preserve">  </v>
      </c>
      <c r="P38" s="686">
        <f>IFERROR(INDEX('M4'!C$300:C$400,MATCH("*"&amp;B38&amp;"*",'M4'!B$300:B$400,0)),"  ")</f>
        <v>12</v>
      </c>
      <c r="Q38" s="686" t="str">
        <f>IFERROR(INDEX('M5'!C$300:C$400,MATCH("*"&amp;B38&amp;"*",'M5'!B$300:B$400,0)),"  ")</f>
        <v xml:space="preserve">  </v>
      </c>
      <c r="R38" s="687">
        <f t="shared" si="7"/>
        <v>1</v>
      </c>
      <c r="S38" s="688">
        <f t="shared" si="8"/>
        <v>0</v>
      </c>
      <c r="T38" s="688">
        <f t="shared" si="9"/>
        <v>0</v>
      </c>
      <c r="U38" s="642"/>
      <c r="V38" s="689"/>
      <c r="W38" s="690"/>
      <c r="X38" s="690"/>
      <c r="Y38" s="690"/>
      <c r="Z38" s="690"/>
      <c r="AA38" s="689">
        <f t="shared" si="10"/>
        <v>1E-4</v>
      </c>
      <c r="AB38" s="690">
        <f t="shared" si="11"/>
        <v>1E-4</v>
      </c>
      <c r="AC38" s="690">
        <f t="shared" si="12"/>
        <v>2.0000000000000001E-4</v>
      </c>
      <c r="AD38" s="690">
        <f t="shared" si="13"/>
        <v>2.9999999999999997E-4</v>
      </c>
      <c r="AE38" s="690">
        <f t="shared" si="14"/>
        <v>12.000400000000001</v>
      </c>
      <c r="AF38" s="690">
        <f t="shared" si="15"/>
        <v>5.0000000000000001E-4</v>
      </c>
    </row>
    <row r="39" spans="1:32" x14ac:dyDescent="0.2">
      <c r="A39" s="680">
        <f t="shared" ref="A39:A70" si="16">IF(E39&gt;0,RANK(H39,H$7:H$155,1),"")</f>
        <v>33</v>
      </c>
      <c r="B39" s="681" t="s">
        <v>672</v>
      </c>
      <c r="C39" s="682"/>
      <c r="D39" s="683"/>
      <c r="E39" s="673">
        <f>(IF(COUNT(M39,N39,O39,P39,Q39)&lt;4,SUM(M39,N39,O39,P39,Q39),SUM(LARGE((M39,N39,O39,P39,Q39),{1;2;3;4}))))</f>
        <v>10</v>
      </c>
      <c r="F39" s="684" t="str">
        <f>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amp;INDEX(ETAPP!B$1:B$32,MATCH(COUNTIF(M39:Q39,#REF!),ETAPP!A$1:A$32,0))</f>
        <v>0000000000000000000</v>
      </c>
      <c r="G39" s="684" t="str">
        <f t="shared" ref="G39:G70" si="17">TEXT(E39,"000,0")&amp;"-"&amp;F39</f>
        <v>010,0-0000000000000000000</v>
      </c>
      <c r="H39" s="684">
        <f t="shared" ref="H39:H70" si="18">COUNTIF(G$7:G$155,"&gt;="&amp;G39)</f>
        <v>34</v>
      </c>
      <c r="I39" s="684">
        <f t="shared" ref="I39:I70" si="19">COUNTIF(B$7:B$155,"&gt;="&amp;B39)</f>
        <v>99</v>
      </c>
      <c r="J39" s="684" t="str">
        <f t="shared" ref="J39:J70" si="20">TEXT(E39,"000,0")&amp;"-"&amp;F39&amp;"-"&amp;TEXT(I39,"000")</f>
        <v>010,0-0000000000000000000-099</v>
      </c>
      <c r="K39" s="684">
        <f t="shared" ref="K39:K70" si="21">COUNTIF(J$7:J$155,"&gt;="&amp;J39)</f>
        <v>33</v>
      </c>
      <c r="L39" s="685">
        <f t="shared" ref="L39:L70" si="22">RANK(K39,K$7:K$155,0)</f>
        <v>117</v>
      </c>
      <c r="M39" s="686" t="str">
        <f>IFERROR(INDEX('M1'!C$300:C$400,MATCH("*"&amp;B39&amp;"*",'M1'!B$300:B$400,0)),"  ")</f>
        <v xml:space="preserve">  </v>
      </c>
      <c r="N39" s="686" t="str">
        <f>IFERROR(INDEX('M2'!C$300:C$400,MATCH("*"&amp;B39&amp;"*",'M2'!B$300:B$400,0)),"  ")</f>
        <v xml:space="preserve">  </v>
      </c>
      <c r="O39" s="686">
        <f>IFERROR(INDEX('M3'!C$300:C$400,MATCH("*"&amp;B39&amp;"*",'M3'!B$300:B$400,0)),"  ")</f>
        <v>10</v>
      </c>
      <c r="P39" s="686" t="str">
        <f>IFERROR(INDEX('M4'!C$300:C$400,MATCH("*"&amp;B39&amp;"*",'M4'!B$300:B$400,0)),"  ")</f>
        <v xml:space="preserve">  </v>
      </c>
      <c r="Q39" s="686" t="str">
        <f>IFERROR(INDEX('M5'!C$300:C$400,MATCH("*"&amp;B39&amp;"*",'M5'!B$300:B$400,0)),"  ")</f>
        <v xml:space="preserve">  </v>
      </c>
      <c r="R39" s="687">
        <f t="shared" ref="R39:R70" si="23">COUNTIF(M39:Q39,"&gt;=0")</f>
        <v>1</v>
      </c>
      <c r="S39" s="688">
        <f t="shared" ref="S39:S70" si="24">COUNTIF(M39:Q39,"&gt;=30")</f>
        <v>0</v>
      </c>
      <c r="T39" s="688">
        <f t="shared" ref="T39:T70" si="25">COUNTIF(M39:Q39,"=40")</f>
        <v>0</v>
      </c>
      <c r="U39" s="642"/>
      <c r="V39" s="689"/>
      <c r="W39" s="690"/>
      <c r="X39" s="690"/>
      <c r="Y39" s="690"/>
      <c r="Z39" s="690"/>
      <c r="AA39" s="689">
        <f t="shared" ref="AA39:AA70" si="26">SMALL(AB39:AF39,AA$3)</f>
        <v>1E-4</v>
      </c>
      <c r="AB39" s="690">
        <f t="shared" ref="AB39:AB70" si="27">IF(M39="  ",0+MID(M$6,FIND("M",M$6)+1,256)/10000,M39+MID(M$6,FIND("M",M$6)+1,256)/10000)</f>
        <v>1E-4</v>
      </c>
      <c r="AC39" s="690">
        <f t="shared" ref="AC39:AC70" si="28">IF(N39="  ",0+MID(N$6,FIND("M",N$6)+1,256)/10000,N39+MID(N$6,FIND("M",N$6)+1,256)/10000)</f>
        <v>2.0000000000000001E-4</v>
      </c>
      <c r="AD39" s="690">
        <f t="shared" ref="AD39:AD70" si="29">IF(O39="  ",0+MID(O$6,FIND("M",O$6)+1,256)/10000,O39+MID(O$6,FIND("M",O$6)+1,256)/10000)</f>
        <v>10.000299999999999</v>
      </c>
      <c r="AE39" s="690">
        <f t="shared" ref="AE39:AE70" si="30">IF(P39="  ",0+MID(P$6,FIND("M",P$6)+1,256)/10000,P39+MID(P$6,FIND("M",P$6)+1,256)/10000)</f>
        <v>4.0000000000000002E-4</v>
      </c>
      <c r="AF39" s="690">
        <f t="shared" ref="AF39:AF70" si="31">IF(Q39="  ",0+MID(Q$6,FIND("M",Q$6)+1,256)/10000,Q39+MID(Q$6,FIND("M",Q$6)+1,256)/10000)</f>
        <v>5.0000000000000001E-4</v>
      </c>
    </row>
    <row r="40" spans="1:32" x14ac:dyDescent="0.2">
      <c r="A40" s="680">
        <f t="shared" si="16"/>
        <v>33</v>
      </c>
      <c r="B40" s="681" t="s">
        <v>123</v>
      </c>
      <c r="C40" s="682"/>
      <c r="D40" s="683"/>
      <c r="E40" s="673">
        <f>(IF(COUNT(M40,N40,O40,P40,Q40)&lt;4,SUM(M40,N40,O40,P40,Q40),SUM(LARGE((M40,N40,O40,P40,Q40),{1;2;3;4}))))</f>
        <v>10</v>
      </c>
      <c r="F40" s="684" t="str">
        <f>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amp;INDEX(ETAPP!B$1:B$32,MATCH(COUNTIF(M40:Q40,#REF!),ETAPP!A$1:A$32,0))</f>
        <v>0000000000000000000</v>
      </c>
      <c r="G40" s="684" t="str">
        <f t="shared" si="17"/>
        <v>010,0-0000000000000000000</v>
      </c>
      <c r="H40" s="684">
        <f t="shared" si="18"/>
        <v>34</v>
      </c>
      <c r="I40" s="684">
        <f t="shared" si="19"/>
        <v>63</v>
      </c>
      <c r="J40" s="684" t="str">
        <f t="shared" si="20"/>
        <v>010,0-0000000000000000000-063</v>
      </c>
      <c r="K40" s="684">
        <f t="shared" si="21"/>
        <v>34</v>
      </c>
      <c r="L40" s="685">
        <f t="shared" si="22"/>
        <v>116</v>
      </c>
      <c r="M40" s="686">
        <f>IFERROR(INDEX('M1'!C$300:C$400,MATCH("*"&amp;B40&amp;"*",'M1'!B$300:B$400,0)),"  ")</f>
        <v>10</v>
      </c>
      <c r="N40" s="686" t="str">
        <f>IFERROR(INDEX('M2'!C$300:C$400,MATCH("*"&amp;B40&amp;"*",'M2'!B$300:B$400,0)),"  ")</f>
        <v xml:space="preserve">  </v>
      </c>
      <c r="O40" s="686" t="str">
        <f>IFERROR(INDEX('M3'!C$300:C$400,MATCH("*"&amp;B40&amp;"*",'M3'!B$300:B$400,0)),"  ")</f>
        <v xml:space="preserve">  </v>
      </c>
      <c r="P40" s="686" t="str">
        <f>IFERROR(INDEX('M4'!C$300:C$400,MATCH("*"&amp;B40&amp;"*",'M4'!B$300:B$400,0)),"  ")</f>
        <v xml:space="preserve">  </v>
      </c>
      <c r="Q40" s="686" t="str">
        <f>IFERROR(INDEX('M5'!C$300:C$400,MATCH("*"&amp;B40&amp;"*",'M5'!B$300:B$400,0)),"  ")</f>
        <v xml:space="preserve">  </v>
      </c>
      <c r="R40" s="687">
        <f t="shared" si="23"/>
        <v>1</v>
      </c>
      <c r="S40" s="688">
        <f t="shared" si="24"/>
        <v>0</v>
      </c>
      <c r="T40" s="688">
        <f t="shared" si="25"/>
        <v>0</v>
      </c>
      <c r="U40" s="642"/>
      <c r="V40" s="689"/>
      <c r="W40" s="690"/>
      <c r="X40" s="690"/>
      <c r="Y40" s="690"/>
      <c r="Z40" s="690"/>
      <c r="AA40" s="689">
        <f t="shared" si="26"/>
        <v>2.0000000000000001E-4</v>
      </c>
      <c r="AB40" s="690">
        <f t="shared" si="27"/>
        <v>10.0001</v>
      </c>
      <c r="AC40" s="690">
        <f t="shared" si="28"/>
        <v>2.0000000000000001E-4</v>
      </c>
      <c r="AD40" s="690">
        <f t="shared" si="29"/>
        <v>2.9999999999999997E-4</v>
      </c>
      <c r="AE40" s="690">
        <f t="shared" si="30"/>
        <v>4.0000000000000002E-4</v>
      </c>
      <c r="AF40" s="690">
        <f t="shared" si="31"/>
        <v>5.0000000000000001E-4</v>
      </c>
    </row>
    <row r="41" spans="1:32" x14ac:dyDescent="0.2">
      <c r="A41" s="680">
        <f t="shared" si="16"/>
        <v>35</v>
      </c>
      <c r="B41" s="681" t="s">
        <v>673</v>
      </c>
      <c r="C41" s="682"/>
      <c r="D41" s="683"/>
      <c r="E41" s="673">
        <f>(IF(COUNT(M41,N41,O41,P41,Q41)&lt;4,SUM(M41,N41,O41,P41,Q41),SUM(LARGE((M41,N41,O41,P41,Q41),{1;2;3;4}))))</f>
        <v>8</v>
      </c>
      <c r="F41" s="684" t="str">
        <f>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amp;INDEX(ETAPP!B$1:B$32,MATCH(COUNTIF(M41:Q41,#REF!),ETAPP!A$1:A$32,0))</f>
        <v>0000000000000000000</v>
      </c>
      <c r="G41" s="684" t="str">
        <f t="shared" si="17"/>
        <v>008,0-0000000000000000000</v>
      </c>
      <c r="H41" s="684">
        <f t="shared" si="18"/>
        <v>35</v>
      </c>
      <c r="I41" s="684">
        <f t="shared" si="19"/>
        <v>68</v>
      </c>
      <c r="J41" s="684" t="str">
        <f t="shared" si="20"/>
        <v>008,0-0000000000000000000-068</v>
      </c>
      <c r="K41" s="684">
        <f t="shared" si="21"/>
        <v>35</v>
      </c>
      <c r="L41" s="685">
        <f t="shared" si="22"/>
        <v>115</v>
      </c>
      <c r="M41" s="686" t="str">
        <f>IFERROR(INDEX('M1'!C$300:C$400,MATCH("*"&amp;B41&amp;"*",'M1'!B$300:B$400,0)),"  ")</f>
        <v xml:space="preserve">  </v>
      </c>
      <c r="N41" s="686" t="str">
        <f>IFERROR(INDEX('M2'!C$300:C$400,MATCH("*"&amp;B41&amp;"*",'M2'!B$300:B$400,0)),"  ")</f>
        <v xml:space="preserve">  </v>
      </c>
      <c r="O41" s="686">
        <f>IFERROR(INDEX('M3'!C$300:C$400,MATCH("*"&amp;B41&amp;"*",'M3'!B$300:B$400,0)),"  ")</f>
        <v>8</v>
      </c>
      <c r="P41" s="686" t="str">
        <f>IFERROR(INDEX('M4'!C$300:C$400,MATCH("*"&amp;B41&amp;"*",'M4'!B$300:B$400,0)),"  ")</f>
        <v xml:space="preserve">  </v>
      </c>
      <c r="Q41" s="686" t="str">
        <f>IFERROR(INDEX('M5'!C$300:C$400,MATCH("*"&amp;B41&amp;"*",'M5'!B$300:B$400,0)),"  ")</f>
        <v xml:space="preserve">  </v>
      </c>
      <c r="R41" s="687">
        <f t="shared" si="23"/>
        <v>1</v>
      </c>
      <c r="S41" s="688">
        <f t="shared" si="24"/>
        <v>0</v>
      </c>
      <c r="T41" s="688">
        <f t="shared" si="25"/>
        <v>0</v>
      </c>
      <c r="U41" s="642"/>
      <c r="V41" s="689"/>
      <c r="W41" s="690"/>
      <c r="X41" s="690"/>
      <c r="Y41" s="690"/>
      <c r="Z41" s="690"/>
      <c r="AA41" s="689">
        <f t="shared" si="26"/>
        <v>1E-4</v>
      </c>
      <c r="AB41" s="690">
        <f t="shared" si="27"/>
        <v>1E-4</v>
      </c>
      <c r="AC41" s="690">
        <f t="shared" si="28"/>
        <v>2.0000000000000001E-4</v>
      </c>
      <c r="AD41" s="690">
        <f t="shared" si="29"/>
        <v>8.0002999999999993</v>
      </c>
      <c r="AE41" s="690">
        <f t="shared" si="30"/>
        <v>4.0000000000000002E-4</v>
      </c>
      <c r="AF41" s="690">
        <f t="shared" si="31"/>
        <v>5.0000000000000001E-4</v>
      </c>
    </row>
    <row r="42" spans="1:32" x14ac:dyDescent="0.2">
      <c r="A42" s="680">
        <f t="shared" si="16"/>
        <v>36</v>
      </c>
      <c r="B42" s="681" t="s">
        <v>124</v>
      </c>
      <c r="C42" s="682"/>
      <c r="D42" s="683"/>
      <c r="E42" s="673">
        <f>(IF(COUNT(M42,N42,O42,P42,Q42)&lt;4,SUM(M42,N42,O42,P42,Q42),SUM(LARGE((M42,N42,O42,P42,Q42),{1;2;3;4}))))</f>
        <v>4</v>
      </c>
      <c r="F42" s="684" t="str">
        <f>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amp;INDEX(ETAPP!B$1:B$32,MATCH(COUNTIF(M42:Q42,#REF!),ETAPP!A$1:A$32,0))</f>
        <v>0000000000000000000</v>
      </c>
      <c r="G42" s="684" t="str">
        <f t="shared" si="17"/>
        <v>004,0-0000000000000000000</v>
      </c>
      <c r="H42" s="684">
        <f t="shared" si="18"/>
        <v>38</v>
      </c>
      <c r="I42" s="684">
        <f t="shared" si="19"/>
        <v>106</v>
      </c>
      <c r="J42" s="684" t="str">
        <f t="shared" si="20"/>
        <v>004,0-0000000000000000000-106</v>
      </c>
      <c r="K42" s="684">
        <f t="shared" si="21"/>
        <v>36</v>
      </c>
      <c r="L42" s="685">
        <f t="shared" si="22"/>
        <v>114</v>
      </c>
      <c r="M42" s="686" t="str">
        <f>IFERROR(INDEX('M1'!C$300:C$400,MATCH("*"&amp;B42&amp;"*",'M1'!B$300:B$400,0)),"  ")</f>
        <v xml:space="preserve">  </v>
      </c>
      <c r="N42" s="686" t="str">
        <f>IFERROR(INDEX('M2'!C$300:C$400,MATCH("*"&amp;B42&amp;"*",'M2'!B$300:B$400,0)),"  ")</f>
        <v xml:space="preserve">  </v>
      </c>
      <c r="O42" s="686" t="str">
        <f>IFERROR(INDEX('M3'!C$300:C$400,MATCH("*"&amp;B42&amp;"*",'M3'!B$300:B$400,0)),"  ")</f>
        <v xml:space="preserve">  </v>
      </c>
      <c r="P42" s="686">
        <f>IFERROR(INDEX('M4'!C$300:C$400,MATCH("*"&amp;B42&amp;"*",'M4'!B$300:B$400,0)),"  ")</f>
        <v>4</v>
      </c>
      <c r="Q42" s="686" t="str">
        <f>IFERROR(INDEX('M5'!C$300:C$400,MATCH("*"&amp;B42&amp;"*",'M5'!B$300:B$400,0)),"  ")</f>
        <v xml:space="preserve">  </v>
      </c>
      <c r="R42" s="687">
        <f t="shared" si="23"/>
        <v>1</v>
      </c>
      <c r="S42" s="688">
        <f t="shared" si="24"/>
        <v>0</v>
      </c>
      <c r="T42" s="688">
        <f t="shared" si="25"/>
        <v>0</v>
      </c>
      <c r="U42" s="642"/>
      <c r="V42" s="689"/>
      <c r="W42" s="690"/>
      <c r="X42" s="690"/>
      <c r="Y42" s="690"/>
      <c r="Z42" s="690"/>
      <c r="AA42" s="689">
        <f t="shared" si="26"/>
        <v>1E-4</v>
      </c>
      <c r="AB42" s="690">
        <f t="shared" si="27"/>
        <v>1E-4</v>
      </c>
      <c r="AC42" s="690">
        <f t="shared" si="28"/>
        <v>2.0000000000000001E-4</v>
      </c>
      <c r="AD42" s="690">
        <f t="shared" si="29"/>
        <v>2.9999999999999997E-4</v>
      </c>
      <c r="AE42" s="690">
        <f t="shared" si="30"/>
        <v>4.0004</v>
      </c>
      <c r="AF42" s="690">
        <f t="shared" si="31"/>
        <v>5.0000000000000001E-4</v>
      </c>
    </row>
    <row r="43" spans="1:32" x14ac:dyDescent="0.2">
      <c r="A43" s="680">
        <f t="shared" si="16"/>
        <v>36</v>
      </c>
      <c r="B43" s="681" t="s">
        <v>155</v>
      </c>
      <c r="C43" s="682" t="s">
        <v>99</v>
      </c>
      <c r="D43" s="683"/>
      <c r="E43" s="673">
        <f>(IF(COUNT(M43,N43,O43,P43,Q43)&lt;4,SUM(M43,N43,O43,P43,Q43),SUM(LARGE((M43,N43,O43,P43,Q43),{1;2;3;4}))))</f>
        <v>4</v>
      </c>
      <c r="F43" s="684" t="str">
        <f>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amp;INDEX(ETAPP!B$1:B$32,MATCH(COUNTIF(M43:Q43,#REF!),ETAPP!A$1:A$32,0))</f>
        <v>0000000000000000000</v>
      </c>
      <c r="G43" s="684" t="str">
        <f t="shared" si="17"/>
        <v>004,0-0000000000000000000</v>
      </c>
      <c r="H43" s="684">
        <f t="shared" si="18"/>
        <v>38</v>
      </c>
      <c r="I43" s="684">
        <f t="shared" si="19"/>
        <v>67</v>
      </c>
      <c r="J43" s="684" t="str">
        <f t="shared" si="20"/>
        <v>004,0-0000000000000000000-067</v>
      </c>
      <c r="K43" s="684">
        <f t="shared" si="21"/>
        <v>37</v>
      </c>
      <c r="L43" s="685">
        <f t="shared" si="22"/>
        <v>113</v>
      </c>
      <c r="M43" s="686" t="str">
        <f>IFERROR(INDEX('M1'!C$300:C$400,MATCH("*"&amp;B43&amp;"*",'M1'!B$300:B$400,0)),"  ")</f>
        <v xml:space="preserve">  </v>
      </c>
      <c r="N43" s="686">
        <f>IFERROR(INDEX('M2'!C$300:C$400,MATCH("*"&amp;B43&amp;"*",'M2'!B$300:B$400,0)),"  ")</f>
        <v>4</v>
      </c>
      <c r="O43" s="686" t="str">
        <f>IFERROR(INDEX('M3'!C$300:C$400,MATCH("*"&amp;B43&amp;"*",'M3'!B$300:B$400,0)),"  ")</f>
        <v xml:space="preserve">  </v>
      </c>
      <c r="P43" s="686" t="str">
        <f>IFERROR(INDEX('M4'!C$300:C$400,MATCH("*"&amp;B43&amp;"*",'M4'!B$300:B$400,0)),"  ")</f>
        <v xml:space="preserve">  </v>
      </c>
      <c r="Q43" s="686" t="str">
        <f>IFERROR(INDEX('M5'!C$300:C$400,MATCH("*"&amp;B43&amp;"*",'M5'!B$300:B$400,0)),"  ")</f>
        <v xml:space="preserve">  </v>
      </c>
      <c r="R43" s="687">
        <f t="shared" si="23"/>
        <v>1</v>
      </c>
      <c r="S43" s="688">
        <f t="shared" si="24"/>
        <v>0</v>
      </c>
      <c r="T43" s="688">
        <f t="shared" si="25"/>
        <v>0</v>
      </c>
      <c r="U43" s="642"/>
      <c r="V43" s="689"/>
      <c r="W43" s="690"/>
      <c r="X43" s="690"/>
      <c r="Y43" s="690"/>
      <c r="Z43" s="690"/>
      <c r="AA43" s="689">
        <f t="shared" si="26"/>
        <v>1E-4</v>
      </c>
      <c r="AB43" s="690">
        <f t="shared" si="27"/>
        <v>1E-4</v>
      </c>
      <c r="AC43" s="690">
        <f t="shared" si="28"/>
        <v>4.0002000000000004</v>
      </c>
      <c r="AD43" s="690">
        <f t="shared" si="29"/>
        <v>2.9999999999999997E-4</v>
      </c>
      <c r="AE43" s="690">
        <f t="shared" si="30"/>
        <v>4.0000000000000002E-4</v>
      </c>
      <c r="AF43" s="690">
        <f t="shared" si="31"/>
        <v>5.0000000000000001E-4</v>
      </c>
    </row>
    <row r="44" spans="1:32" x14ac:dyDescent="0.2">
      <c r="A44" s="680">
        <f t="shared" si="16"/>
        <v>36</v>
      </c>
      <c r="B44" s="681" t="s">
        <v>133</v>
      </c>
      <c r="C44" s="682" t="s">
        <v>99</v>
      </c>
      <c r="D44" s="683"/>
      <c r="E44" s="673">
        <f>(IF(COUNT(M44,N44,O44,P44,Q44)&lt;4,SUM(M44,N44,O44,P44,Q44),SUM(LARGE((M44,N44,O44,P44,Q44),{1;2;3;4}))))</f>
        <v>4</v>
      </c>
      <c r="F44" s="684" t="str">
        <f>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amp;INDEX(ETAPP!B$1:B$32,MATCH(COUNTIF(M44:Q44,#REF!),ETAPP!A$1:A$32,0))</f>
        <v>0000000000000000000</v>
      </c>
      <c r="G44" s="684" t="str">
        <f t="shared" si="17"/>
        <v>004,0-0000000000000000000</v>
      </c>
      <c r="H44" s="684">
        <f t="shared" si="18"/>
        <v>38</v>
      </c>
      <c r="I44" s="684">
        <f t="shared" si="19"/>
        <v>33</v>
      </c>
      <c r="J44" s="684" t="str">
        <f t="shared" si="20"/>
        <v>004,0-0000000000000000000-033</v>
      </c>
      <c r="K44" s="684">
        <f t="shared" si="21"/>
        <v>38</v>
      </c>
      <c r="L44" s="685">
        <f t="shared" si="22"/>
        <v>112</v>
      </c>
      <c r="M44" s="686" t="str">
        <f>IFERROR(INDEX('M1'!C$300:C$400,MATCH("*"&amp;B44&amp;"*",'M1'!B$300:B$400,0)),"  ")</f>
        <v xml:space="preserve">  </v>
      </c>
      <c r="N44" s="686" t="str">
        <f>IFERROR(INDEX('M2'!C$300:C$400,MATCH("*"&amp;B44&amp;"*",'M2'!B$300:B$400,0)),"  ")</f>
        <v xml:space="preserve">  </v>
      </c>
      <c r="O44" s="686" t="str">
        <f>IFERROR(INDEX('M3'!C$300:C$400,MATCH("*"&amp;B44&amp;"*",'M3'!B$300:B$400,0)),"  ")</f>
        <v xml:space="preserve">  </v>
      </c>
      <c r="P44" s="686" t="str">
        <f>IFERROR(INDEX('M4'!C$300:C$400,MATCH("*"&amp;B44&amp;"*",'M4'!B$300:B$400,0)),"  ")</f>
        <v xml:space="preserve">  </v>
      </c>
      <c r="Q44" s="686">
        <f>IFERROR(INDEX('M5'!C$300:C$400,MATCH("*"&amp;B44&amp;"*",'M5'!B$300:B$400,0)),"  ")</f>
        <v>4</v>
      </c>
      <c r="R44" s="687">
        <f t="shared" si="23"/>
        <v>1</v>
      </c>
      <c r="S44" s="688">
        <f t="shared" si="24"/>
        <v>0</v>
      </c>
      <c r="T44" s="688">
        <f t="shared" si="25"/>
        <v>0</v>
      </c>
      <c r="U44" s="642"/>
      <c r="V44" s="689"/>
      <c r="W44" s="690"/>
      <c r="X44" s="690"/>
      <c r="Y44" s="690"/>
      <c r="Z44" s="690"/>
      <c r="AA44" s="689">
        <f t="shared" si="26"/>
        <v>1E-4</v>
      </c>
      <c r="AB44" s="690">
        <f t="shared" si="27"/>
        <v>1E-4</v>
      </c>
      <c r="AC44" s="690">
        <f t="shared" si="28"/>
        <v>2.0000000000000001E-4</v>
      </c>
      <c r="AD44" s="690">
        <f t="shared" si="29"/>
        <v>2.9999999999999997E-4</v>
      </c>
      <c r="AE44" s="690">
        <f t="shared" si="30"/>
        <v>4.0000000000000002E-4</v>
      </c>
      <c r="AF44" s="690">
        <f t="shared" si="31"/>
        <v>4.0004999999999997</v>
      </c>
    </row>
    <row r="45" spans="1:32" x14ac:dyDescent="0.2">
      <c r="A45" s="680">
        <f t="shared" si="16"/>
        <v>39</v>
      </c>
      <c r="B45" s="681" t="s">
        <v>97</v>
      </c>
      <c r="C45" s="682"/>
      <c r="D45" s="683"/>
      <c r="E45" s="673">
        <f>(IF(COUNT(M45,N45,O45,P45,Q45)&lt;4,SUM(M45,N45,O45,P45,Q45),SUM(LARGE((M45,N45,O45,P45,Q45),{1;2;3;4}))))</f>
        <v>2</v>
      </c>
      <c r="F45" s="684" t="str">
        <f>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amp;INDEX(ETAPP!B$1:B$32,MATCH(COUNTIF(M45:Q45,#REF!),ETAPP!A$1:A$32,0))</f>
        <v>0000000000000000000</v>
      </c>
      <c r="G45" s="684" t="str">
        <f t="shared" si="17"/>
        <v>002,0-0000000000000000000</v>
      </c>
      <c r="H45" s="684">
        <f t="shared" si="18"/>
        <v>41</v>
      </c>
      <c r="I45" s="684">
        <f t="shared" si="19"/>
        <v>141</v>
      </c>
      <c r="J45" s="684" t="str">
        <f t="shared" si="20"/>
        <v>002,0-0000000000000000000-141</v>
      </c>
      <c r="K45" s="684">
        <f t="shared" si="21"/>
        <v>39</v>
      </c>
      <c r="L45" s="685">
        <f t="shared" si="22"/>
        <v>111</v>
      </c>
      <c r="M45" s="686" t="str">
        <f>IFERROR(INDEX('M1'!C$300:C$400,MATCH("*"&amp;B45&amp;"*",'M1'!B$300:B$400,0)),"  ")</f>
        <v xml:space="preserve">  </v>
      </c>
      <c r="N45" s="686" t="str">
        <f>IFERROR(INDEX('M2'!C$300:C$400,MATCH("*"&amp;B45&amp;"*",'M2'!B$300:B$400,0)),"  ")</f>
        <v xml:space="preserve">  </v>
      </c>
      <c r="O45" s="686" t="str">
        <f>IFERROR(INDEX('M3'!C$300:C$400,MATCH("*"&amp;B45&amp;"*",'M3'!B$300:B$400,0)),"  ")</f>
        <v xml:space="preserve">  </v>
      </c>
      <c r="P45" s="686" t="str">
        <f>IFERROR(INDEX('M4'!C$300:C$400,MATCH("*"&amp;B45&amp;"*",'M4'!B$300:B$400,0)),"  ")</f>
        <v xml:space="preserve">  </v>
      </c>
      <c r="Q45" s="686">
        <f>IFERROR(INDEX('M5'!C$300:C$400,MATCH("*"&amp;B45&amp;"*",'M5'!B$300:B$400,0)),"  ")</f>
        <v>2</v>
      </c>
      <c r="R45" s="687">
        <f t="shared" si="23"/>
        <v>1</v>
      </c>
      <c r="S45" s="688">
        <f t="shared" si="24"/>
        <v>0</v>
      </c>
      <c r="T45" s="688">
        <f t="shared" si="25"/>
        <v>0</v>
      </c>
      <c r="U45" s="642"/>
      <c r="V45" s="689"/>
      <c r="W45" s="690"/>
      <c r="X45" s="690"/>
      <c r="Y45" s="690"/>
      <c r="Z45" s="690"/>
      <c r="AA45" s="689">
        <f t="shared" si="26"/>
        <v>1E-4</v>
      </c>
      <c r="AB45" s="690">
        <f t="shared" si="27"/>
        <v>1E-4</v>
      </c>
      <c r="AC45" s="690">
        <f t="shared" si="28"/>
        <v>2.0000000000000001E-4</v>
      </c>
      <c r="AD45" s="690">
        <f t="shared" si="29"/>
        <v>2.9999999999999997E-4</v>
      </c>
      <c r="AE45" s="690">
        <f t="shared" si="30"/>
        <v>4.0000000000000002E-4</v>
      </c>
      <c r="AF45" s="690">
        <f t="shared" si="31"/>
        <v>2.0005000000000002</v>
      </c>
    </row>
    <row r="46" spans="1:32" x14ac:dyDescent="0.2">
      <c r="A46" s="680">
        <f t="shared" si="16"/>
        <v>39</v>
      </c>
      <c r="B46" s="681" t="s">
        <v>528</v>
      </c>
      <c r="C46" s="682" t="s">
        <v>99</v>
      </c>
      <c r="D46" s="683"/>
      <c r="E46" s="673">
        <f>(IF(COUNT(M46,N46,O46,P46,Q46)&lt;4,SUM(M46,N46,O46,P46,Q46),SUM(LARGE((M46,N46,O46,P46,Q46),{1;2;3;4}))))</f>
        <v>2</v>
      </c>
      <c r="F46" s="684" t="str">
        <f>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amp;INDEX(ETAPP!B$1:B$32,MATCH(COUNTIF(M46:Q46,#REF!),ETAPP!A$1:A$32,0))</f>
        <v>0000000000000000000</v>
      </c>
      <c r="G46" s="684" t="str">
        <f t="shared" si="17"/>
        <v>002,0-0000000000000000000</v>
      </c>
      <c r="H46" s="684">
        <f t="shared" si="18"/>
        <v>41</v>
      </c>
      <c r="I46" s="684">
        <f t="shared" si="19"/>
        <v>83</v>
      </c>
      <c r="J46" s="684" t="str">
        <f t="shared" si="20"/>
        <v>002,0-0000000000000000000-083</v>
      </c>
      <c r="K46" s="684">
        <f t="shared" si="21"/>
        <v>40</v>
      </c>
      <c r="L46" s="685">
        <f t="shared" si="22"/>
        <v>110</v>
      </c>
      <c r="M46" s="686" t="str">
        <f>IFERROR(INDEX('M1'!C$300:C$400,MATCH("*"&amp;B46&amp;"*",'M1'!B$300:B$400,0)),"  ")</f>
        <v xml:space="preserve">  </v>
      </c>
      <c r="N46" s="686" t="str">
        <f>IFERROR(INDEX('M2'!C$300:C$400,MATCH("*"&amp;B46&amp;"*",'M2'!B$300:B$400,0)),"  ")</f>
        <v xml:space="preserve">  </v>
      </c>
      <c r="O46" s="686" t="str">
        <f>IFERROR(INDEX('M3'!C$300:C$400,MATCH("*"&amp;B46&amp;"*",'M3'!B$300:B$400,0)),"  ")</f>
        <v xml:space="preserve">  </v>
      </c>
      <c r="P46" s="686">
        <f>IFERROR(INDEX('M4'!C$300:C$400,MATCH("*"&amp;B46&amp;"*",'M4'!B$300:B$400,0)),"  ")</f>
        <v>2</v>
      </c>
      <c r="Q46" s="686" t="str">
        <f>IFERROR(INDEX('M5'!C$300:C$400,MATCH("*"&amp;B46&amp;"*",'M5'!B$300:B$400,0)),"  ")</f>
        <v xml:space="preserve">  </v>
      </c>
      <c r="R46" s="687">
        <f t="shared" si="23"/>
        <v>1</v>
      </c>
      <c r="S46" s="688">
        <f t="shared" si="24"/>
        <v>0</v>
      </c>
      <c r="T46" s="688">
        <f t="shared" si="25"/>
        <v>0</v>
      </c>
      <c r="U46" s="642"/>
      <c r="V46" s="689"/>
      <c r="W46" s="690"/>
      <c r="X46" s="690"/>
      <c r="Y46" s="690"/>
      <c r="Z46" s="690"/>
      <c r="AA46" s="689">
        <f t="shared" si="26"/>
        <v>1E-4</v>
      </c>
      <c r="AB46" s="690">
        <f t="shared" si="27"/>
        <v>1E-4</v>
      </c>
      <c r="AC46" s="690">
        <f t="shared" si="28"/>
        <v>2.0000000000000001E-4</v>
      </c>
      <c r="AD46" s="690">
        <f t="shared" si="29"/>
        <v>2.9999999999999997E-4</v>
      </c>
      <c r="AE46" s="690">
        <f t="shared" si="30"/>
        <v>2.0004</v>
      </c>
      <c r="AF46" s="690">
        <f t="shared" si="31"/>
        <v>5.0000000000000001E-4</v>
      </c>
    </row>
    <row r="47" spans="1:32" x14ac:dyDescent="0.2">
      <c r="A47" s="680">
        <f t="shared" si="16"/>
        <v>39</v>
      </c>
      <c r="B47" s="681" t="s">
        <v>541</v>
      </c>
      <c r="C47" s="682" t="s">
        <v>99</v>
      </c>
      <c r="D47" s="683"/>
      <c r="E47" s="673">
        <f>(IF(COUNT(M47,N47,O47,P47,Q47)&lt;4,SUM(M47,N47,O47,P47,Q47),SUM(LARGE((M47,N47,O47,P47,Q47),{1;2;3;4}))))</f>
        <v>2</v>
      </c>
      <c r="F47" s="684" t="str">
        <f>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amp;INDEX(ETAPP!B$1:B$32,MATCH(COUNTIF(M47:Q47,#REF!),ETAPP!A$1:A$32,0))</f>
        <v>0000000000000000000</v>
      </c>
      <c r="G47" s="684" t="str">
        <f t="shared" si="17"/>
        <v>002,0-0000000000000000000</v>
      </c>
      <c r="H47" s="684">
        <f t="shared" si="18"/>
        <v>41</v>
      </c>
      <c r="I47" s="684">
        <f t="shared" si="19"/>
        <v>10</v>
      </c>
      <c r="J47" s="684" t="str">
        <f t="shared" si="20"/>
        <v>002,0-0000000000000000000-010</v>
      </c>
      <c r="K47" s="684">
        <f t="shared" si="21"/>
        <v>41</v>
      </c>
      <c r="L47" s="685">
        <f t="shared" si="22"/>
        <v>109</v>
      </c>
      <c r="M47" s="686" t="str">
        <f>IFERROR(INDEX('M1'!C$300:C$400,MATCH("*"&amp;B47&amp;"*",'M1'!B$300:B$400,0)),"  ")</f>
        <v xml:space="preserve">  </v>
      </c>
      <c r="N47" s="686">
        <f>IFERROR(INDEX('M2'!C$300:C$400,MATCH("*"&amp;B47&amp;"*",'M2'!B$300:B$400,0)),"  ")</f>
        <v>2</v>
      </c>
      <c r="O47" s="686" t="str">
        <f>IFERROR(INDEX('M3'!C$300:C$400,MATCH("*"&amp;B47&amp;"*",'M3'!B$300:B$400,0)),"  ")</f>
        <v xml:space="preserve">  </v>
      </c>
      <c r="P47" s="686" t="str">
        <f>IFERROR(INDEX('M4'!C$300:C$400,MATCH("*"&amp;B47&amp;"*",'M4'!B$300:B$400,0)),"  ")</f>
        <v xml:space="preserve">  </v>
      </c>
      <c r="Q47" s="686" t="str">
        <f>IFERROR(INDEX('M5'!C$300:C$400,MATCH("*"&amp;B47&amp;"*",'M5'!B$300:B$400,0)),"  ")</f>
        <v xml:space="preserve">  </v>
      </c>
      <c r="R47" s="687">
        <f t="shared" si="23"/>
        <v>1</v>
      </c>
      <c r="S47" s="688">
        <f t="shared" si="24"/>
        <v>0</v>
      </c>
      <c r="T47" s="688">
        <f t="shared" si="25"/>
        <v>0</v>
      </c>
      <c r="U47" s="642"/>
      <c r="V47" s="689"/>
      <c r="W47" s="690"/>
      <c r="X47" s="690"/>
      <c r="Y47" s="690"/>
      <c r="Z47" s="690"/>
      <c r="AA47" s="689">
        <f t="shared" si="26"/>
        <v>1E-4</v>
      </c>
      <c r="AB47" s="690">
        <f t="shared" si="27"/>
        <v>1E-4</v>
      </c>
      <c r="AC47" s="690">
        <f t="shared" si="28"/>
        <v>2.0002</v>
      </c>
      <c r="AD47" s="690">
        <f t="shared" si="29"/>
        <v>2.9999999999999997E-4</v>
      </c>
      <c r="AE47" s="690">
        <f t="shared" si="30"/>
        <v>4.0000000000000002E-4</v>
      </c>
      <c r="AF47" s="690">
        <f t="shared" si="31"/>
        <v>5.0000000000000001E-4</v>
      </c>
    </row>
    <row r="48" spans="1:32" x14ac:dyDescent="0.2">
      <c r="A48" s="680">
        <f t="shared" si="16"/>
        <v>42</v>
      </c>
      <c r="B48" s="681" t="s">
        <v>117</v>
      </c>
      <c r="C48" s="682"/>
      <c r="D48" s="683"/>
      <c r="E48" s="673">
        <f>(IF(COUNT(M48,N48,O48,P48,Q48)&lt;4,SUM(M48,N48,O48,P48,Q48),SUM(LARGE((M48,N48,O48,P48,Q48),{1;2;3;4}))))</f>
        <v>1</v>
      </c>
      <c r="F48" s="684" t="str">
        <f>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amp;INDEX(ETAPP!B$1:B$32,MATCH(COUNTIF(M48:Q48,#REF!),ETAPP!A$1:A$32,0))</f>
        <v>0000000000000000000</v>
      </c>
      <c r="G48" s="684" t="str">
        <f t="shared" si="17"/>
        <v>001,0-0000000000000000000</v>
      </c>
      <c r="H48" s="684">
        <f t="shared" si="18"/>
        <v>46</v>
      </c>
      <c r="I48" s="684">
        <f t="shared" si="19"/>
        <v>77</v>
      </c>
      <c r="J48" s="684" t="str">
        <f t="shared" si="20"/>
        <v>001,0-0000000000000000000-077</v>
      </c>
      <c r="K48" s="684">
        <f t="shared" si="21"/>
        <v>42</v>
      </c>
      <c r="L48" s="685">
        <f t="shared" si="22"/>
        <v>108</v>
      </c>
      <c r="M48" s="686" t="str">
        <f>IFERROR(INDEX('M1'!C$300:C$400,MATCH("*"&amp;B48&amp;"*",'M1'!B$300:B$400,0)),"  ")</f>
        <v xml:space="preserve">  </v>
      </c>
      <c r="N48" s="686">
        <f>IFERROR(INDEX('M2'!C$300:C$400,MATCH("*"&amp;B48&amp;"*",'M2'!B$300:B$400,0)),"  ")</f>
        <v>1</v>
      </c>
      <c r="O48" s="686" t="str">
        <f>IFERROR(INDEX('M3'!C$300:C$400,MATCH("*"&amp;B48&amp;"*",'M3'!B$300:B$400,0)),"  ")</f>
        <v xml:space="preserve">  </v>
      </c>
      <c r="P48" s="686" t="str">
        <f>IFERROR(INDEX('M4'!C$300:C$400,MATCH("*"&amp;B48&amp;"*",'M4'!B$300:B$400,0)),"  ")</f>
        <v xml:space="preserve">  </v>
      </c>
      <c r="Q48" s="686" t="str">
        <f>IFERROR(INDEX('M5'!C$300:C$400,MATCH("*"&amp;B48&amp;"*",'M5'!B$300:B$400,0)),"  ")</f>
        <v xml:space="preserve">  </v>
      </c>
      <c r="R48" s="687">
        <f t="shared" si="23"/>
        <v>1</v>
      </c>
      <c r="S48" s="688">
        <f t="shared" si="24"/>
        <v>0</v>
      </c>
      <c r="T48" s="688">
        <f t="shared" si="25"/>
        <v>0</v>
      </c>
      <c r="U48" s="642"/>
      <c r="V48" s="689"/>
      <c r="W48" s="690"/>
      <c r="X48" s="690"/>
      <c r="Y48" s="690"/>
      <c r="Z48" s="690"/>
      <c r="AA48" s="689">
        <f t="shared" si="26"/>
        <v>1E-4</v>
      </c>
      <c r="AB48" s="690">
        <f t="shared" si="27"/>
        <v>1E-4</v>
      </c>
      <c r="AC48" s="690">
        <f t="shared" si="28"/>
        <v>1.0002</v>
      </c>
      <c r="AD48" s="690">
        <f t="shared" si="29"/>
        <v>2.9999999999999997E-4</v>
      </c>
      <c r="AE48" s="690">
        <f t="shared" si="30"/>
        <v>4.0000000000000002E-4</v>
      </c>
      <c r="AF48" s="690">
        <f t="shared" si="31"/>
        <v>5.0000000000000001E-4</v>
      </c>
    </row>
    <row r="49" spans="1:32" x14ac:dyDescent="0.2">
      <c r="A49" s="680">
        <f t="shared" si="16"/>
        <v>42</v>
      </c>
      <c r="B49" s="681" t="s">
        <v>539</v>
      </c>
      <c r="C49" s="682" t="s">
        <v>99</v>
      </c>
      <c r="D49" s="683"/>
      <c r="E49" s="673">
        <f>(IF(COUNT(M49,N49,O49,P49,Q49)&lt;4,SUM(M49,N49,O49,P49,Q49),SUM(LARGE((M49,N49,O49,P49,Q49),{1;2;3;4}))))</f>
        <v>1</v>
      </c>
      <c r="F49" s="684" t="str">
        <f>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amp;INDEX(ETAPP!B$1:B$32,MATCH(COUNTIF(M49:Q49,#REF!),ETAPP!A$1:A$32,0))</f>
        <v>0000000000000000000</v>
      </c>
      <c r="G49" s="684" t="str">
        <f t="shared" si="17"/>
        <v>001,0-0000000000000000000</v>
      </c>
      <c r="H49" s="684">
        <f t="shared" si="18"/>
        <v>46</v>
      </c>
      <c r="I49" s="684">
        <f t="shared" si="19"/>
        <v>75</v>
      </c>
      <c r="J49" s="684" t="str">
        <f t="shared" si="20"/>
        <v>001,0-0000000000000000000-075</v>
      </c>
      <c r="K49" s="684">
        <f t="shared" si="21"/>
        <v>43</v>
      </c>
      <c r="L49" s="685">
        <f t="shared" si="22"/>
        <v>107</v>
      </c>
      <c r="M49" s="686" t="str">
        <f>IFERROR(INDEX('M1'!C$300:C$400,MATCH("*"&amp;B49&amp;"*",'M1'!B$300:B$400,0)),"  ")</f>
        <v xml:space="preserve">  </v>
      </c>
      <c r="N49" s="686">
        <f>IFERROR(INDEX('M2'!C$300:C$400,MATCH("*"&amp;B49&amp;"*",'M2'!B$300:B$400,0)),"  ")</f>
        <v>1</v>
      </c>
      <c r="O49" s="686" t="str">
        <f>IFERROR(INDEX('M3'!C$300:C$400,MATCH("*"&amp;B49&amp;"*",'M3'!B$300:B$400,0)),"  ")</f>
        <v xml:space="preserve">  </v>
      </c>
      <c r="P49" s="686" t="str">
        <f>IFERROR(INDEX('M4'!C$300:C$400,MATCH("*"&amp;B49&amp;"*",'M4'!B$300:B$400,0)),"  ")</f>
        <v xml:space="preserve">  </v>
      </c>
      <c r="Q49" s="686" t="str">
        <f>IFERROR(INDEX('M5'!C$300:C$400,MATCH("*"&amp;B49&amp;"*",'M5'!B$300:B$400,0)),"  ")</f>
        <v xml:space="preserve">  </v>
      </c>
      <c r="R49" s="687">
        <f t="shared" si="23"/>
        <v>1</v>
      </c>
      <c r="S49" s="688">
        <f t="shared" si="24"/>
        <v>0</v>
      </c>
      <c r="T49" s="688">
        <f t="shared" si="25"/>
        <v>0</v>
      </c>
      <c r="U49" s="642"/>
      <c r="V49" s="689"/>
      <c r="W49" s="690"/>
      <c r="X49" s="690"/>
      <c r="Y49" s="690"/>
      <c r="Z49" s="690"/>
      <c r="AA49" s="689">
        <f t="shared" si="26"/>
        <v>1E-4</v>
      </c>
      <c r="AB49" s="690">
        <f t="shared" si="27"/>
        <v>1E-4</v>
      </c>
      <c r="AC49" s="690">
        <f t="shared" si="28"/>
        <v>1.0002</v>
      </c>
      <c r="AD49" s="690">
        <f t="shared" si="29"/>
        <v>2.9999999999999997E-4</v>
      </c>
      <c r="AE49" s="690">
        <f t="shared" si="30"/>
        <v>4.0000000000000002E-4</v>
      </c>
      <c r="AF49" s="690">
        <f t="shared" si="31"/>
        <v>5.0000000000000001E-4</v>
      </c>
    </row>
    <row r="50" spans="1:32" x14ac:dyDescent="0.2">
      <c r="A50" s="680">
        <f t="shared" si="16"/>
        <v>42</v>
      </c>
      <c r="B50" s="681" t="s">
        <v>694</v>
      </c>
      <c r="C50" s="682"/>
      <c r="D50" s="683"/>
      <c r="E50" s="673">
        <f>(IF(COUNT(M50,N50,O50,P50,Q50)&lt;4,SUM(M50,N50,O50,P50,Q50),SUM(LARGE((M50,N50,O50,P50,Q50),{1;2;3;4}))))</f>
        <v>1</v>
      </c>
      <c r="F50" s="684" t="str">
        <f>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amp;INDEX(ETAPP!B$1:B$32,MATCH(COUNTIF(M50:Q50,#REF!),ETAPP!A$1:A$32,0))</f>
        <v>0000000000000000000</v>
      </c>
      <c r="G50" s="684" t="str">
        <f t="shared" si="17"/>
        <v>001,0-0000000000000000000</v>
      </c>
      <c r="H50" s="684">
        <f t="shared" si="18"/>
        <v>46</v>
      </c>
      <c r="I50" s="684">
        <f t="shared" si="19"/>
        <v>29</v>
      </c>
      <c r="J50" s="684" t="str">
        <f t="shared" si="20"/>
        <v>001,0-0000000000000000000-029</v>
      </c>
      <c r="K50" s="684">
        <f t="shared" si="21"/>
        <v>44</v>
      </c>
      <c r="L50" s="685">
        <f t="shared" si="22"/>
        <v>106</v>
      </c>
      <c r="M50" s="686" t="str">
        <f>IFERROR(INDEX('M1'!C$300:C$400,MATCH("*"&amp;B50&amp;"*",'M1'!B$300:B$400,0)),"  ")</f>
        <v xml:space="preserve">  </v>
      </c>
      <c r="N50" s="686" t="str">
        <f>IFERROR(INDEX('M2'!C$300:C$400,MATCH("*"&amp;B50&amp;"*",'M2'!B$300:B$400,0)),"  ")</f>
        <v xml:space="preserve">  </v>
      </c>
      <c r="O50" s="686" t="str">
        <f>IFERROR(INDEX('M3'!C$300:C$400,MATCH("*"&amp;B50&amp;"*",'M3'!B$300:B$400,0)),"  ")</f>
        <v xml:space="preserve">  </v>
      </c>
      <c r="P50" s="686" t="str">
        <f>IFERROR(INDEX('M4'!C$300:C$400,MATCH("*"&amp;B50&amp;"*",'M4'!B$300:B$400,0)),"  ")</f>
        <v xml:space="preserve">  </v>
      </c>
      <c r="Q50" s="686">
        <f>IFERROR(INDEX('M5'!C$300:C$400,MATCH("*"&amp;B50&amp;"*",'M5'!B$300:B$400,0)),"  ")</f>
        <v>1</v>
      </c>
      <c r="R50" s="687">
        <f t="shared" si="23"/>
        <v>1</v>
      </c>
      <c r="S50" s="688">
        <f t="shared" si="24"/>
        <v>0</v>
      </c>
      <c r="T50" s="688">
        <f t="shared" si="25"/>
        <v>0</v>
      </c>
      <c r="U50" s="642"/>
      <c r="V50" s="689"/>
      <c r="W50" s="690"/>
      <c r="X50" s="690"/>
      <c r="Y50" s="690"/>
      <c r="Z50" s="690"/>
      <c r="AA50" s="689">
        <f t="shared" si="26"/>
        <v>1E-4</v>
      </c>
      <c r="AB50" s="690">
        <f t="shared" si="27"/>
        <v>1E-4</v>
      </c>
      <c r="AC50" s="690">
        <f t="shared" si="28"/>
        <v>2.0000000000000001E-4</v>
      </c>
      <c r="AD50" s="690">
        <f t="shared" si="29"/>
        <v>2.9999999999999997E-4</v>
      </c>
      <c r="AE50" s="690">
        <f t="shared" si="30"/>
        <v>4.0000000000000002E-4</v>
      </c>
      <c r="AF50" s="690">
        <f t="shared" si="31"/>
        <v>1.0004999999999999</v>
      </c>
    </row>
    <row r="51" spans="1:32" x14ac:dyDescent="0.2">
      <c r="A51" s="680">
        <f t="shared" si="16"/>
        <v>42</v>
      </c>
      <c r="B51" s="681" t="s">
        <v>127</v>
      </c>
      <c r="C51" s="682"/>
      <c r="D51" s="683"/>
      <c r="E51" s="673">
        <f>(IF(COUNT(M51,N51,O51,P51,Q51)&lt;4,SUM(M51,N51,O51,P51,Q51),SUM(LARGE((M51,N51,O51,P51,Q51),{1;2;3;4}))))</f>
        <v>1</v>
      </c>
      <c r="F51" s="684" t="str">
        <f>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amp;INDEX(ETAPP!B$1:B$32,MATCH(COUNTIF(M51:Q51,#REF!),ETAPP!A$1:A$32,0))</f>
        <v>0000000000000000000</v>
      </c>
      <c r="G51" s="684" t="str">
        <f t="shared" si="17"/>
        <v>001,0-0000000000000000000</v>
      </c>
      <c r="H51" s="684">
        <f t="shared" si="18"/>
        <v>46</v>
      </c>
      <c r="I51" s="684">
        <f t="shared" si="19"/>
        <v>28</v>
      </c>
      <c r="J51" s="684" t="str">
        <f t="shared" si="20"/>
        <v>001,0-0000000000000000000-028</v>
      </c>
      <c r="K51" s="684">
        <f t="shared" si="21"/>
        <v>45</v>
      </c>
      <c r="L51" s="685">
        <f t="shared" si="22"/>
        <v>105</v>
      </c>
      <c r="M51" s="686" t="str">
        <f>IFERROR(INDEX('M1'!C$300:C$400,MATCH("*"&amp;B51&amp;"*",'M1'!B$300:B$400,0)),"  ")</f>
        <v xml:space="preserve">  </v>
      </c>
      <c r="N51" s="686" t="str">
        <f>IFERROR(INDEX('M2'!C$300:C$400,MATCH("*"&amp;B51&amp;"*",'M2'!B$300:B$400,0)),"  ")</f>
        <v xml:space="preserve">  </v>
      </c>
      <c r="O51" s="686" t="str">
        <f>IFERROR(INDEX('M3'!C$300:C$400,MATCH("*"&amp;B51&amp;"*",'M3'!B$300:B$400,0)),"  ")</f>
        <v xml:space="preserve">  </v>
      </c>
      <c r="P51" s="686" t="str">
        <f>IFERROR(INDEX('M4'!C$300:C$400,MATCH("*"&amp;B51&amp;"*",'M4'!B$300:B$400,0)),"  ")</f>
        <v xml:space="preserve">  </v>
      </c>
      <c r="Q51" s="686">
        <f>IFERROR(INDEX('M5'!C$300:C$400,MATCH("*"&amp;B51&amp;"*",'M5'!B$300:B$400,0)),"  ")</f>
        <v>1</v>
      </c>
      <c r="R51" s="687">
        <f t="shared" si="23"/>
        <v>1</v>
      </c>
      <c r="S51" s="688">
        <f t="shared" si="24"/>
        <v>0</v>
      </c>
      <c r="T51" s="688">
        <f t="shared" si="25"/>
        <v>0</v>
      </c>
      <c r="U51" s="642"/>
      <c r="V51" s="689"/>
      <c r="W51" s="690"/>
      <c r="X51" s="690"/>
      <c r="Y51" s="690"/>
      <c r="Z51" s="690"/>
      <c r="AA51" s="689">
        <f t="shared" si="26"/>
        <v>1E-4</v>
      </c>
      <c r="AB51" s="690">
        <f t="shared" si="27"/>
        <v>1E-4</v>
      </c>
      <c r="AC51" s="690">
        <f t="shared" si="28"/>
        <v>2.0000000000000001E-4</v>
      </c>
      <c r="AD51" s="690">
        <f t="shared" si="29"/>
        <v>2.9999999999999997E-4</v>
      </c>
      <c r="AE51" s="690">
        <f t="shared" si="30"/>
        <v>4.0000000000000002E-4</v>
      </c>
      <c r="AF51" s="690">
        <f t="shared" si="31"/>
        <v>1.0004999999999999</v>
      </c>
    </row>
    <row r="52" spans="1:32" x14ac:dyDescent="0.2">
      <c r="A52" s="680">
        <f t="shared" si="16"/>
        <v>42</v>
      </c>
      <c r="B52" s="681" t="s">
        <v>100</v>
      </c>
      <c r="C52" s="682"/>
      <c r="D52" s="683"/>
      <c r="E52" s="673">
        <f>(IF(COUNT(M52,N52,O52,P52,Q52)&lt;4,SUM(M52,N52,O52,P52,Q52),SUM(LARGE((M52,N52,O52,P52,Q52),{1;2;3;4}))))</f>
        <v>1</v>
      </c>
      <c r="F52" s="684" t="str">
        <f>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amp;INDEX(ETAPP!B$1:B$32,MATCH(COUNTIF(M52:Q52,#REF!),ETAPP!A$1:A$32,0))</f>
        <v>0000000000000000000</v>
      </c>
      <c r="G52" s="684" t="str">
        <f t="shared" si="17"/>
        <v>001,0-0000000000000000000</v>
      </c>
      <c r="H52" s="684">
        <f t="shared" si="18"/>
        <v>46</v>
      </c>
      <c r="I52" s="684">
        <f t="shared" si="19"/>
        <v>22</v>
      </c>
      <c r="J52" s="684" t="str">
        <f t="shared" si="20"/>
        <v>001,0-0000000000000000000-022</v>
      </c>
      <c r="K52" s="684">
        <f t="shared" si="21"/>
        <v>46</v>
      </c>
      <c r="L52" s="685">
        <f t="shared" si="22"/>
        <v>104</v>
      </c>
      <c r="M52" s="686" t="str">
        <f>IFERROR(INDEX('M1'!C$300:C$400,MATCH("*"&amp;B52&amp;"*",'M1'!B$300:B$400,0)),"  ")</f>
        <v xml:space="preserve">  </v>
      </c>
      <c r="N52" s="686">
        <f>IFERROR(INDEX('M2'!C$300:C$400,MATCH("*"&amp;B52&amp;"*",'M2'!B$300:B$400,0)),"  ")</f>
        <v>1</v>
      </c>
      <c r="O52" s="686" t="str">
        <f>IFERROR(INDEX('M3'!C$300:C$400,MATCH("*"&amp;B52&amp;"*",'M3'!B$300:B$400,0)),"  ")</f>
        <v xml:space="preserve">  </v>
      </c>
      <c r="P52" s="686" t="str">
        <f>IFERROR(INDEX('M4'!C$300:C$400,MATCH("*"&amp;B52&amp;"*",'M4'!B$300:B$400,0)),"  ")</f>
        <v xml:space="preserve">  </v>
      </c>
      <c r="Q52" s="686" t="str">
        <f>IFERROR(INDEX('M5'!C$300:C$400,MATCH("*"&amp;B52&amp;"*",'M5'!B$300:B$400,0)),"  ")</f>
        <v xml:space="preserve">  </v>
      </c>
      <c r="R52" s="687">
        <f t="shared" si="23"/>
        <v>1</v>
      </c>
      <c r="S52" s="688">
        <f t="shared" si="24"/>
        <v>0</v>
      </c>
      <c r="T52" s="688">
        <f t="shared" si="25"/>
        <v>0</v>
      </c>
      <c r="U52" s="642"/>
      <c r="V52" s="689"/>
      <c r="W52" s="690"/>
      <c r="X52" s="690"/>
      <c r="Y52" s="690"/>
      <c r="Z52" s="690"/>
      <c r="AA52" s="689">
        <f t="shared" si="26"/>
        <v>1E-4</v>
      </c>
      <c r="AB52" s="690">
        <f t="shared" si="27"/>
        <v>1E-4</v>
      </c>
      <c r="AC52" s="690">
        <f t="shared" si="28"/>
        <v>1.0002</v>
      </c>
      <c r="AD52" s="690">
        <f t="shared" si="29"/>
        <v>2.9999999999999997E-4</v>
      </c>
      <c r="AE52" s="690">
        <f t="shared" si="30"/>
        <v>4.0000000000000002E-4</v>
      </c>
      <c r="AF52" s="690">
        <f t="shared" si="31"/>
        <v>5.0000000000000001E-4</v>
      </c>
    </row>
    <row r="53" spans="1:32" hidden="1" x14ac:dyDescent="0.2">
      <c r="A53" s="680" t="str">
        <f t="shared" si="16"/>
        <v/>
      </c>
      <c r="B53" s="681" t="s">
        <v>111</v>
      </c>
      <c r="C53" s="682" t="s">
        <v>99</v>
      </c>
      <c r="D53" s="683"/>
      <c r="E53" s="673">
        <f>(IF(COUNT(M53,N53,O53,P53,Q53)&lt;4,SUM(M53,N53,O53,P53,Q53),SUM(LARGE((M53,N53,O53,P53,Q53),{1;2;3;4}))))</f>
        <v>0</v>
      </c>
      <c r="F53" s="684" t="str">
        <f>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amp;INDEX(ETAPP!B$1:B$32,MATCH(COUNTIF(M53:Q53,#REF!),ETAPP!A$1:A$32,0))</f>
        <v>0000000000000000000</v>
      </c>
      <c r="G53" s="684" t="str">
        <f t="shared" si="17"/>
        <v>000,0-0000000000000000000</v>
      </c>
      <c r="H53" s="684">
        <f t="shared" si="18"/>
        <v>149</v>
      </c>
      <c r="I53" s="684">
        <f t="shared" si="19"/>
        <v>148</v>
      </c>
      <c r="J53" s="684" t="str">
        <f t="shared" si="20"/>
        <v>000,0-0000000000000000000-148</v>
      </c>
      <c r="K53" s="684">
        <f t="shared" si="21"/>
        <v>47</v>
      </c>
      <c r="L53" s="685">
        <f t="shared" si="22"/>
        <v>103</v>
      </c>
      <c r="M53" s="686" t="str">
        <f>IFERROR(INDEX('M1'!C$300:C$400,MATCH("*"&amp;B53&amp;"*",'M1'!B$300:B$400,0)),"  ")</f>
        <v xml:space="preserve">  </v>
      </c>
      <c r="N53" s="686" t="str">
        <f>IFERROR(INDEX('M2'!C$300:C$400,MATCH("*"&amp;B53&amp;"*",'M2'!B$300:B$400,0)),"  ")</f>
        <v xml:space="preserve">  </v>
      </c>
      <c r="O53" s="686" t="str">
        <f>IFERROR(INDEX('M3'!C$300:C$400,MATCH("*"&amp;B53&amp;"*",'M3'!B$300:B$400,0)),"  ")</f>
        <v xml:space="preserve">  </v>
      </c>
      <c r="P53" s="686" t="str">
        <f>IFERROR(INDEX('M4'!C$300:C$400,MATCH("*"&amp;B53&amp;"*",'M4'!B$300:B$400,0)),"  ")</f>
        <v xml:space="preserve">  </v>
      </c>
      <c r="Q53" s="686" t="str">
        <f>IFERROR(INDEX('M5'!C$300:C$400,MATCH("*"&amp;B53&amp;"*",'M5'!B$300:B$400,0)),"  ")</f>
        <v xml:space="preserve">  </v>
      </c>
      <c r="R53" s="687">
        <f t="shared" si="23"/>
        <v>0</v>
      </c>
      <c r="S53" s="688">
        <f t="shared" si="24"/>
        <v>0</v>
      </c>
      <c r="T53" s="688">
        <f t="shared" si="25"/>
        <v>0</v>
      </c>
      <c r="U53" s="642"/>
      <c r="V53" s="689"/>
      <c r="W53" s="690"/>
      <c r="X53" s="690"/>
      <c r="Y53" s="690"/>
      <c r="Z53" s="690"/>
      <c r="AA53" s="689">
        <f t="shared" si="26"/>
        <v>1E-4</v>
      </c>
      <c r="AB53" s="690">
        <f t="shared" si="27"/>
        <v>1E-4</v>
      </c>
      <c r="AC53" s="690">
        <f t="shared" si="28"/>
        <v>2.0000000000000001E-4</v>
      </c>
      <c r="AD53" s="690">
        <f t="shared" si="29"/>
        <v>2.9999999999999997E-4</v>
      </c>
      <c r="AE53" s="690">
        <f t="shared" si="30"/>
        <v>4.0000000000000002E-4</v>
      </c>
      <c r="AF53" s="690">
        <f t="shared" si="31"/>
        <v>5.0000000000000001E-4</v>
      </c>
    </row>
    <row r="54" spans="1:32" hidden="1" x14ac:dyDescent="0.2">
      <c r="A54" s="680" t="str">
        <f t="shared" si="16"/>
        <v/>
      </c>
      <c r="B54" s="698" t="s">
        <v>200</v>
      </c>
      <c r="C54" s="699" t="s">
        <v>99</v>
      </c>
      <c r="D54" s="683"/>
      <c r="E54" s="673">
        <f>(IF(COUNT(M54,N54,O54,P54,Q54)&lt;4,SUM(M54,N54,O54,P54,Q54),SUM(LARGE((M54,N54,O54,P54,Q54),{1;2;3;4}))))</f>
        <v>0</v>
      </c>
      <c r="F54" s="684" t="str">
        <f>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amp;INDEX(ETAPP!B$1:B$32,MATCH(COUNTIF(M54:Q54,#REF!),ETAPP!A$1:A$32,0))</f>
        <v>0000000000000000000</v>
      </c>
      <c r="G54" s="684" t="str">
        <f t="shared" si="17"/>
        <v>000,0-0000000000000000000</v>
      </c>
      <c r="H54" s="684">
        <f t="shared" si="18"/>
        <v>149</v>
      </c>
      <c r="I54" s="684">
        <f t="shared" si="19"/>
        <v>147</v>
      </c>
      <c r="J54" s="684" t="str">
        <f t="shared" si="20"/>
        <v>000,0-0000000000000000000-147</v>
      </c>
      <c r="K54" s="684">
        <f t="shared" si="21"/>
        <v>48</v>
      </c>
      <c r="L54" s="685">
        <f t="shared" si="22"/>
        <v>102</v>
      </c>
      <c r="M54" s="686" t="str">
        <f>IFERROR(INDEX('M1'!C$300:C$400,MATCH("*"&amp;B54&amp;"*",'M1'!B$300:B$400,0)),"  ")</f>
        <v xml:space="preserve">  </v>
      </c>
      <c r="N54" s="686" t="str">
        <f>IFERROR(INDEX('M2'!C$300:C$400,MATCH("*"&amp;B54&amp;"*",'M2'!B$300:B$400,0)),"  ")</f>
        <v xml:space="preserve">  </v>
      </c>
      <c r="O54" s="686" t="str">
        <f>IFERROR(INDEX('M3'!C$300:C$400,MATCH("*"&amp;B54&amp;"*",'M3'!B$300:B$400,0)),"  ")</f>
        <v xml:space="preserve">  </v>
      </c>
      <c r="P54" s="686" t="str">
        <f>IFERROR(INDEX('M4'!C$300:C$400,MATCH("*"&amp;B54&amp;"*",'M4'!B$300:B$400,0)),"  ")</f>
        <v xml:space="preserve">  </v>
      </c>
      <c r="Q54" s="686" t="str">
        <f>IFERROR(INDEX('M5'!C$300:C$400,MATCH("*"&amp;B54&amp;"*",'M5'!B$300:B$400,0)),"  ")</f>
        <v xml:space="preserve">  </v>
      </c>
      <c r="R54" s="687">
        <f t="shared" si="23"/>
        <v>0</v>
      </c>
      <c r="S54" s="688">
        <f t="shared" si="24"/>
        <v>0</v>
      </c>
      <c r="T54" s="688">
        <f t="shared" si="25"/>
        <v>0</v>
      </c>
      <c r="U54" s="642"/>
      <c r="V54" s="689"/>
      <c r="W54" s="690"/>
      <c r="X54" s="690"/>
      <c r="Y54" s="690"/>
      <c r="Z54" s="690"/>
      <c r="AA54" s="689">
        <f t="shared" si="26"/>
        <v>1E-4</v>
      </c>
      <c r="AB54" s="690">
        <f t="shared" si="27"/>
        <v>1E-4</v>
      </c>
      <c r="AC54" s="690">
        <f t="shared" si="28"/>
        <v>2.0000000000000001E-4</v>
      </c>
      <c r="AD54" s="690">
        <f t="shared" si="29"/>
        <v>2.9999999999999997E-4</v>
      </c>
      <c r="AE54" s="690">
        <f t="shared" si="30"/>
        <v>4.0000000000000002E-4</v>
      </c>
      <c r="AF54" s="690">
        <f t="shared" si="31"/>
        <v>5.0000000000000001E-4</v>
      </c>
    </row>
    <row r="55" spans="1:32" hidden="1" x14ac:dyDescent="0.2">
      <c r="A55" s="680" t="str">
        <f t="shared" si="16"/>
        <v/>
      </c>
      <c r="B55" s="700" t="s">
        <v>486</v>
      </c>
      <c r="C55" s="701" t="s">
        <v>99</v>
      </c>
      <c r="D55" s="702" t="s">
        <v>105</v>
      </c>
      <c r="E55" s="673">
        <f>(IF(COUNT(M55,N55,O55,P55,Q55)&lt;4,SUM(M55,N55,O55,P55,Q55),SUM(LARGE((M55,N55,O55,P55,Q55),{1;2;3;4}))))</f>
        <v>0</v>
      </c>
      <c r="F55" s="684" t="str">
        <f>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amp;INDEX(ETAPP!B$1:B$32,MATCH(COUNTIF(M55:Q55,#REF!),ETAPP!A$1:A$32,0))</f>
        <v>0000000000000000000</v>
      </c>
      <c r="G55" s="684" t="str">
        <f t="shared" si="17"/>
        <v>000,0-0000000000000000000</v>
      </c>
      <c r="H55" s="684">
        <f t="shared" si="18"/>
        <v>149</v>
      </c>
      <c r="I55" s="684">
        <f t="shared" si="19"/>
        <v>146</v>
      </c>
      <c r="J55" s="684" t="str">
        <f t="shared" si="20"/>
        <v>000,0-0000000000000000000-146</v>
      </c>
      <c r="K55" s="684">
        <f t="shared" si="21"/>
        <v>49</v>
      </c>
      <c r="L55" s="685">
        <f t="shared" si="22"/>
        <v>101</v>
      </c>
      <c r="M55" s="686" t="str">
        <f>IFERROR(INDEX('M1'!C$300:C$400,MATCH("*"&amp;B55&amp;"*",'M1'!B$300:B$400,0)),"  ")</f>
        <v xml:space="preserve">  </v>
      </c>
      <c r="N55" s="686" t="str">
        <f>IFERROR(INDEX('M2'!C$300:C$400,MATCH("*"&amp;B55&amp;"*",'M2'!B$300:B$400,0)),"  ")</f>
        <v xml:space="preserve">  </v>
      </c>
      <c r="O55" s="686" t="str">
        <f>IFERROR(INDEX('M3'!C$300:C$400,MATCH("*"&amp;B55&amp;"*",'M3'!B$300:B$400,0)),"  ")</f>
        <v xml:space="preserve">  </v>
      </c>
      <c r="P55" s="686" t="str">
        <f>IFERROR(INDEX('M4'!C$300:C$400,MATCH("*"&amp;B55&amp;"*",'M4'!B$300:B$400,0)),"  ")</f>
        <v xml:space="preserve">  </v>
      </c>
      <c r="Q55" s="686" t="str">
        <f>IFERROR(INDEX('M5'!C$300:C$400,MATCH("*"&amp;B55&amp;"*",'M5'!B$300:B$400,0)),"  ")</f>
        <v xml:space="preserve">  </v>
      </c>
      <c r="R55" s="687">
        <f t="shared" si="23"/>
        <v>0</v>
      </c>
      <c r="S55" s="688">
        <f t="shared" si="24"/>
        <v>0</v>
      </c>
      <c r="T55" s="688">
        <f t="shared" si="25"/>
        <v>0</v>
      </c>
      <c r="U55" s="642"/>
      <c r="V55" s="689"/>
      <c r="W55" s="690"/>
      <c r="X55" s="690"/>
      <c r="Y55" s="690"/>
      <c r="Z55" s="690"/>
      <c r="AA55" s="689">
        <f t="shared" si="26"/>
        <v>1E-4</v>
      </c>
      <c r="AB55" s="690">
        <f t="shared" si="27"/>
        <v>1E-4</v>
      </c>
      <c r="AC55" s="690">
        <f t="shared" si="28"/>
        <v>2.0000000000000001E-4</v>
      </c>
      <c r="AD55" s="690">
        <f t="shared" si="29"/>
        <v>2.9999999999999997E-4</v>
      </c>
      <c r="AE55" s="690">
        <f t="shared" si="30"/>
        <v>4.0000000000000002E-4</v>
      </c>
      <c r="AF55" s="690">
        <f t="shared" si="31"/>
        <v>5.0000000000000001E-4</v>
      </c>
    </row>
    <row r="56" spans="1:32" hidden="1" x14ac:dyDescent="0.2">
      <c r="A56" s="680" t="str">
        <f t="shared" si="16"/>
        <v/>
      </c>
      <c r="B56" s="698" t="s">
        <v>201</v>
      </c>
      <c r="C56" s="699"/>
      <c r="D56" s="683"/>
      <c r="E56" s="673">
        <f>(IF(COUNT(M56,N56,O56,P56,Q56)&lt;4,SUM(M56,N56,O56,P56,Q56),SUM(LARGE((M56,N56,O56,P56,Q56),{1;2;3;4}))))</f>
        <v>0</v>
      </c>
      <c r="F56" s="684" t="str">
        <f>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amp;INDEX(ETAPP!B$1:B$32,MATCH(COUNTIF(M56:Q56,#REF!),ETAPP!A$1:A$32,0))</f>
        <v>0000000000000000000</v>
      </c>
      <c r="G56" s="684" t="str">
        <f t="shared" si="17"/>
        <v>000,0-0000000000000000000</v>
      </c>
      <c r="H56" s="684">
        <f t="shared" si="18"/>
        <v>149</v>
      </c>
      <c r="I56" s="684">
        <f t="shared" si="19"/>
        <v>145</v>
      </c>
      <c r="J56" s="684" t="str">
        <f t="shared" si="20"/>
        <v>000,0-0000000000000000000-145</v>
      </c>
      <c r="K56" s="684">
        <f t="shared" si="21"/>
        <v>50</v>
      </c>
      <c r="L56" s="685">
        <f t="shared" si="22"/>
        <v>100</v>
      </c>
      <c r="M56" s="686" t="str">
        <f>IFERROR(INDEX('M1'!C$300:C$400,MATCH("*"&amp;B56&amp;"*",'M1'!B$300:B$400,0)),"  ")</f>
        <v xml:space="preserve">  </v>
      </c>
      <c r="N56" s="686" t="str">
        <f>IFERROR(INDEX('M2'!C$300:C$400,MATCH("*"&amp;B56&amp;"*",'M2'!B$300:B$400,0)),"  ")</f>
        <v xml:space="preserve">  </v>
      </c>
      <c r="O56" s="686" t="str">
        <f>IFERROR(INDEX('M3'!C$300:C$400,MATCH("*"&amp;B56&amp;"*",'M3'!B$300:B$400,0)),"  ")</f>
        <v xml:space="preserve">  </v>
      </c>
      <c r="P56" s="686" t="str">
        <f>IFERROR(INDEX('M4'!C$300:C$400,MATCH("*"&amp;B56&amp;"*",'M4'!B$300:B$400,0)),"  ")</f>
        <v xml:space="preserve">  </v>
      </c>
      <c r="Q56" s="686" t="str">
        <f>IFERROR(INDEX('M5'!C$300:C$400,MATCH("*"&amp;B56&amp;"*",'M5'!B$300:B$400,0)),"  ")</f>
        <v xml:space="preserve">  </v>
      </c>
      <c r="R56" s="687">
        <f t="shared" si="23"/>
        <v>0</v>
      </c>
      <c r="S56" s="688">
        <f t="shared" si="24"/>
        <v>0</v>
      </c>
      <c r="T56" s="688">
        <f t="shared" si="25"/>
        <v>0</v>
      </c>
      <c r="U56" s="642"/>
      <c r="V56" s="689"/>
      <c r="W56" s="690"/>
      <c r="X56" s="690"/>
      <c r="Y56" s="690"/>
      <c r="Z56" s="690"/>
      <c r="AA56" s="689">
        <f t="shared" si="26"/>
        <v>1E-4</v>
      </c>
      <c r="AB56" s="690">
        <f t="shared" si="27"/>
        <v>1E-4</v>
      </c>
      <c r="AC56" s="690">
        <f t="shared" si="28"/>
        <v>2.0000000000000001E-4</v>
      </c>
      <c r="AD56" s="690">
        <f t="shared" si="29"/>
        <v>2.9999999999999997E-4</v>
      </c>
      <c r="AE56" s="690">
        <f t="shared" si="30"/>
        <v>4.0000000000000002E-4</v>
      </c>
      <c r="AF56" s="690">
        <f t="shared" si="31"/>
        <v>5.0000000000000001E-4</v>
      </c>
    </row>
    <row r="57" spans="1:32" hidden="1" x14ac:dyDescent="0.2">
      <c r="A57" s="680" t="str">
        <f t="shared" si="16"/>
        <v/>
      </c>
      <c r="B57" s="681" t="s">
        <v>202</v>
      </c>
      <c r="C57" s="682"/>
      <c r="D57" s="683"/>
      <c r="E57" s="673">
        <f>(IF(COUNT(M57,N57,O57,P57,Q57)&lt;4,SUM(M57,N57,O57,P57,Q57),SUM(LARGE((M57,N57,O57,P57,Q57),{1;2;3;4}))))</f>
        <v>0</v>
      </c>
      <c r="F57" s="684" t="str">
        <f>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amp;INDEX(ETAPP!B$1:B$32,MATCH(COUNTIF(M57:Q57,#REF!),ETAPP!A$1:A$32,0))</f>
        <v>0000000000000000000</v>
      </c>
      <c r="G57" s="684" t="str">
        <f t="shared" si="17"/>
        <v>000,0-0000000000000000000</v>
      </c>
      <c r="H57" s="684">
        <f t="shared" si="18"/>
        <v>149</v>
      </c>
      <c r="I57" s="684">
        <f t="shared" si="19"/>
        <v>144</v>
      </c>
      <c r="J57" s="684" t="str">
        <f t="shared" si="20"/>
        <v>000,0-0000000000000000000-144</v>
      </c>
      <c r="K57" s="684">
        <f t="shared" si="21"/>
        <v>51</v>
      </c>
      <c r="L57" s="685">
        <f t="shared" si="22"/>
        <v>99</v>
      </c>
      <c r="M57" s="686" t="str">
        <f>IFERROR(INDEX('M1'!C$300:C$400,MATCH("*"&amp;B57&amp;"*",'M1'!B$300:B$400,0)),"  ")</f>
        <v xml:space="preserve">  </v>
      </c>
      <c r="N57" s="686" t="str">
        <f>IFERROR(INDEX('M2'!C$300:C$400,MATCH("*"&amp;B57&amp;"*",'M2'!B$300:B$400,0)),"  ")</f>
        <v xml:space="preserve">  </v>
      </c>
      <c r="O57" s="686" t="str">
        <f>IFERROR(INDEX('M3'!C$300:C$400,MATCH("*"&amp;B57&amp;"*",'M3'!B$300:B$400,0)),"  ")</f>
        <v xml:space="preserve">  </v>
      </c>
      <c r="P57" s="686" t="str">
        <f>IFERROR(INDEX('M4'!C$300:C$400,MATCH("*"&amp;B57&amp;"*",'M4'!B$300:B$400,0)),"  ")</f>
        <v xml:space="preserve">  </v>
      </c>
      <c r="Q57" s="686" t="str">
        <f>IFERROR(INDEX('M5'!C$300:C$400,MATCH("*"&amp;B57&amp;"*",'M5'!B$300:B$400,0)),"  ")</f>
        <v xml:space="preserve">  </v>
      </c>
      <c r="R57" s="687">
        <f t="shared" si="23"/>
        <v>0</v>
      </c>
      <c r="S57" s="688">
        <f t="shared" si="24"/>
        <v>0</v>
      </c>
      <c r="T57" s="688">
        <f t="shared" si="25"/>
        <v>0</v>
      </c>
      <c r="U57" s="642"/>
      <c r="V57" s="689"/>
      <c r="W57" s="690"/>
      <c r="X57" s="690"/>
      <c r="Y57" s="690"/>
      <c r="Z57" s="690"/>
      <c r="AA57" s="689">
        <f t="shared" si="26"/>
        <v>1E-4</v>
      </c>
      <c r="AB57" s="690">
        <f t="shared" si="27"/>
        <v>1E-4</v>
      </c>
      <c r="AC57" s="690">
        <f t="shared" si="28"/>
        <v>2.0000000000000001E-4</v>
      </c>
      <c r="AD57" s="690">
        <f t="shared" si="29"/>
        <v>2.9999999999999997E-4</v>
      </c>
      <c r="AE57" s="690">
        <f t="shared" si="30"/>
        <v>4.0000000000000002E-4</v>
      </c>
      <c r="AF57" s="690">
        <f t="shared" si="31"/>
        <v>5.0000000000000001E-4</v>
      </c>
    </row>
    <row r="58" spans="1:32" hidden="1" x14ac:dyDescent="0.2">
      <c r="A58" s="680" t="str">
        <f t="shared" si="16"/>
        <v/>
      </c>
      <c r="B58" s="681" t="s">
        <v>142</v>
      </c>
      <c r="C58" s="682" t="s">
        <v>99</v>
      </c>
      <c r="D58" s="683"/>
      <c r="E58" s="673">
        <f>(IF(COUNT(M58,N58,O58,P58,Q58)&lt;4,SUM(M58,N58,O58,P58,Q58),SUM(LARGE((M58,N58,O58,P58,Q58),{1;2;3;4}))))</f>
        <v>0</v>
      </c>
      <c r="F58" s="684" t="str">
        <f>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amp;INDEX(ETAPP!B$1:B$32,MATCH(COUNTIF(M58:Q58,#REF!),ETAPP!A$1:A$32,0))</f>
        <v>0000000000000000000</v>
      </c>
      <c r="G58" s="684" t="str">
        <f t="shared" si="17"/>
        <v>000,0-0000000000000000000</v>
      </c>
      <c r="H58" s="684">
        <f t="shared" si="18"/>
        <v>149</v>
      </c>
      <c r="I58" s="684">
        <f t="shared" si="19"/>
        <v>143</v>
      </c>
      <c r="J58" s="684" t="str">
        <f t="shared" si="20"/>
        <v>000,0-0000000000000000000-143</v>
      </c>
      <c r="K58" s="684">
        <f t="shared" si="21"/>
        <v>52</v>
      </c>
      <c r="L58" s="685">
        <f t="shared" si="22"/>
        <v>98</v>
      </c>
      <c r="M58" s="686" t="str">
        <f>IFERROR(INDEX('M1'!C$300:C$400,MATCH("*"&amp;B58&amp;"*",'M1'!B$300:B$400,0)),"  ")</f>
        <v xml:space="preserve">  </v>
      </c>
      <c r="N58" s="686" t="str">
        <f>IFERROR(INDEX('M2'!C$300:C$400,MATCH("*"&amp;B58&amp;"*",'M2'!B$300:B$400,0)),"  ")</f>
        <v xml:space="preserve">  </v>
      </c>
      <c r="O58" s="686" t="str">
        <f>IFERROR(INDEX('M3'!C$300:C$400,MATCH("*"&amp;B58&amp;"*",'M3'!B$300:B$400,0)),"  ")</f>
        <v xml:space="preserve">  </v>
      </c>
      <c r="P58" s="686" t="str">
        <f>IFERROR(INDEX('M4'!C$300:C$400,MATCH("*"&amp;B58&amp;"*",'M4'!B$300:B$400,0)),"  ")</f>
        <v xml:space="preserve">  </v>
      </c>
      <c r="Q58" s="686" t="str">
        <f>IFERROR(INDEX('M5'!C$300:C$400,MATCH("*"&amp;B58&amp;"*",'M5'!B$300:B$400,0)),"  ")</f>
        <v xml:space="preserve">  </v>
      </c>
      <c r="R58" s="687">
        <f t="shared" si="23"/>
        <v>0</v>
      </c>
      <c r="S58" s="688">
        <f t="shared" si="24"/>
        <v>0</v>
      </c>
      <c r="T58" s="688">
        <f t="shared" si="25"/>
        <v>0</v>
      </c>
      <c r="U58" s="642"/>
      <c r="V58" s="689"/>
      <c r="W58" s="690"/>
      <c r="X58" s="690"/>
      <c r="Y58" s="690"/>
      <c r="Z58" s="690"/>
      <c r="AA58" s="689">
        <f t="shared" si="26"/>
        <v>1E-4</v>
      </c>
      <c r="AB58" s="690">
        <f t="shared" si="27"/>
        <v>1E-4</v>
      </c>
      <c r="AC58" s="690">
        <f t="shared" si="28"/>
        <v>2.0000000000000001E-4</v>
      </c>
      <c r="AD58" s="690">
        <f t="shared" si="29"/>
        <v>2.9999999999999997E-4</v>
      </c>
      <c r="AE58" s="690">
        <f t="shared" si="30"/>
        <v>4.0000000000000002E-4</v>
      </c>
      <c r="AF58" s="690">
        <f t="shared" si="31"/>
        <v>5.0000000000000001E-4</v>
      </c>
    </row>
    <row r="59" spans="1:32" hidden="1" x14ac:dyDescent="0.2">
      <c r="A59" s="680" t="str">
        <f t="shared" si="16"/>
        <v/>
      </c>
      <c r="B59" s="681" t="s">
        <v>203</v>
      </c>
      <c r="C59" s="682"/>
      <c r="D59" s="683"/>
      <c r="E59" s="673">
        <f>(IF(COUNT(M59,N59,O59,P59,Q59)&lt;4,SUM(M59,N59,O59,P59,Q59),SUM(LARGE((M59,N59,O59,P59,Q59),{1;2;3;4}))))</f>
        <v>0</v>
      </c>
      <c r="F59" s="684" t="str">
        <f>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amp;INDEX(ETAPP!B$1:B$32,MATCH(COUNTIF(M59:Q59,#REF!),ETAPP!A$1:A$32,0))</f>
        <v>0000000000000000000</v>
      </c>
      <c r="G59" s="684" t="str">
        <f t="shared" si="17"/>
        <v>000,0-0000000000000000000</v>
      </c>
      <c r="H59" s="684">
        <f t="shared" si="18"/>
        <v>149</v>
      </c>
      <c r="I59" s="684">
        <f t="shared" si="19"/>
        <v>142</v>
      </c>
      <c r="J59" s="684" t="str">
        <f t="shared" si="20"/>
        <v>000,0-0000000000000000000-142</v>
      </c>
      <c r="K59" s="684">
        <f t="shared" si="21"/>
        <v>53</v>
      </c>
      <c r="L59" s="685">
        <f t="shared" si="22"/>
        <v>97</v>
      </c>
      <c r="M59" s="686" t="str">
        <f>IFERROR(INDEX('M1'!C$300:C$400,MATCH("*"&amp;B59&amp;"*",'M1'!B$300:B$400,0)),"  ")</f>
        <v xml:space="preserve">  </v>
      </c>
      <c r="N59" s="686" t="str">
        <f>IFERROR(INDEX('M2'!C$300:C$400,MATCH("*"&amp;B59&amp;"*",'M2'!B$300:B$400,0)),"  ")</f>
        <v xml:space="preserve">  </v>
      </c>
      <c r="O59" s="686" t="str">
        <f>IFERROR(INDEX('M3'!C$300:C$400,MATCH("*"&amp;B59&amp;"*",'M3'!B$300:B$400,0)),"  ")</f>
        <v xml:space="preserve">  </v>
      </c>
      <c r="P59" s="686" t="str">
        <f>IFERROR(INDEX('M4'!C$300:C$400,MATCH("*"&amp;B59&amp;"*",'M4'!B$300:B$400,0)),"  ")</f>
        <v xml:space="preserve">  </v>
      </c>
      <c r="Q59" s="686" t="str">
        <f>IFERROR(INDEX('M5'!C$300:C$400,MATCH("*"&amp;B59&amp;"*",'M5'!B$300:B$400,0)),"  ")</f>
        <v xml:space="preserve">  </v>
      </c>
      <c r="R59" s="687">
        <f t="shared" si="23"/>
        <v>0</v>
      </c>
      <c r="S59" s="688">
        <f t="shared" si="24"/>
        <v>0</v>
      </c>
      <c r="T59" s="688">
        <f t="shared" si="25"/>
        <v>0</v>
      </c>
      <c r="U59" s="642"/>
      <c r="V59" s="689"/>
      <c r="W59" s="690"/>
      <c r="X59" s="690"/>
      <c r="Y59" s="690"/>
      <c r="Z59" s="690"/>
      <c r="AA59" s="689">
        <f t="shared" si="26"/>
        <v>1E-4</v>
      </c>
      <c r="AB59" s="690">
        <f t="shared" si="27"/>
        <v>1E-4</v>
      </c>
      <c r="AC59" s="690">
        <f t="shared" si="28"/>
        <v>2.0000000000000001E-4</v>
      </c>
      <c r="AD59" s="690">
        <f t="shared" si="29"/>
        <v>2.9999999999999997E-4</v>
      </c>
      <c r="AE59" s="690">
        <f t="shared" si="30"/>
        <v>4.0000000000000002E-4</v>
      </c>
      <c r="AF59" s="690">
        <f t="shared" si="31"/>
        <v>5.0000000000000001E-4</v>
      </c>
    </row>
    <row r="60" spans="1:32" hidden="1" x14ac:dyDescent="0.2">
      <c r="A60" s="680" t="str">
        <f t="shared" si="16"/>
        <v/>
      </c>
      <c r="B60" s="681" t="s">
        <v>204</v>
      </c>
      <c r="C60" s="682"/>
      <c r="D60" s="683"/>
      <c r="E60" s="673">
        <f>(IF(COUNT(M60,N60,O60,P60,Q60)&lt;4,SUM(M60,N60,O60,P60,Q60),SUM(LARGE((M60,N60,O60,P60,Q60),{1;2;3;4}))))</f>
        <v>0</v>
      </c>
      <c r="F60" s="684" t="str">
        <f>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amp;INDEX(ETAPP!B$1:B$32,MATCH(COUNTIF(M60:Q60,#REF!),ETAPP!A$1:A$32,0))</f>
        <v>0000000000000000000</v>
      </c>
      <c r="G60" s="684" t="str">
        <f t="shared" si="17"/>
        <v>000,0-0000000000000000000</v>
      </c>
      <c r="H60" s="684">
        <f t="shared" si="18"/>
        <v>149</v>
      </c>
      <c r="I60" s="684">
        <f t="shared" si="19"/>
        <v>138</v>
      </c>
      <c r="J60" s="684" t="str">
        <f t="shared" si="20"/>
        <v>000,0-0000000000000000000-138</v>
      </c>
      <c r="K60" s="684">
        <f t="shared" si="21"/>
        <v>54</v>
      </c>
      <c r="L60" s="685">
        <f t="shared" si="22"/>
        <v>96</v>
      </c>
      <c r="M60" s="686" t="str">
        <f>IFERROR(INDEX('M1'!C$300:C$400,MATCH("*"&amp;B60&amp;"*",'M1'!B$300:B$400,0)),"  ")</f>
        <v xml:space="preserve">  </v>
      </c>
      <c r="N60" s="686" t="str">
        <f>IFERROR(INDEX('M2'!C$300:C$400,MATCH("*"&amp;B60&amp;"*",'M2'!B$300:B$400,0)),"  ")</f>
        <v xml:space="preserve">  </v>
      </c>
      <c r="O60" s="686" t="str">
        <f>IFERROR(INDEX('M3'!C$300:C$400,MATCH("*"&amp;B60&amp;"*",'M3'!B$300:B$400,0)),"  ")</f>
        <v xml:space="preserve">  </v>
      </c>
      <c r="P60" s="686" t="str">
        <f>IFERROR(INDEX('M4'!C$300:C$400,MATCH("*"&amp;B60&amp;"*",'M4'!B$300:B$400,0)),"  ")</f>
        <v xml:space="preserve">  </v>
      </c>
      <c r="Q60" s="686" t="str">
        <f>IFERROR(INDEX('M5'!C$300:C$400,MATCH("*"&amp;B60&amp;"*",'M5'!B$300:B$400,0)),"  ")</f>
        <v xml:space="preserve">  </v>
      </c>
      <c r="R60" s="687">
        <f t="shared" si="23"/>
        <v>0</v>
      </c>
      <c r="S60" s="688">
        <f t="shared" si="24"/>
        <v>0</v>
      </c>
      <c r="T60" s="688">
        <f t="shared" si="25"/>
        <v>0</v>
      </c>
      <c r="U60" s="642"/>
      <c r="V60" s="689"/>
      <c r="W60" s="690"/>
      <c r="X60" s="690"/>
      <c r="Y60" s="690"/>
      <c r="Z60" s="690"/>
      <c r="AA60" s="689">
        <f t="shared" si="26"/>
        <v>1E-4</v>
      </c>
      <c r="AB60" s="690">
        <f t="shared" si="27"/>
        <v>1E-4</v>
      </c>
      <c r="AC60" s="690">
        <f t="shared" si="28"/>
        <v>2.0000000000000001E-4</v>
      </c>
      <c r="AD60" s="690">
        <f t="shared" si="29"/>
        <v>2.9999999999999997E-4</v>
      </c>
      <c r="AE60" s="690">
        <f t="shared" si="30"/>
        <v>4.0000000000000002E-4</v>
      </c>
      <c r="AF60" s="690">
        <f t="shared" si="31"/>
        <v>5.0000000000000001E-4</v>
      </c>
    </row>
    <row r="61" spans="1:32" hidden="1" x14ac:dyDescent="0.2">
      <c r="A61" s="680" t="str">
        <f t="shared" si="16"/>
        <v/>
      </c>
      <c r="B61" s="681" t="s">
        <v>205</v>
      </c>
      <c r="C61" s="682" t="s">
        <v>99</v>
      </c>
      <c r="D61" s="683"/>
      <c r="E61" s="673">
        <f>(IF(COUNT(M61,N61,O61,P61,Q61)&lt;4,SUM(M61,N61,O61,P61,Q61),SUM(LARGE((M61,N61,O61,P61,Q61),{1;2;3;4}))))</f>
        <v>0</v>
      </c>
      <c r="F61" s="684" t="str">
        <f>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amp;INDEX(ETAPP!B$1:B$32,MATCH(COUNTIF(M61:Q61,#REF!),ETAPP!A$1:A$32,0))</f>
        <v>0000000000000000000</v>
      </c>
      <c r="G61" s="684" t="str">
        <f t="shared" si="17"/>
        <v>000,0-0000000000000000000</v>
      </c>
      <c r="H61" s="684">
        <f t="shared" si="18"/>
        <v>149</v>
      </c>
      <c r="I61" s="684">
        <f t="shared" si="19"/>
        <v>137</v>
      </c>
      <c r="J61" s="684" t="str">
        <f t="shared" si="20"/>
        <v>000,0-0000000000000000000-137</v>
      </c>
      <c r="K61" s="684">
        <f t="shared" si="21"/>
        <v>55</v>
      </c>
      <c r="L61" s="685">
        <f t="shared" si="22"/>
        <v>95</v>
      </c>
      <c r="M61" s="686" t="str">
        <f>IFERROR(INDEX('M1'!C$300:C$400,MATCH("*"&amp;B61&amp;"*",'M1'!B$300:B$400,0)),"  ")</f>
        <v xml:space="preserve">  </v>
      </c>
      <c r="N61" s="686" t="str">
        <f>IFERROR(INDEX('M2'!C$300:C$400,MATCH("*"&amp;B61&amp;"*",'M2'!B$300:B$400,0)),"  ")</f>
        <v xml:space="preserve">  </v>
      </c>
      <c r="O61" s="686" t="str">
        <f>IFERROR(INDEX('M3'!C$300:C$400,MATCH("*"&amp;B61&amp;"*",'M3'!B$300:B$400,0)),"  ")</f>
        <v xml:space="preserve">  </v>
      </c>
      <c r="P61" s="686" t="str">
        <f>IFERROR(INDEX('M4'!C$300:C$400,MATCH("*"&amp;B61&amp;"*",'M4'!B$300:B$400,0)),"  ")</f>
        <v xml:space="preserve">  </v>
      </c>
      <c r="Q61" s="686" t="str">
        <f>IFERROR(INDEX('M5'!C$300:C$400,MATCH("*"&amp;B61&amp;"*",'M5'!B$300:B$400,0)),"  ")</f>
        <v xml:space="preserve">  </v>
      </c>
      <c r="R61" s="687">
        <f t="shared" si="23"/>
        <v>0</v>
      </c>
      <c r="S61" s="688">
        <f t="shared" si="24"/>
        <v>0</v>
      </c>
      <c r="T61" s="688">
        <f t="shared" si="25"/>
        <v>0</v>
      </c>
      <c r="U61" s="642"/>
      <c r="V61" s="689"/>
      <c r="W61" s="690"/>
      <c r="X61" s="690"/>
      <c r="Y61" s="690"/>
      <c r="Z61" s="690"/>
      <c r="AA61" s="689">
        <f t="shared" si="26"/>
        <v>1E-4</v>
      </c>
      <c r="AB61" s="690">
        <f t="shared" si="27"/>
        <v>1E-4</v>
      </c>
      <c r="AC61" s="690">
        <f t="shared" si="28"/>
        <v>2.0000000000000001E-4</v>
      </c>
      <c r="AD61" s="690">
        <f t="shared" si="29"/>
        <v>2.9999999999999997E-4</v>
      </c>
      <c r="AE61" s="690">
        <f t="shared" si="30"/>
        <v>4.0000000000000002E-4</v>
      </c>
      <c r="AF61" s="690">
        <f t="shared" si="31"/>
        <v>5.0000000000000001E-4</v>
      </c>
    </row>
    <row r="62" spans="1:32" hidden="1" x14ac:dyDescent="0.2">
      <c r="A62" s="680" t="str">
        <f t="shared" si="16"/>
        <v/>
      </c>
      <c r="B62" s="681" t="s">
        <v>143</v>
      </c>
      <c r="C62" s="682" t="s">
        <v>99</v>
      </c>
      <c r="D62" s="683"/>
      <c r="E62" s="673">
        <f>(IF(COUNT(M62,N62,O62,P62,Q62)&lt;4,SUM(M62,N62,O62,P62,Q62),SUM(LARGE((M62,N62,O62,P62,Q62),{1;2;3;4}))))</f>
        <v>0</v>
      </c>
      <c r="F62" s="684" t="str">
        <f>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amp;INDEX(ETAPP!B$1:B$32,MATCH(COUNTIF(M62:Q62,#REF!),ETAPP!A$1:A$32,0))</f>
        <v>0000000000000000000</v>
      </c>
      <c r="G62" s="684" t="str">
        <f t="shared" si="17"/>
        <v>000,0-0000000000000000000</v>
      </c>
      <c r="H62" s="684">
        <f t="shared" si="18"/>
        <v>149</v>
      </c>
      <c r="I62" s="684">
        <f t="shared" si="19"/>
        <v>136</v>
      </c>
      <c r="J62" s="684" t="str">
        <f t="shared" si="20"/>
        <v>000,0-0000000000000000000-136</v>
      </c>
      <c r="K62" s="684">
        <f t="shared" si="21"/>
        <v>56</v>
      </c>
      <c r="L62" s="685">
        <f t="shared" si="22"/>
        <v>94</v>
      </c>
      <c r="M62" s="686" t="str">
        <f>IFERROR(INDEX('M1'!C$300:C$400,MATCH("*"&amp;B62&amp;"*",'M1'!B$300:B$400,0)),"  ")</f>
        <v xml:space="preserve">  </v>
      </c>
      <c r="N62" s="686" t="str">
        <f>IFERROR(INDEX('M2'!C$300:C$400,MATCH("*"&amp;B62&amp;"*",'M2'!B$300:B$400,0)),"  ")</f>
        <v xml:space="preserve">  </v>
      </c>
      <c r="O62" s="686" t="str">
        <f>IFERROR(INDEX('M3'!C$300:C$400,MATCH("*"&amp;B62&amp;"*",'M3'!B$300:B$400,0)),"  ")</f>
        <v xml:space="preserve">  </v>
      </c>
      <c r="P62" s="686" t="str">
        <f>IFERROR(INDEX('M4'!C$300:C$400,MATCH("*"&amp;B62&amp;"*",'M4'!B$300:B$400,0)),"  ")</f>
        <v xml:space="preserve">  </v>
      </c>
      <c r="Q62" s="686" t="str">
        <f>IFERROR(INDEX('M5'!C$300:C$400,MATCH("*"&amp;B62&amp;"*",'M5'!B$300:B$400,0)),"  ")</f>
        <v xml:space="preserve">  </v>
      </c>
      <c r="R62" s="687">
        <f t="shared" si="23"/>
        <v>0</v>
      </c>
      <c r="S62" s="688">
        <f t="shared" si="24"/>
        <v>0</v>
      </c>
      <c r="T62" s="688">
        <f t="shared" si="25"/>
        <v>0</v>
      </c>
      <c r="U62" s="642"/>
      <c r="V62" s="689"/>
      <c r="W62" s="690"/>
      <c r="X62" s="690"/>
      <c r="Y62" s="690"/>
      <c r="Z62" s="690"/>
      <c r="AA62" s="689">
        <f t="shared" si="26"/>
        <v>1E-4</v>
      </c>
      <c r="AB62" s="690">
        <f t="shared" si="27"/>
        <v>1E-4</v>
      </c>
      <c r="AC62" s="690">
        <f t="shared" si="28"/>
        <v>2.0000000000000001E-4</v>
      </c>
      <c r="AD62" s="690">
        <f t="shared" si="29"/>
        <v>2.9999999999999997E-4</v>
      </c>
      <c r="AE62" s="690">
        <f t="shared" si="30"/>
        <v>4.0000000000000002E-4</v>
      </c>
      <c r="AF62" s="690">
        <f t="shared" si="31"/>
        <v>5.0000000000000001E-4</v>
      </c>
    </row>
    <row r="63" spans="1:32" hidden="1" x14ac:dyDescent="0.2">
      <c r="A63" s="680" t="str">
        <f t="shared" si="16"/>
        <v/>
      </c>
      <c r="B63" s="681" t="s">
        <v>206</v>
      </c>
      <c r="C63" s="682" t="s">
        <v>99</v>
      </c>
      <c r="D63" s="683"/>
      <c r="E63" s="673">
        <f>(IF(COUNT(M63,N63,O63,P63,Q63)&lt;4,SUM(M63,N63,O63,P63,Q63),SUM(LARGE((M63,N63,O63,P63,Q63),{1;2;3;4}))))</f>
        <v>0</v>
      </c>
      <c r="F63" s="684" t="str">
        <f>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amp;INDEX(ETAPP!B$1:B$32,MATCH(COUNTIF(M63:Q63,#REF!),ETAPP!A$1:A$32,0))</f>
        <v>0000000000000000000</v>
      </c>
      <c r="G63" s="684" t="str">
        <f t="shared" si="17"/>
        <v>000,0-0000000000000000000</v>
      </c>
      <c r="H63" s="684">
        <f t="shared" si="18"/>
        <v>149</v>
      </c>
      <c r="I63" s="684">
        <f t="shared" si="19"/>
        <v>135</v>
      </c>
      <c r="J63" s="684" t="str">
        <f t="shared" si="20"/>
        <v>000,0-0000000000000000000-135</v>
      </c>
      <c r="K63" s="684">
        <f t="shared" si="21"/>
        <v>57</v>
      </c>
      <c r="L63" s="685">
        <f t="shared" si="22"/>
        <v>93</v>
      </c>
      <c r="M63" s="686" t="str">
        <f>IFERROR(INDEX('M1'!C$300:C$400,MATCH("*"&amp;B63&amp;"*",'M1'!B$300:B$400,0)),"  ")</f>
        <v xml:space="preserve">  </v>
      </c>
      <c r="N63" s="686" t="str">
        <f>IFERROR(INDEX('M2'!C$300:C$400,MATCH("*"&amp;B63&amp;"*",'M2'!B$300:B$400,0)),"  ")</f>
        <v xml:space="preserve">  </v>
      </c>
      <c r="O63" s="686" t="str">
        <f>IFERROR(INDEX('M3'!C$300:C$400,MATCH("*"&amp;B63&amp;"*",'M3'!B$300:B$400,0)),"  ")</f>
        <v xml:space="preserve">  </v>
      </c>
      <c r="P63" s="686" t="str">
        <f>IFERROR(INDEX('M4'!C$300:C$400,MATCH("*"&amp;B63&amp;"*",'M4'!B$300:B$400,0)),"  ")</f>
        <v xml:space="preserve">  </v>
      </c>
      <c r="Q63" s="686" t="str">
        <f>IFERROR(INDEX('M5'!C$300:C$400,MATCH("*"&amp;B63&amp;"*",'M5'!B$300:B$400,0)),"  ")</f>
        <v xml:space="preserve">  </v>
      </c>
      <c r="R63" s="687">
        <f t="shared" si="23"/>
        <v>0</v>
      </c>
      <c r="S63" s="688">
        <f t="shared" si="24"/>
        <v>0</v>
      </c>
      <c r="T63" s="688">
        <f t="shared" si="25"/>
        <v>0</v>
      </c>
      <c r="U63" s="642"/>
      <c r="V63" s="689"/>
      <c r="W63" s="690"/>
      <c r="X63" s="690"/>
      <c r="Y63" s="690"/>
      <c r="Z63" s="690"/>
      <c r="AA63" s="689">
        <f t="shared" si="26"/>
        <v>1E-4</v>
      </c>
      <c r="AB63" s="690">
        <f t="shared" si="27"/>
        <v>1E-4</v>
      </c>
      <c r="AC63" s="690">
        <f t="shared" si="28"/>
        <v>2.0000000000000001E-4</v>
      </c>
      <c r="AD63" s="690">
        <f t="shared" si="29"/>
        <v>2.9999999999999997E-4</v>
      </c>
      <c r="AE63" s="690">
        <f t="shared" si="30"/>
        <v>4.0000000000000002E-4</v>
      </c>
      <c r="AF63" s="690">
        <f t="shared" si="31"/>
        <v>5.0000000000000001E-4</v>
      </c>
    </row>
    <row r="64" spans="1:32" hidden="1" x14ac:dyDescent="0.2">
      <c r="A64" s="680" t="str">
        <f t="shared" si="16"/>
        <v/>
      </c>
      <c r="B64" s="703" t="s">
        <v>207</v>
      </c>
      <c r="C64" s="704"/>
      <c r="D64" s="705"/>
      <c r="E64" s="673">
        <f>(IF(COUNT(M64,N64,O64,P64,Q64)&lt;4,SUM(M64,N64,O64,P64,Q64),SUM(LARGE((M64,N64,O64,P64,Q64),{1;2;3;4}))))</f>
        <v>0</v>
      </c>
      <c r="F64" s="684" t="str">
        <f>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amp;INDEX(ETAPP!B$1:B$32,MATCH(COUNTIF(M64:Q64,#REF!),ETAPP!A$1:A$32,0))</f>
        <v>0000000000000000000</v>
      </c>
      <c r="G64" s="684" t="str">
        <f t="shared" si="17"/>
        <v>000,0-0000000000000000000</v>
      </c>
      <c r="H64" s="684">
        <f t="shared" si="18"/>
        <v>149</v>
      </c>
      <c r="I64" s="684">
        <f t="shared" si="19"/>
        <v>134</v>
      </c>
      <c r="J64" s="684" t="str">
        <f t="shared" si="20"/>
        <v>000,0-0000000000000000000-134</v>
      </c>
      <c r="K64" s="684">
        <f t="shared" si="21"/>
        <v>58</v>
      </c>
      <c r="L64" s="685">
        <f t="shared" si="22"/>
        <v>92</v>
      </c>
      <c r="M64" s="686" t="str">
        <f>IFERROR(INDEX('M1'!C$300:C$400,MATCH("*"&amp;B64&amp;"*",'M1'!B$300:B$400,0)),"  ")</f>
        <v xml:space="preserve">  </v>
      </c>
      <c r="N64" s="686" t="str">
        <f>IFERROR(INDEX('M2'!C$300:C$400,MATCH("*"&amp;B64&amp;"*",'M2'!B$300:B$400,0)),"  ")</f>
        <v xml:space="preserve">  </v>
      </c>
      <c r="O64" s="686" t="str">
        <f>IFERROR(INDEX('M3'!C$300:C$400,MATCH("*"&amp;B64&amp;"*",'M3'!B$300:B$400,0)),"  ")</f>
        <v xml:space="preserve">  </v>
      </c>
      <c r="P64" s="686" t="str">
        <f>IFERROR(INDEX('M4'!C$300:C$400,MATCH("*"&amp;B64&amp;"*",'M4'!B$300:B$400,0)),"  ")</f>
        <v xml:space="preserve">  </v>
      </c>
      <c r="Q64" s="686" t="str">
        <f>IFERROR(INDEX('M5'!C$300:C$400,MATCH("*"&amp;B64&amp;"*",'M5'!B$300:B$400,0)),"  ")</f>
        <v xml:space="preserve">  </v>
      </c>
      <c r="R64" s="687">
        <f t="shared" si="23"/>
        <v>0</v>
      </c>
      <c r="S64" s="688">
        <f t="shared" si="24"/>
        <v>0</v>
      </c>
      <c r="T64" s="688">
        <f t="shared" si="25"/>
        <v>0</v>
      </c>
      <c r="U64" s="642"/>
      <c r="V64" s="689"/>
      <c r="W64" s="690"/>
      <c r="X64" s="690"/>
      <c r="Y64" s="690"/>
      <c r="Z64" s="690"/>
      <c r="AA64" s="689">
        <f t="shared" si="26"/>
        <v>1E-4</v>
      </c>
      <c r="AB64" s="690">
        <f t="shared" si="27"/>
        <v>1E-4</v>
      </c>
      <c r="AC64" s="690">
        <f t="shared" si="28"/>
        <v>2.0000000000000001E-4</v>
      </c>
      <c r="AD64" s="690">
        <f t="shared" si="29"/>
        <v>2.9999999999999997E-4</v>
      </c>
      <c r="AE64" s="690">
        <f t="shared" si="30"/>
        <v>4.0000000000000002E-4</v>
      </c>
      <c r="AF64" s="690">
        <f t="shared" si="31"/>
        <v>5.0000000000000001E-4</v>
      </c>
    </row>
    <row r="65" spans="1:32" hidden="1" x14ac:dyDescent="0.2">
      <c r="A65" s="680" t="str">
        <f t="shared" si="16"/>
        <v/>
      </c>
      <c r="B65" s="681" t="s">
        <v>208</v>
      </c>
      <c r="C65" s="682" t="s">
        <v>99</v>
      </c>
      <c r="D65" s="683"/>
      <c r="E65" s="673">
        <f>(IF(COUNT(M65,N65,O65,P65,Q65)&lt;4,SUM(M65,N65,O65,P65,Q65),SUM(LARGE((M65,N65,O65,P65,Q65),{1;2;3;4}))))</f>
        <v>0</v>
      </c>
      <c r="F65" s="684" t="str">
        <f>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amp;INDEX(ETAPP!B$1:B$32,MATCH(COUNTIF(M65:Q65,#REF!),ETAPP!A$1:A$32,0))</f>
        <v>0000000000000000000</v>
      </c>
      <c r="G65" s="684" t="str">
        <f t="shared" si="17"/>
        <v>000,0-0000000000000000000</v>
      </c>
      <c r="H65" s="684">
        <f t="shared" si="18"/>
        <v>149</v>
      </c>
      <c r="I65" s="684">
        <f t="shared" si="19"/>
        <v>133</v>
      </c>
      <c r="J65" s="684" t="str">
        <f t="shared" si="20"/>
        <v>000,0-0000000000000000000-133</v>
      </c>
      <c r="K65" s="684">
        <f t="shared" si="21"/>
        <v>59</v>
      </c>
      <c r="L65" s="685">
        <f t="shared" si="22"/>
        <v>91</v>
      </c>
      <c r="M65" s="686" t="str">
        <f>IFERROR(INDEX('M1'!C$300:C$400,MATCH("*"&amp;B65&amp;"*",'M1'!B$300:B$400,0)),"  ")</f>
        <v xml:space="preserve">  </v>
      </c>
      <c r="N65" s="686" t="str">
        <f>IFERROR(INDEX('M2'!C$300:C$400,MATCH("*"&amp;B65&amp;"*",'M2'!B$300:B$400,0)),"  ")</f>
        <v xml:space="preserve">  </v>
      </c>
      <c r="O65" s="686" t="str">
        <f>IFERROR(INDEX('M3'!C$300:C$400,MATCH("*"&amp;B65&amp;"*",'M3'!B$300:B$400,0)),"  ")</f>
        <v xml:space="preserve">  </v>
      </c>
      <c r="P65" s="686" t="str">
        <f>IFERROR(INDEX('M4'!C$300:C$400,MATCH("*"&amp;B65&amp;"*",'M4'!B$300:B$400,0)),"  ")</f>
        <v xml:space="preserve">  </v>
      </c>
      <c r="Q65" s="686" t="str">
        <f>IFERROR(INDEX('M5'!C$300:C$400,MATCH("*"&amp;B65&amp;"*",'M5'!B$300:B$400,0)),"  ")</f>
        <v xml:space="preserve">  </v>
      </c>
      <c r="R65" s="687">
        <f t="shared" si="23"/>
        <v>0</v>
      </c>
      <c r="S65" s="688">
        <f t="shared" si="24"/>
        <v>0</v>
      </c>
      <c r="T65" s="688">
        <f t="shared" si="25"/>
        <v>0</v>
      </c>
      <c r="U65" s="642"/>
      <c r="V65" s="689"/>
      <c r="W65" s="690"/>
      <c r="X65" s="690"/>
      <c r="Y65" s="690"/>
      <c r="Z65" s="690"/>
      <c r="AA65" s="689">
        <f t="shared" si="26"/>
        <v>1E-4</v>
      </c>
      <c r="AB65" s="690">
        <f t="shared" si="27"/>
        <v>1E-4</v>
      </c>
      <c r="AC65" s="690">
        <f t="shared" si="28"/>
        <v>2.0000000000000001E-4</v>
      </c>
      <c r="AD65" s="690">
        <f t="shared" si="29"/>
        <v>2.9999999999999997E-4</v>
      </c>
      <c r="AE65" s="690">
        <f t="shared" si="30"/>
        <v>4.0000000000000002E-4</v>
      </c>
      <c r="AF65" s="690">
        <f t="shared" si="31"/>
        <v>5.0000000000000001E-4</v>
      </c>
    </row>
    <row r="66" spans="1:32" hidden="1" x14ac:dyDescent="0.2">
      <c r="A66" s="680" t="str">
        <f t="shared" si="16"/>
        <v/>
      </c>
      <c r="B66" s="681" t="s">
        <v>101</v>
      </c>
      <c r="C66" s="682"/>
      <c r="D66" s="683"/>
      <c r="E66" s="673">
        <f>(IF(COUNT(M66,N66,O66,P66,Q66)&lt;4,SUM(M66,N66,O66,P66,Q66),SUM(LARGE((M66,N66,O66,P66,Q66),{1;2;3;4}))))</f>
        <v>0</v>
      </c>
      <c r="F66" s="684" t="str">
        <f>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amp;INDEX(ETAPP!B$1:B$32,MATCH(COUNTIF(M66:Q66,#REF!),ETAPP!A$1:A$32,0))</f>
        <v>0000000000000000000</v>
      </c>
      <c r="G66" s="684" t="str">
        <f t="shared" si="17"/>
        <v>000,0-0000000000000000000</v>
      </c>
      <c r="H66" s="684">
        <f t="shared" si="18"/>
        <v>149</v>
      </c>
      <c r="I66" s="684">
        <f t="shared" si="19"/>
        <v>132</v>
      </c>
      <c r="J66" s="684" t="str">
        <f t="shared" si="20"/>
        <v>000,0-0000000000000000000-132</v>
      </c>
      <c r="K66" s="684">
        <f t="shared" si="21"/>
        <v>60</v>
      </c>
      <c r="L66" s="685">
        <f t="shared" si="22"/>
        <v>90</v>
      </c>
      <c r="M66" s="686" t="str">
        <f>IFERROR(INDEX('M1'!C$300:C$400,MATCH("*"&amp;B66&amp;"*",'M1'!B$300:B$400,0)),"  ")</f>
        <v xml:space="preserve">  </v>
      </c>
      <c r="N66" s="686" t="str">
        <f>IFERROR(INDEX('M2'!C$300:C$400,MATCH("*"&amp;B66&amp;"*",'M2'!B$300:B$400,0)),"  ")</f>
        <v xml:space="preserve">  </v>
      </c>
      <c r="O66" s="686" t="str">
        <f>IFERROR(INDEX('M3'!C$300:C$400,MATCH("*"&amp;B66&amp;"*",'M3'!B$300:B$400,0)),"  ")</f>
        <v xml:space="preserve">  </v>
      </c>
      <c r="P66" s="686" t="str">
        <f>IFERROR(INDEX('M4'!C$300:C$400,MATCH("*"&amp;B66&amp;"*",'M4'!B$300:B$400,0)),"  ")</f>
        <v xml:space="preserve">  </v>
      </c>
      <c r="Q66" s="686" t="str">
        <f>IFERROR(INDEX('M5'!C$300:C$400,MATCH("*"&amp;B66&amp;"*",'M5'!B$300:B$400,0)),"  ")</f>
        <v xml:space="preserve">  </v>
      </c>
      <c r="R66" s="687">
        <f t="shared" si="23"/>
        <v>0</v>
      </c>
      <c r="S66" s="688">
        <f t="shared" si="24"/>
        <v>0</v>
      </c>
      <c r="T66" s="688">
        <f t="shared" si="25"/>
        <v>0</v>
      </c>
      <c r="U66" s="642"/>
      <c r="V66" s="689"/>
      <c r="W66" s="690"/>
      <c r="X66" s="690"/>
      <c r="Y66" s="690"/>
      <c r="Z66" s="690"/>
      <c r="AA66" s="689">
        <f t="shared" si="26"/>
        <v>1E-4</v>
      </c>
      <c r="AB66" s="690">
        <f t="shared" si="27"/>
        <v>1E-4</v>
      </c>
      <c r="AC66" s="690">
        <f t="shared" si="28"/>
        <v>2.0000000000000001E-4</v>
      </c>
      <c r="AD66" s="690">
        <f t="shared" si="29"/>
        <v>2.9999999999999997E-4</v>
      </c>
      <c r="AE66" s="690">
        <f t="shared" si="30"/>
        <v>4.0000000000000002E-4</v>
      </c>
      <c r="AF66" s="690">
        <f t="shared" si="31"/>
        <v>5.0000000000000001E-4</v>
      </c>
    </row>
    <row r="67" spans="1:32" hidden="1" x14ac:dyDescent="0.2">
      <c r="A67" s="680" t="str">
        <f t="shared" si="16"/>
        <v/>
      </c>
      <c r="B67" s="681" t="s">
        <v>209</v>
      </c>
      <c r="C67" s="682"/>
      <c r="D67" s="683"/>
      <c r="E67" s="673">
        <f>(IF(COUNT(M67,N67,O67,P67,Q67)&lt;4,SUM(M67,N67,O67,P67,Q67),SUM(LARGE((M67,N67,O67,P67,Q67),{1;2;3;4}))))</f>
        <v>0</v>
      </c>
      <c r="F67" s="684" t="str">
        <f>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amp;INDEX(ETAPP!B$1:B$32,MATCH(COUNTIF(M67:Q67,#REF!),ETAPP!A$1:A$32,0))</f>
        <v>0000000000000000000</v>
      </c>
      <c r="G67" s="684" t="str">
        <f t="shared" si="17"/>
        <v>000,0-0000000000000000000</v>
      </c>
      <c r="H67" s="684">
        <f t="shared" si="18"/>
        <v>149</v>
      </c>
      <c r="I67" s="684">
        <f t="shared" si="19"/>
        <v>131</v>
      </c>
      <c r="J67" s="684" t="str">
        <f t="shared" si="20"/>
        <v>000,0-0000000000000000000-131</v>
      </c>
      <c r="K67" s="684">
        <f t="shared" si="21"/>
        <v>61</v>
      </c>
      <c r="L67" s="685">
        <f t="shared" si="22"/>
        <v>89</v>
      </c>
      <c r="M67" s="686" t="str">
        <f>IFERROR(INDEX('M1'!C$300:C$400,MATCH("*"&amp;B67&amp;"*",'M1'!B$300:B$400,0)),"  ")</f>
        <v xml:space="preserve">  </v>
      </c>
      <c r="N67" s="686" t="str">
        <f>IFERROR(INDEX('M2'!C$300:C$400,MATCH("*"&amp;B67&amp;"*",'M2'!B$300:B$400,0)),"  ")</f>
        <v xml:space="preserve">  </v>
      </c>
      <c r="O67" s="686" t="str">
        <f>IFERROR(INDEX('M3'!C$300:C$400,MATCH("*"&amp;B67&amp;"*",'M3'!B$300:B$400,0)),"  ")</f>
        <v xml:space="preserve">  </v>
      </c>
      <c r="P67" s="686" t="str">
        <f>IFERROR(INDEX('M4'!C$300:C$400,MATCH("*"&amp;B67&amp;"*",'M4'!B$300:B$400,0)),"  ")</f>
        <v xml:space="preserve">  </v>
      </c>
      <c r="Q67" s="686" t="str">
        <f>IFERROR(INDEX('M5'!C$300:C$400,MATCH("*"&amp;B67&amp;"*",'M5'!B$300:B$400,0)),"  ")</f>
        <v xml:space="preserve">  </v>
      </c>
      <c r="R67" s="687">
        <f t="shared" si="23"/>
        <v>0</v>
      </c>
      <c r="S67" s="688">
        <f t="shared" si="24"/>
        <v>0</v>
      </c>
      <c r="T67" s="688">
        <f t="shared" si="25"/>
        <v>0</v>
      </c>
      <c r="U67" s="642"/>
      <c r="V67" s="689"/>
      <c r="W67" s="690"/>
      <c r="X67" s="690"/>
      <c r="Y67" s="690"/>
      <c r="Z67" s="690"/>
      <c r="AA67" s="689">
        <f t="shared" si="26"/>
        <v>1E-4</v>
      </c>
      <c r="AB67" s="690">
        <f t="shared" si="27"/>
        <v>1E-4</v>
      </c>
      <c r="AC67" s="690">
        <f t="shared" si="28"/>
        <v>2.0000000000000001E-4</v>
      </c>
      <c r="AD67" s="690">
        <f t="shared" si="29"/>
        <v>2.9999999999999997E-4</v>
      </c>
      <c r="AE67" s="690">
        <f t="shared" si="30"/>
        <v>4.0000000000000002E-4</v>
      </c>
      <c r="AF67" s="690">
        <f t="shared" si="31"/>
        <v>5.0000000000000001E-4</v>
      </c>
    </row>
    <row r="68" spans="1:32" hidden="1" x14ac:dyDescent="0.2">
      <c r="A68" s="680" t="str">
        <f t="shared" si="16"/>
        <v/>
      </c>
      <c r="B68" s="681" t="s">
        <v>144</v>
      </c>
      <c r="C68" s="682" t="s">
        <v>99</v>
      </c>
      <c r="D68" s="683" t="s">
        <v>105</v>
      </c>
      <c r="E68" s="673">
        <f>(IF(COUNT(M68,N68,O68,P68,Q68)&lt;4,SUM(M68,N68,O68,P68,Q68),SUM(LARGE((M68,N68,O68,P68,Q68),{1;2;3;4}))))</f>
        <v>0</v>
      </c>
      <c r="F68" s="684" t="str">
        <f>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amp;INDEX(ETAPP!B$1:B$32,MATCH(COUNTIF(M68:Q68,#REF!),ETAPP!A$1:A$32,0))</f>
        <v>0000000000000000000</v>
      </c>
      <c r="G68" s="684" t="str">
        <f t="shared" si="17"/>
        <v>000,0-0000000000000000000</v>
      </c>
      <c r="H68" s="684">
        <f t="shared" si="18"/>
        <v>149</v>
      </c>
      <c r="I68" s="684">
        <f t="shared" si="19"/>
        <v>129</v>
      </c>
      <c r="J68" s="684" t="str">
        <f t="shared" si="20"/>
        <v>000,0-0000000000000000000-129</v>
      </c>
      <c r="K68" s="684">
        <f t="shared" si="21"/>
        <v>62</v>
      </c>
      <c r="L68" s="685">
        <f t="shared" si="22"/>
        <v>88</v>
      </c>
      <c r="M68" s="686" t="str">
        <f>IFERROR(INDEX('M1'!C$300:C$400,MATCH("*"&amp;B68&amp;"*",'M1'!B$300:B$400,0)),"  ")</f>
        <v xml:space="preserve">  </v>
      </c>
      <c r="N68" s="686" t="str">
        <f>IFERROR(INDEX('M2'!C$300:C$400,MATCH("*"&amp;B68&amp;"*",'M2'!B$300:B$400,0)),"  ")</f>
        <v xml:space="preserve">  </v>
      </c>
      <c r="O68" s="686" t="str">
        <f>IFERROR(INDEX('M3'!C$300:C$400,MATCH("*"&amp;B68&amp;"*",'M3'!B$300:B$400,0)),"  ")</f>
        <v xml:space="preserve">  </v>
      </c>
      <c r="P68" s="686" t="str">
        <f>IFERROR(INDEX('M4'!C$300:C$400,MATCH("*"&amp;B68&amp;"*",'M4'!B$300:B$400,0)),"  ")</f>
        <v xml:space="preserve">  </v>
      </c>
      <c r="Q68" s="686" t="str">
        <f>IFERROR(INDEX('M5'!C$300:C$400,MATCH("*"&amp;B68&amp;"*",'M5'!B$300:B$400,0)),"  ")</f>
        <v xml:space="preserve">  </v>
      </c>
      <c r="R68" s="687">
        <f t="shared" si="23"/>
        <v>0</v>
      </c>
      <c r="S68" s="688">
        <f t="shared" si="24"/>
        <v>0</v>
      </c>
      <c r="T68" s="688">
        <f t="shared" si="25"/>
        <v>0</v>
      </c>
      <c r="U68" s="642"/>
      <c r="V68" s="689"/>
      <c r="W68" s="690"/>
      <c r="X68" s="690"/>
      <c r="Y68" s="690"/>
      <c r="Z68" s="690"/>
      <c r="AA68" s="689">
        <f t="shared" si="26"/>
        <v>1E-4</v>
      </c>
      <c r="AB68" s="690">
        <f t="shared" si="27"/>
        <v>1E-4</v>
      </c>
      <c r="AC68" s="690">
        <f t="shared" si="28"/>
        <v>2.0000000000000001E-4</v>
      </c>
      <c r="AD68" s="690">
        <f t="shared" si="29"/>
        <v>2.9999999999999997E-4</v>
      </c>
      <c r="AE68" s="690">
        <f t="shared" si="30"/>
        <v>4.0000000000000002E-4</v>
      </c>
      <c r="AF68" s="690">
        <f t="shared" si="31"/>
        <v>5.0000000000000001E-4</v>
      </c>
    </row>
    <row r="69" spans="1:32" hidden="1" x14ac:dyDescent="0.2">
      <c r="A69" s="680" t="str">
        <f t="shared" si="16"/>
        <v/>
      </c>
      <c r="B69" s="681" t="s">
        <v>487</v>
      </c>
      <c r="C69" s="682" t="s">
        <v>99</v>
      </c>
      <c r="D69" s="693" t="s">
        <v>105</v>
      </c>
      <c r="E69" s="673">
        <f>(IF(COUNT(M69,N69,O69,P69,Q69)&lt;4,SUM(M69,N69,O69,P69,Q69),SUM(LARGE((M69,N69,O69,P69,Q69),{1;2;3;4}))))</f>
        <v>0</v>
      </c>
      <c r="F69" s="684" t="str">
        <f>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amp;INDEX(ETAPP!B$1:B$32,MATCH(COUNTIF(M69:Q69,#REF!),ETAPP!A$1:A$32,0))</f>
        <v>0000000000000000000</v>
      </c>
      <c r="G69" s="684" t="str">
        <f t="shared" si="17"/>
        <v>000,0-0000000000000000000</v>
      </c>
      <c r="H69" s="684">
        <f t="shared" si="18"/>
        <v>149</v>
      </c>
      <c r="I69" s="684">
        <f t="shared" si="19"/>
        <v>128</v>
      </c>
      <c r="J69" s="684" t="str">
        <f t="shared" si="20"/>
        <v>000,0-0000000000000000000-128</v>
      </c>
      <c r="K69" s="684">
        <f t="shared" si="21"/>
        <v>63</v>
      </c>
      <c r="L69" s="685">
        <f t="shared" si="22"/>
        <v>87</v>
      </c>
      <c r="M69" s="686" t="str">
        <f>IFERROR(INDEX('M1'!C$300:C$400,MATCH("*"&amp;B69&amp;"*",'M1'!B$300:B$400,0)),"  ")</f>
        <v xml:space="preserve">  </v>
      </c>
      <c r="N69" s="686" t="str">
        <f>IFERROR(INDEX('M2'!C$300:C$400,MATCH("*"&amp;B69&amp;"*",'M2'!B$300:B$400,0)),"  ")</f>
        <v xml:space="preserve">  </v>
      </c>
      <c r="O69" s="686" t="str">
        <f>IFERROR(INDEX('M3'!C$300:C$400,MATCH("*"&amp;B69&amp;"*",'M3'!B$300:B$400,0)),"  ")</f>
        <v xml:space="preserve">  </v>
      </c>
      <c r="P69" s="686" t="str">
        <f>IFERROR(INDEX('M4'!C$300:C$400,MATCH("*"&amp;B69&amp;"*",'M4'!B$300:B$400,0)),"  ")</f>
        <v xml:space="preserve">  </v>
      </c>
      <c r="Q69" s="686" t="str">
        <f>IFERROR(INDEX('M5'!C$300:C$400,MATCH("*"&amp;B69&amp;"*",'M5'!B$300:B$400,0)),"  ")</f>
        <v xml:space="preserve">  </v>
      </c>
      <c r="R69" s="687">
        <f t="shared" si="23"/>
        <v>0</v>
      </c>
      <c r="S69" s="688">
        <f t="shared" si="24"/>
        <v>0</v>
      </c>
      <c r="T69" s="688">
        <f t="shared" si="25"/>
        <v>0</v>
      </c>
      <c r="U69" s="642"/>
      <c r="V69" s="689"/>
      <c r="W69" s="690"/>
      <c r="X69" s="690"/>
      <c r="Y69" s="690"/>
      <c r="Z69" s="690"/>
      <c r="AA69" s="689">
        <f t="shared" si="26"/>
        <v>1E-4</v>
      </c>
      <c r="AB69" s="690">
        <f t="shared" si="27"/>
        <v>1E-4</v>
      </c>
      <c r="AC69" s="690">
        <f t="shared" si="28"/>
        <v>2.0000000000000001E-4</v>
      </c>
      <c r="AD69" s="690">
        <f t="shared" si="29"/>
        <v>2.9999999999999997E-4</v>
      </c>
      <c r="AE69" s="690">
        <f t="shared" si="30"/>
        <v>4.0000000000000002E-4</v>
      </c>
      <c r="AF69" s="690">
        <f t="shared" si="31"/>
        <v>5.0000000000000001E-4</v>
      </c>
    </row>
    <row r="70" spans="1:32" hidden="1" x14ac:dyDescent="0.2">
      <c r="A70" s="680" t="str">
        <f t="shared" si="16"/>
        <v/>
      </c>
      <c r="B70" s="681" t="s">
        <v>210</v>
      </c>
      <c r="C70" s="682"/>
      <c r="D70" s="683"/>
      <c r="E70" s="673">
        <f>(IF(COUNT(M70,N70,O70,P70,Q70)&lt;4,SUM(M70,N70,O70,P70,Q70),SUM(LARGE((M70,N70,O70,P70,Q70),{1;2;3;4}))))</f>
        <v>0</v>
      </c>
      <c r="F70" s="684" t="str">
        <f>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amp;INDEX(ETAPP!B$1:B$32,MATCH(COUNTIF(M70:Q70,#REF!),ETAPP!A$1:A$32,0))</f>
        <v>0000000000000000000</v>
      </c>
      <c r="G70" s="684" t="str">
        <f t="shared" si="17"/>
        <v>000,0-0000000000000000000</v>
      </c>
      <c r="H70" s="684">
        <f t="shared" si="18"/>
        <v>149</v>
      </c>
      <c r="I70" s="684">
        <f t="shared" si="19"/>
        <v>127</v>
      </c>
      <c r="J70" s="684" t="str">
        <f t="shared" si="20"/>
        <v>000,0-0000000000000000000-127</v>
      </c>
      <c r="K70" s="684">
        <f t="shared" si="21"/>
        <v>64</v>
      </c>
      <c r="L70" s="685">
        <f t="shared" si="22"/>
        <v>86</v>
      </c>
      <c r="M70" s="686" t="str">
        <f>IFERROR(INDEX('M1'!C$300:C$400,MATCH("*"&amp;B70&amp;"*",'M1'!B$300:B$400,0)),"  ")</f>
        <v xml:space="preserve">  </v>
      </c>
      <c r="N70" s="686" t="str">
        <f>IFERROR(INDEX('M2'!C$300:C$400,MATCH("*"&amp;B70&amp;"*",'M2'!B$300:B$400,0)),"  ")</f>
        <v xml:space="preserve">  </v>
      </c>
      <c r="O70" s="686" t="str">
        <f>IFERROR(INDEX('M3'!C$300:C$400,MATCH("*"&amp;B70&amp;"*",'M3'!B$300:B$400,0)),"  ")</f>
        <v xml:space="preserve">  </v>
      </c>
      <c r="P70" s="686" t="str">
        <f>IFERROR(INDEX('M4'!C$300:C$400,MATCH("*"&amp;B70&amp;"*",'M4'!B$300:B$400,0)),"  ")</f>
        <v xml:space="preserve">  </v>
      </c>
      <c r="Q70" s="686" t="str">
        <f>IFERROR(INDEX('M5'!C$300:C$400,MATCH("*"&amp;B70&amp;"*",'M5'!B$300:B$400,0)),"  ")</f>
        <v xml:space="preserve">  </v>
      </c>
      <c r="R70" s="687">
        <f t="shared" si="23"/>
        <v>0</v>
      </c>
      <c r="S70" s="688">
        <f t="shared" si="24"/>
        <v>0</v>
      </c>
      <c r="T70" s="688">
        <f t="shared" si="25"/>
        <v>0</v>
      </c>
      <c r="U70" s="642"/>
      <c r="V70" s="689"/>
      <c r="W70" s="690"/>
      <c r="X70" s="690"/>
      <c r="Y70" s="690"/>
      <c r="Z70" s="690"/>
      <c r="AA70" s="689">
        <f t="shared" si="26"/>
        <v>1E-4</v>
      </c>
      <c r="AB70" s="690">
        <f t="shared" si="27"/>
        <v>1E-4</v>
      </c>
      <c r="AC70" s="690">
        <f t="shared" si="28"/>
        <v>2.0000000000000001E-4</v>
      </c>
      <c r="AD70" s="690">
        <f t="shared" si="29"/>
        <v>2.9999999999999997E-4</v>
      </c>
      <c r="AE70" s="690">
        <f t="shared" si="30"/>
        <v>4.0000000000000002E-4</v>
      </c>
      <c r="AF70" s="690">
        <f t="shared" si="31"/>
        <v>5.0000000000000001E-4</v>
      </c>
    </row>
    <row r="71" spans="1:32" hidden="1" x14ac:dyDescent="0.2">
      <c r="A71" s="680" t="str">
        <f t="shared" ref="A71:A102" si="32">IF(E71&gt;0,RANK(H71,H$7:H$155,1),"")</f>
        <v/>
      </c>
      <c r="B71" s="681" t="s">
        <v>145</v>
      </c>
      <c r="C71" s="682"/>
      <c r="D71" s="683"/>
      <c r="E71" s="673">
        <f>(IF(COUNT(M71,N71,O71,P71,Q71)&lt;4,SUM(M71,N71,O71,P71,Q71),SUM(LARGE((M71,N71,O71,P71,Q71),{1;2;3;4}))))</f>
        <v>0</v>
      </c>
      <c r="F71" s="684" t="str">
        <f>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amp;INDEX(ETAPP!B$1:B$32,MATCH(COUNTIF(M71:Q71,#REF!),ETAPP!A$1:A$32,0))</f>
        <v>0000000000000000000</v>
      </c>
      <c r="G71" s="684" t="str">
        <f t="shared" ref="G71:G102" si="33">TEXT(E71,"000,0")&amp;"-"&amp;F71</f>
        <v>000,0-0000000000000000000</v>
      </c>
      <c r="H71" s="684">
        <f t="shared" ref="H71:H102" si="34">COUNTIF(G$7:G$155,"&gt;="&amp;G71)</f>
        <v>149</v>
      </c>
      <c r="I71" s="684">
        <f t="shared" ref="I71:I102" si="35">COUNTIF(B$7:B$155,"&gt;="&amp;B71)</f>
        <v>126</v>
      </c>
      <c r="J71" s="684" t="str">
        <f t="shared" ref="J71:J102" si="36">TEXT(E71,"000,0")&amp;"-"&amp;F71&amp;"-"&amp;TEXT(I71,"000")</f>
        <v>000,0-0000000000000000000-126</v>
      </c>
      <c r="K71" s="684">
        <f t="shared" ref="K71:K102" si="37">COUNTIF(J$7:J$155,"&gt;="&amp;J71)</f>
        <v>65</v>
      </c>
      <c r="L71" s="685">
        <f t="shared" ref="L71:L102" si="38">RANK(K71,K$7:K$155,0)</f>
        <v>85</v>
      </c>
      <c r="M71" s="686" t="str">
        <f>IFERROR(INDEX('M1'!C$300:C$400,MATCH("*"&amp;B71&amp;"*",'M1'!B$300:B$400,0)),"  ")</f>
        <v xml:space="preserve">  </v>
      </c>
      <c r="N71" s="686" t="str">
        <f>IFERROR(INDEX('M2'!C$300:C$400,MATCH("*"&amp;B71&amp;"*",'M2'!B$300:B$400,0)),"  ")</f>
        <v xml:space="preserve">  </v>
      </c>
      <c r="O71" s="686" t="str">
        <f>IFERROR(INDEX('M3'!C$300:C$400,MATCH("*"&amp;B71&amp;"*",'M3'!B$300:B$400,0)),"  ")</f>
        <v xml:space="preserve">  </v>
      </c>
      <c r="P71" s="686" t="str">
        <f>IFERROR(INDEX('M4'!C$300:C$400,MATCH("*"&amp;B71&amp;"*",'M4'!B$300:B$400,0)),"  ")</f>
        <v xml:space="preserve">  </v>
      </c>
      <c r="Q71" s="686" t="str">
        <f>IFERROR(INDEX('M5'!C$300:C$400,MATCH("*"&amp;B71&amp;"*",'M5'!B$300:B$400,0)),"  ")</f>
        <v xml:space="preserve">  </v>
      </c>
      <c r="R71" s="687">
        <f t="shared" ref="R71:R102" si="39">COUNTIF(M71:Q71,"&gt;=0")</f>
        <v>0</v>
      </c>
      <c r="S71" s="688">
        <f t="shared" ref="S71:S102" si="40">COUNTIF(M71:Q71,"&gt;=30")</f>
        <v>0</v>
      </c>
      <c r="T71" s="688">
        <f t="shared" ref="T71:T102" si="41">COUNTIF(M71:Q71,"=40")</f>
        <v>0</v>
      </c>
      <c r="U71" s="642"/>
      <c r="V71" s="689"/>
      <c r="W71" s="690"/>
      <c r="X71" s="690"/>
      <c r="Y71" s="690"/>
      <c r="Z71" s="690"/>
      <c r="AA71" s="689">
        <f t="shared" ref="AA71:AA102" si="42">SMALL(AB71:AF71,AA$3)</f>
        <v>1E-4</v>
      </c>
      <c r="AB71" s="690">
        <f t="shared" ref="AB71:AB102" si="43">IF(M71="  ",0+MID(M$6,FIND("M",M$6)+1,256)/10000,M71+MID(M$6,FIND("M",M$6)+1,256)/10000)</f>
        <v>1E-4</v>
      </c>
      <c r="AC71" s="690">
        <f t="shared" ref="AC71:AC102" si="44">IF(N71="  ",0+MID(N$6,FIND("M",N$6)+1,256)/10000,N71+MID(N$6,FIND("M",N$6)+1,256)/10000)</f>
        <v>2.0000000000000001E-4</v>
      </c>
      <c r="AD71" s="690">
        <f t="shared" ref="AD71:AD102" si="45">IF(O71="  ",0+MID(O$6,FIND("M",O$6)+1,256)/10000,O71+MID(O$6,FIND("M",O$6)+1,256)/10000)</f>
        <v>2.9999999999999997E-4</v>
      </c>
      <c r="AE71" s="690">
        <f t="shared" ref="AE71:AE102" si="46">IF(P71="  ",0+MID(P$6,FIND("M",P$6)+1,256)/10000,P71+MID(P$6,FIND("M",P$6)+1,256)/10000)</f>
        <v>4.0000000000000002E-4</v>
      </c>
      <c r="AF71" s="690">
        <f t="shared" ref="AF71:AF102" si="47">IF(Q71="  ",0+MID(Q$6,FIND("M",Q$6)+1,256)/10000,Q71+MID(Q$6,FIND("M",Q$6)+1,256)/10000)</f>
        <v>5.0000000000000001E-4</v>
      </c>
    </row>
    <row r="72" spans="1:32" hidden="1" x14ac:dyDescent="0.2">
      <c r="A72" s="680" t="str">
        <f t="shared" si="32"/>
        <v/>
      </c>
      <c r="B72" s="681" t="s">
        <v>146</v>
      </c>
      <c r="C72" s="682"/>
      <c r="D72" s="683"/>
      <c r="E72" s="673">
        <f>(IF(COUNT(M72,N72,O72,P72,Q72)&lt;4,SUM(M72,N72,O72,P72,Q72),SUM(LARGE((M72,N72,O72,P72,Q72),{1;2;3;4}))))</f>
        <v>0</v>
      </c>
      <c r="F72" s="684" t="str">
        <f>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amp;INDEX(ETAPP!B$1:B$32,MATCH(COUNTIF(M72:Q72,#REF!),ETAPP!A$1:A$32,0))</f>
        <v>0000000000000000000</v>
      </c>
      <c r="G72" s="684" t="str">
        <f t="shared" si="33"/>
        <v>000,0-0000000000000000000</v>
      </c>
      <c r="H72" s="684">
        <f t="shared" si="34"/>
        <v>149</v>
      </c>
      <c r="I72" s="684">
        <f t="shared" si="35"/>
        <v>125</v>
      </c>
      <c r="J72" s="684" t="str">
        <f t="shared" si="36"/>
        <v>000,0-0000000000000000000-125</v>
      </c>
      <c r="K72" s="684">
        <f t="shared" si="37"/>
        <v>66</v>
      </c>
      <c r="L72" s="685">
        <f t="shared" si="38"/>
        <v>84</v>
      </c>
      <c r="M72" s="686" t="str">
        <f>IFERROR(INDEX('M1'!C$300:C$400,MATCH("*"&amp;B72&amp;"*",'M1'!B$300:B$400,0)),"  ")</f>
        <v xml:space="preserve">  </v>
      </c>
      <c r="N72" s="686" t="str">
        <f>IFERROR(INDEX('M2'!C$300:C$400,MATCH("*"&amp;B72&amp;"*",'M2'!B$300:B$400,0)),"  ")</f>
        <v xml:space="preserve">  </v>
      </c>
      <c r="O72" s="686" t="str">
        <f>IFERROR(INDEX('M3'!C$300:C$400,MATCH("*"&amp;B72&amp;"*",'M3'!B$300:B$400,0)),"  ")</f>
        <v xml:space="preserve">  </v>
      </c>
      <c r="P72" s="686" t="str">
        <f>IFERROR(INDEX('M4'!C$300:C$400,MATCH("*"&amp;B72&amp;"*",'M4'!B$300:B$400,0)),"  ")</f>
        <v xml:space="preserve">  </v>
      </c>
      <c r="Q72" s="686" t="str">
        <f>IFERROR(INDEX('M5'!C$300:C$400,MATCH("*"&amp;B72&amp;"*",'M5'!B$300:B$400,0)),"  ")</f>
        <v xml:space="preserve">  </v>
      </c>
      <c r="R72" s="687">
        <f t="shared" si="39"/>
        <v>0</v>
      </c>
      <c r="S72" s="688">
        <f t="shared" si="40"/>
        <v>0</v>
      </c>
      <c r="T72" s="688">
        <f t="shared" si="41"/>
        <v>0</v>
      </c>
      <c r="U72" s="642"/>
      <c r="V72" s="689"/>
      <c r="W72" s="690"/>
      <c r="X72" s="690"/>
      <c r="Y72" s="690"/>
      <c r="Z72" s="690"/>
      <c r="AA72" s="689">
        <f t="shared" si="42"/>
        <v>1E-4</v>
      </c>
      <c r="AB72" s="690">
        <f t="shared" si="43"/>
        <v>1E-4</v>
      </c>
      <c r="AC72" s="690">
        <f t="shared" si="44"/>
        <v>2.0000000000000001E-4</v>
      </c>
      <c r="AD72" s="690">
        <f t="shared" si="45"/>
        <v>2.9999999999999997E-4</v>
      </c>
      <c r="AE72" s="690">
        <f t="shared" si="46"/>
        <v>4.0000000000000002E-4</v>
      </c>
      <c r="AF72" s="690">
        <f t="shared" si="47"/>
        <v>5.0000000000000001E-4</v>
      </c>
    </row>
    <row r="73" spans="1:32" hidden="1" x14ac:dyDescent="0.2">
      <c r="A73" s="680" t="str">
        <f t="shared" si="32"/>
        <v/>
      </c>
      <c r="B73" s="681" t="s">
        <v>147</v>
      </c>
      <c r="C73" s="682"/>
      <c r="D73" s="683"/>
      <c r="E73" s="673">
        <f>(IF(COUNT(M73,N73,O73,P73,Q73)&lt;4,SUM(M73,N73,O73,P73,Q73),SUM(LARGE((M73,N73,O73,P73,Q73),{1;2;3;4}))))</f>
        <v>0</v>
      </c>
      <c r="F73" s="684" t="str">
        <f>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amp;INDEX(ETAPP!B$1:B$32,MATCH(COUNTIF(M73:Q73,#REF!),ETAPP!A$1:A$32,0))</f>
        <v>0000000000000000000</v>
      </c>
      <c r="G73" s="684" t="str">
        <f t="shared" si="33"/>
        <v>000,0-0000000000000000000</v>
      </c>
      <c r="H73" s="684">
        <f t="shared" si="34"/>
        <v>149</v>
      </c>
      <c r="I73" s="684">
        <f t="shared" si="35"/>
        <v>124</v>
      </c>
      <c r="J73" s="684" t="str">
        <f t="shared" si="36"/>
        <v>000,0-0000000000000000000-124</v>
      </c>
      <c r="K73" s="684">
        <f t="shared" si="37"/>
        <v>67</v>
      </c>
      <c r="L73" s="685">
        <f t="shared" si="38"/>
        <v>83</v>
      </c>
      <c r="M73" s="686" t="str">
        <f>IFERROR(INDEX('M1'!C$300:C$400,MATCH("*"&amp;B73&amp;"*",'M1'!B$300:B$400,0)),"  ")</f>
        <v xml:space="preserve">  </v>
      </c>
      <c r="N73" s="686" t="str">
        <f>IFERROR(INDEX('M2'!C$300:C$400,MATCH("*"&amp;B73&amp;"*",'M2'!B$300:B$400,0)),"  ")</f>
        <v xml:space="preserve">  </v>
      </c>
      <c r="O73" s="686" t="str">
        <f>IFERROR(INDEX('M3'!C$300:C$400,MATCH("*"&amp;B73&amp;"*",'M3'!B$300:B$400,0)),"  ")</f>
        <v xml:space="preserve">  </v>
      </c>
      <c r="P73" s="686" t="str">
        <f>IFERROR(INDEX('M4'!C$300:C$400,MATCH("*"&amp;B73&amp;"*",'M4'!B$300:B$400,0)),"  ")</f>
        <v xml:space="preserve">  </v>
      </c>
      <c r="Q73" s="686" t="str">
        <f>IFERROR(INDEX('M5'!C$300:C$400,MATCH("*"&amp;B73&amp;"*",'M5'!B$300:B$400,0)),"  ")</f>
        <v xml:space="preserve">  </v>
      </c>
      <c r="R73" s="687">
        <f t="shared" si="39"/>
        <v>0</v>
      </c>
      <c r="S73" s="688">
        <f t="shared" si="40"/>
        <v>0</v>
      </c>
      <c r="T73" s="688">
        <f t="shared" si="41"/>
        <v>0</v>
      </c>
      <c r="U73" s="642"/>
      <c r="V73" s="689"/>
      <c r="W73" s="690"/>
      <c r="X73" s="690"/>
      <c r="Y73" s="690"/>
      <c r="Z73" s="690"/>
      <c r="AA73" s="689">
        <f t="shared" si="42"/>
        <v>1E-4</v>
      </c>
      <c r="AB73" s="690">
        <f t="shared" si="43"/>
        <v>1E-4</v>
      </c>
      <c r="AC73" s="690">
        <f t="shared" si="44"/>
        <v>2.0000000000000001E-4</v>
      </c>
      <c r="AD73" s="690">
        <f t="shared" si="45"/>
        <v>2.9999999999999997E-4</v>
      </c>
      <c r="AE73" s="690">
        <f t="shared" si="46"/>
        <v>4.0000000000000002E-4</v>
      </c>
      <c r="AF73" s="690">
        <f t="shared" si="47"/>
        <v>5.0000000000000001E-4</v>
      </c>
    </row>
    <row r="74" spans="1:32" hidden="1" x14ac:dyDescent="0.2">
      <c r="A74" s="680" t="str">
        <f t="shared" si="32"/>
        <v/>
      </c>
      <c r="B74" s="681" t="s">
        <v>137</v>
      </c>
      <c r="C74" s="682"/>
      <c r="D74" s="683"/>
      <c r="E74" s="673">
        <f>(IF(COUNT(M74,N74,O74,P74,Q74)&lt;4,SUM(M74,N74,O74,P74,Q74),SUM(LARGE((M74,N74,O74,P74,Q74),{1;2;3;4}))))</f>
        <v>0</v>
      </c>
      <c r="F74" s="684" t="str">
        <f>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amp;INDEX(ETAPP!B$1:B$32,MATCH(COUNTIF(M74:Q74,#REF!),ETAPP!A$1:A$32,0))</f>
        <v>0000000000000000000</v>
      </c>
      <c r="G74" s="684" t="str">
        <f t="shared" si="33"/>
        <v>000,0-0000000000000000000</v>
      </c>
      <c r="H74" s="684">
        <f t="shared" si="34"/>
        <v>149</v>
      </c>
      <c r="I74" s="684">
        <f t="shared" si="35"/>
        <v>123</v>
      </c>
      <c r="J74" s="684" t="str">
        <f t="shared" si="36"/>
        <v>000,0-0000000000000000000-123</v>
      </c>
      <c r="K74" s="684">
        <f t="shared" si="37"/>
        <v>68</v>
      </c>
      <c r="L74" s="685">
        <f t="shared" si="38"/>
        <v>82</v>
      </c>
      <c r="M74" s="686" t="str">
        <f>IFERROR(INDEX('M1'!C$300:C$400,MATCH("*"&amp;B74&amp;"*",'M1'!B$300:B$400,0)),"  ")</f>
        <v xml:space="preserve">  </v>
      </c>
      <c r="N74" s="686" t="str">
        <f>IFERROR(INDEX('M2'!C$300:C$400,MATCH("*"&amp;B74&amp;"*",'M2'!B$300:B$400,0)),"  ")</f>
        <v xml:space="preserve">  </v>
      </c>
      <c r="O74" s="686" t="str">
        <f>IFERROR(INDEX('M3'!C$300:C$400,MATCH("*"&amp;B74&amp;"*",'M3'!B$300:B$400,0)),"  ")</f>
        <v xml:space="preserve">  </v>
      </c>
      <c r="P74" s="686" t="str">
        <f>IFERROR(INDEX('M4'!C$300:C$400,MATCH("*"&amp;B74&amp;"*",'M4'!B$300:B$400,0)),"  ")</f>
        <v xml:space="preserve">  </v>
      </c>
      <c r="Q74" s="686" t="str">
        <f>IFERROR(INDEX('M5'!C$300:C$400,MATCH("*"&amp;B74&amp;"*",'M5'!B$300:B$400,0)),"  ")</f>
        <v xml:space="preserve">  </v>
      </c>
      <c r="R74" s="687">
        <f t="shared" si="39"/>
        <v>0</v>
      </c>
      <c r="S74" s="688">
        <f t="shared" si="40"/>
        <v>0</v>
      </c>
      <c r="T74" s="688">
        <f t="shared" si="41"/>
        <v>0</v>
      </c>
      <c r="U74" s="642"/>
      <c r="V74" s="689"/>
      <c r="W74" s="690"/>
      <c r="X74" s="690"/>
      <c r="Y74" s="690"/>
      <c r="Z74" s="690"/>
      <c r="AA74" s="689">
        <f t="shared" si="42"/>
        <v>1E-4</v>
      </c>
      <c r="AB74" s="690">
        <f t="shared" si="43"/>
        <v>1E-4</v>
      </c>
      <c r="AC74" s="690">
        <f t="shared" si="44"/>
        <v>2.0000000000000001E-4</v>
      </c>
      <c r="AD74" s="690">
        <f t="shared" si="45"/>
        <v>2.9999999999999997E-4</v>
      </c>
      <c r="AE74" s="690">
        <f t="shared" si="46"/>
        <v>4.0000000000000002E-4</v>
      </c>
      <c r="AF74" s="690">
        <f t="shared" si="47"/>
        <v>5.0000000000000001E-4</v>
      </c>
    </row>
    <row r="75" spans="1:32" hidden="1" x14ac:dyDescent="0.2">
      <c r="A75" s="680" t="str">
        <f t="shared" si="32"/>
        <v/>
      </c>
      <c r="B75" s="681" t="s">
        <v>148</v>
      </c>
      <c r="C75" s="682"/>
      <c r="D75" s="683"/>
      <c r="E75" s="673">
        <f>(IF(COUNT(M75,N75,O75,P75,Q75)&lt;4,SUM(M75,N75,O75,P75,Q75),SUM(LARGE((M75,N75,O75,P75,Q75),{1;2;3;4}))))</f>
        <v>0</v>
      </c>
      <c r="F75" s="684" t="str">
        <f>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amp;INDEX(ETAPP!B$1:B$32,MATCH(COUNTIF(M75:Q75,#REF!),ETAPP!A$1:A$32,0))</f>
        <v>0000000000000000000</v>
      </c>
      <c r="G75" s="684" t="str">
        <f t="shared" si="33"/>
        <v>000,0-0000000000000000000</v>
      </c>
      <c r="H75" s="684">
        <f t="shared" si="34"/>
        <v>149</v>
      </c>
      <c r="I75" s="684">
        <f t="shared" si="35"/>
        <v>122</v>
      </c>
      <c r="J75" s="684" t="str">
        <f t="shared" si="36"/>
        <v>000,0-0000000000000000000-122</v>
      </c>
      <c r="K75" s="684">
        <f t="shared" si="37"/>
        <v>69</v>
      </c>
      <c r="L75" s="685">
        <f t="shared" si="38"/>
        <v>81</v>
      </c>
      <c r="M75" s="686" t="str">
        <f>IFERROR(INDEX('M1'!C$300:C$400,MATCH("*"&amp;B75&amp;"*",'M1'!B$300:B$400,0)),"  ")</f>
        <v xml:space="preserve">  </v>
      </c>
      <c r="N75" s="686" t="str">
        <f>IFERROR(INDEX('M2'!C$300:C$400,MATCH("*"&amp;B75&amp;"*",'M2'!B$300:B$400,0)),"  ")</f>
        <v xml:space="preserve">  </v>
      </c>
      <c r="O75" s="686" t="str">
        <f>IFERROR(INDEX('M3'!C$300:C$400,MATCH("*"&amp;B75&amp;"*",'M3'!B$300:B$400,0)),"  ")</f>
        <v xml:space="preserve">  </v>
      </c>
      <c r="P75" s="686" t="str">
        <f>IFERROR(INDEX('M4'!C$300:C$400,MATCH("*"&amp;B75&amp;"*",'M4'!B$300:B$400,0)),"  ")</f>
        <v xml:space="preserve">  </v>
      </c>
      <c r="Q75" s="686" t="str">
        <f>IFERROR(INDEX('M5'!C$300:C$400,MATCH("*"&amp;B75&amp;"*",'M5'!B$300:B$400,0)),"  ")</f>
        <v xml:space="preserve">  </v>
      </c>
      <c r="R75" s="687">
        <f t="shared" si="39"/>
        <v>0</v>
      </c>
      <c r="S75" s="688">
        <f t="shared" si="40"/>
        <v>0</v>
      </c>
      <c r="T75" s="688">
        <f t="shared" si="41"/>
        <v>0</v>
      </c>
      <c r="U75" s="642"/>
      <c r="V75" s="689"/>
      <c r="W75" s="690"/>
      <c r="X75" s="690"/>
      <c r="Y75" s="690"/>
      <c r="Z75" s="690"/>
      <c r="AA75" s="689">
        <f t="shared" si="42"/>
        <v>1E-4</v>
      </c>
      <c r="AB75" s="690">
        <f t="shared" si="43"/>
        <v>1E-4</v>
      </c>
      <c r="AC75" s="690">
        <f t="shared" si="44"/>
        <v>2.0000000000000001E-4</v>
      </c>
      <c r="AD75" s="690">
        <f t="shared" si="45"/>
        <v>2.9999999999999997E-4</v>
      </c>
      <c r="AE75" s="690">
        <f t="shared" si="46"/>
        <v>4.0000000000000002E-4</v>
      </c>
      <c r="AF75" s="690">
        <f t="shared" si="47"/>
        <v>5.0000000000000001E-4</v>
      </c>
    </row>
    <row r="76" spans="1:32" hidden="1" x14ac:dyDescent="0.2">
      <c r="A76" s="680" t="str">
        <f t="shared" si="32"/>
        <v/>
      </c>
      <c r="B76" s="681" t="s">
        <v>89</v>
      </c>
      <c r="C76" s="682"/>
      <c r="D76" s="683"/>
      <c r="E76" s="673">
        <f>(IF(COUNT(M76,N76,O76,P76,Q76)&lt;4,SUM(M76,N76,O76,P76,Q76),SUM(LARGE((M76,N76,O76,P76,Q76),{1;2;3;4}))))</f>
        <v>0</v>
      </c>
      <c r="F76" s="684" t="str">
        <f>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amp;INDEX(ETAPP!B$1:B$32,MATCH(COUNTIF(M76:Q76,#REF!),ETAPP!A$1:A$32,0))</f>
        <v>0000000000000000000</v>
      </c>
      <c r="G76" s="684" t="str">
        <f t="shared" si="33"/>
        <v>000,0-0000000000000000000</v>
      </c>
      <c r="H76" s="684">
        <f t="shared" si="34"/>
        <v>149</v>
      </c>
      <c r="I76" s="684">
        <f t="shared" si="35"/>
        <v>121</v>
      </c>
      <c r="J76" s="684" t="str">
        <f t="shared" si="36"/>
        <v>000,0-0000000000000000000-121</v>
      </c>
      <c r="K76" s="684">
        <f t="shared" si="37"/>
        <v>70</v>
      </c>
      <c r="L76" s="685">
        <f t="shared" si="38"/>
        <v>80</v>
      </c>
      <c r="M76" s="686" t="str">
        <f>IFERROR(INDEX('M1'!C$300:C$400,MATCH("*"&amp;B76&amp;"*",'M1'!B$300:B$400,0)),"  ")</f>
        <v xml:space="preserve">  </v>
      </c>
      <c r="N76" s="686" t="str">
        <f>IFERROR(INDEX('M2'!C$300:C$400,MATCH("*"&amp;B76&amp;"*",'M2'!B$300:B$400,0)),"  ")</f>
        <v xml:space="preserve">  </v>
      </c>
      <c r="O76" s="686" t="str">
        <f>IFERROR(INDEX('M3'!C$300:C$400,MATCH("*"&amp;B76&amp;"*",'M3'!B$300:B$400,0)),"  ")</f>
        <v xml:space="preserve">  </v>
      </c>
      <c r="P76" s="686" t="str">
        <f>IFERROR(INDEX('M4'!C$300:C$400,MATCH("*"&amp;B76&amp;"*",'M4'!B$300:B$400,0)),"  ")</f>
        <v xml:space="preserve">  </v>
      </c>
      <c r="Q76" s="686" t="str">
        <f>IFERROR(INDEX('M5'!C$300:C$400,MATCH("*"&amp;B76&amp;"*",'M5'!B$300:B$400,0)),"  ")</f>
        <v xml:space="preserve">  </v>
      </c>
      <c r="R76" s="687">
        <f t="shared" si="39"/>
        <v>0</v>
      </c>
      <c r="S76" s="688">
        <f t="shared" si="40"/>
        <v>0</v>
      </c>
      <c r="T76" s="688">
        <f t="shared" si="41"/>
        <v>0</v>
      </c>
      <c r="U76" s="642"/>
      <c r="V76" s="689"/>
      <c r="W76" s="690"/>
      <c r="X76" s="690"/>
      <c r="Y76" s="690"/>
      <c r="Z76" s="690"/>
      <c r="AA76" s="689">
        <f t="shared" si="42"/>
        <v>1E-4</v>
      </c>
      <c r="AB76" s="690">
        <f t="shared" si="43"/>
        <v>1E-4</v>
      </c>
      <c r="AC76" s="690">
        <f t="shared" si="44"/>
        <v>2.0000000000000001E-4</v>
      </c>
      <c r="AD76" s="690">
        <f t="shared" si="45"/>
        <v>2.9999999999999997E-4</v>
      </c>
      <c r="AE76" s="690">
        <f t="shared" si="46"/>
        <v>4.0000000000000002E-4</v>
      </c>
      <c r="AF76" s="690">
        <f t="shared" si="47"/>
        <v>5.0000000000000001E-4</v>
      </c>
    </row>
    <row r="77" spans="1:32" hidden="1" x14ac:dyDescent="0.2">
      <c r="A77" s="680" t="str">
        <f t="shared" si="32"/>
        <v/>
      </c>
      <c r="B77" s="681" t="s">
        <v>132</v>
      </c>
      <c r="C77" s="682"/>
      <c r="D77" s="683"/>
      <c r="E77" s="673">
        <f>(IF(COUNT(M77,N77,O77,P77,Q77)&lt;4,SUM(M77,N77,O77,P77,Q77),SUM(LARGE((M77,N77,O77,P77,Q77),{1;2;3;4}))))</f>
        <v>0</v>
      </c>
      <c r="F77" s="684" t="str">
        <f>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amp;INDEX(ETAPP!B$1:B$32,MATCH(COUNTIF(M77:Q77,#REF!),ETAPP!A$1:A$32,0))</f>
        <v>0000000000000000000</v>
      </c>
      <c r="G77" s="684" t="str">
        <f t="shared" si="33"/>
        <v>000,0-0000000000000000000</v>
      </c>
      <c r="H77" s="684">
        <f t="shared" si="34"/>
        <v>149</v>
      </c>
      <c r="I77" s="684">
        <f t="shared" si="35"/>
        <v>120</v>
      </c>
      <c r="J77" s="684" t="str">
        <f t="shared" si="36"/>
        <v>000,0-0000000000000000000-120</v>
      </c>
      <c r="K77" s="684">
        <f t="shared" si="37"/>
        <v>71</v>
      </c>
      <c r="L77" s="685">
        <f t="shared" si="38"/>
        <v>79</v>
      </c>
      <c r="M77" s="686" t="str">
        <f>IFERROR(INDEX('M1'!C$300:C$400,MATCH("*"&amp;B77&amp;"*",'M1'!B$300:B$400,0)),"  ")</f>
        <v xml:space="preserve">  </v>
      </c>
      <c r="N77" s="686" t="str">
        <f>IFERROR(INDEX('M2'!C$300:C$400,MATCH("*"&amp;B77&amp;"*",'M2'!B$300:B$400,0)),"  ")</f>
        <v xml:space="preserve">  </v>
      </c>
      <c r="O77" s="686" t="str">
        <f>IFERROR(INDEX('M3'!C$300:C$400,MATCH("*"&amp;B77&amp;"*",'M3'!B$300:B$400,0)),"  ")</f>
        <v xml:space="preserve">  </v>
      </c>
      <c r="P77" s="686" t="str">
        <f>IFERROR(INDEX('M4'!C$300:C$400,MATCH("*"&amp;B77&amp;"*",'M4'!B$300:B$400,0)),"  ")</f>
        <v xml:space="preserve">  </v>
      </c>
      <c r="Q77" s="686" t="str">
        <f>IFERROR(INDEX('M5'!C$300:C$400,MATCH("*"&amp;B77&amp;"*",'M5'!B$300:B$400,0)),"  ")</f>
        <v xml:space="preserve">  </v>
      </c>
      <c r="R77" s="687">
        <f t="shared" si="39"/>
        <v>0</v>
      </c>
      <c r="S77" s="688">
        <f t="shared" si="40"/>
        <v>0</v>
      </c>
      <c r="T77" s="688">
        <f t="shared" si="41"/>
        <v>0</v>
      </c>
      <c r="U77" s="642"/>
      <c r="V77" s="689"/>
      <c r="W77" s="690"/>
      <c r="X77" s="690"/>
      <c r="Y77" s="690"/>
      <c r="Z77" s="690"/>
      <c r="AA77" s="689">
        <f t="shared" si="42"/>
        <v>1E-4</v>
      </c>
      <c r="AB77" s="690">
        <f t="shared" si="43"/>
        <v>1E-4</v>
      </c>
      <c r="AC77" s="690">
        <f t="shared" si="44"/>
        <v>2.0000000000000001E-4</v>
      </c>
      <c r="AD77" s="690">
        <f t="shared" si="45"/>
        <v>2.9999999999999997E-4</v>
      </c>
      <c r="AE77" s="690">
        <f t="shared" si="46"/>
        <v>4.0000000000000002E-4</v>
      </c>
      <c r="AF77" s="690">
        <f t="shared" si="47"/>
        <v>5.0000000000000001E-4</v>
      </c>
    </row>
    <row r="78" spans="1:32" hidden="1" x14ac:dyDescent="0.2">
      <c r="A78" s="680" t="str">
        <f t="shared" si="32"/>
        <v/>
      </c>
      <c r="B78" s="681" t="s">
        <v>149</v>
      </c>
      <c r="C78" s="682"/>
      <c r="D78" s="683"/>
      <c r="E78" s="673">
        <f>(IF(COUNT(M78,N78,O78,P78,Q78)&lt;4,SUM(M78,N78,O78,P78,Q78),SUM(LARGE((M78,N78,O78,P78,Q78),{1;2;3;4}))))</f>
        <v>0</v>
      </c>
      <c r="F78" s="684" t="str">
        <f>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amp;INDEX(ETAPP!B$1:B$32,MATCH(COUNTIF(M78:Q78,#REF!),ETAPP!A$1:A$32,0))</f>
        <v>0000000000000000000</v>
      </c>
      <c r="G78" s="684" t="str">
        <f t="shared" si="33"/>
        <v>000,0-0000000000000000000</v>
      </c>
      <c r="H78" s="684">
        <f t="shared" si="34"/>
        <v>149</v>
      </c>
      <c r="I78" s="684">
        <f t="shared" si="35"/>
        <v>118</v>
      </c>
      <c r="J78" s="684" t="str">
        <f t="shared" si="36"/>
        <v>000,0-0000000000000000000-118</v>
      </c>
      <c r="K78" s="684">
        <f t="shared" si="37"/>
        <v>72</v>
      </c>
      <c r="L78" s="685">
        <f t="shared" si="38"/>
        <v>78</v>
      </c>
      <c r="M78" s="686" t="str">
        <f>IFERROR(INDEX('M1'!C$300:C$400,MATCH("*"&amp;B78&amp;"*",'M1'!B$300:B$400,0)),"  ")</f>
        <v xml:space="preserve">  </v>
      </c>
      <c r="N78" s="686" t="str">
        <f>IFERROR(INDEX('M2'!C$300:C$400,MATCH("*"&amp;B78&amp;"*",'M2'!B$300:B$400,0)),"  ")</f>
        <v xml:space="preserve">  </v>
      </c>
      <c r="O78" s="686" t="str">
        <f>IFERROR(INDEX('M3'!C$300:C$400,MATCH("*"&amp;B78&amp;"*",'M3'!B$300:B$400,0)),"  ")</f>
        <v xml:space="preserve">  </v>
      </c>
      <c r="P78" s="686" t="str">
        <f>IFERROR(INDEX('M4'!C$300:C$400,MATCH("*"&amp;B78&amp;"*",'M4'!B$300:B$400,0)),"  ")</f>
        <v xml:space="preserve">  </v>
      </c>
      <c r="Q78" s="686" t="str">
        <f>IFERROR(INDEX('M5'!C$300:C$400,MATCH("*"&amp;B78&amp;"*",'M5'!B$300:B$400,0)),"  ")</f>
        <v xml:space="preserve">  </v>
      </c>
      <c r="R78" s="687">
        <f t="shared" si="39"/>
        <v>0</v>
      </c>
      <c r="S78" s="688">
        <f t="shared" si="40"/>
        <v>0</v>
      </c>
      <c r="T78" s="688">
        <f t="shared" si="41"/>
        <v>0</v>
      </c>
      <c r="U78" s="642"/>
      <c r="V78" s="689"/>
      <c r="W78" s="690"/>
      <c r="X78" s="690"/>
      <c r="Y78" s="690"/>
      <c r="Z78" s="690"/>
      <c r="AA78" s="689">
        <f t="shared" si="42"/>
        <v>1E-4</v>
      </c>
      <c r="AB78" s="690">
        <f t="shared" si="43"/>
        <v>1E-4</v>
      </c>
      <c r="AC78" s="690">
        <f t="shared" si="44"/>
        <v>2.0000000000000001E-4</v>
      </c>
      <c r="AD78" s="690">
        <f t="shared" si="45"/>
        <v>2.9999999999999997E-4</v>
      </c>
      <c r="AE78" s="690">
        <f t="shared" si="46"/>
        <v>4.0000000000000002E-4</v>
      </c>
      <c r="AF78" s="690">
        <f t="shared" si="47"/>
        <v>5.0000000000000001E-4</v>
      </c>
    </row>
    <row r="79" spans="1:32" hidden="1" x14ac:dyDescent="0.2">
      <c r="A79" s="680" t="str">
        <f t="shared" si="32"/>
        <v/>
      </c>
      <c r="B79" s="681" t="s">
        <v>194</v>
      </c>
      <c r="C79" s="682" t="s">
        <v>99</v>
      </c>
      <c r="D79" s="683"/>
      <c r="E79" s="673">
        <f>(IF(COUNT(M79,N79,O79,P79,Q79)&lt;4,SUM(M79,N79,O79,P79,Q79),SUM(LARGE((M79,N79,O79,P79,Q79),{1;2;3;4}))))</f>
        <v>0</v>
      </c>
      <c r="F79" s="684" t="str">
        <f>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amp;INDEX(ETAPP!B$1:B$32,MATCH(COUNTIF(M79:Q79,#REF!),ETAPP!A$1:A$32,0))</f>
        <v>0000000000000000000</v>
      </c>
      <c r="G79" s="684" t="str">
        <f t="shared" si="33"/>
        <v>000,0-0000000000000000000</v>
      </c>
      <c r="H79" s="684">
        <f t="shared" si="34"/>
        <v>149</v>
      </c>
      <c r="I79" s="684">
        <f t="shared" si="35"/>
        <v>117</v>
      </c>
      <c r="J79" s="684" t="str">
        <f t="shared" si="36"/>
        <v>000,0-0000000000000000000-117</v>
      </c>
      <c r="K79" s="684">
        <f t="shared" si="37"/>
        <v>73</v>
      </c>
      <c r="L79" s="685">
        <f t="shared" si="38"/>
        <v>77</v>
      </c>
      <c r="M79" s="686" t="str">
        <f>IFERROR(INDEX('M1'!C$300:C$400,MATCH("*"&amp;B79&amp;"*",'M1'!B$300:B$400,0)),"  ")</f>
        <v xml:space="preserve">  </v>
      </c>
      <c r="N79" s="686" t="str">
        <f>IFERROR(INDEX('M2'!C$300:C$400,MATCH("*"&amp;B79&amp;"*",'M2'!B$300:B$400,0)),"  ")</f>
        <v xml:space="preserve">  </v>
      </c>
      <c r="O79" s="686" t="str">
        <f>IFERROR(INDEX('M3'!C$300:C$400,MATCH("*"&amp;B79&amp;"*",'M3'!B$300:B$400,0)),"  ")</f>
        <v xml:space="preserve">  </v>
      </c>
      <c r="P79" s="686" t="str">
        <f>IFERROR(INDEX('M4'!C$300:C$400,MATCH("*"&amp;B79&amp;"*",'M4'!B$300:B$400,0)),"  ")</f>
        <v xml:space="preserve">  </v>
      </c>
      <c r="Q79" s="686" t="str">
        <f>IFERROR(INDEX('M5'!C$300:C$400,MATCH("*"&amp;B79&amp;"*",'M5'!B$300:B$400,0)),"  ")</f>
        <v xml:space="preserve">  </v>
      </c>
      <c r="R79" s="687">
        <f t="shared" si="39"/>
        <v>0</v>
      </c>
      <c r="S79" s="688">
        <f t="shared" si="40"/>
        <v>0</v>
      </c>
      <c r="T79" s="688">
        <f t="shared" si="41"/>
        <v>0</v>
      </c>
      <c r="U79" s="642"/>
      <c r="V79" s="689"/>
      <c r="W79" s="690"/>
      <c r="X79" s="690"/>
      <c r="Y79" s="690"/>
      <c r="Z79" s="690"/>
      <c r="AA79" s="689">
        <f t="shared" si="42"/>
        <v>1E-4</v>
      </c>
      <c r="AB79" s="690">
        <f t="shared" si="43"/>
        <v>1E-4</v>
      </c>
      <c r="AC79" s="690">
        <f t="shared" si="44"/>
        <v>2.0000000000000001E-4</v>
      </c>
      <c r="AD79" s="690">
        <f t="shared" si="45"/>
        <v>2.9999999999999997E-4</v>
      </c>
      <c r="AE79" s="690">
        <f t="shared" si="46"/>
        <v>4.0000000000000002E-4</v>
      </c>
      <c r="AF79" s="690">
        <f t="shared" si="47"/>
        <v>5.0000000000000001E-4</v>
      </c>
    </row>
    <row r="80" spans="1:32" hidden="1" x14ac:dyDescent="0.2">
      <c r="A80" s="680" t="str">
        <f t="shared" si="32"/>
        <v/>
      </c>
      <c r="B80" s="681" t="s">
        <v>211</v>
      </c>
      <c r="C80" s="682" t="s">
        <v>99</v>
      </c>
      <c r="D80" s="683"/>
      <c r="E80" s="673">
        <f>(IF(COUNT(M80,N80,O80,P80,Q80)&lt;4,SUM(M80,N80,O80,P80,Q80),SUM(LARGE((M80,N80,O80,P80,Q80),{1;2;3;4}))))</f>
        <v>0</v>
      </c>
      <c r="F80" s="684" t="str">
        <f>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amp;INDEX(ETAPP!B$1:B$32,MATCH(COUNTIF(M80:Q80,#REF!),ETAPP!A$1:A$32,0))</f>
        <v>0000000000000000000</v>
      </c>
      <c r="G80" s="684" t="str">
        <f t="shared" si="33"/>
        <v>000,0-0000000000000000000</v>
      </c>
      <c r="H80" s="684">
        <f t="shared" si="34"/>
        <v>149</v>
      </c>
      <c r="I80" s="684">
        <f t="shared" si="35"/>
        <v>116</v>
      </c>
      <c r="J80" s="684" t="str">
        <f t="shared" si="36"/>
        <v>000,0-0000000000000000000-116</v>
      </c>
      <c r="K80" s="684">
        <f t="shared" si="37"/>
        <v>74</v>
      </c>
      <c r="L80" s="685">
        <f t="shared" si="38"/>
        <v>76</v>
      </c>
      <c r="M80" s="686" t="str">
        <f>IFERROR(INDEX('M1'!C$300:C$400,MATCH("*"&amp;B80&amp;"*",'M1'!B$300:B$400,0)),"  ")</f>
        <v xml:space="preserve">  </v>
      </c>
      <c r="N80" s="686" t="str">
        <f>IFERROR(INDEX('M2'!C$300:C$400,MATCH("*"&amp;B80&amp;"*",'M2'!B$300:B$400,0)),"  ")</f>
        <v xml:space="preserve">  </v>
      </c>
      <c r="O80" s="686" t="str">
        <f>IFERROR(INDEX('M3'!C$300:C$400,MATCH("*"&amp;B80&amp;"*",'M3'!B$300:B$400,0)),"  ")</f>
        <v xml:space="preserve">  </v>
      </c>
      <c r="P80" s="686" t="str">
        <f>IFERROR(INDEX('M4'!C$300:C$400,MATCH("*"&amp;B80&amp;"*",'M4'!B$300:B$400,0)),"  ")</f>
        <v xml:space="preserve">  </v>
      </c>
      <c r="Q80" s="686" t="str">
        <f>IFERROR(INDEX('M5'!C$300:C$400,MATCH("*"&amp;B80&amp;"*",'M5'!B$300:B$400,0)),"  ")</f>
        <v xml:space="preserve">  </v>
      </c>
      <c r="R80" s="687">
        <f t="shared" si="39"/>
        <v>0</v>
      </c>
      <c r="S80" s="688">
        <f t="shared" si="40"/>
        <v>0</v>
      </c>
      <c r="T80" s="688">
        <f t="shared" si="41"/>
        <v>0</v>
      </c>
      <c r="U80" s="642"/>
      <c r="V80" s="689"/>
      <c r="W80" s="690"/>
      <c r="X80" s="690"/>
      <c r="Y80" s="690"/>
      <c r="Z80" s="690"/>
      <c r="AA80" s="689">
        <f t="shared" si="42"/>
        <v>1E-4</v>
      </c>
      <c r="AB80" s="690">
        <f t="shared" si="43"/>
        <v>1E-4</v>
      </c>
      <c r="AC80" s="690">
        <f t="shared" si="44"/>
        <v>2.0000000000000001E-4</v>
      </c>
      <c r="AD80" s="690">
        <f t="shared" si="45"/>
        <v>2.9999999999999997E-4</v>
      </c>
      <c r="AE80" s="690">
        <f t="shared" si="46"/>
        <v>4.0000000000000002E-4</v>
      </c>
      <c r="AF80" s="690">
        <f t="shared" si="47"/>
        <v>5.0000000000000001E-4</v>
      </c>
    </row>
    <row r="81" spans="1:32" hidden="1" x14ac:dyDescent="0.2">
      <c r="A81" s="680" t="str">
        <f t="shared" si="32"/>
        <v/>
      </c>
      <c r="B81" s="681" t="s">
        <v>192</v>
      </c>
      <c r="C81" s="682"/>
      <c r="D81" s="683"/>
      <c r="E81" s="673">
        <f>(IF(COUNT(M81,N81,O81,P81,Q81)&lt;4,SUM(M81,N81,O81,P81,Q81),SUM(LARGE((M81,N81,O81,P81,Q81),{1;2;3;4}))))</f>
        <v>0</v>
      </c>
      <c r="F81" s="684" t="str">
        <f>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amp;INDEX(ETAPP!B$1:B$32,MATCH(COUNTIF(M81:Q81,#REF!),ETAPP!A$1:A$32,0))</f>
        <v>0000000000000000000</v>
      </c>
      <c r="G81" s="684" t="str">
        <f t="shared" si="33"/>
        <v>000,0-0000000000000000000</v>
      </c>
      <c r="H81" s="684">
        <f t="shared" si="34"/>
        <v>149</v>
      </c>
      <c r="I81" s="684">
        <f t="shared" si="35"/>
        <v>115</v>
      </c>
      <c r="J81" s="684" t="str">
        <f t="shared" si="36"/>
        <v>000,0-0000000000000000000-115</v>
      </c>
      <c r="K81" s="684">
        <f t="shared" si="37"/>
        <v>75</v>
      </c>
      <c r="L81" s="685">
        <f t="shared" si="38"/>
        <v>75</v>
      </c>
      <c r="M81" s="686" t="str">
        <f>IFERROR(INDEX('M1'!C$300:C$400,MATCH("*"&amp;B81&amp;"*",'M1'!B$300:B$400,0)),"  ")</f>
        <v xml:space="preserve">  </v>
      </c>
      <c r="N81" s="686" t="str">
        <f>IFERROR(INDEX('M2'!C$300:C$400,MATCH("*"&amp;B81&amp;"*",'M2'!B$300:B$400,0)),"  ")</f>
        <v xml:space="preserve">  </v>
      </c>
      <c r="O81" s="686" t="str">
        <f>IFERROR(INDEX('M3'!C$300:C$400,MATCH("*"&amp;B81&amp;"*",'M3'!B$300:B$400,0)),"  ")</f>
        <v xml:space="preserve">  </v>
      </c>
      <c r="P81" s="686" t="str">
        <f>IFERROR(INDEX('M4'!C$300:C$400,MATCH("*"&amp;B81&amp;"*",'M4'!B$300:B$400,0)),"  ")</f>
        <v xml:space="preserve">  </v>
      </c>
      <c r="Q81" s="686" t="str">
        <f>IFERROR(INDEX('M5'!C$300:C$400,MATCH("*"&amp;B81&amp;"*",'M5'!B$300:B$400,0)),"  ")</f>
        <v xml:space="preserve">  </v>
      </c>
      <c r="R81" s="687">
        <f t="shared" si="39"/>
        <v>0</v>
      </c>
      <c r="S81" s="688">
        <f t="shared" si="40"/>
        <v>0</v>
      </c>
      <c r="T81" s="688">
        <f t="shared" si="41"/>
        <v>0</v>
      </c>
      <c r="U81" s="642"/>
      <c r="V81" s="689"/>
      <c r="W81" s="690"/>
      <c r="X81" s="690"/>
      <c r="Y81" s="690"/>
      <c r="Z81" s="690"/>
      <c r="AA81" s="689">
        <f t="shared" si="42"/>
        <v>1E-4</v>
      </c>
      <c r="AB81" s="690">
        <f t="shared" si="43"/>
        <v>1E-4</v>
      </c>
      <c r="AC81" s="690">
        <f t="shared" si="44"/>
        <v>2.0000000000000001E-4</v>
      </c>
      <c r="AD81" s="690">
        <f t="shared" si="45"/>
        <v>2.9999999999999997E-4</v>
      </c>
      <c r="AE81" s="690">
        <f t="shared" si="46"/>
        <v>4.0000000000000002E-4</v>
      </c>
      <c r="AF81" s="690">
        <f t="shared" si="47"/>
        <v>5.0000000000000001E-4</v>
      </c>
    </row>
    <row r="82" spans="1:32" hidden="1" x14ac:dyDescent="0.2">
      <c r="A82" s="680" t="str">
        <f t="shared" si="32"/>
        <v/>
      </c>
      <c r="B82" s="681" t="s">
        <v>212</v>
      </c>
      <c r="C82" s="682"/>
      <c r="D82" s="683"/>
      <c r="E82" s="673">
        <f>(IF(COUNT(M82,N82,O82,P82,Q82)&lt;4,SUM(M82,N82,O82,P82,Q82),SUM(LARGE((M82,N82,O82,P82,Q82),{1;2;3;4}))))</f>
        <v>0</v>
      </c>
      <c r="F82" s="684" t="str">
        <f>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amp;INDEX(ETAPP!B$1:B$32,MATCH(COUNTIF(M82:Q82,#REF!),ETAPP!A$1:A$32,0))</f>
        <v>0000000000000000000</v>
      </c>
      <c r="G82" s="684" t="str">
        <f t="shared" si="33"/>
        <v>000,0-0000000000000000000</v>
      </c>
      <c r="H82" s="684">
        <f t="shared" si="34"/>
        <v>149</v>
      </c>
      <c r="I82" s="684">
        <f t="shared" si="35"/>
        <v>114</v>
      </c>
      <c r="J82" s="684" t="str">
        <f t="shared" si="36"/>
        <v>000,0-0000000000000000000-114</v>
      </c>
      <c r="K82" s="684">
        <f t="shared" si="37"/>
        <v>76</v>
      </c>
      <c r="L82" s="685">
        <f t="shared" si="38"/>
        <v>74</v>
      </c>
      <c r="M82" s="686" t="str">
        <f>IFERROR(INDEX('M1'!C$300:C$400,MATCH("*"&amp;B82&amp;"*",'M1'!B$300:B$400,0)),"  ")</f>
        <v xml:space="preserve">  </v>
      </c>
      <c r="N82" s="686" t="str">
        <f>IFERROR(INDEX('M2'!C$300:C$400,MATCH("*"&amp;B82&amp;"*",'M2'!B$300:B$400,0)),"  ")</f>
        <v xml:space="preserve">  </v>
      </c>
      <c r="O82" s="686" t="str">
        <f>IFERROR(INDEX('M3'!C$300:C$400,MATCH("*"&amp;B82&amp;"*",'M3'!B$300:B$400,0)),"  ")</f>
        <v xml:space="preserve">  </v>
      </c>
      <c r="P82" s="686" t="str">
        <f>IFERROR(INDEX('M4'!C$300:C$400,MATCH("*"&amp;B82&amp;"*",'M4'!B$300:B$400,0)),"  ")</f>
        <v xml:space="preserve">  </v>
      </c>
      <c r="Q82" s="686" t="str">
        <f>IFERROR(INDEX('M5'!C$300:C$400,MATCH("*"&amp;B82&amp;"*",'M5'!B$300:B$400,0)),"  ")</f>
        <v xml:space="preserve">  </v>
      </c>
      <c r="R82" s="687">
        <f t="shared" si="39"/>
        <v>0</v>
      </c>
      <c r="S82" s="688">
        <f t="shared" si="40"/>
        <v>0</v>
      </c>
      <c r="T82" s="688">
        <f t="shared" si="41"/>
        <v>0</v>
      </c>
      <c r="U82" s="642"/>
      <c r="V82" s="689"/>
      <c r="W82" s="690"/>
      <c r="X82" s="690"/>
      <c r="Y82" s="690"/>
      <c r="Z82" s="690"/>
      <c r="AA82" s="689">
        <f t="shared" si="42"/>
        <v>1E-4</v>
      </c>
      <c r="AB82" s="690">
        <f t="shared" si="43"/>
        <v>1E-4</v>
      </c>
      <c r="AC82" s="690">
        <f t="shared" si="44"/>
        <v>2.0000000000000001E-4</v>
      </c>
      <c r="AD82" s="690">
        <f t="shared" si="45"/>
        <v>2.9999999999999997E-4</v>
      </c>
      <c r="AE82" s="690">
        <f t="shared" si="46"/>
        <v>4.0000000000000002E-4</v>
      </c>
      <c r="AF82" s="690">
        <f t="shared" si="47"/>
        <v>5.0000000000000001E-4</v>
      </c>
    </row>
    <row r="83" spans="1:32" hidden="1" x14ac:dyDescent="0.2">
      <c r="A83" s="680" t="str">
        <f t="shared" si="32"/>
        <v/>
      </c>
      <c r="B83" s="681" t="s">
        <v>213</v>
      </c>
      <c r="C83" s="682"/>
      <c r="D83" s="683"/>
      <c r="E83" s="673">
        <f>(IF(COUNT(M83,N83,O83,P83,Q83)&lt;4,SUM(M83,N83,O83,P83,Q83),SUM(LARGE((M83,N83,O83,P83,Q83),{1;2;3;4}))))</f>
        <v>0</v>
      </c>
      <c r="F83" s="684" t="str">
        <f>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amp;INDEX(ETAPP!B$1:B$32,MATCH(COUNTIF(M83:Q83,#REF!),ETAPP!A$1:A$32,0))</f>
        <v>0000000000000000000</v>
      </c>
      <c r="G83" s="684" t="str">
        <f t="shared" si="33"/>
        <v>000,0-0000000000000000000</v>
      </c>
      <c r="H83" s="684">
        <f t="shared" si="34"/>
        <v>149</v>
      </c>
      <c r="I83" s="684">
        <f t="shared" si="35"/>
        <v>113</v>
      </c>
      <c r="J83" s="684" t="str">
        <f t="shared" si="36"/>
        <v>000,0-0000000000000000000-113</v>
      </c>
      <c r="K83" s="684">
        <f t="shared" si="37"/>
        <v>77</v>
      </c>
      <c r="L83" s="685">
        <f t="shared" si="38"/>
        <v>73</v>
      </c>
      <c r="M83" s="686" t="str">
        <f>IFERROR(INDEX('M1'!C$300:C$400,MATCH("*"&amp;B83&amp;"*",'M1'!B$300:B$400,0)),"  ")</f>
        <v xml:space="preserve">  </v>
      </c>
      <c r="N83" s="686" t="str">
        <f>IFERROR(INDEX('M2'!C$300:C$400,MATCH("*"&amp;B83&amp;"*",'M2'!B$300:B$400,0)),"  ")</f>
        <v xml:space="preserve">  </v>
      </c>
      <c r="O83" s="686" t="str">
        <f>IFERROR(INDEX('M3'!C$300:C$400,MATCH("*"&amp;B83&amp;"*",'M3'!B$300:B$400,0)),"  ")</f>
        <v xml:space="preserve">  </v>
      </c>
      <c r="P83" s="686" t="str">
        <f>IFERROR(INDEX('M4'!C$300:C$400,MATCH("*"&amp;B83&amp;"*",'M4'!B$300:B$400,0)),"  ")</f>
        <v xml:space="preserve">  </v>
      </c>
      <c r="Q83" s="686" t="str">
        <f>IFERROR(INDEX('M5'!C$300:C$400,MATCH("*"&amp;B83&amp;"*",'M5'!B$300:B$400,0)),"  ")</f>
        <v xml:space="preserve">  </v>
      </c>
      <c r="R83" s="687">
        <f t="shared" si="39"/>
        <v>0</v>
      </c>
      <c r="S83" s="688">
        <f t="shared" si="40"/>
        <v>0</v>
      </c>
      <c r="T83" s="688">
        <f t="shared" si="41"/>
        <v>0</v>
      </c>
      <c r="U83" s="642"/>
      <c r="V83" s="689"/>
      <c r="W83" s="690"/>
      <c r="X83" s="690"/>
      <c r="Y83" s="690"/>
      <c r="Z83" s="690"/>
      <c r="AA83" s="689">
        <f t="shared" si="42"/>
        <v>1E-4</v>
      </c>
      <c r="AB83" s="690">
        <f t="shared" si="43"/>
        <v>1E-4</v>
      </c>
      <c r="AC83" s="690">
        <f t="shared" si="44"/>
        <v>2.0000000000000001E-4</v>
      </c>
      <c r="AD83" s="690">
        <f t="shared" si="45"/>
        <v>2.9999999999999997E-4</v>
      </c>
      <c r="AE83" s="690">
        <f t="shared" si="46"/>
        <v>4.0000000000000002E-4</v>
      </c>
      <c r="AF83" s="690">
        <f t="shared" si="47"/>
        <v>5.0000000000000001E-4</v>
      </c>
    </row>
    <row r="84" spans="1:32" hidden="1" x14ac:dyDescent="0.2">
      <c r="A84" s="680" t="str">
        <f t="shared" si="32"/>
        <v/>
      </c>
      <c r="B84" s="681" t="s">
        <v>214</v>
      </c>
      <c r="C84" s="682"/>
      <c r="D84" s="683"/>
      <c r="E84" s="673">
        <f>(IF(COUNT(M84,N84,O84,P84,Q84)&lt;4,SUM(M84,N84,O84,P84,Q84),SUM(LARGE((M84,N84,O84,P84,Q84),{1;2;3;4}))))</f>
        <v>0</v>
      </c>
      <c r="F84" s="684" t="str">
        <f>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amp;INDEX(ETAPP!B$1:B$32,MATCH(COUNTIF(M84:Q84,#REF!),ETAPP!A$1:A$32,0))</f>
        <v>0000000000000000000</v>
      </c>
      <c r="G84" s="684" t="str">
        <f t="shared" si="33"/>
        <v>000,0-0000000000000000000</v>
      </c>
      <c r="H84" s="684">
        <f t="shared" si="34"/>
        <v>149</v>
      </c>
      <c r="I84" s="684">
        <f t="shared" si="35"/>
        <v>111</v>
      </c>
      <c r="J84" s="684" t="str">
        <f t="shared" si="36"/>
        <v>000,0-0000000000000000000-111</v>
      </c>
      <c r="K84" s="684">
        <f t="shared" si="37"/>
        <v>78</v>
      </c>
      <c r="L84" s="685">
        <f t="shared" si="38"/>
        <v>72</v>
      </c>
      <c r="M84" s="686" t="str">
        <f>IFERROR(INDEX('M1'!C$300:C$400,MATCH("*"&amp;B84&amp;"*",'M1'!B$300:B$400,0)),"  ")</f>
        <v xml:space="preserve">  </v>
      </c>
      <c r="N84" s="686" t="str">
        <f>IFERROR(INDEX('M2'!C$300:C$400,MATCH("*"&amp;B84&amp;"*",'M2'!B$300:B$400,0)),"  ")</f>
        <v xml:space="preserve">  </v>
      </c>
      <c r="O84" s="686" t="str">
        <f>IFERROR(INDEX('M3'!C$300:C$400,MATCH("*"&amp;B84&amp;"*",'M3'!B$300:B$400,0)),"  ")</f>
        <v xml:space="preserve">  </v>
      </c>
      <c r="P84" s="686" t="str">
        <f>IFERROR(INDEX('M4'!C$300:C$400,MATCH("*"&amp;B84&amp;"*",'M4'!B$300:B$400,0)),"  ")</f>
        <v xml:space="preserve">  </v>
      </c>
      <c r="Q84" s="686" t="str">
        <f>IFERROR(INDEX('M5'!C$300:C$400,MATCH("*"&amp;B84&amp;"*",'M5'!B$300:B$400,0)),"  ")</f>
        <v xml:space="preserve">  </v>
      </c>
      <c r="R84" s="687">
        <f t="shared" si="39"/>
        <v>0</v>
      </c>
      <c r="S84" s="688">
        <f t="shared" si="40"/>
        <v>0</v>
      </c>
      <c r="T84" s="688">
        <f t="shared" si="41"/>
        <v>0</v>
      </c>
      <c r="U84" s="642"/>
      <c r="V84" s="689"/>
      <c r="W84" s="690"/>
      <c r="X84" s="690"/>
      <c r="Y84" s="690"/>
      <c r="Z84" s="690"/>
      <c r="AA84" s="689">
        <f t="shared" si="42"/>
        <v>1E-4</v>
      </c>
      <c r="AB84" s="690">
        <f t="shared" si="43"/>
        <v>1E-4</v>
      </c>
      <c r="AC84" s="690">
        <f t="shared" si="44"/>
        <v>2.0000000000000001E-4</v>
      </c>
      <c r="AD84" s="690">
        <f t="shared" si="45"/>
        <v>2.9999999999999997E-4</v>
      </c>
      <c r="AE84" s="690">
        <f t="shared" si="46"/>
        <v>4.0000000000000002E-4</v>
      </c>
      <c r="AF84" s="690">
        <f t="shared" si="47"/>
        <v>5.0000000000000001E-4</v>
      </c>
    </row>
    <row r="85" spans="1:32" hidden="1" x14ac:dyDescent="0.2">
      <c r="A85" s="680" t="str">
        <f t="shared" si="32"/>
        <v/>
      </c>
      <c r="B85" s="681" t="s">
        <v>215</v>
      </c>
      <c r="C85" s="682"/>
      <c r="D85" s="683"/>
      <c r="E85" s="673">
        <f>(IF(COUNT(M85,N85,O85,P85,Q85)&lt;4,SUM(M85,N85,O85,P85,Q85),SUM(LARGE((M85,N85,O85,P85,Q85),{1;2;3;4}))))</f>
        <v>0</v>
      </c>
      <c r="F85" s="684" t="str">
        <f>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amp;INDEX(ETAPP!B$1:B$32,MATCH(COUNTIF(M85:Q85,#REF!),ETAPP!A$1:A$32,0))</f>
        <v>0000000000000000000</v>
      </c>
      <c r="G85" s="684" t="str">
        <f t="shared" si="33"/>
        <v>000,0-0000000000000000000</v>
      </c>
      <c r="H85" s="684">
        <f t="shared" si="34"/>
        <v>149</v>
      </c>
      <c r="I85" s="684">
        <f t="shared" si="35"/>
        <v>109</v>
      </c>
      <c r="J85" s="684" t="str">
        <f t="shared" si="36"/>
        <v>000,0-0000000000000000000-109</v>
      </c>
      <c r="K85" s="684">
        <f t="shared" si="37"/>
        <v>79</v>
      </c>
      <c r="L85" s="685">
        <f t="shared" si="38"/>
        <v>71</v>
      </c>
      <c r="M85" s="686" t="str">
        <f>IFERROR(INDEX('M1'!C$300:C$400,MATCH("*"&amp;B85&amp;"*",'M1'!B$300:B$400,0)),"  ")</f>
        <v xml:space="preserve">  </v>
      </c>
      <c r="N85" s="686" t="str">
        <f>IFERROR(INDEX('M2'!C$300:C$400,MATCH("*"&amp;B85&amp;"*",'M2'!B$300:B$400,0)),"  ")</f>
        <v xml:space="preserve">  </v>
      </c>
      <c r="O85" s="686" t="str">
        <f>IFERROR(INDEX('M3'!C$300:C$400,MATCH("*"&amp;B85&amp;"*",'M3'!B$300:B$400,0)),"  ")</f>
        <v xml:space="preserve">  </v>
      </c>
      <c r="P85" s="686" t="str">
        <f>IFERROR(INDEX('M4'!C$300:C$400,MATCH("*"&amp;B85&amp;"*",'M4'!B$300:B$400,0)),"  ")</f>
        <v xml:space="preserve">  </v>
      </c>
      <c r="Q85" s="686" t="str">
        <f>IFERROR(INDEX('M5'!C$300:C$400,MATCH("*"&amp;B85&amp;"*",'M5'!B$300:B$400,0)),"  ")</f>
        <v xml:space="preserve">  </v>
      </c>
      <c r="R85" s="687">
        <f t="shared" si="39"/>
        <v>0</v>
      </c>
      <c r="S85" s="688">
        <f t="shared" si="40"/>
        <v>0</v>
      </c>
      <c r="T85" s="688">
        <f t="shared" si="41"/>
        <v>0</v>
      </c>
      <c r="U85" s="642"/>
      <c r="V85" s="689"/>
      <c r="W85" s="690"/>
      <c r="X85" s="690"/>
      <c r="Y85" s="690"/>
      <c r="Z85" s="690"/>
      <c r="AA85" s="689">
        <f t="shared" si="42"/>
        <v>1E-4</v>
      </c>
      <c r="AB85" s="690">
        <f t="shared" si="43"/>
        <v>1E-4</v>
      </c>
      <c r="AC85" s="690">
        <f t="shared" si="44"/>
        <v>2.0000000000000001E-4</v>
      </c>
      <c r="AD85" s="690">
        <f t="shared" si="45"/>
        <v>2.9999999999999997E-4</v>
      </c>
      <c r="AE85" s="690">
        <f t="shared" si="46"/>
        <v>4.0000000000000002E-4</v>
      </c>
      <c r="AF85" s="690">
        <f t="shared" si="47"/>
        <v>5.0000000000000001E-4</v>
      </c>
    </row>
    <row r="86" spans="1:32" hidden="1" x14ac:dyDescent="0.2">
      <c r="A86" s="680" t="str">
        <f t="shared" si="32"/>
        <v/>
      </c>
      <c r="B86" s="681" t="s">
        <v>216</v>
      </c>
      <c r="C86" s="682"/>
      <c r="D86" s="683"/>
      <c r="E86" s="673">
        <f>(IF(COUNT(M86,N86,O86,P86,Q86)&lt;4,SUM(M86,N86,O86,P86,Q86),SUM(LARGE((M86,N86,O86,P86,Q86),{1;2;3;4}))))</f>
        <v>0</v>
      </c>
      <c r="F86" s="684" t="str">
        <f>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amp;INDEX(ETAPP!B$1:B$32,MATCH(COUNTIF(M86:Q86,#REF!),ETAPP!A$1:A$32,0))</f>
        <v>0000000000000000000</v>
      </c>
      <c r="G86" s="684" t="str">
        <f t="shared" si="33"/>
        <v>000,0-0000000000000000000</v>
      </c>
      <c r="H86" s="684">
        <f t="shared" si="34"/>
        <v>149</v>
      </c>
      <c r="I86" s="684">
        <f t="shared" si="35"/>
        <v>108</v>
      </c>
      <c r="J86" s="684" t="str">
        <f t="shared" si="36"/>
        <v>000,0-0000000000000000000-108</v>
      </c>
      <c r="K86" s="684">
        <f t="shared" si="37"/>
        <v>80</v>
      </c>
      <c r="L86" s="685">
        <f t="shared" si="38"/>
        <v>70</v>
      </c>
      <c r="M86" s="686" t="str">
        <f>IFERROR(INDEX('M1'!C$300:C$400,MATCH("*"&amp;B86&amp;"*",'M1'!B$300:B$400,0)),"  ")</f>
        <v xml:space="preserve">  </v>
      </c>
      <c r="N86" s="686" t="str">
        <f>IFERROR(INDEX('M2'!C$300:C$400,MATCH("*"&amp;B86&amp;"*",'M2'!B$300:B$400,0)),"  ")</f>
        <v xml:space="preserve">  </v>
      </c>
      <c r="O86" s="686" t="str">
        <f>IFERROR(INDEX('M3'!C$300:C$400,MATCH("*"&amp;B86&amp;"*",'M3'!B$300:B$400,0)),"  ")</f>
        <v xml:space="preserve">  </v>
      </c>
      <c r="P86" s="686" t="str">
        <f>IFERROR(INDEX('M4'!C$300:C$400,MATCH("*"&amp;B86&amp;"*",'M4'!B$300:B$400,0)),"  ")</f>
        <v xml:space="preserve">  </v>
      </c>
      <c r="Q86" s="686" t="str">
        <f>IFERROR(INDEX('M5'!C$300:C$400,MATCH("*"&amp;B86&amp;"*",'M5'!B$300:B$400,0)),"  ")</f>
        <v xml:space="preserve">  </v>
      </c>
      <c r="R86" s="687">
        <f t="shared" si="39"/>
        <v>0</v>
      </c>
      <c r="S86" s="688">
        <f t="shared" si="40"/>
        <v>0</v>
      </c>
      <c r="T86" s="688">
        <f t="shared" si="41"/>
        <v>0</v>
      </c>
      <c r="U86" s="642"/>
      <c r="V86" s="689"/>
      <c r="W86" s="690"/>
      <c r="X86" s="690"/>
      <c r="Y86" s="690"/>
      <c r="Z86" s="690"/>
      <c r="AA86" s="689">
        <f t="shared" si="42"/>
        <v>1E-4</v>
      </c>
      <c r="AB86" s="690">
        <f t="shared" si="43"/>
        <v>1E-4</v>
      </c>
      <c r="AC86" s="690">
        <f t="shared" si="44"/>
        <v>2.0000000000000001E-4</v>
      </c>
      <c r="AD86" s="690">
        <f t="shared" si="45"/>
        <v>2.9999999999999997E-4</v>
      </c>
      <c r="AE86" s="690">
        <f t="shared" si="46"/>
        <v>4.0000000000000002E-4</v>
      </c>
      <c r="AF86" s="690">
        <f t="shared" si="47"/>
        <v>5.0000000000000001E-4</v>
      </c>
    </row>
    <row r="87" spans="1:32" hidden="1" x14ac:dyDescent="0.2">
      <c r="A87" s="680" t="str">
        <f t="shared" si="32"/>
        <v/>
      </c>
      <c r="B87" s="681" t="s">
        <v>151</v>
      </c>
      <c r="C87" s="682"/>
      <c r="D87" s="683"/>
      <c r="E87" s="673">
        <f>(IF(COUNT(M87,N87,O87,P87,Q87)&lt;4,SUM(M87,N87,O87,P87,Q87),SUM(LARGE((M87,N87,O87,P87,Q87),{1;2;3;4}))))</f>
        <v>0</v>
      </c>
      <c r="F87" s="684" t="str">
        <f>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amp;INDEX(ETAPP!B$1:B$32,MATCH(COUNTIF(M87:Q87,#REF!),ETAPP!A$1:A$32,0))</f>
        <v>0000000000000000000</v>
      </c>
      <c r="G87" s="684" t="str">
        <f t="shared" si="33"/>
        <v>000,0-0000000000000000000</v>
      </c>
      <c r="H87" s="684">
        <f t="shared" si="34"/>
        <v>149</v>
      </c>
      <c r="I87" s="684">
        <f t="shared" si="35"/>
        <v>107</v>
      </c>
      <c r="J87" s="684" t="str">
        <f t="shared" si="36"/>
        <v>000,0-0000000000000000000-107</v>
      </c>
      <c r="K87" s="684">
        <f t="shared" si="37"/>
        <v>81</v>
      </c>
      <c r="L87" s="685">
        <f t="shared" si="38"/>
        <v>69</v>
      </c>
      <c r="M87" s="686" t="str">
        <f>IFERROR(INDEX('M1'!C$300:C$400,MATCH("*"&amp;B87&amp;"*",'M1'!B$300:B$400,0)),"  ")</f>
        <v xml:space="preserve">  </v>
      </c>
      <c r="N87" s="686" t="str">
        <f>IFERROR(INDEX('M2'!C$300:C$400,MATCH("*"&amp;B87&amp;"*",'M2'!B$300:B$400,0)),"  ")</f>
        <v xml:space="preserve">  </v>
      </c>
      <c r="O87" s="686" t="str">
        <f>IFERROR(INDEX('M3'!C$300:C$400,MATCH("*"&amp;B87&amp;"*",'M3'!B$300:B$400,0)),"  ")</f>
        <v xml:space="preserve">  </v>
      </c>
      <c r="P87" s="686" t="str">
        <f>IFERROR(INDEX('M4'!C$300:C$400,MATCH("*"&amp;B87&amp;"*",'M4'!B$300:B$400,0)),"  ")</f>
        <v xml:space="preserve">  </v>
      </c>
      <c r="Q87" s="686" t="str">
        <f>IFERROR(INDEX('M5'!C$300:C$400,MATCH("*"&amp;B87&amp;"*",'M5'!B$300:B$400,0)),"  ")</f>
        <v xml:space="preserve">  </v>
      </c>
      <c r="R87" s="687">
        <f t="shared" si="39"/>
        <v>0</v>
      </c>
      <c r="S87" s="688">
        <f t="shared" si="40"/>
        <v>0</v>
      </c>
      <c r="T87" s="688">
        <f t="shared" si="41"/>
        <v>0</v>
      </c>
      <c r="U87" s="642"/>
      <c r="V87" s="689"/>
      <c r="W87" s="690"/>
      <c r="X87" s="690"/>
      <c r="Y87" s="690"/>
      <c r="Z87" s="690"/>
      <c r="AA87" s="689">
        <f t="shared" si="42"/>
        <v>1E-4</v>
      </c>
      <c r="AB87" s="690">
        <f t="shared" si="43"/>
        <v>1E-4</v>
      </c>
      <c r="AC87" s="690">
        <f t="shared" si="44"/>
        <v>2.0000000000000001E-4</v>
      </c>
      <c r="AD87" s="690">
        <f t="shared" si="45"/>
        <v>2.9999999999999997E-4</v>
      </c>
      <c r="AE87" s="690">
        <f t="shared" si="46"/>
        <v>4.0000000000000002E-4</v>
      </c>
      <c r="AF87" s="690">
        <f t="shared" si="47"/>
        <v>5.0000000000000001E-4</v>
      </c>
    </row>
    <row r="88" spans="1:32" hidden="1" x14ac:dyDescent="0.2">
      <c r="A88" s="680" t="str">
        <f t="shared" si="32"/>
        <v/>
      </c>
      <c r="B88" s="681" t="s">
        <v>152</v>
      </c>
      <c r="C88" s="682"/>
      <c r="D88" s="683"/>
      <c r="E88" s="673">
        <f>(IF(COUNT(M88,N88,O88,P88,Q88)&lt;4,SUM(M88,N88,O88,P88,Q88),SUM(LARGE((M88,N88,O88,P88,Q88),{1;2;3;4}))))</f>
        <v>0</v>
      </c>
      <c r="F88" s="684" t="str">
        <f>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amp;INDEX(ETAPP!B$1:B$32,MATCH(COUNTIF(M88:Q88,#REF!),ETAPP!A$1:A$32,0))</f>
        <v>0000000000000000000</v>
      </c>
      <c r="G88" s="684" t="str">
        <f t="shared" si="33"/>
        <v>000,0-0000000000000000000</v>
      </c>
      <c r="H88" s="684">
        <f t="shared" si="34"/>
        <v>149</v>
      </c>
      <c r="I88" s="684">
        <f t="shared" si="35"/>
        <v>104</v>
      </c>
      <c r="J88" s="684" t="str">
        <f t="shared" si="36"/>
        <v>000,0-0000000000000000000-104</v>
      </c>
      <c r="K88" s="684">
        <f t="shared" si="37"/>
        <v>82</v>
      </c>
      <c r="L88" s="685">
        <f t="shared" si="38"/>
        <v>68</v>
      </c>
      <c r="M88" s="686" t="str">
        <f>IFERROR(INDEX('M1'!C$300:C$400,MATCH("*"&amp;B88&amp;"*",'M1'!B$300:B$400,0)),"  ")</f>
        <v xml:space="preserve">  </v>
      </c>
      <c r="N88" s="686" t="str">
        <f>IFERROR(INDEX('M2'!C$300:C$400,MATCH("*"&amp;B88&amp;"*",'M2'!B$300:B$400,0)),"  ")</f>
        <v xml:space="preserve">  </v>
      </c>
      <c r="O88" s="686" t="str">
        <f>IFERROR(INDEX('M3'!C$300:C$400,MATCH("*"&amp;B88&amp;"*",'M3'!B$300:B$400,0)),"  ")</f>
        <v xml:space="preserve">  </v>
      </c>
      <c r="P88" s="686" t="str">
        <f>IFERROR(INDEX('M4'!C$300:C$400,MATCH("*"&amp;B88&amp;"*",'M4'!B$300:B$400,0)),"  ")</f>
        <v xml:space="preserve">  </v>
      </c>
      <c r="Q88" s="686" t="str">
        <f>IFERROR(INDEX('M5'!C$300:C$400,MATCH("*"&amp;B88&amp;"*",'M5'!B$300:B$400,0)),"  ")</f>
        <v xml:space="preserve">  </v>
      </c>
      <c r="R88" s="687">
        <f t="shared" si="39"/>
        <v>0</v>
      </c>
      <c r="S88" s="688">
        <f t="shared" si="40"/>
        <v>0</v>
      </c>
      <c r="T88" s="688">
        <f t="shared" si="41"/>
        <v>0</v>
      </c>
      <c r="U88" s="642"/>
      <c r="V88" s="689"/>
      <c r="W88" s="690"/>
      <c r="X88" s="690"/>
      <c r="Y88" s="690"/>
      <c r="Z88" s="690"/>
      <c r="AA88" s="689">
        <f t="shared" si="42"/>
        <v>1E-4</v>
      </c>
      <c r="AB88" s="690">
        <f t="shared" si="43"/>
        <v>1E-4</v>
      </c>
      <c r="AC88" s="690">
        <f t="shared" si="44"/>
        <v>2.0000000000000001E-4</v>
      </c>
      <c r="AD88" s="690">
        <f t="shared" si="45"/>
        <v>2.9999999999999997E-4</v>
      </c>
      <c r="AE88" s="690">
        <f t="shared" si="46"/>
        <v>4.0000000000000002E-4</v>
      </c>
      <c r="AF88" s="690">
        <f t="shared" si="47"/>
        <v>5.0000000000000001E-4</v>
      </c>
    </row>
    <row r="89" spans="1:32" hidden="1" x14ac:dyDescent="0.2">
      <c r="A89" s="680" t="str">
        <f t="shared" si="32"/>
        <v/>
      </c>
      <c r="B89" s="681" t="s">
        <v>217</v>
      </c>
      <c r="C89" s="682"/>
      <c r="D89" s="683"/>
      <c r="E89" s="673">
        <f>(IF(COUNT(M89,N89,O89,P89,Q89)&lt;4,SUM(M89,N89,O89,P89,Q89),SUM(LARGE((M89,N89,O89,P89,Q89),{1;2;3;4}))))</f>
        <v>0</v>
      </c>
      <c r="F89" s="684" t="str">
        <f>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amp;INDEX(ETAPP!B$1:B$32,MATCH(COUNTIF(M89:Q89,#REF!),ETAPP!A$1:A$32,0))</f>
        <v>0000000000000000000</v>
      </c>
      <c r="G89" s="684" t="str">
        <f t="shared" si="33"/>
        <v>000,0-0000000000000000000</v>
      </c>
      <c r="H89" s="684">
        <f t="shared" si="34"/>
        <v>149</v>
      </c>
      <c r="I89" s="684">
        <f t="shared" si="35"/>
        <v>101</v>
      </c>
      <c r="J89" s="684" t="str">
        <f t="shared" si="36"/>
        <v>000,0-0000000000000000000-101</v>
      </c>
      <c r="K89" s="684">
        <f t="shared" si="37"/>
        <v>83</v>
      </c>
      <c r="L89" s="685">
        <f t="shared" si="38"/>
        <v>67</v>
      </c>
      <c r="M89" s="686" t="str">
        <f>IFERROR(INDEX('M1'!C$300:C$400,MATCH("*"&amp;B89&amp;"*",'M1'!B$300:B$400,0)),"  ")</f>
        <v xml:space="preserve">  </v>
      </c>
      <c r="N89" s="686" t="str">
        <f>IFERROR(INDEX('M2'!C$300:C$400,MATCH("*"&amp;B89&amp;"*",'M2'!B$300:B$400,0)),"  ")</f>
        <v xml:space="preserve">  </v>
      </c>
      <c r="O89" s="686" t="str">
        <f>IFERROR(INDEX('M3'!C$300:C$400,MATCH("*"&amp;B89&amp;"*",'M3'!B$300:B$400,0)),"  ")</f>
        <v xml:space="preserve">  </v>
      </c>
      <c r="P89" s="686" t="str">
        <f>IFERROR(INDEX('M4'!C$300:C$400,MATCH("*"&amp;B89&amp;"*",'M4'!B$300:B$400,0)),"  ")</f>
        <v xml:space="preserve">  </v>
      </c>
      <c r="Q89" s="686" t="str">
        <f>IFERROR(INDEX('M5'!C$300:C$400,MATCH("*"&amp;B89&amp;"*",'M5'!B$300:B$400,0)),"  ")</f>
        <v xml:space="preserve">  </v>
      </c>
      <c r="R89" s="687">
        <f t="shared" si="39"/>
        <v>0</v>
      </c>
      <c r="S89" s="688">
        <f t="shared" si="40"/>
        <v>0</v>
      </c>
      <c r="T89" s="688">
        <f t="shared" si="41"/>
        <v>0</v>
      </c>
      <c r="U89" s="642"/>
      <c r="V89" s="689"/>
      <c r="W89" s="690"/>
      <c r="X89" s="690"/>
      <c r="Y89" s="690"/>
      <c r="Z89" s="690"/>
      <c r="AA89" s="689">
        <f t="shared" si="42"/>
        <v>1E-4</v>
      </c>
      <c r="AB89" s="690">
        <f t="shared" si="43"/>
        <v>1E-4</v>
      </c>
      <c r="AC89" s="690">
        <f t="shared" si="44"/>
        <v>2.0000000000000001E-4</v>
      </c>
      <c r="AD89" s="690">
        <f t="shared" si="45"/>
        <v>2.9999999999999997E-4</v>
      </c>
      <c r="AE89" s="690">
        <f t="shared" si="46"/>
        <v>4.0000000000000002E-4</v>
      </c>
      <c r="AF89" s="690">
        <f t="shared" si="47"/>
        <v>5.0000000000000001E-4</v>
      </c>
    </row>
    <row r="90" spans="1:32" hidden="1" x14ac:dyDescent="0.2">
      <c r="A90" s="680" t="str">
        <f t="shared" si="32"/>
        <v/>
      </c>
      <c r="B90" s="681" t="s">
        <v>218</v>
      </c>
      <c r="C90" s="682"/>
      <c r="D90" s="683"/>
      <c r="E90" s="673">
        <f>(IF(COUNT(M90,N90,O90,P90,Q90)&lt;4,SUM(M90,N90,O90,P90,Q90),SUM(LARGE((M90,N90,O90,P90,Q90),{1;2;3;4}))))</f>
        <v>0</v>
      </c>
      <c r="F90" s="684" t="str">
        <f>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amp;INDEX(ETAPP!B$1:B$32,MATCH(COUNTIF(M90:Q90,#REF!),ETAPP!A$1:A$32,0))</f>
        <v>0000000000000000000</v>
      </c>
      <c r="G90" s="684" t="str">
        <f t="shared" si="33"/>
        <v>000,0-0000000000000000000</v>
      </c>
      <c r="H90" s="684">
        <f t="shared" si="34"/>
        <v>149</v>
      </c>
      <c r="I90" s="684">
        <f t="shared" si="35"/>
        <v>98</v>
      </c>
      <c r="J90" s="684" t="str">
        <f t="shared" si="36"/>
        <v>000,0-0000000000000000000-098</v>
      </c>
      <c r="K90" s="684">
        <f t="shared" si="37"/>
        <v>84</v>
      </c>
      <c r="L90" s="685">
        <f t="shared" si="38"/>
        <v>66</v>
      </c>
      <c r="M90" s="686" t="str">
        <f>IFERROR(INDEX('M1'!C$300:C$400,MATCH("*"&amp;B90&amp;"*",'M1'!B$300:B$400,0)),"  ")</f>
        <v xml:space="preserve">  </v>
      </c>
      <c r="N90" s="686" t="str">
        <f>IFERROR(INDEX('M2'!C$300:C$400,MATCH("*"&amp;B90&amp;"*",'M2'!B$300:B$400,0)),"  ")</f>
        <v xml:space="preserve">  </v>
      </c>
      <c r="O90" s="686" t="str">
        <f>IFERROR(INDEX('M3'!C$300:C$400,MATCH("*"&amp;B90&amp;"*",'M3'!B$300:B$400,0)),"  ")</f>
        <v xml:space="preserve">  </v>
      </c>
      <c r="P90" s="686" t="str">
        <f>IFERROR(INDEX('M4'!C$300:C$400,MATCH("*"&amp;B90&amp;"*",'M4'!B$300:B$400,0)),"  ")</f>
        <v xml:space="preserve">  </v>
      </c>
      <c r="Q90" s="686" t="str">
        <f>IFERROR(INDEX('M5'!C$300:C$400,MATCH("*"&amp;B90&amp;"*",'M5'!B$300:B$400,0)),"  ")</f>
        <v xml:space="preserve">  </v>
      </c>
      <c r="R90" s="687">
        <f t="shared" si="39"/>
        <v>0</v>
      </c>
      <c r="S90" s="688">
        <f t="shared" si="40"/>
        <v>0</v>
      </c>
      <c r="T90" s="688">
        <f t="shared" si="41"/>
        <v>0</v>
      </c>
      <c r="U90" s="642"/>
      <c r="V90" s="689"/>
      <c r="W90" s="690"/>
      <c r="X90" s="690"/>
      <c r="Y90" s="690"/>
      <c r="Z90" s="690"/>
      <c r="AA90" s="689">
        <f t="shared" si="42"/>
        <v>1E-4</v>
      </c>
      <c r="AB90" s="690">
        <f t="shared" si="43"/>
        <v>1E-4</v>
      </c>
      <c r="AC90" s="690">
        <f t="shared" si="44"/>
        <v>2.0000000000000001E-4</v>
      </c>
      <c r="AD90" s="690">
        <f t="shared" si="45"/>
        <v>2.9999999999999997E-4</v>
      </c>
      <c r="AE90" s="690">
        <f t="shared" si="46"/>
        <v>4.0000000000000002E-4</v>
      </c>
      <c r="AF90" s="690">
        <f t="shared" si="47"/>
        <v>5.0000000000000001E-4</v>
      </c>
    </row>
    <row r="91" spans="1:32" hidden="1" x14ac:dyDescent="0.2">
      <c r="A91" s="680" t="str">
        <f t="shared" si="32"/>
        <v/>
      </c>
      <c r="B91" s="681" t="s">
        <v>219</v>
      </c>
      <c r="C91" s="682" t="s">
        <v>99</v>
      </c>
      <c r="D91" s="683"/>
      <c r="E91" s="673">
        <f>(IF(COUNT(M91,N91,O91,P91,Q91)&lt;4,SUM(M91,N91,O91,P91,Q91),SUM(LARGE((M91,N91,O91,P91,Q91),{1;2;3;4}))))</f>
        <v>0</v>
      </c>
      <c r="F91" s="684" t="str">
        <f>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amp;INDEX(ETAPP!B$1:B$32,MATCH(COUNTIF(M91:Q91,#REF!),ETAPP!A$1:A$32,0))</f>
        <v>0000000000000000000</v>
      </c>
      <c r="G91" s="684" t="str">
        <f t="shared" si="33"/>
        <v>000,0-0000000000000000000</v>
      </c>
      <c r="H91" s="684">
        <f t="shared" si="34"/>
        <v>149</v>
      </c>
      <c r="I91" s="684">
        <f t="shared" si="35"/>
        <v>97</v>
      </c>
      <c r="J91" s="684" t="str">
        <f t="shared" si="36"/>
        <v>000,0-0000000000000000000-097</v>
      </c>
      <c r="K91" s="684">
        <f t="shared" si="37"/>
        <v>85</v>
      </c>
      <c r="L91" s="685">
        <f t="shared" si="38"/>
        <v>65</v>
      </c>
      <c r="M91" s="686" t="str">
        <f>IFERROR(INDEX('M1'!C$300:C$400,MATCH("*"&amp;B91&amp;"*",'M1'!B$300:B$400,0)),"  ")</f>
        <v xml:space="preserve">  </v>
      </c>
      <c r="N91" s="686" t="str">
        <f>IFERROR(INDEX('M2'!C$300:C$400,MATCH("*"&amp;B91&amp;"*",'M2'!B$300:B$400,0)),"  ")</f>
        <v xml:space="preserve">  </v>
      </c>
      <c r="O91" s="686" t="str">
        <f>IFERROR(INDEX('M3'!C$300:C$400,MATCH("*"&amp;B91&amp;"*",'M3'!B$300:B$400,0)),"  ")</f>
        <v xml:space="preserve">  </v>
      </c>
      <c r="P91" s="686" t="str">
        <f>IFERROR(INDEX('M4'!C$300:C$400,MATCH("*"&amp;B91&amp;"*",'M4'!B$300:B$400,0)),"  ")</f>
        <v xml:space="preserve">  </v>
      </c>
      <c r="Q91" s="686" t="str">
        <f>IFERROR(INDEX('M5'!C$300:C$400,MATCH("*"&amp;B91&amp;"*",'M5'!B$300:B$400,0)),"  ")</f>
        <v xml:space="preserve">  </v>
      </c>
      <c r="R91" s="687">
        <f t="shared" si="39"/>
        <v>0</v>
      </c>
      <c r="S91" s="688">
        <f t="shared" si="40"/>
        <v>0</v>
      </c>
      <c r="T91" s="688">
        <f t="shared" si="41"/>
        <v>0</v>
      </c>
      <c r="U91" s="642"/>
      <c r="V91" s="689"/>
      <c r="W91" s="690"/>
      <c r="X91" s="690"/>
      <c r="Y91" s="690"/>
      <c r="Z91" s="690"/>
      <c r="AA91" s="689">
        <f t="shared" si="42"/>
        <v>1E-4</v>
      </c>
      <c r="AB91" s="690">
        <f t="shared" si="43"/>
        <v>1E-4</v>
      </c>
      <c r="AC91" s="690">
        <f t="shared" si="44"/>
        <v>2.0000000000000001E-4</v>
      </c>
      <c r="AD91" s="690">
        <f t="shared" si="45"/>
        <v>2.9999999999999997E-4</v>
      </c>
      <c r="AE91" s="690">
        <f t="shared" si="46"/>
        <v>4.0000000000000002E-4</v>
      </c>
      <c r="AF91" s="690">
        <f t="shared" si="47"/>
        <v>5.0000000000000001E-4</v>
      </c>
    </row>
    <row r="92" spans="1:32" hidden="1" x14ac:dyDescent="0.2">
      <c r="A92" s="680" t="str">
        <f t="shared" si="32"/>
        <v/>
      </c>
      <c r="B92" s="681" t="s">
        <v>9</v>
      </c>
      <c r="C92" s="682"/>
      <c r="D92" s="683"/>
      <c r="E92" s="673">
        <f>(IF(COUNT(M92,N92,O92,P92,Q92)&lt;4,SUM(M92,N92,O92,P92,Q92),SUM(LARGE((M92,N92,O92,P92,Q92),{1;2;3;4}))))</f>
        <v>0</v>
      </c>
      <c r="F92" s="684" t="str">
        <f>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amp;INDEX(ETAPP!B$1:B$32,MATCH(COUNTIF(M92:Q92,#REF!),ETAPP!A$1:A$32,0))</f>
        <v>0000000000000000000</v>
      </c>
      <c r="G92" s="684" t="str">
        <f t="shared" si="33"/>
        <v>000,0-0000000000000000000</v>
      </c>
      <c r="H92" s="684">
        <f t="shared" si="34"/>
        <v>149</v>
      </c>
      <c r="I92" s="684">
        <f t="shared" si="35"/>
        <v>96</v>
      </c>
      <c r="J92" s="684" t="str">
        <f t="shared" si="36"/>
        <v>000,0-0000000000000000000-096</v>
      </c>
      <c r="K92" s="684">
        <f t="shared" si="37"/>
        <v>86</v>
      </c>
      <c r="L92" s="685">
        <f t="shared" si="38"/>
        <v>64</v>
      </c>
      <c r="M92" s="686" t="str">
        <f>IFERROR(INDEX('M1'!C$300:C$400,MATCH("*"&amp;B92&amp;"*",'M1'!B$300:B$400,0)),"  ")</f>
        <v xml:space="preserve">  </v>
      </c>
      <c r="N92" s="686" t="str">
        <f>IFERROR(INDEX('M2'!C$300:C$400,MATCH("*"&amp;B92&amp;"*",'M2'!B$300:B$400,0)),"  ")</f>
        <v xml:space="preserve">  </v>
      </c>
      <c r="O92" s="686" t="str">
        <f>IFERROR(INDEX('M3'!C$300:C$400,MATCH("*"&amp;B92&amp;"*",'M3'!B$300:B$400,0)),"  ")</f>
        <v xml:space="preserve">  </v>
      </c>
      <c r="P92" s="686" t="str">
        <f>IFERROR(INDEX('M4'!C$300:C$400,MATCH("*"&amp;B92&amp;"*",'M4'!B$300:B$400,0)),"  ")</f>
        <v xml:space="preserve">  </v>
      </c>
      <c r="Q92" s="686" t="str">
        <f>IFERROR(INDEX('M5'!C$300:C$400,MATCH("*"&amp;B92&amp;"*",'M5'!B$300:B$400,0)),"  ")</f>
        <v xml:space="preserve">  </v>
      </c>
      <c r="R92" s="687">
        <f t="shared" si="39"/>
        <v>0</v>
      </c>
      <c r="S92" s="688">
        <f t="shared" si="40"/>
        <v>0</v>
      </c>
      <c r="T92" s="688">
        <f t="shared" si="41"/>
        <v>0</v>
      </c>
      <c r="U92" s="642"/>
      <c r="V92" s="689"/>
      <c r="W92" s="690"/>
      <c r="X92" s="690"/>
      <c r="Y92" s="690"/>
      <c r="Z92" s="690"/>
      <c r="AA92" s="689">
        <f t="shared" si="42"/>
        <v>1E-4</v>
      </c>
      <c r="AB92" s="690">
        <f t="shared" si="43"/>
        <v>1E-4</v>
      </c>
      <c r="AC92" s="690">
        <f t="shared" si="44"/>
        <v>2.0000000000000001E-4</v>
      </c>
      <c r="AD92" s="690">
        <f t="shared" si="45"/>
        <v>2.9999999999999997E-4</v>
      </c>
      <c r="AE92" s="690">
        <f t="shared" si="46"/>
        <v>4.0000000000000002E-4</v>
      </c>
      <c r="AF92" s="690">
        <f t="shared" si="47"/>
        <v>5.0000000000000001E-4</v>
      </c>
    </row>
    <row r="93" spans="1:32" hidden="1" x14ac:dyDescent="0.2">
      <c r="A93" s="680" t="str">
        <f t="shared" si="32"/>
        <v/>
      </c>
      <c r="B93" s="681" t="s">
        <v>220</v>
      </c>
      <c r="C93" s="682"/>
      <c r="D93" s="683"/>
      <c r="E93" s="673">
        <f>(IF(COUNT(M93,N93,O93,P93,Q93)&lt;4,SUM(M93,N93,O93,P93,Q93),SUM(LARGE((M93,N93,O93,P93,Q93),{1;2;3;4}))))</f>
        <v>0</v>
      </c>
      <c r="F93" s="684" t="str">
        <f>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amp;INDEX(ETAPP!B$1:B$32,MATCH(COUNTIF(M93:Q93,#REF!),ETAPP!A$1:A$32,0))</f>
        <v>0000000000000000000</v>
      </c>
      <c r="G93" s="684" t="str">
        <f t="shared" si="33"/>
        <v>000,0-0000000000000000000</v>
      </c>
      <c r="H93" s="684">
        <f t="shared" si="34"/>
        <v>149</v>
      </c>
      <c r="I93" s="684">
        <f t="shared" si="35"/>
        <v>95</v>
      </c>
      <c r="J93" s="684" t="str">
        <f t="shared" si="36"/>
        <v>000,0-0000000000000000000-095</v>
      </c>
      <c r="K93" s="684">
        <f t="shared" si="37"/>
        <v>87</v>
      </c>
      <c r="L93" s="685">
        <f t="shared" si="38"/>
        <v>63</v>
      </c>
      <c r="M93" s="686" t="str">
        <f>IFERROR(INDEX('M1'!C$300:C$400,MATCH("*"&amp;B93&amp;"*",'M1'!B$300:B$400,0)),"  ")</f>
        <v xml:space="preserve">  </v>
      </c>
      <c r="N93" s="686" t="str">
        <f>IFERROR(INDEX('M2'!C$300:C$400,MATCH("*"&amp;B93&amp;"*",'M2'!B$300:B$400,0)),"  ")</f>
        <v xml:space="preserve">  </v>
      </c>
      <c r="O93" s="686" t="str">
        <f>IFERROR(INDEX('M3'!C$300:C$400,MATCH("*"&amp;B93&amp;"*",'M3'!B$300:B$400,0)),"  ")</f>
        <v xml:space="preserve">  </v>
      </c>
      <c r="P93" s="686" t="str">
        <f>IFERROR(INDEX('M4'!C$300:C$400,MATCH("*"&amp;B93&amp;"*",'M4'!B$300:B$400,0)),"  ")</f>
        <v xml:space="preserve">  </v>
      </c>
      <c r="Q93" s="686" t="str">
        <f>IFERROR(INDEX('M5'!C$300:C$400,MATCH("*"&amp;B93&amp;"*",'M5'!B$300:B$400,0)),"  ")</f>
        <v xml:space="preserve">  </v>
      </c>
      <c r="R93" s="687">
        <f t="shared" si="39"/>
        <v>0</v>
      </c>
      <c r="S93" s="688">
        <f t="shared" si="40"/>
        <v>0</v>
      </c>
      <c r="T93" s="688">
        <f t="shared" si="41"/>
        <v>0</v>
      </c>
      <c r="U93" s="642"/>
      <c r="V93" s="689"/>
      <c r="W93" s="690"/>
      <c r="X93" s="690"/>
      <c r="Y93" s="690"/>
      <c r="Z93" s="690"/>
      <c r="AA93" s="689">
        <f t="shared" si="42"/>
        <v>1E-4</v>
      </c>
      <c r="AB93" s="690">
        <f t="shared" si="43"/>
        <v>1E-4</v>
      </c>
      <c r="AC93" s="690">
        <f t="shared" si="44"/>
        <v>2.0000000000000001E-4</v>
      </c>
      <c r="AD93" s="690">
        <f t="shared" si="45"/>
        <v>2.9999999999999997E-4</v>
      </c>
      <c r="AE93" s="690">
        <f t="shared" si="46"/>
        <v>4.0000000000000002E-4</v>
      </c>
      <c r="AF93" s="690">
        <f t="shared" si="47"/>
        <v>5.0000000000000001E-4</v>
      </c>
    </row>
    <row r="94" spans="1:32" hidden="1" x14ac:dyDescent="0.2">
      <c r="A94" s="680" t="str">
        <f t="shared" si="32"/>
        <v/>
      </c>
      <c r="B94" s="681" t="s">
        <v>153</v>
      </c>
      <c r="C94" s="682"/>
      <c r="D94" s="683"/>
      <c r="E94" s="673">
        <f>(IF(COUNT(M94,N94,O94,P94,Q94)&lt;4,SUM(M94,N94,O94,P94,Q94),SUM(LARGE((M94,N94,O94,P94,Q94),{1;2;3;4}))))</f>
        <v>0</v>
      </c>
      <c r="F94" s="684" t="str">
        <f>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amp;INDEX(ETAPP!B$1:B$32,MATCH(COUNTIF(M94:Q94,#REF!),ETAPP!A$1:A$32,0))</f>
        <v>0000000000000000000</v>
      </c>
      <c r="G94" s="684" t="str">
        <f t="shared" si="33"/>
        <v>000,0-0000000000000000000</v>
      </c>
      <c r="H94" s="684">
        <f t="shared" si="34"/>
        <v>149</v>
      </c>
      <c r="I94" s="684">
        <f t="shared" si="35"/>
        <v>94</v>
      </c>
      <c r="J94" s="684" t="str">
        <f t="shared" si="36"/>
        <v>000,0-0000000000000000000-094</v>
      </c>
      <c r="K94" s="684">
        <f t="shared" si="37"/>
        <v>88</v>
      </c>
      <c r="L94" s="685">
        <f t="shared" si="38"/>
        <v>62</v>
      </c>
      <c r="M94" s="686" t="str">
        <f>IFERROR(INDEX('M1'!C$300:C$400,MATCH("*"&amp;B94&amp;"*",'M1'!B$300:B$400,0)),"  ")</f>
        <v xml:space="preserve">  </v>
      </c>
      <c r="N94" s="686" t="str">
        <f>IFERROR(INDEX('M2'!C$300:C$400,MATCH("*"&amp;B94&amp;"*",'M2'!B$300:B$400,0)),"  ")</f>
        <v xml:space="preserve">  </v>
      </c>
      <c r="O94" s="686" t="str">
        <f>IFERROR(INDEX('M3'!C$300:C$400,MATCH("*"&amp;B94&amp;"*",'M3'!B$300:B$400,0)),"  ")</f>
        <v xml:space="preserve">  </v>
      </c>
      <c r="P94" s="686" t="str">
        <f>IFERROR(INDEX('M4'!C$300:C$400,MATCH("*"&amp;B94&amp;"*",'M4'!B$300:B$400,0)),"  ")</f>
        <v xml:space="preserve">  </v>
      </c>
      <c r="Q94" s="686" t="str">
        <f>IFERROR(INDEX('M5'!C$300:C$400,MATCH("*"&amp;B94&amp;"*",'M5'!B$300:B$400,0)),"  ")</f>
        <v xml:space="preserve">  </v>
      </c>
      <c r="R94" s="687">
        <f t="shared" si="39"/>
        <v>0</v>
      </c>
      <c r="S94" s="688">
        <f t="shared" si="40"/>
        <v>0</v>
      </c>
      <c r="T94" s="688">
        <f t="shared" si="41"/>
        <v>0</v>
      </c>
      <c r="U94" s="642"/>
      <c r="V94" s="689"/>
      <c r="W94" s="690"/>
      <c r="X94" s="690"/>
      <c r="Y94" s="690"/>
      <c r="Z94" s="690"/>
      <c r="AA94" s="689">
        <f t="shared" si="42"/>
        <v>1E-4</v>
      </c>
      <c r="AB94" s="690">
        <f t="shared" si="43"/>
        <v>1E-4</v>
      </c>
      <c r="AC94" s="690">
        <f t="shared" si="44"/>
        <v>2.0000000000000001E-4</v>
      </c>
      <c r="AD94" s="690">
        <f t="shared" si="45"/>
        <v>2.9999999999999997E-4</v>
      </c>
      <c r="AE94" s="690">
        <f t="shared" si="46"/>
        <v>4.0000000000000002E-4</v>
      </c>
      <c r="AF94" s="690">
        <f t="shared" si="47"/>
        <v>5.0000000000000001E-4</v>
      </c>
    </row>
    <row r="95" spans="1:32" hidden="1" x14ac:dyDescent="0.2">
      <c r="A95" s="680" t="str">
        <f t="shared" si="32"/>
        <v/>
      </c>
      <c r="B95" s="681" t="s">
        <v>154</v>
      </c>
      <c r="C95" s="682"/>
      <c r="D95" s="683"/>
      <c r="E95" s="673">
        <f>(IF(COUNT(M95,N95,O95,P95,Q95)&lt;4,SUM(M95,N95,O95,P95,Q95),SUM(LARGE((M95,N95,O95,P95,Q95),{1;2;3;4}))))</f>
        <v>0</v>
      </c>
      <c r="F95" s="684" t="str">
        <f>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amp;INDEX(ETAPP!B$1:B$32,MATCH(COUNTIF(M95:Q95,#REF!),ETAPP!A$1:A$32,0))</f>
        <v>0000000000000000000</v>
      </c>
      <c r="G95" s="684" t="str">
        <f t="shared" si="33"/>
        <v>000,0-0000000000000000000</v>
      </c>
      <c r="H95" s="684">
        <f t="shared" si="34"/>
        <v>149</v>
      </c>
      <c r="I95" s="684">
        <f t="shared" si="35"/>
        <v>93</v>
      </c>
      <c r="J95" s="684" t="str">
        <f t="shared" si="36"/>
        <v>000,0-0000000000000000000-093</v>
      </c>
      <c r="K95" s="684">
        <f t="shared" si="37"/>
        <v>89</v>
      </c>
      <c r="L95" s="685">
        <f t="shared" si="38"/>
        <v>61</v>
      </c>
      <c r="M95" s="686" t="str">
        <f>IFERROR(INDEX('M1'!C$300:C$400,MATCH("*"&amp;B95&amp;"*",'M1'!B$300:B$400,0)),"  ")</f>
        <v xml:space="preserve">  </v>
      </c>
      <c r="N95" s="686" t="str">
        <f>IFERROR(INDEX('M2'!C$300:C$400,MATCH("*"&amp;B95&amp;"*",'M2'!B$300:B$400,0)),"  ")</f>
        <v xml:space="preserve">  </v>
      </c>
      <c r="O95" s="686" t="str">
        <f>IFERROR(INDEX('M3'!C$300:C$400,MATCH("*"&amp;B95&amp;"*",'M3'!B$300:B$400,0)),"  ")</f>
        <v xml:space="preserve">  </v>
      </c>
      <c r="P95" s="686" t="str">
        <f>IFERROR(INDEX('M4'!C$300:C$400,MATCH("*"&amp;B95&amp;"*",'M4'!B$300:B$400,0)),"  ")</f>
        <v xml:space="preserve">  </v>
      </c>
      <c r="Q95" s="686" t="str">
        <f>IFERROR(INDEX('M5'!C$300:C$400,MATCH("*"&amp;B95&amp;"*",'M5'!B$300:B$400,0)),"  ")</f>
        <v xml:space="preserve">  </v>
      </c>
      <c r="R95" s="687">
        <f t="shared" si="39"/>
        <v>0</v>
      </c>
      <c r="S95" s="688">
        <f t="shared" si="40"/>
        <v>0</v>
      </c>
      <c r="T95" s="688">
        <f t="shared" si="41"/>
        <v>0</v>
      </c>
      <c r="U95" s="642"/>
      <c r="V95" s="689"/>
      <c r="W95" s="690"/>
      <c r="X95" s="690"/>
      <c r="Y95" s="690"/>
      <c r="Z95" s="690"/>
      <c r="AA95" s="689">
        <f t="shared" si="42"/>
        <v>1E-4</v>
      </c>
      <c r="AB95" s="690">
        <f t="shared" si="43"/>
        <v>1E-4</v>
      </c>
      <c r="AC95" s="690">
        <f t="shared" si="44"/>
        <v>2.0000000000000001E-4</v>
      </c>
      <c r="AD95" s="690">
        <f t="shared" si="45"/>
        <v>2.9999999999999997E-4</v>
      </c>
      <c r="AE95" s="690">
        <f t="shared" si="46"/>
        <v>4.0000000000000002E-4</v>
      </c>
      <c r="AF95" s="690">
        <f t="shared" si="47"/>
        <v>5.0000000000000001E-4</v>
      </c>
    </row>
    <row r="96" spans="1:32" hidden="1" x14ac:dyDescent="0.2">
      <c r="A96" s="680" t="str">
        <f t="shared" si="32"/>
        <v/>
      </c>
      <c r="B96" s="681" t="s">
        <v>108</v>
      </c>
      <c r="C96" s="682"/>
      <c r="D96" s="683"/>
      <c r="E96" s="673">
        <f>(IF(COUNT(M96,N96,O96,P96,Q96)&lt;4,SUM(M96,N96,O96,P96,Q96),SUM(LARGE((M96,N96,O96,P96,Q96),{1;2;3;4}))))</f>
        <v>0</v>
      </c>
      <c r="F96" s="684" t="str">
        <f>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amp;INDEX(ETAPP!B$1:B$32,MATCH(COUNTIF(M96:Q96,#REF!),ETAPP!A$1:A$32,0))</f>
        <v>0000000000000000000</v>
      </c>
      <c r="G96" s="684" t="str">
        <f t="shared" si="33"/>
        <v>000,0-0000000000000000000</v>
      </c>
      <c r="H96" s="684">
        <f t="shared" si="34"/>
        <v>149</v>
      </c>
      <c r="I96" s="684">
        <f t="shared" si="35"/>
        <v>92</v>
      </c>
      <c r="J96" s="684" t="str">
        <f t="shared" si="36"/>
        <v>000,0-0000000000000000000-092</v>
      </c>
      <c r="K96" s="684">
        <f t="shared" si="37"/>
        <v>90</v>
      </c>
      <c r="L96" s="685">
        <f t="shared" si="38"/>
        <v>60</v>
      </c>
      <c r="M96" s="686" t="str">
        <f>IFERROR(INDEX('M1'!C$300:C$400,MATCH("*"&amp;B96&amp;"*",'M1'!B$300:B$400,0)),"  ")</f>
        <v xml:space="preserve">  </v>
      </c>
      <c r="N96" s="686" t="str">
        <f>IFERROR(INDEX('M2'!C$300:C$400,MATCH("*"&amp;B96&amp;"*",'M2'!B$300:B$400,0)),"  ")</f>
        <v xml:space="preserve">  </v>
      </c>
      <c r="O96" s="686" t="str">
        <f>IFERROR(INDEX('M3'!C$300:C$400,MATCH("*"&amp;B96&amp;"*",'M3'!B$300:B$400,0)),"  ")</f>
        <v xml:space="preserve">  </v>
      </c>
      <c r="P96" s="686" t="str">
        <f>IFERROR(INDEX('M4'!C$300:C$400,MATCH("*"&amp;B96&amp;"*",'M4'!B$300:B$400,0)),"  ")</f>
        <v xml:space="preserve">  </v>
      </c>
      <c r="Q96" s="686" t="str">
        <f>IFERROR(INDEX('M5'!C$300:C$400,MATCH("*"&amp;B96&amp;"*",'M5'!B$300:B$400,0)),"  ")</f>
        <v xml:space="preserve">  </v>
      </c>
      <c r="R96" s="687">
        <f t="shared" si="39"/>
        <v>0</v>
      </c>
      <c r="S96" s="688">
        <f t="shared" si="40"/>
        <v>0</v>
      </c>
      <c r="T96" s="688">
        <f t="shared" si="41"/>
        <v>0</v>
      </c>
      <c r="U96" s="642"/>
      <c r="V96" s="689"/>
      <c r="W96" s="690"/>
      <c r="X96" s="690"/>
      <c r="Y96" s="690"/>
      <c r="Z96" s="690"/>
      <c r="AA96" s="689">
        <f t="shared" si="42"/>
        <v>1E-4</v>
      </c>
      <c r="AB96" s="690">
        <f t="shared" si="43"/>
        <v>1E-4</v>
      </c>
      <c r="AC96" s="690">
        <f t="shared" si="44"/>
        <v>2.0000000000000001E-4</v>
      </c>
      <c r="AD96" s="690">
        <f t="shared" si="45"/>
        <v>2.9999999999999997E-4</v>
      </c>
      <c r="AE96" s="690">
        <f t="shared" si="46"/>
        <v>4.0000000000000002E-4</v>
      </c>
      <c r="AF96" s="690">
        <f t="shared" si="47"/>
        <v>5.0000000000000001E-4</v>
      </c>
    </row>
    <row r="97" spans="1:32" hidden="1" x14ac:dyDescent="0.2">
      <c r="A97" s="680" t="str">
        <f t="shared" si="32"/>
        <v/>
      </c>
      <c r="B97" s="681" t="s">
        <v>110</v>
      </c>
      <c r="C97" s="682"/>
      <c r="D97" s="683"/>
      <c r="E97" s="673">
        <f>(IF(COUNT(M97,N97,O97,P97,Q97)&lt;4,SUM(M97,N97,O97,P97,Q97),SUM(LARGE((M97,N97,O97,P97,Q97),{1;2;3;4}))))</f>
        <v>0</v>
      </c>
      <c r="F97" s="684" t="str">
        <f>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amp;INDEX(ETAPP!B$1:B$32,MATCH(COUNTIF(M97:Q97,#REF!),ETAPP!A$1:A$32,0))</f>
        <v>0000000000000000000</v>
      </c>
      <c r="G97" s="684" t="str">
        <f t="shared" si="33"/>
        <v>000,0-0000000000000000000</v>
      </c>
      <c r="H97" s="684">
        <f t="shared" si="34"/>
        <v>149</v>
      </c>
      <c r="I97" s="684">
        <f t="shared" si="35"/>
        <v>91</v>
      </c>
      <c r="J97" s="684" t="str">
        <f t="shared" si="36"/>
        <v>000,0-0000000000000000000-091</v>
      </c>
      <c r="K97" s="684">
        <f t="shared" si="37"/>
        <v>91</v>
      </c>
      <c r="L97" s="685">
        <f t="shared" si="38"/>
        <v>59</v>
      </c>
      <c r="M97" s="686" t="str">
        <f>IFERROR(INDEX('M1'!C$300:C$400,MATCH("*"&amp;B97&amp;"*",'M1'!B$300:B$400,0)),"  ")</f>
        <v xml:space="preserve">  </v>
      </c>
      <c r="N97" s="686" t="str">
        <f>IFERROR(INDEX('M2'!C$300:C$400,MATCH("*"&amp;B97&amp;"*",'M2'!B$300:B$400,0)),"  ")</f>
        <v xml:space="preserve">  </v>
      </c>
      <c r="O97" s="686" t="str">
        <f>IFERROR(INDEX('M3'!C$300:C$400,MATCH("*"&amp;B97&amp;"*",'M3'!B$300:B$400,0)),"  ")</f>
        <v xml:space="preserve">  </v>
      </c>
      <c r="P97" s="686" t="str">
        <f>IFERROR(INDEX('M4'!C$300:C$400,MATCH("*"&amp;B97&amp;"*",'M4'!B$300:B$400,0)),"  ")</f>
        <v xml:space="preserve">  </v>
      </c>
      <c r="Q97" s="686" t="str">
        <f>IFERROR(INDEX('M5'!C$300:C$400,MATCH("*"&amp;B97&amp;"*",'M5'!B$300:B$400,0)),"  ")</f>
        <v xml:space="preserve">  </v>
      </c>
      <c r="R97" s="687">
        <f t="shared" si="39"/>
        <v>0</v>
      </c>
      <c r="S97" s="688">
        <f t="shared" si="40"/>
        <v>0</v>
      </c>
      <c r="T97" s="688">
        <f t="shared" si="41"/>
        <v>0</v>
      </c>
      <c r="U97" s="642"/>
      <c r="V97" s="689"/>
      <c r="W97" s="690"/>
      <c r="X97" s="690"/>
      <c r="Y97" s="690"/>
      <c r="Z97" s="690"/>
      <c r="AA97" s="689">
        <f t="shared" si="42"/>
        <v>1E-4</v>
      </c>
      <c r="AB97" s="690">
        <f t="shared" si="43"/>
        <v>1E-4</v>
      </c>
      <c r="AC97" s="690">
        <f t="shared" si="44"/>
        <v>2.0000000000000001E-4</v>
      </c>
      <c r="AD97" s="690">
        <f t="shared" si="45"/>
        <v>2.9999999999999997E-4</v>
      </c>
      <c r="AE97" s="690">
        <f t="shared" si="46"/>
        <v>4.0000000000000002E-4</v>
      </c>
      <c r="AF97" s="690">
        <f t="shared" si="47"/>
        <v>5.0000000000000001E-4</v>
      </c>
    </row>
    <row r="98" spans="1:32" hidden="1" x14ac:dyDescent="0.2">
      <c r="A98" s="680" t="str">
        <f t="shared" si="32"/>
        <v/>
      </c>
      <c r="B98" s="681" t="s">
        <v>193</v>
      </c>
      <c r="C98" s="682" t="s">
        <v>99</v>
      </c>
      <c r="D98" s="683"/>
      <c r="E98" s="673">
        <f>(IF(COUNT(M98,N98,O98,P98,Q98)&lt;4,SUM(M98,N98,O98,P98,Q98),SUM(LARGE((M98,N98,O98,P98,Q98),{1;2;3;4}))))</f>
        <v>0</v>
      </c>
      <c r="F98" s="684" t="str">
        <f>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amp;INDEX(ETAPP!B$1:B$32,MATCH(COUNTIF(M98:Q98,#REF!),ETAPP!A$1:A$32,0))</f>
        <v>0000000000000000000</v>
      </c>
      <c r="G98" s="684" t="str">
        <f t="shared" si="33"/>
        <v>000,0-0000000000000000000</v>
      </c>
      <c r="H98" s="684">
        <f t="shared" si="34"/>
        <v>149</v>
      </c>
      <c r="I98" s="684">
        <f t="shared" si="35"/>
        <v>90</v>
      </c>
      <c r="J98" s="684" t="str">
        <f t="shared" si="36"/>
        <v>000,0-0000000000000000000-090</v>
      </c>
      <c r="K98" s="684">
        <f t="shared" si="37"/>
        <v>92</v>
      </c>
      <c r="L98" s="685">
        <f t="shared" si="38"/>
        <v>58</v>
      </c>
      <c r="M98" s="686" t="str">
        <f>IFERROR(INDEX('M1'!C$300:C$400,MATCH("*"&amp;B98&amp;"*",'M1'!B$300:B$400,0)),"  ")</f>
        <v xml:space="preserve">  </v>
      </c>
      <c r="N98" s="686" t="str">
        <f>IFERROR(INDEX('M2'!C$300:C$400,MATCH("*"&amp;B98&amp;"*",'M2'!B$300:B$400,0)),"  ")</f>
        <v xml:space="preserve">  </v>
      </c>
      <c r="O98" s="686" t="str">
        <f>IFERROR(INDEX('M3'!C$300:C$400,MATCH("*"&amp;B98&amp;"*",'M3'!B$300:B$400,0)),"  ")</f>
        <v xml:space="preserve">  </v>
      </c>
      <c r="P98" s="686" t="str">
        <f>IFERROR(INDEX('M4'!C$300:C$400,MATCH("*"&amp;B98&amp;"*",'M4'!B$300:B$400,0)),"  ")</f>
        <v xml:space="preserve">  </v>
      </c>
      <c r="Q98" s="686" t="str">
        <f>IFERROR(INDEX('M5'!C$300:C$400,MATCH("*"&amp;B98&amp;"*",'M5'!B$300:B$400,0)),"  ")</f>
        <v xml:space="preserve">  </v>
      </c>
      <c r="R98" s="687">
        <f t="shared" si="39"/>
        <v>0</v>
      </c>
      <c r="S98" s="688">
        <f t="shared" si="40"/>
        <v>0</v>
      </c>
      <c r="T98" s="688">
        <f t="shared" si="41"/>
        <v>0</v>
      </c>
      <c r="U98" s="642"/>
      <c r="V98" s="689"/>
      <c r="W98" s="690"/>
      <c r="X98" s="690"/>
      <c r="Y98" s="690"/>
      <c r="Z98" s="690"/>
      <c r="AA98" s="689">
        <f t="shared" si="42"/>
        <v>1E-4</v>
      </c>
      <c r="AB98" s="690">
        <f t="shared" si="43"/>
        <v>1E-4</v>
      </c>
      <c r="AC98" s="690">
        <f t="shared" si="44"/>
        <v>2.0000000000000001E-4</v>
      </c>
      <c r="AD98" s="690">
        <f t="shared" si="45"/>
        <v>2.9999999999999997E-4</v>
      </c>
      <c r="AE98" s="690">
        <f t="shared" si="46"/>
        <v>4.0000000000000002E-4</v>
      </c>
      <c r="AF98" s="690">
        <f t="shared" si="47"/>
        <v>5.0000000000000001E-4</v>
      </c>
    </row>
    <row r="99" spans="1:32" hidden="1" x14ac:dyDescent="0.2">
      <c r="A99" s="680" t="str">
        <f t="shared" si="32"/>
        <v/>
      </c>
      <c r="B99" s="681" t="s">
        <v>221</v>
      </c>
      <c r="C99" s="682" t="s">
        <v>99</v>
      </c>
      <c r="D99" s="683"/>
      <c r="E99" s="673">
        <f>(IF(COUNT(M99,N99,O99,P99,Q99)&lt;4,SUM(M99,N99,O99,P99,Q99),SUM(LARGE((M99,N99,O99,P99,Q99),{1;2;3;4}))))</f>
        <v>0</v>
      </c>
      <c r="F99" s="684" t="str">
        <f>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amp;INDEX(ETAPP!B$1:B$32,MATCH(COUNTIF(M99:Q99,#REF!),ETAPP!A$1:A$32,0))</f>
        <v>0000000000000000000</v>
      </c>
      <c r="G99" s="684" t="str">
        <f t="shared" si="33"/>
        <v>000,0-0000000000000000000</v>
      </c>
      <c r="H99" s="684">
        <f t="shared" si="34"/>
        <v>149</v>
      </c>
      <c r="I99" s="684">
        <f t="shared" si="35"/>
        <v>88</v>
      </c>
      <c r="J99" s="684" t="str">
        <f t="shared" si="36"/>
        <v>000,0-0000000000000000000-088</v>
      </c>
      <c r="K99" s="684">
        <f t="shared" si="37"/>
        <v>93</v>
      </c>
      <c r="L99" s="685">
        <f t="shared" si="38"/>
        <v>57</v>
      </c>
      <c r="M99" s="686" t="str">
        <f>IFERROR(INDEX('M1'!C$300:C$400,MATCH("*"&amp;B99&amp;"*",'M1'!B$300:B$400,0)),"  ")</f>
        <v xml:space="preserve">  </v>
      </c>
      <c r="N99" s="686" t="str">
        <f>IFERROR(INDEX('M2'!C$300:C$400,MATCH("*"&amp;B99&amp;"*",'M2'!B$300:B$400,0)),"  ")</f>
        <v xml:space="preserve">  </v>
      </c>
      <c r="O99" s="686" t="str">
        <f>IFERROR(INDEX('M3'!C$300:C$400,MATCH("*"&amp;B99&amp;"*",'M3'!B$300:B$400,0)),"  ")</f>
        <v xml:space="preserve">  </v>
      </c>
      <c r="P99" s="686" t="str">
        <f>IFERROR(INDEX('M4'!C$300:C$400,MATCH("*"&amp;B99&amp;"*",'M4'!B$300:B$400,0)),"  ")</f>
        <v xml:space="preserve">  </v>
      </c>
      <c r="Q99" s="686" t="str">
        <f>IFERROR(INDEX('M5'!C$300:C$400,MATCH("*"&amp;B99&amp;"*",'M5'!B$300:B$400,0)),"  ")</f>
        <v xml:space="preserve">  </v>
      </c>
      <c r="R99" s="687">
        <f t="shared" si="39"/>
        <v>0</v>
      </c>
      <c r="S99" s="688">
        <f t="shared" si="40"/>
        <v>0</v>
      </c>
      <c r="T99" s="688">
        <f t="shared" si="41"/>
        <v>0</v>
      </c>
      <c r="U99" s="642"/>
      <c r="V99" s="689"/>
      <c r="W99" s="690"/>
      <c r="X99" s="690"/>
      <c r="Y99" s="690"/>
      <c r="Z99" s="690"/>
      <c r="AA99" s="689">
        <f t="shared" si="42"/>
        <v>1E-4</v>
      </c>
      <c r="AB99" s="690">
        <f t="shared" si="43"/>
        <v>1E-4</v>
      </c>
      <c r="AC99" s="690">
        <f t="shared" si="44"/>
        <v>2.0000000000000001E-4</v>
      </c>
      <c r="AD99" s="690">
        <f t="shared" si="45"/>
        <v>2.9999999999999997E-4</v>
      </c>
      <c r="AE99" s="690">
        <f t="shared" si="46"/>
        <v>4.0000000000000002E-4</v>
      </c>
      <c r="AF99" s="690">
        <f t="shared" si="47"/>
        <v>5.0000000000000001E-4</v>
      </c>
    </row>
    <row r="100" spans="1:32" hidden="1" x14ac:dyDescent="0.2">
      <c r="A100" s="680" t="str">
        <f t="shared" si="32"/>
        <v/>
      </c>
      <c r="B100" s="681" t="s">
        <v>222</v>
      </c>
      <c r="C100" s="682"/>
      <c r="D100" s="693" t="s">
        <v>105</v>
      </c>
      <c r="E100" s="673">
        <f>(IF(COUNT(M100,N100,O100,P100,Q100)&lt;4,SUM(M100,N100,O100,P100,Q100),SUM(LARGE((M100,N100,O100,P100,Q100),{1;2;3;4}))))</f>
        <v>0</v>
      </c>
      <c r="F100" s="684" t="str">
        <f>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amp;INDEX(ETAPP!B$1:B$32,MATCH(COUNTIF(M100:Q100,#REF!),ETAPP!A$1:A$32,0))</f>
        <v>0000000000000000000</v>
      </c>
      <c r="G100" s="684" t="str">
        <f t="shared" si="33"/>
        <v>000,0-0000000000000000000</v>
      </c>
      <c r="H100" s="684">
        <f t="shared" si="34"/>
        <v>149</v>
      </c>
      <c r="I100" s="684">
        <f t="shared" si="35"/>
        <v>85</v>
      </c>
      <c r="J100" s="684" t="str">
        <f t="shared" si="36"/>
        <v>000,0-0000000000000000000-085</v>
      </c>
      <c r="K100" s="684">
        <f t="shared" si="37"/>
        <v>94</v>
      </c>
      <c r="L100" s="685">
        <f t="shared" si="38"/>
        <v>56</v>
      </c>
      <c r="M100" s="686" t="str">
        <f>IFERROR(INDEX('M1'!C$300:C$400,MATCH("*"&amp;B100&amp;"*",'M1'!B$300:B$400,0)),"  ")</f>
        <v xml:space="preserve">  </v>
      </c>
      <c r="N100" s="686" t="str">
        <f>IFERROR(INDEX('M2'!C$300:C$400,MATCH("*"&amp;B100&amp;"*",'M2'!B$300:B$400,0)),"  ")</f>
        <v xml:space="preserve">  </v>
      </c>
      <c r="O100" s="686" t="str">
        <f>IFERROR(INDEX('M3'!C$300:C$400,MATCH("*"&amp;B100&amp;"*",'M3'!B$300:B$400,0)),"  ")</f>
        <v xml:space="preserve">  </v>
      </c>
      <c r="P100" s="686" t="str">
        <f>IFERROR(INDEX('M4'!C$300:C$400,MATCH("*"&amp;B100&amp;"*",'M4'!B$300:B$400,0)),"  ")</f>
        <v xml:space="preserve">  </v>
      </c>
      <c r="Q100" s="686" t="str">
        <f>IFERROR(INDEX('M5'!C$300:C$400,MATCH("*"&amp;B100&amp;"*",'M5'!B$300:B$400,0)),"  ")</f>
        <v xml:space="preserve">  </v>
      </c>
      <c r="R100" s="687">
        <f t="shared" si="39"/>
        <v>0</v>
      </c>
      <c r="S100" s="688">
        <f t="shared" si="40"/>
        <v>0</v>
      </c>
      <c r="T100" s="688">
        <f t="shared" si="41"/>
        <v>0</v>
      </c>
      <c r="U100" s="642"/>
      <c r="V100" s="689"/>
      <c r="W100" s="690"/>
      <c r="X100" s="690"/>
      <c r="Y100" s="690"/>
      <c r="Z100" s="690"/>
      <c r="AA100" s="689">
        <f t="shared" si="42"/>
        <v>1E-4</v>
      </c>
      <c r="AB100" s="690">
        <f t="shared" si="43"/>
        <v>1E-4</v>
      </c>
      <c r="AC100" s="690">
        <f t="shared" si="44"/>
        <v>2.0000000000000001E-4</v>
      </c>
      <c r="AD100" s="690">
        <f t="shared" si="45"/>
        <v>2.9999999999999997E-4</v>
      </c>
      <c r="AE100" s="690">
        <f t="shared" si="46"/>
        <v>4.0000000000000002E-4</v>
      </c>
      <c r="AF100" s="690">
        <f t="shared" si="47"/>
        <v>5.0000000000000001E-4</v>
      </c>
    </row>
    <row r="101" spans="1:32" hidden="1" x14ac:dyDescent="0.2">
      <c r="A101" s="680" t="str">
        <f t="shared" si="32"/>
        <v/>
      </c>
      <c r="B101" s="681" t="s">
        <v>126</v>
      </c>
      <c r="C101" s="682" t="s">
        <v>99</v>
      </c>
      <c r="D101" s="683"/>
      <c r="E101" s="673">
        <f>(IF(COUNT(M101,N101,O101,P101,Q101)&lt;4,SUM(M101,N101,O101,P101,Q101),SUM(LARGE((M101,N101,O101,P101,Q101),{1;2;3;4}))))</f>
        <v>0</v>
      </c>
      <c r="F101" s="684" t="str">
        <f>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amp;INDEX(ETAPP!B$1:B$32,MATCH(COUNTIF(M101:Q101,#REF!),ETAPP!A$1:A$32,0))</f>
        <v>0000000000000000000</v>
      </c>
      <c r="G101" s="684" t="str">
        <f t="shared" si="33"/>
        <v>000,0-0000000000000000000</v>
      </c>
      <c r="H101" s="684">
        <f t="shared" si="34"/>
        <v>149</v>
      </c>
      <c r="I101" s="684">
        <f t="shared" si="35"/>
        <v>84</v>
      </c>
      <c r="J101" s="684" t="str">
        <f t="shared" si="36"/>
        <v>000,0-0000000000000000000-084</v>
      </c>
      <c r="K101" s="684">
        <f t="shared" si="37"/>
        <v>95</v>
      </c>
      <c r="L101" s="685">
        <f t="shared" si="38"/>
        <v>55</v>
      </c>
      <c r="M101" s="686" t="str">
        <f>IFERROR(INDEX('M1'!C$300:C$400,MATCH("*"&amp;B101&amp;"*",'M1'!B$300:B$400,0)),"  ")</f>
        <v xml:space="preserve">  </v>
      </c>
      <c r="N101" s="686" t="str">
        <f>IFERROR(INDEX('M2'!C$300:C$400,MATCH("*"&amp;B101&amp;"*",'M2'!B$300:B$400,0)),"  ")</f>
        <v xml:space="preserve">  </v>
      </c>
      <c r="O101" s="686" t="str">
        <f>IFERROR(INDEX('M3'!C$300:C$400,MATCH("*"&amp;B101&amp;"*",'M3'!B$300:B$400,0)),"  ")</f>
        <v xml:space="preserve">  </v>
      </c>
      <c r="P101" s="686" t="str">
        <f>IFERROR(INDEX('M4'!C$300:C$400,MATCH("*"&amp;B101&amp;"*",'M4'!B$300:B$400,0)),"  ")</f>
        <v xml:space="preserve">  </v>
      </c>
      <c r="Q101" s="686" t="str">
        <f>IFERROR(INDEX('M5'!C$300:C$400,MATCH("*"&amp;B101&amp;"*",'M5'!B$300:B$400,0)),"  ")</f>
        <v xml:space="preserve">  </v>
      </c>
      <c r="R101" s="687">
        <f t="shared" si="39"/>
        <v>0</v>
      </c>
      <c r="S101" s="688">
        <f t="shared" si="40"/>
        <v>0</v>
      </c>
      <c r="T101" s="688">
        <f t="shared" si="41"/>
        <v>0</v>
      </c>
      <c r="U101" s="642"/>
      <c r="V101" s="689"/>
      <c r="W101" s="690"/>
      <c r="X101" s="690"/>
      <c r="Y101" s="690"/>
      <c r="Z101" s="690"/>
      <c r="AA101" s="689">
        <f t="shared" si="42"/>
        <v>1E-4</v>
      </c>
      <c r="AB101" s="690">
        <f t="shared" si="43"/>
        <v>1E-4</v>
      </c>
      <c r="AC101" s="690">
        <f t="shared" si="44"/>
        <v>2.0000000000000001E-4</v>
      </c>
      <c r="AD101" s="690">
        <f t="shared" si="45"/>
        <v>2.9999999999999997E-4</v>
      </c>
      <c r="AE101" s="690">
        <f t="shared" si="46"/>
        <v>4.0000000000000002E-4</v>
      </c>
      <c r="AF101" s="690">
        <f t="shared" si="47"/>
        <v>5.0000000000000001E-4</v>
      </c>
    </row>
    <row r="102" spans="1:32" hidden="1" x14ac:dyDescent="0.2">
      <c r="A102" s="680" t="str">
        <f t="shared" si="32"/>
        <v/>
      </c>
      <c r="B102" s="681" t="s">
        <v>197</v>
      </c>
      <c r="C102" s="682" t="s">
        <v>99</v>
      </c>
      <c r="D102" s="683"/>
      <c r="E102" s="673">
        <f>(IF(COUNT(M102,N102,O102,P102,Q102)&lt;4,SUM(M102,N102,O102,P102,Q102),SUM(LARGE((M102,N102,O102,P102,Q102),{1;2;3;4}))))</f>
        <v>0</v>
      </c>
      <c r="F102" s="684" t="str">
        <f>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amp;INDEX(ETAPP!B$1:B$32,MATCH(COUNTIF(M102:Q102,#REF!),ETAPP!A$1:A$32,0))</f>
        <v>0000000000000000000</v>
      </c>
      <c r="G102" s="684" t="str">
        <f t="shared" si="33"/>
        <v>000,0-0000000000000000000</v>
      </c>
      <c r="H102" s="684">
        <f t="shared" si="34"/>
        <v>149</v>
      </c>
      <c r="I102" s="684">
        <f t="shared" si="35"/>
        <v>82</v>
      </c>
      <c r="J102" s="684" t="str">
        <f t="shared" si="36"/>
        <v>000,0-0000000000000000000-082</v>
      </c>
      <c r="K102" s="684">
        <f t="shared" si="37"/>
        <v>96</v>
      </c>
      <c r="L102" s="685">
        <f t="shared" si="38"/>
        <v>54</v>
      </c>
      <c r="M102" s="686" t="str">
        <f>IFERROR(INDEX('M1'!C$300:C$400,MATCH("*"&amp;B102&amp;"*",'M1'!B$300:B$400,0)),"  ")</f>
        <v xml:space="preserve">  </v>
      </c>
      <c r="N102" s="686" t="str">
        <f>IFERROR(INDEX('M2'!C$300:C$400,MATCH("*"&amp;B102&amp;"*",'M2'!B$300:B$400,0)),"  ")</f>
        <v xml:space="preserve">  </v>
      </c>
      <c r="O102" s="686" t="str">
        <f>IFERROR(INDEX('M3'!C$300:C$400,MATCH("*"&amp;B102&amp;"*",'M3'!B$300:B$400,0)),"  ")</f>
        <v xml:space="preserve">  </v>
      </c>
      <c r="P102" s="686" t="str">
        <f>IFERROR(INDEX('M4'!C$300:C$400,MATCH("*"&amp;B102&amp;"*",'M4'!B$300:B$400,0)),"  ")</f>
        <v xml:space="preserve">  </v>
      </c>
      <c r="Q102" s="686" t="str">
        <f>IFERROR(INDEX('M5'!C$300:C$400,MATCH("*"&amp;B102&amp;"*",'M5'!B$300:B$400,0)),"  ")</f>
        <v xml:space="preserve">  </v>
      </c>
      <c r="R102" s="687">
        <f t="shared" si="39"/>
        <v>0</v>
      </c>
      <c r="S102" s="688">
        <f t="shared" si="40"/>
        <v>0</v>
      </c>
      <c r="T102" s="688">
        <f t="shared" si="41"/>
        <v>0</v>
      </c>
      <c r="U102" s="642"/>
      <c r="V102" s="689"/>
      <c r="W102" s="690"/>
      <c r="X102" s="690"/>
      <c r="Y102" s="690"/>
      <c r="Z102" s="690"/>
      <c r="AA102" s="689">
        <f t="shared" si="42"/>
        <v>1E-4</v>
      </c>
      <c r="AB102" s="690">
        <f t="shared" si="43"/>
        <v>1E-4</v>
      </c>
      <c r="AC102" s="690">
        <f t="shared" si="44"/>
        <v>2.0000000000000001E-4</v>
      </c>
      <c r="AD102" s="690">
        <f t="shared" si="45"/>
        <v>2.9999999999999997E-4</v>
      </c>
      <c r="AE102" s="690">
        <f t="shared" si="46"/>
        <v>4.0000000000000002E-4</v>
      </c>
      <c r="AF102" s="690">
        <f t="shared" si="47"/>
        <v>5.0000000000000001E-4</v>
      </c>
    </row>
    <row r="103" spans="1:32" hidden="1" x14ac:dyDescent="0.2">
      <c r="A103" s="680" t="str">
        <f t="shared" ref="A103:A134" si="48">IF(E103&gt;0,RANK(H103,H$7:H$155,1),"")</f>
        <v/>
      </c>
      <c r="B103" s="681" t="s">
        <v>103</v>
      </c>
      <c r="C103" s="682"/>
      <c r="D103" s="683"/>
      <c r="E103" s="673">
        <f>(IF(COUNT(M103,N103,O103,P103,Q103)&lt;4,SUM(M103,N103,O103,P103,Q103),SUM(LARGE((M103,N103,O103,P103,Q103),{1;2;3;4}))))</f>
        <v>0</v>
      </c>
      <c r="F103" s="684" t="str">
        <f>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amp;INDEX(ETAPP!B$1:B$32,MATCH(COUNTIF(M103:Q103,#REF!),ETAPP!A$1:A$32,0))</f>
        <v>0000000000000000000</v>
      </c>
      <c r="G103" s="684" t="str">
        <f t="shared" ref="G103:G134" si="49">TEXT(E103,"000,0")&amp;"-"&amp;F103</f>
        <v>000,0-0000000000000000000</v>
      </c>
      <c r="H103" s="684">
        <f t="shared" ref="H103:H134" si="50">COUNTIF(G$7:G$155,"&gt;="&amp;G103)</f>
        <v>149</v>
      </c>
      <c r="I103" s="684">
        <f t="shared" ref="I103:I134" si="51">COUNTIF(B$7:B$155,"&gt;="&amp;B103)</f>
        <v>81</v>
      </c>
      <c r="J103" s="684" t="str">
        <f t="shared" ref="J103:J134" si="52">TEXT(E103,"000,0")&amp;"-"&amp;F103&amp;"-"&amp;TEXT(I103,"000")</f>
        <v>000,0-0000000000000000000-081</v>
      </c>
      <c r="K103" s="684">
        <f t="shared" ref="K103:K134" si="53">COUNTIF(J$7:J$155,"&gt;="&amp;J103)</f>
        <v>97</v>
      </c>
      <c r="L103" s="685">
        <f t="shared" ref="L103:L134" si="54">RANK(K103,K$7:K$155,0)</f>
        <v>53</v>
      </c>
      <c r="M103" s="686" t="str">
        <f>IFERROR(INDEX('M1'!C$300:C$400,MATCH("*"&amp;B103&amp;"*",'M1'!B$300:B$400,0)),"  ")</f>
        <v xml:space="preserve">  </v>
      </c>
      <c r="N103" s="686" t="str">
        <f>IFERROR(INDEX('M2'!C$300:C$400,MATCH("*"&amp;B103&amp;"*",'M2'!B$300:B$400,0)),"  ")</f>
        <v xml:space="preserve">  </v>
      </c>
      <c r="O103" s="686" t="str">
        <f>IFERROR(INDEX('M3'!C$300:C$400,MATCH("*"&amp;B103&amp;"*",'M3'!B$300:B$400,0)),"  ")</f>
        <v xml:space="preserve">  </v>
      </c>
      <c r="P103" s="686" t="str">
        <f>IFERROR(INDEX('M4'!C$300:C$400,MATCH("*"&amp;B103&amp;"*",'M4'!B$300:B$400,0)),"  ")</f>
        <v xml:space="preserve">  </v>
      </c>
      <c r="Q103" s="686" t="str">
        <f>IFERROR(INDEX('M5'!C$300:C$400,MATCH("*"&amp;B103&amp;"*",'M5'!B$300:B$400,0)),"  ")</f>
        <v xml:space="preserve">  </v>
      </c>
      <c r="R103" s="687">
        <f t="shared" ref="R103:R134" si="55">COUNTIF(M103:Q103,"&gt;=0")</f>
        <v>0</v>
      </c>
      <c r="S103" s="688">
        <f t="shared" ref="S103:S134" si="56">COUNTIF(M103:Q103,"&gt;=30")</f>
        <v>0</v>
      </c>
      <c r="T103" s="688">
        <f t="shared" ref="T103:T134" si="57">COUNTIF(M103:Q103,"=40")</f>
        <v>0</v>
      </c>
      <c r="U103" s="642"/>
      <c r="V103" s="689"/>
      <c r="W103" s="690"/>
      <c r="X103" s="690"/>
      <c r="Y103" s="690"/>
      <c r="Z103" s="690"/>
      <c r="AA103" s="689">
        <f t="shared" ref="AA103:AA134" si="58">SMALL(AB103:AF103,AA$3)</f>
        <v>1E-4</v>
      </c>
      <c r="AB103" s="690">
        <f t="shared" ref="AB103:AB134" si="59">IF(M103="  ",0+MID(M$6,FIND("M",M$6)+1,256)/10000,M103+MID(M$6,FIND("M",M$6)+1,256)/10000)</f>
        <v>1E-4</v>
      </c>
      <c r="AC103" s="690">
        <f t="shared" ref="AC103:AC134" si="60">IF(N103="  ",0+MID(N$6,FIND("M",N$6)+1,256)/10000,N103+MID(N$6,FIND("M",N$6)+1,256)/10000)</f>
        <v>2.0000000000000001E-4</v>
      </c>
      <c r="AD103" s="690">
        <f t="shared" ref="AD103:AD134" si="61">IF(O103="  ",0+MID(O$6,FIND("M",O$6)+1,256)/10000,O103+MID(O$6,FIND("M",O$6)+1,256)/10000)</f>
        <v>2.9999999999999997E-4</v>
      </c>
      <c r="AE103" s="690">
        <f t="shared" ref="AE103:AE134" si="62">IF(P103="  ",0+MID(P$6,FIND("M",P$6)+1,256)/10000,P103+MID(P$6,FIND("M",P$6)+1,256)/10000)</f>
        <v>4.0000000000000002E-4</v>
      </c>
      <c r="AF103" s="690">
        <f t="shared" ref="AF103:AF134" si="63">IF(Q103="  ",0+MID(Q$6,FIND("M",Q$6)+1,256)/10000,Q103+MID(Q$6,FIND("M",Q$6)+1,256)/10000)</f>
        <v>5.0000000000000001E-4</v>
      </c>
    </row>
    <row r="104" spans="1:32" hidden="1" x14ac:dyDescent="0.2">
      <c r="A104" s="680" t="str">
        <f t="shared" si="48"/>
        <v/>
      </c>
      <c r="B104" s="681" t="s">
        <v>198</v>
      </c>
      <c r="C104" s="682" t="s">
        <v>99</v>
      </c>
      <c r="D104" s="683"/>
      <c r="E104" s="673">
        <f>(IF(COUNT(M104,N104,O104,P104,Q104)&lt;4,SUM(M104,N104,O104,P104,Q104),SUM(LARGE((M104,N104,O104,P104,Q104),{1;2;3;4}))))</f>
        <v>0</v>
      </c>
      <c r="F104" s="684" t="str">
        <f>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amp;INDEX(ETAPP!B$1:B$32,MATCH(COUNTIF(M104:Q104,#REF!),ETAPP!A$1:A$32,0))</f>
        <v>0000000000000000000</v>
      </c>
      <c r="G104" s="684" t="str">
        <f t="shared" si="49"/>
        <v>000,0-0000000000000000000</v>
      </c>
      <c r="H104" s="684">
        <f t="shared" si="50"/>
        <v>149</v>
      </c>
      <c r="I104" s="684">
        <f t="shared" si="51"/>
        <v>80</v>
      </c>
      <c r="J104" s="684" t="str">
        <f t="shared" si="52"/>
        <v>000,0-0000000000000000000-080</v>
      </c>
      <c r="K104" s="684">
        <f t="shared" si="53"/>
        <v>98</v>
      </c>
      <c r="L104" s="685">
        <f t="shared" si="54"/>
        <v>52</v>
      </c>
      <c r="M104" s="686" t="str">
        <f>IFERROR(INDEX('M1'!C$300:C$400,MATCH("*"&amp;B104&amp;"*",'M1'!B$300:B$400,0)),"  ")</f>
        <v xml:space="preserve">  </v>
      </c>
      <c r="N104" s="686" t="str">
        <f>IFERROR(INDEX('M2'!C$300:C$400,MATCH("*"&amp;B104&amp;"*",'M2'!B$300:B$400,0)),"  ")</f>
        <v xml:space="preserve">  </v>
      </c>
      <c r="O104" s="686" t="str">
        <f>IFERROR(INDEX('M3'!C$300:C$400,MATCH("*"&amp;B104&amp;"*",'M3'!B$300:B$400,0)),"  ")</f>
        <v xml:space="preserve">  </v>
      </c>
      <c r="P104" s="686" t="str">
        <f>IFERROR(INDEX('M4'!C$300:C$400,MATCH("*"&amp;B104&amp;"*",'M4'!B$300:B$400,0)),"  ")</f>
        <v xml:space="preserve">  </v>
      </c>
      <c r="Q104" s="686" t="str">
        <f>IFERROR(INDEX('M5'!C$300:C$400,MATCH("*"&amp;B104&amp;"*",'M5'!B$300:B$400,0)),"  ")</f>
        <v xml:space="preserve">  </v>
      </c>
      <c r="R104" s="687">
        <f t="shared" si="55"/>
        <v>0</v>
      </c>
      <c r="S104" s="688">
        <f t="shared" si="56"/>
        <v>0</v>
      </c>
      <c r="T104" s="688">
        <f t="shared" si="57"/>
        <v>0</v>
      </c>
      <c r="U104" s="642"/>
      <c r="V104" s="689"/>
      <c r="W104" s="690"/>
      <c r="X104" s="690"/>
      <c r="Y104" s="690"/>
      <c r="Z104" s="690"/>
      <c r="AA104" s="689">
        <f t="shared" si="58"/>
        <v>1E-4</v>
      </c>
      <c r="AB104" s="690">
        <f t="shared" si="59"/>
        <v>1E-4</v>
      </c>
      <c r="AC104" s="690">
        <f t="shared" si="60"/>
        <v>2.0000000000000001E-4</v>
      </c>
      <c r="AD104" s="690">
        <f t="shared" si="61"/>
        <v>2.9999999999999997E-4</v>
      </c>
      <c r="AE104" s="690">
        <f t="shared" si="62"/>
        <v>4.0000000000000002E-4</v>
      </c>
      <c r="AF104" s="690">
        <f t="shared" si="63"/>
        <v>5.0000000000000001E-4</v>
      </c>
    </row>
    <row r="105" spans="1:32" hidden="1" x14ac:dyDescent="0.2">
      <c r="A105" s="680" t="str">
        <f t="shared" si="48"/>
        <v/>
      </c>
      <c r="B105" s="681" t="s">
        <v>223</v>
      </c>
      <c r="C105" s="682"/>
      <c r="D105" s="683"/>
      <c r="E105" s="673">
        <f>(IF(COUNT(M105,N105,O105,P105,Q105)&lt;4,SUM(M105,N105,O105,P105,Q105),SUM(LARGE((M105,N105,O105,P105,Q105),{1;2;3;4}))))</f>
        <v>0</v>
      </c>
      <c r="F105" s="684" t="str">
        <f>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amp;INDEX(ETAPP!B$1:B$32,MATCH(COUNTIF(M105:Q105,#REF!),ETAPP!A$1:A$32,0))</f>
        <v>0000000000000000000</v>
      </c>
      <c r="G105" s="684" t="str">
        <f t="shared" si="49"/>
        <v>000,0-0000000000000000000</v>
      </c>
      <c r="H105" s="684">
        <f t="shared" si="50"/>
        <v>149</v>
      </c>
      <c r="I105" s="684">
        <f t="shared" si="51"/>
        <v>79</v>
      </c>
      <c r="J105" s="684" t="str">
        <f t="shared" si="52"/>
        <v>000,0-0000000000000000000-079</v>
      </c>
      <c r="K105" s="684">
        <f t="shared" si="53"/>
        <v>99</v>
      </c>
      <c r="L105" s="685">
        <f t="shared" si="54"/>
        <v>51</v>
      </c>
      <c r="M105" s="686" t="str">
        <f>IFERROR(INDEX('M1'!C$300:C$400,MATCH("*"&amp;B105&amp;"*",'M1'!B$300:B$400,0)),"  ")</f>
        <v xml:space="preserve">  </v>
      </c>
      <c r="N105" s="686" t="str">
        <f>IFERROR(INDEX('M2'!C$300:C$400,MATCH("*"&amp;B105&amp;"*",'M2'!B$300:B$400,0)),"  ")</f>
        <v xml:space="preserve">  </v>
      </c>
      <c r="O105" s="686" t="str">
        <f>IFERROR(INDEX('M3'!C$300:C$400,MATCH("*"&amp;B105&amp;"*",'M3'!B$300:B$400,0)),"  ")</f>
        <v xml:space="preserve">  </v>
      </c>
      <c r="P105" s="686" t="str">
        <f>IFERROR(INDEX('M4'!C$300:C$400,MATCH("*"&amp;B105&amp;"*",'M4'!B$300:B$400,0)),"  ")</f>
        <v xml:space="preserve">  </v>
      </c>
      <c r="Q105" s="686" t="str">
        <f>IFERROR(INDEX('M5'!C$300:C$400,MATCH("*"&amp;B105&amp;"*",'M5'!B$300:B$400,0)),"  ")</f>
        <v xml:space="preserve">  </v>
      </c>
      <c r="R105" s="687">
        <f t="shared" si="55"/>
        <v>0</v>
      </c>
      <c r="S105" s="688">
        <f t="shared" si="56"/>
        <v>0</v>
      </c>
      <c r="T105" s="688">
        <f t="shared" si="57"/>
        <v>0</v>
      </c>
      <c r="U105" s="642"/>
      <c r="V105" s="689"/>
      <c r="W105" s="690"/>
      <c r="X105" s="690"/>
      <c r="Y105" s="690"/>
      <c r="Z105" s="690"/>
      <c r="AA105" s="689">
        <f t="shared" si="58"/>
        <v>1E-4</v>
      </c>
      <c r="AB105" s="690">
        <f t="shared" si="59"/>
        <v>1E-4</v>
      </c>
      <c r="AC105" s="690">
        <f t="shared" si="60"/>
        <v>2.0000000000000001E-4</v>
      </c>
      <c r="AD105" s="690">
        <f t="shared" si="61"/>
        <v>2.9999999999999997E-4</v>
      </c>
      <c r="AE105" s="690">
        <f t="shared" si="62"/>
        <v>4.0000000000000002E-4</v>
      </c>
      <c r="AF105" s="690">
        <f t="shared" si="63"/>
        <v>5.0000000000000001E-4</v>
      </c>
    </row>
    <row r="106" spans="1:32" hidden="1" x14ac:dyDescent="0.2">
      <c r="A106" s="680" t="str">
        <f t="shared" si="48"/>
        <v/>
      </c>
      <c r="B106" s="681" t="s">
        <v>224</v>
      </c>
      <c r="C106" s="682" t="s">
        <v>99</v>
      </c>
      <c r="D106" s="683"/>
      <c r="E106" s="673">
        <f>(IF(COUNT(M106,N106,O106,P106,Q106)&lt;4,SUM(M106,N106,O106,P106,Q106),SUM(LARGE((M106,N106,O106,P106,Q106),{1;2;3;4}))))</f>
        <v>0</v>
      </c>
      <c r="F106" s="684" t="str">
        <f>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amp;INDEX(ETAPP!B$1:B$32,MATCH(COUNTIF(M106:Q106,#REF!),ETAPP!A$1:A$32,0))</f>
        <v>0000000000000000000</v>
      </c>
      <c r="G106" s="684" t="str">
        <f t="shared" si="49"/>
        <v>000,0-0000000000000000000</v>
      </c>
      <c r="H106" s="684">
        <f t="shared" si="50"/>
        <v>149</v>
      </c>
      <c r="I106" s="684">
        <f t="shared" si="51"/>
        <v>78</v>
      </c>
      <c r="J106" s="684" t="str">
        <f t="shared" si="52"/>
        <v>000,0-0000000000000000000-078</v>
      </c>
      <c r="K106" s="684">
        <f t="shared" si="53"/>
        <v>100</v>
      </c>
      <c r="L106" s="685">
        <f t="shared" si="54"/>
        <v>50</v>
      </c>
      <c r="M106" s="686" t="str">
        <f>IFERROR(INDEX('M1'!C$300:C$400,MATCH("*"&amp;B106&amp;"*",'M1'!B$300:B$400,0)),"  ")</f>
        <v xml:space="preserve">  </v>
      </c>
      <c r="N106" s="686" t="str">
        <f>IFERROR(INDEX('M2'!C$300:C$400,MATCH("*"&amp;B106&amp;"*",'M2'!B$300:B$400,0)),"  ")</f>
        <v xml:space="preserve">  </v>
      </c>
      <c r="O106" s="686" t="str">
        <f>IFERROR(INDEX('M3'!C$300:C$400,MATCH("*"&amp;B106&amp;"*",'M3'!B$300:B$400,0)),"  ")</f>
        <v xml:space="preserve">  </v>
      </c>
      <c r="P106" s="686" t="str">
        <f>IFERROR(INDEX('M4'!C$300:C$400,MATCH("*"&amp;B106&amp;"*",'M4'!B$300:B$400,0)),"  ")</f>
        <v xml:space="preserve">  </v>
      </c>
      <c r="Q106" s="686" t="str">
        <f>IFERROR(INDEX('M5'!C$300:C$400,MATCH("*"&amp;B106&amp;"*",'M5'!B$300:B$400,0)),"  ")</f>
        <v xml:space="preserve">  </v>
      </c>
      <c r="R106" s="687">
        <f t="shared" si="55"/>
        <v>0</v>
      </c>
      <c r="S106" s="688">
        <f t="shared" si="56"/>
        <v>0</v>
      </c>
      <c r="T106" s="688">
        <f t="shared" si="57"/>
        <v>0</v>
      </c>
      <c r="U106" s="642"/>
      <c r="V106" s="689"/>
      <c r="W106" s="690"/>
      <c r="X106" s="690"/>
      <c r="Y106" s="690"/>
      <c r="Z106" s="690"/>
      <c r="AA106" s="689">
        <f t="shared" si="58"/>
        <v>1E-4</v>
      </c>
      <c r="AB106" s="690">
        <f t="shared" si="59"/>
        <v>1E-4</v>
      </c>
      <c r="AC106" s="690">
        <f t="shared" si="60"/>
        <v>2.0000000000000001E-4</v>
      </c>
      <c r="AD106" s="690">
        <f t="shared" si="61"/>
        <v>2.9999999999999997E-4</v>
      </c>
      <c r="AE106" s="690">
        <f t="shared" si="62"/>
        <v>4.0000000000000002E-4</v>
      </c>
      <c r="AF106" s="690">
        <f t="shared" si="63"/>
        <v>5.0000000000000001E-4</v>
      </c>
    </row>
    <row r="107" spans="1:32" hidden="1" x14ac:dyDescent="0.2">
      <c r="A107" s="680" t="str">
        <f t="shared" si="48"/>
        <v/>
      </c>
      <c r="B107" s="681" t="s">
        <v>93</v>
      </c>
      <c r="C107" s="682"/>
      <c r="D107" s="683"/>
      <c r="E107" s="673">
        <f>(IF(COUNT(M107,N107,O107,P107,Q107)&lt;4,SUM(M107,N107,O107,P107,Q107),SUM(LARGE((M107,N107,O107,P107,Q107),{1;2;3;4}))))</f>
        <v>0</v>
      </c>
      <c r="F107" s="684" t="str">
        <f>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amp;INDEX(ETAPP!B$1:B$32,MATCH(COUNTIF(M107:Q107,#REF!),ETAPP!A$1:A$32,0))</f>
        <v>0000000000000000000</v>
      </c>
      <c r="G107" s="684" t="str">
        <f t="shared" si="49"/>
        <v>000,0-0000000000000000000</v>
      </c>
      <c r="H107" s="684">
        <f t="shared" si="50"/>
        <v>149</v>
      </c>
      <c r="I107" s="684">
        <f t="shared" si="51"/>
        <v>72</v>
      </c>
      <c r="J107" s="684" t="str">
        <f t="shared" si="52"/>
        <v>000,0-0000000000000000000-072</v>
      </c>
      <c r="K107" s="684">
        <f t="shared" si="53"/>
        <v>101</v>
      </c>
      <c r="L107" s="685">
        <f t="shared" si="54"/>
        <v>49</v>
      </c>
      <c r="M107" s="686" t="str">
        <f>IFERROR(INDEX('M1'!C$300:C$400,MATCH("*"&amp;B107&amp;"*",'M1'!B$300:B$400,0)),"  ")</f>
        <v xml:space="preserve">  </v>
      </c>
      <c r="N107" s="686" t="str">
        <f>IFERROR(INDEX('M2'!C$300:C$400,MATCH("*"&amp;B107&amp;"*",'M2'!B$300:B$400,0)),"  ")</f>
        <v xml:space="preserve">  </v>
      </c>
      <c r="O107" s="686" t="str">
        <f>IFERROR(INDEX('M3'!C$300:C$400,MATCH("*"&amp;B107&amp;"*",'M3'!B$300:B$400,0)),"  ")</f>
        <v xml:space="preserve">  </v>
      </c>
      <c r="P107" s="686" t="str">
        <f>IFERROR(INDEX('M4'!C$300:C$400,MATCH("*"&amp;B107&amp;"*",'M4'!B$300:B$400,0)),"  ")</f>
        <v xml:space="preserve">  </v>
      </c>
      <c r="Q107" s="686" t="str">
        <f>IFERROR(INDEX('M5'!C$300:C$400,MATCH("*"&amp;B107&amp;"*",'M5'!B$300:B$400,0)),"  ")</f>
        <v xml:space="preserve">  </v>
      </c>
      <c r="R107" s="687">
        <f t="shared" si="55"/>
        <v>0</v>
      </c>
      <c r="S107" s="688">
        <f t="shared" si="56"/>
        <v>0</v>
      </c>
      <c r="T107" s="688">
        <f t="shared" si="57"/>
        <v>0</v>
      </c>
      <c r="U107" s="642"/>
      <c r="V107" s="689"/>
      <c r="W107" s="690"/>
      <c r="X107" s="690"/>
      <c r="Y107" s="690"/>
      <c r="Z107" s="690"/>
      <c r="AA107" s="689">
        <f t="shared" si="58"/>
        <v>1E-4</v>
      </c>
      <c r="AB107" s="690">
        <f t="shared" si="59"/>
        <v>1E-4</v>
      </c>
      <c r="AC107" s="690">
        <f t="shared" si="60"/>
        <v>2.0000000000000001E-4</v>
      </c>
      <c r="AD107" s="690">
        <f t="shared" si="61"/>
        <v>2.9999999999999997E-4</v>
      </c>
      <c r="AE107" s="690">
        <f t="shared" si="62"/>
        <v>4.0000000000000002E-4</v>
      </c>
      <c r="AF107" s="690">
        <f t="shared" si="63"/>
        <v>5.0000000000000001E-4</v>
      </c>
    </row>
    <row r="108" spans="1:32" hidden="1" x14ac:dyDescent="0.2">
      <c r="A108" s="680" t="str">
        <f t="shared" si="48"/>
        <v/>
      </c>
      <c r="B108" s="681" t="s">
        <v>488</v>
      </c>
      <c r="C108" s="682"/>
      <c r="D108" s="693" t="s">
        <v>105</v>
      </c>
      <c r="E108" s="673">
        <f>(IF(COUNT(M108,N108,O108,P108,Q108)&lt;4,SUM(M108,N108,O108,P108,Q108),SUM(LARGE((M108,N108,O108,P108,Q108),{1;2;3;4}))))</f>
        <v>0</v>
      </c>
      <c r="F108" s="684" t="str">
        <f>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amp;INDEX(ETAPP!B$1:B$32,MATCH(COUNTIF(M108:Q108,#REF!),ETAPP!A$1:A$32,0))</f>
        <v>0000000000000000000</v>
      </c>
      <c r="G108" s="684" t="str">
        <f t="shared" si="49"/>
        <v>000,0-0000000000000000000</v>
      </c>
      <c r="H108" s="684">
        <f t="shared" si="50"/>
        <v>149</v>
      </c>
      <c r="I108" s="684">
        <f t="shared" si="51"/>
        <v>71</v>
      </c>
      <c r="J108" s="684" t="str">
        <f t="shared" si="52"/>
        <v>000,0-0000000000000000000-071</v>
      </c>
      <c r="K108" s="684">
        <f t="shared" si="53"/>
        <v>102</v>
      </c>
      <c r="L108" s="685">
        <f t="shared" si="54"/>
        <v>48</v>
      </c>
      <c r="M108" s="686" t="str">
        <f>IFERROR(INDEX('M1'!C$300:C$400,MATCH("*"&amp;B108&amp;"*",'M1'!B$300:B$400,0)),"  ")</f>
        <v xml:space="preserve">  </v>
      </c>
      <c r="N108" s="686" t="str">
        <f>IFERROR(INDEX('M2'!C$300:C$400,MATCH("*"&amp;B108&amp;"*",'M2'!B$300:B$400,0)),"  ")</f>
        <v xml:space="preserve">  </v>
      </c>
      <c r="O108" s="686" t="str">
        <f>IFERROR(INDEX('M3'!C$300:C$400,MATCH("*"&amp;B108&amp;"*",'M3'!B$300:B$400,0)),"  ")</f>
        <v xml:space="preserve">  </v>
      </c>
      <c r="P108" s="686" t="str">
        <f>IFERROR(INDEX('M4'!C$300:C$400,MATCH("*"&amp;B108&amp;"*",'M4'!B$300:B$400,0)),"  ")</f>
        <v xml:space="preserve">  </v>
      </c>
      <c r="Q108" s="686" t="str">
        <f>IFERROR(INDEX('M5'!C$300:C$400,MATCH("*"&amp;B108&amp;"*",'M5'!B$300:B$400,0)),"  ")</f>
        <v xml:space="preserve">  </v>
      </c>
      <c r="R108" s="687">
        <f t="shared" si="55"/>
        <v>0</v>
      </c>
      <c r="S108" s="688">
        <f t="shared" si="56"/>
        <v>0</v>
      </c>
      <c r="T108" s="688">
        <f t="shared" si="57"/>
        <v>0</v>
      </c>
      <c r="U108" s="642"/>
      <c r="V108" s="689"/>
      <c r="W108" s="690"/>
      <c r="X108" s="690"/>
      <c r="Y108" s="690"/>
      <c r="Z108" s="690"/>
      <c r="AA108" s="689">
        <f t="shared" si="58"/>
        <v>1E-4</v>
      </c>
      <c r="AB108" s="690">
        <f t="shared" si="59"/>
        <v>1E-4</v>
      </c>
      <c r="AC108" s="690">
        <f t="shared" si="60"/>
        <v>2.0000000000000001E-4</v>
      </c>
      <c r="AD108" s="690">
        <f t="shared" si="61"/>
        <v>2.9999999999999997E-4</v>
      </c>
      <c r="AE108" s="690">
        <f t="shared" si="62"/>
        <v>4.0000000000000002E-4</v>
      </c>
      <c r="AF108" s="690">
        <f t="shared" si="63"/>
        <v>5.0000000000000001E-4</v>
      </c>
    </row>
    <row r="109" spans="1:32" hidden="1" x14ac:dyDescent="0.2">
      <c r="A109" s="680" t="str">
        <f t="shared" si="48"/>
        <v/>
      </c>
      <c r="B109" s="681" t="s">
        <v>195</v>
      </c>
      <c r="C109" s="682"/>
      <c r="D109" s="683"/>
      <c r="E109" s="673">
        <f>(IF(COUNT(M109,N109,O109,P109,Q109)&lt;4,SUM(M109,N109,O109,P109,Q109),SUM(LARGE((M109,N109,O109,P109,Q109),{1;2;3;4}))))</f>
        <v>0</v>
      </c>
      <c r="F109" s="684" t="str">
        <f>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amp;INDEX(ETAPP!B$1:B$32,MATCH(COUNTIF(M109:Q109,#REF!),ETAPP!A$1:A$32,0))</f>
        <v>0000000000000000000</v>
      </c>
      <c r="G109" s="684" t="str">
        <f t="shared" si="49"/>
        <v>000,0-0000000000000000000</v>
      </c>
      <c r="H109" s="684">
        <f t="shared" si="50"/>
        <v>149</v>
      </c>
      <c r="I109" s="684">
        <f t="shared" si="51"/>
        <v>70</v>
      </c>
      <c r="J109" s="684" t="str">
        <f t="shared" si="52"/>
        <v>000,0-0000000000000000000-070</v>
      </c>
      <c r="K109" s="684">
        <f t="shared" si="53"/>
        <v>103</v>
      </c>
      <c r="L109" s="685">
        <f t="shared" si="54"/>
        <v>47</v>
      </c>
      <c r="M109" s="686" t="str">
        <f>IFERROR(INDEX('M1'!C$300:C$400,MATCH("*"&amp;B109&amp;"*",'M1'!B$300:B$400,0)),"  ")</f>
        <v xml:space="preserve">  </v>
      </c>
      <c r="N109" s="686" t="str">
        <f>IFERROR(INDEX('M2'!C$300:C$400,MATCH("*"&amp;B109&amp;"*",'M2'!B$300:B$400,0)),"  ")</f>
        <v xml:space="preserve">  </v>
      </c>
      <c r="O109" s="686" t="str">
        <f>IFERROR(INDEX('M3'!C$300:C$400,MATCH("*"&amp;B109&amp;"*",'M3'!B$300:B$400,0)),"  ")</f>
        <v xml:space="preserve">  </v>
      </c>
      <c r="P109" s="686" t="str">
        <f>IFERROR(INDEX('M4'!C$300:C$400,MATCH("*"&amp;B109&amp;"*",'M4'!B$300:B$400,0)),"  ")</f>
        <v xml:space="preserve">  </v>
      </c>
      <c r="Q109" s="686" t="str">
        <f>IFERROR(INDEX('M5'!C$300:C$400,MATCH("*"&amp;B109&amp;"*",'M5'!B$300:B$400,0)),"  ")</f>
        <v xml:space="preserve">  </v>
      </c>
      <c r="R109" s="687">
        <f t="shared" si="55"/>
        <v>0</v>
      </c>
      <c r="S109" s="688">
        <f t="shared" si="56"/>
        <v>0</v>
      </c>
      <c r="T109" s="688">
        <f t="shared" si="57"/>
        <v>0</v>
      </c>
      <c r="U109" s="642"/>
      <c r="V109" s="689"/>
      <c r="W109" s="690"/>
      <c r="X109" s="690"/>
      <c r="Y109" s="690"/>
      <c r="Z109" s="690"/>
      <c r="AA109" s="689">
        <f t="shared" si="58"/>
        <v>1E-4</v>
      </c>
      <c r="AB109" s="690">
        <f t="shared" si="59"/>
        <v>1E-4</v>
      </c>
      <c r="AC109" s="690">
        <f t="shared" si="60"/>
        <v>2.0000000000000001E-4</v>
      </c>
      <c r="AD109" s="690">
        <f t="shared" si="61"/>
        <v>2.9999999999999997E-4</v>
      </c>
      <c r="AE109" s="690">
        <f t="shared" si="62"/>
        <v>4.0000000000000002E-4</v>
      </c>
      <c r="AF109" s="690">
        <f t="shared" si="63"/>
        <v>5.0000000000000001E-4</v>
      </c>
    </row>
    <row r="110" spans="1:32" hidden="1" x14ac:dyDescent="0.2">
      <c r="A110" s="680" t="str">
        <f t="shared" si="48"/>
        <v/>
      </c>
      <c r="B110" s="681" t="s">
        <v>225</v>
      </c>
      <c r="C110" s="682"/>
      <c r="D110" s="683"/>
      <c r="E110" s="673">
        <f>(IF(COUNT(M110,N110,O110,P110,Q110)&lt;4,SUM(M110,N110,O110,P110,Q110),SUM(LARGE((M110,N110,O110,P110,Q110),{1;2;3;4}))))</f>
        <v>0</v>
      </c>
      <c r="F110" s="684" t="str">
        <f>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amp;INDEX(ETAPP!B$1:B$32,MATCH(COUNTIF(M110:Q110,#REF!),ETAPP!A$1:A$32,0))</f>
        <v>0000000000000000000</v>
      </c>
      <c r="G110" s="684" t="str">
        <f t="shared" si="49"/>
        <v>000,0-0000000000000000000</v>
      </c>
      <c r="H110" s="684">
        <f t="shared" si="50"/>
        <v>149</v>
      </c>
      <c r="I110" s="684">
        <f t="shared" si="51"/>
        <v>66</v>
      </c>
      <c r="J110" s="684" t="str">
        <f t="shared" si="52"/>
        <v>000,0-0000000000000000000-066</v>
      </c>
      <c r="K110" s="684">
        <f t="shared" si="53"/>
        <v>104</v>
      </c>
      <c r="L110" s="685">
        <f t="shared" si="54"/>
        <v>46</v>
      </c>
      <c r="M110" s="686" t="str">
        <f>IFERROR(INDEX('M1'!C$300:C$400,MATCH("*"&amp;B110&amp;"*",'M1'!B$300:B$400,0)),"  ")</f>
        <v xml:space="preserve">  </v>
      </c>
      <c r="N110" s="686" t="str">
        <f>IFERROR(INDEX('M2'!C$300:C$400,MATCH("*"&amp;B110&amp;"*",'M2'!B$300:B$400,0)),"  ")</f>
        <v xml:space="preserve">  </v>
      </c>
      <c r="O110" s="686" t="str">
        <f>IFERROR(INDEX('M3'!C$300:C$400,MATCH("*"&amp;B110&amp;"*",'M3'!B$300:B$400,0)),"  ")</f>
        <v xml:space="preserve">  </v>
      </c>
      <c r="P110" s="686" t="str">
        <f>IFERROR(INDEX('M4'!C$300:C$400,MATCH("*"&amp;B110&amp;"*",'M4'!B$300:B$400,0)),"  ")</f>
        <v xml:space="preserve">  </v>
      </c>
      <c r="Q110" s="686" t="str">
        <f>IFERROR(INDEX('M5'!C$300:C$400,MATCH("*"&amp;B110&amp;"*",'M5'!B$300:B$400,0)),"  ")</f>
        <v xml:space="preserve">  </v>
      </c>
      <c r="R110" s="687">
        <f t="shared" si="55"/>
        <v>0</v>
      </c>
      <c r="S110" s="688">
        <f t="shared" si="56"/>
        <v>0</v>
      </c>
      <c r="T110" s="688">
        <f t="shared" si="57"/>
        <v>0</v>
      </c>
      <c r="U110" s="642"/>
      <c r="V110" s="689"/>
      <c r="W110" s="690"/>
      <c r="X110" s="690"/>
      <c r="Y110" s="690"/>
      <c r="Z110" s="690"/>
      <c r="AA110" s="689">
        <f t="shared" si="58"/>
        <v>1E-4</v>
      </c>
      <c r="AB110" s="690">
        <f t="shared" si="59"/>
        <v>1E-4</v>
      </c>
      <c r="AC110" s="690">
        <f t="shared" si="60"/>
        <v>2.0000000000000001E-4</v>
      </c>
      <c r="AD110" s="690">
        <f t="shared" si="61"/>
        <v>2.9999999999999997E-4</v>
      </c>
      <c r="AE110" s="690">
        <f t="shared" si="62"/>
        <v>4.0000000000000002E-4</v>
      </c>
      <c r="AF110" s="690">
        <f t="shared" si="63"/>
        <v>5.0000000000000001E-4</v>
      </c>
    </row>
    <row r="111" spans="1:32" hidden="1" x14ac:dyDescent="0.2">
      <c r="A111" s="680" t="str">
        <f t="shared" si="48"/>
        <v/>
      </c>
      <c r="B111" s="681" t="s">
        <v>226</v>
      </c>
      <c r="C111" s="682"/>
      <c r="D111" s="683"/>
      <c r="E111" s="673">
        <f>(IF(COUNT(M111,N111,O111,P111,Q111)&lt;4,SUM(M111,N111,O111,P111,Q111),SUM(LARGE((M111,N111,O111,P111,Q111),{1;2;3;4}))))</f>
        <v>0</v>
      </c>
      <c r="F111" s="684" t="str">
        <f>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amp;INDEX(ETAPP!B$1:B$32,MATCH(COUNTIF(M111:Q111,#REF!),ETAPP!A$1:A$32,0))</f>
        <v>0000000000000000000</v>
      </c>
      <c r="G111" s="684" t="str">
        <f t="shared" si="49"/>
        <v>000,0-0000000000000000000</v>
      </c>
      <c r="H111" s="684">
        <f t="shared" si="50"/>
        <v>149</v>
      </c>
      <c r="I111" s="684">
        <f t="shared" si="51"/>
        <v>65</v>
      </c>
      <c r="J111" s="684" t="str">
        <f t="shared" si="52"/>
        <v>000,0-0000000000000000000-065</v>
      </c>
      <c r="K111" s="684">
        <f t="shared" si="53"/>
        <v>105</v>
      </c>
      <c r="L111" s="685">
        <f t="shared" si="54"/>
        <v>45</v>
      </c>
      <c r="M111" s="686" t="str">
        <f>IFERROR(INDEX('M1'!C$300:C$400,MATCH("*"&amp;B111&amp;"*",'M1'!B$300:B$400,0)),"  ")</f>
        <v xml:space="preserve">  </v>
      </c>
      <c r="N111" s="686" t="str">
        <f>IFERROR(INDEX('M2'!C$300:C$400,MATCH("*"&amp;B111&amp;"*",'M2'!B$300:B$400,0)),"  ")</f>
        <v xml:space="preserve">  </v>
      </c>
      <c r="O111" s="686" t="str">
        <f>IFERROR(INDEX('M3'!C$300:C$400,MATCH("*"&amp;B111&amp;"*",'M3'!B$300:B$400,0)),"  ")</f>
        <v xml:space="preserve">  </v>
      </c>
      <c r="P111" s="686" t="str">
        <f>IFERROR(INDEX('M4'!C$300:C$400,MATCH("*"&amp;B111&amp;"*",'M4'!B$300:B$400,0)),"  ")</f>
        <v xml:space="preserve">  </v>
      </c>
      <c r="Q111" s="686" t="str">
        <f>IFERROR(INDEX('M5'!C$300:C$400,MATCH("*"&amp;B111&amp;"*",'M5'!B$300:B$400,0)),"  ")</f>
        <v xml:space="preserve">  </v>
      </c>
      <c r="R111" s="687">
        <f t="shared" si="55"/>
        <v>0</v>
      </c>
      <c r="S111" s="688">
        <f t="shared" si="56"/>
        <v>0</v>
      </c>
      <c r="T111" s="688">
        <f t="shared" si="57"/>
        <v>0</v>
      </c>
      <c r="U111" s="642"/>
      <c r="V111" s="689"/>
      <c r="W111" s="690"/>
      <c r="X111" s="690"/>
      <c r="Y111" s="690"/>
      <c r="Z111" s="690"/>
      <c r="AA111" s="689">
        <f t="shared" si="58"/>
        <v>1E-4</v>
      </c>
      <c r="AB111" s="690">
        <f t="shared" si="59"/>
        <v>1E-4</v>
      </c>
      <c r="AC111" s="690">
        <f t="shared" si="60"/>
        <v>2.0000000000000001E-4</v>
      </c>
      <c r="AD111" s="690">
        <f t="shared" si="61"/>
        <v>2.9999999999999997E-4</v>
      </c>
      <c r="AE111" s="690">
        <f t="shared" si="62"/>
        <v>4.0000000000000002E-4</v>
      </c>
      <c r="AF111" s="690">
        <f t="shared" si="63"/>
        <v>5.0000000000000001E-4</v>
      </c>
    </row>
    <row r="112" spans="1:32" hidden="1" x14ac:dyDescent="0.2">
      <c r="A112" s="680" t="str">
        <f t="shared" si="48"/>
        <v/>
      </c>
      <c r="B112" s="681" t="s">
        <v>156</v>
      </c>
      <c r="C112" s="682" t="s">
        <v>99</v>
      </c>
      <c r="D112" s="683"/>
      <c r="E112" s="673">
        <f>(IF(COUNT(M112,N112,O112,P112,Q112)&lt;4,SUM(M112,N112,O112,P112,Q112),SUM(LARGE((M112,N112,O112,P112,Q112),{1;2;3;4}))))</f>
        <v>0</v>
      </c>
      <c r="F112" s="684" t="str">
        <f>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amp;INDEX(ETAPP!B$1:B$32,MATCH(COUNTIF(M112:Q112,#REF!),ETAPP!A$1:A$32,0))</f>
        <v>0000000000000000000</v>
      </c>
      <c r="G112" s="684" t="str">
        <f t="shared" si="49"/>
        <v>000,0-0000000000000000000</v>
      </c>
      <c r="H112" s="684">
        <f t="shared" si="50"/>
        <v>149</v>
      </c>
      <c r="I112" s="684">
        <f t="shared" si="51"/>
        <v>62</v>
      </c>
      <c r="J112" s="684" t="str">
        <f t="shared" si="52"/>
        <v>000,0-0000000000000000000-062</v>
      </c>
      <c r="K112" s="684">
        <f t="shared" si="53"/>
        <v>106</v>
      </c>
      <c r="L112" s="685">
        <f t="shared" si="54"/>
        <v>44</v>
      </c>
      <c r="M112" s="686" t="str">
        <f>IFERROR(INDEX('M1'!C$300:C$400,MATCH("*"&amp;B112&amp;"*",'M1'!B$300:B$400,0)),"  ")</f>
        <v xml:space="preserve">  </v>
      </c>
      <c r="N112" s="686" t="str">
        <f>IFERROR(INDEX('M2'!C$300:C$400,MATCH("*"&amp;B112&amp;"*",'M2'!B$300:B$400,0)),"  ")</f>
        <v xml:space="preserve">  </v>
      </c>
      <c r="O112" s="686" t="str">
        <f>IFERROR(INDEX('M3'!C$300:C$400,MATCH("*"&amp;B112&amp;"*",'M3'!B$300:B$400,0)),"  ")</f>
        <v xml:space="preserve">  </v>
      </c>
      <c r="P112" s="686" t="str">
        <f>IFERROR(INDEX('M4'!C$300:C$400,MATCH("*"&amp;B112&amp;"*",'M4'!B$300:B$400,0)),"  ")</f>
        <v xml:space="preserve">  </v>
      </c>
      <c r="Q112" s="686" t="str">
        <f>IFERROR(INDEX('M5'!C$300:C$400,MATCH("*"&amp;B112&amp;"*",'M5'!B$300:B$400,0)),"  ")</f>
        <v xml:space="preserve">  </v>
      </c>
      <c r="R112" s="687">
        <f t="shared" si="55"/>
        <v>0</v>
      </c>
      <c r="S112" s="688">
        <f t="shared" si="56"/>
        <v>0</v>
      </c>
      <c r="T112" s="688">
        <f t="shared" si="57"/>
        <v>0</v>
      </c>
      <c r="U112" s="642"/>
      <c r="V112" s="689"/>
      <c r="W112" s="690"/>
      <c r="X112" s="690"/>
      <c r="Y112" s="690"/>
      <c r="Z112" s="690"/>
      <c r="AA112" s="689">
        <f t="shared" si="58"/>
        <v>1E-4</v>
      </c>
      <c r="AB112" s="690">
        <f t="shared" si="59"/>
        <v>1E-4</v>
      </c>
      <c r="AC112" s="690">
        <f t="shared" si="60"/>
        <v>2.0000000000000001E-4</v>
      </c>
      <c r="AD112" s="690">
        <f t="shared" si="61"/>
        <v>2.9999999999999997E-4</v>
      </c>
      <c r="AE112" s="690">
        <f t="shared" si="62"/>
        <v>4.0000000000000002E-4</v>
      </c>
      <c r="AF112" s="690">
        <f t="shared" si="63"/>
        <v>5.0000000000000001E-4</v>
      </c>
    </row>
    <row r="113" spans="1:32" hidden="1" x14ac:dyDescent="0.2">
      <c r="A113" s="680" t="str">
        <f t="shared" si="48"/>
        <v/>
      </c>
      <c r="B113" s="681" t="s">
        <v>227</v>
      </c>
      <c r="C113" s="682" t="s">
        <v>99</v>
      </c>
      <c r="D113" s="683"/>
      <c r="E113" s="673">
        <f>(IF(COUNT(M113,N113,O113,P113,Q113)&lt;4,SUM(M113,N113,O113,P113,Q113),SUM(LARGE((M113,N113,O113,P113,Q113),{1;2;3;4}))))</f>
        <v>0</v>
      </c>
      <c r="F113" s="684" t="str">
        <f>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amp;INDEX(ETAPP!B$1:B$32,MATCH(COUNTIF(M113:Q113,#REF!),ETAPP!A$1:A$32,0))</f>
        <v>0000000000000000000</v>
      </c>
      <c r="G113" s="684" t="str">
        <f t="shared" si="49"/>
        <v>000,0-0000000000000000000</v>
      </c>
      <c r="H113" s="684">
        <f t="shared" si="50"/>
        <v>149</v>
      </c>
      <c r="I113" s="684">
        <f t="shared" si="51"/>
        <v>61</v>
      </c>
      <c r="J113" s="684" t="str">
        <f t="shared" si="52"/>
        <v>000,0-0000000000000000000-061</v>
      </c>
      <c r="K113" s="684">
        <f t="shared" si="53"/>
        <v>107</v>
      </c>
      <c r="L113" s="685">
        <f t="shared" si="54"/>
        <v>43</v>
      </c>
      <c r="M113" s="686" t="str">
        <f>IFERROR(INDEX('M1'!C$300:C$400,MATCH("*"&amp;B113&amp;"*",'M1'!B$300:B$400,0)),"  ")</f>
        <v xml:space="preserve">  </v>
      </c>
      <c r="N113" s="686" t="str">
        <f>IFERROR(INDEX('M2'!C$300:C$400,MATCH("*"&amp;B113&amp;"*",'M2'!B$300:B$400,0)),"  ")</f>
        <v xml:space="preserve">  </v>
      </c>
      <c r="O113" s="686" t="str">
        <f>IFERROR(INDEX('M3'!C$300:C$400,MATCH("*"&amp;B113&amp;"*",'M3'!B$300:B$400,0)),"  ")</f>
        <v xml:space="preserve">  </v>
      </c>
      <c r="P113" s="686" t="str">
        <f>IFERROR(INDEX('M4'!C$300:C$400,MATCH("*"&amp;B113&amp;"*",'M4'!B$300:B$400,0)),"  ")</f>
        <v xml:space="preserve">  </v>
      </c>
      <c r="Q113" s="686" t="str">
        <f>IFERROR(INDEX('M5'!C$300:C$400,MATCH("*"&amp;B113&amp;"*",'M5'!B$300:B$400,0)),"  ")</f>
        <v xml:space="preserve">  </v>
      </c>
      <c r="R113" s="687">
        <f t="shared" si="55"/>
        <v>0</v>
      </c>
      <c r="S113" s="688">
        <f t="shared" si="56"/>
        <v>0</v>
      </c>
      <c r="T113" s="688">
        <f t="shared" si="57"/>
        <v>0</v>
      </c>
      <c r="U113" s="642"/>
      <c r="V113" s="689"/>
      <c r="W113" s="690"/>
      <c r="X113" s="690"/>
      <c r="Y113" s="690"/>
      <c r="Z113" s="690"/>
      <c r="AA113" s="689">
        <f t="shared" si="58"/>
        <v>1E-4</v>
      </c>
      <c r="AB113" s="690">
        <f t="shared" si="59"/>
        <v>1E-4</v>
      </c>
      <c r="AC113" s="690">
        <f t="shared" si="60"/>
        <v>2.0000000000000001E-4</v>
      </c>
      <c r="AD113" s="690">
        <f t="shared" si="61"/>
        <v>2.9999999999999997E-4</v>
      </c>
      <c r="AE113" s="690">
        <f t="shared" si="62"/>
        <v>4.0000000000000002E-4</v>
      </c>
      <c r="AF113" s="690">
        <f t="shared" si="63"/>
        <v>5.0000000000000001E-4</v>
      </c>
    </row>
    <row r="114" spans="1:32" hidden="1" x14ac:dyDescent="0.2">
      <c r="A114" s="680" t="str">
        <f t="shared" si="48"/>
        <v/>
      </c>
      <c r="B114" s="681" t="s">
        <v>228</v>
      </c>
      <c r="C114" s="682"/>
      <c r="D114" s="683"/>
      <c r="E114" s="673">
        <f>(IF(COUNT(M114,N114,O114,P114,Q114)&lt;4,SUM(M114,N114,O114,P114,Q114),SUM(LARGE((M114,N114,O114,P114,Q114),{1;2;3;4}))))</f>
        <v>0</v>
      </c>
      <c r="F114" s="684" t="str">
        <f>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amp;INDEX(ETAPP!B$1:B$32,MATCH(COUNTIF(M114:Q114,#REF!),ETAPP!A$1:A$32,0))</f>
        <v>0000000000000000000</v>
      </c>
      <c r="G114" s="684" t="str">
        <f t="shared" si="49"/>
        <v>000,0-0000000000000000000</v>
      </c>
      <c r="H114" s="684">
        <f t="shared" si="50"/>
        <v>149</v>
      </c>
      <c r="I114" s="684">
        <f t="shared" si="51"/>
        <v>60</v>
      </c>
      <c r="J114" s="684" t="str">
        <f t="shared" si="52"/>
        <v>000,0-0000000000000000000-060</v>
      </c>
      <c r="K114" s="684">
        <f t="shared" si="53"/>
        <v>108</v>
      </c>
      <c r="L114" s="685">
        <f t="shared" si="54"/>
        <v>42</v>
      </c>
      <c r="M114" s="686" t="str">
        <f>IFERROR(INDEX('M1'!C$300:C$400,MATCH("*"&amp;B114&amp;"*",'M1'!B$300:B$400,0)),"  ")</f>
        <v xml:space="preserve">  </v>
      </c>
      <c r="N114" s="686" t="str">
        <f>IFERROR(INDEX('M2'!C$300:C$400,MATCH("*"&amp;B114&amp;"*",'M2'!B$300:B$400,0)),"  ")</f>
        <v xml:space="preserve">  </v>
      </c>
      <c r="O114" s="686" t="str">
        <f>IFERROR(INDEX('M3'!C$300:C$400,MATCH("*"&amp;B114&amp;"*",'M3'!B$300:B$400,0)),"  ")</f>
        <v xml:space="preserve">  </v>
      </c>
      <c r="P114" s="686" t="str">
        <f>IFERROR(INDEX('M4'!C$300:C$400,MATCH("*"&amp;B114&amp;"*",'M4'!B$300:B$400,0)),"  ")</f>
        <v xml:space="preserve">  </v>
      </c>
      <c r="Q114" s="686" t="str">
        <f>IFERROR(INDEX('M5'!C$300:C$400,MATCH("*"&amp;B114&amp;"*",'M5'!B$300:B$400,0)),"  ")</f>
        <v xml:space="preserve">  </v>
      </c>
      <c r="R114" s="687">
        <f t="shared" si="55"/>
        <v>0</v>
      </c>
      <c r="S114" s="688">
        <f t="shared" si="56"/>
        <v>0</v>
      </c>
      <c r="T114" s="688">
        <f t="shared" si="57"/>
        <v>0</v>
      </c>
      <c r="U114" s="642"/>
      <c r="V114" s="689"/>
      <c r="W114" s="690"/>
      <c r="X114" s="690"/>
      <c r="Y114" s="690"/>
      <c r="Z114" s="690"/>
      <c r="AA114" s="689">
        <f t="shared" si="58"/>
        <v>1E-4</v>
      </c>
      <c r="AB114" s="690">
        <f t="shared" si="59"/>
        <v>1E-4</v>
      </c>
      <c r="AC114" s="690">
        <f t="shared" si="60"/>
        <v>2.0000000000000001E-4</v>
      </c>
      <c r="AD114" s="690">
        <f t="shared" si="61"/>
        <v>2.9999999999999997E-4</v>
      </c>
      <c r="AE114" s="690">
        <f t="shared" si="62"/>
        <v>4.0000000000000002E-4</v>
      </c>
      <c r="AF114" s="690">
        <f t="shared" si="63"/>
        <v>5.0000000000000001E-4</v>
      </c>
    </row>
    <row r="115" spans="1:32" hidden="1" x14ac:dyDescent="0.2">
      <c r="A115" s="680" t="str">
        <f t="shared" si="48"/>
        <v/>
      </c>
      <c r="B115" s="681" t="s">
        <v>157</v>
      </c>
      <c r="C115" s="682"/>
      <c r="D115" s="683"/>
      <c r="E115" s="673">
        <f>(IF(COUNT(M115,N115,O115,P115,Q115)&lt;4,SUM(M115,N115,O115,P115,Q115),SUM(LARGE((M115,N115,O115,P115,Q115),{1;2;3;4}))))</f>
        <v>0</v>
      </c>
      <c r="F115" s="684" t="str">
        <f>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amp;INDEX(ETAPP!B$1:B$32,MATCH(COUNTIF(M115:Q115,#REF!),ETAPP!A$1:A$32,0))</f>
        <v>0000000000000000000</v>
      </c>
      <c r="G115" s="684" t="str">
        <f t="shared" si="49"/>
        <v>000,0-0000000000000000000</v>
      </c>
      <c r="H115" s="684">
        <f t="shared" si="50"/>
        <v>149</v>
      </c>
      <c r="I115" s="684">
        <f t="shared" si="51"/>
        <v>59</v>
      </c>
      <c r="J115" s="684" t="str">
        <f t="shared" si="52"/>
        <v>000,0-0000000000000000000-059</v>
      </c>
      <c r="K115" s="684">
        <f t="shared" si="53"/>
        <v>109</v>
      </c>
      <c r="L115" s="685">
        <f t="shared" si="54"/>
        <v>41</v>
      </c>
      <c r="M115" s="686" t="str">
        <f>IFERROR(INDEX('M1'!C$300:C$400,MATCH("*"&amp;B115&amp;"*",'M1'!B$300:B$400,0)),"  ")</f>
        <v xml:space="preserve">  </v>
      </c>
      <c r="N115" s="686" t="str">
        <f>IFERROR(INDEX('M2'!C$300:C$400,MATCH("*"&amp;B115&amp;"*",'M2'!B$300:B$400,0)),"  ")</f>
        <v xml:space="preserve">  </v>
      </c>
      <c r="O115" s="686" t="str">
        <f>IFERROR(INDEX('M3'!C$300:C$400,MATCH("*"&amp;B115&amp;"*",'M3'!B$300:B$400,0)),"  ")</f>
        <v xml:space="preserve">  </v>
      </c>
      <c r="P115" s="686" t="str">
        <f>IFERROR(INDEX('M4'!C$300:C$400,MATCH("*"&amp;B115&amp;"*",'M4'!B$300:B$400,0)),"  ")</f>
        <v xml:space="preserve">  </v>
      </c>
      <c r="Q115" s="686" t="str">
        <f>IFERROR(INDEX('M5'!C$300:C$400,MATCH("*"&amp;B115&amp;"*",'M5'!B$300:B$400,0)),"  ")</f>
        <v xml:space="preserve">  </v>
      </c>
      <c r="R115" s="687">
        <f t="shared" si="55"/>
        <v>0</v>
      </c>
      <c r="S115" s="688">
        <f t="shared" si="56"/>
        <v>0</v>
      </c>
      <c r="T115" s="688">
        <f t="shared" si="57"/>
        <v>0</v>
      </c>
      <c r="U115" s="642"/>
      <c r="V115" s="689"/>
      <c r="W115" s="690"/>
      <c r="X115" s="690"/>
      <c r="Y115" s="690"/>
      <c r="Z115" s="690"/>
      <c r="AA115" s="689">
        <f t="shared" si="58"/>
        <v>1E-4</v>
      </c>
      <c r="AB115" s="690">
        <f t="shared" si="59"/>
        <v>1E-4</v>
      </c>
      <c r="AC115" s="690">
        <f t="shared" si="60"/>
        <v>2.0000000000000001E-4</v>
      </c>
      <c r="AD115" s="690">
        <f t="shared" si="61"/>
        <v>2.9999999999999997E-4</v>
      </c>
      <c r="AE115" s="690">
        <f t="shared" si="62"/>
        <v>4.0000000000000002E-4</v>
      </c>
      <c r="AF115" s="690">
        <f t="shared" si="63"/>
        <v>5.0000000000000001E-4</v>
      </c>
    </row>
    <row r="116" spans="1:32" hidden="1" x14ac:dyDescent="0.2">
      <c r="A116" s="680" t="str">
        <f t="shared" si="48"/>
        <v/>
      </c>
      <c r="B116" s="681" t="s">
        <v>158</v>
      </c>
      <c r="C116" s="682"/>
      <c r="D116" s="683"/>
      <c r="E116" s="673">
        <f>(IF(COUNT(M116,N116,O116,P116,Q116)&lt;4,SUM(M116,N116,O116,P116,Q116),SUM(LARGE((M116,N116,O116,P116,Q116),{1;2;3;4}))))</f>
        <v>0</v>
      </c>
      <c r="F116" s="684" t="str">
        <f>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amp;INDEX(ETAPP!B$1:B$32,MATCH(COUNTIF(M116:Q116,#REF!),ETAPP!A$1:A$32,0))</f>
        <v>0000000000000000000</v>
      </c>
      <c r="G116" s="684" t="str">
        <f t="shared" si="49"/>
        <v>000,0-0000000000000000000</v>
      </c>
      <c r="H116" s="684">
        <f t="shared" si="50"/>
        <v>149</v>
      </c>
      <c r="I116" s="684">
        <f t="shared" si="51"/>
        <v>58</v>
      </c>
      <c r="J116" s="684" t="str">
        <f t="shared" si="52"/>
        <v>000,0-0000000000000000000-058</v>
      </c>
      <c r="K116" s="684">
        <f t="shared" si="53"/>
        <v>110</v>
      </c>
      <c r="L116" s="685">
        <f t="shared" si="54"/>
        <v>40</v>
      </c>
      <c r="M116" s="686" t="str">
        <f>IFERROR(INDEX('M1'!C$300:C$400,MATCH("*"&amp;B116&amp;"*",'M1'!B$300:B$400,0)),"  ")</f>
        <v xml:space="preserve">  </v>
      </c>
      <c r="N116" s="686" t="str">
        <f>IFERROR(INDEX('M2'!C$300:C$400,MATCH("*"&amp;B116&amp;"*",'M2'!B$300:B$400,0)),"  ")</f>
        <v xml:space="preserve">  </v>
      </c>
      <c r="O116" s="686" t="str">
        <f>IFERROR(INDEX('M3'!C$300:C$400,MATCH("*"&amp;B116&amp;"*",'M3'!B$300:B$400,0)),"  ")</f>
        <v xml:space="preserve">  </v>
      </c>
      <c r="P116" s="686" t="str">
        <f>IFERROR(INDEX('M4'!C$300:C$400,MATCH("*"&amp;B116&amp;"*",'M4'!B$300:B$400,0)),"  ")</f>
        <v xml:space="preserve">  </v>
      </c>
      <c r="Q116" s="686" t="str">
        <f>IFERROR(INDEX('M5'!C$300:C$400,MATCH("*"&amp;B116&amp;"*",'M5'!B$300:B$400,0)),"  ")</f>
        <v xml:space="preserve">  </v>
      </c>
      <c r="R116" s="687">
        <f t="shared" si="55"/>
        <v>0</v>
      </c>
      <c r="S116" s="688">
        <f t="shared" si="56"/>
        <v>0</v>
      </c>
      <c r="T116" s="688">
        <f t="shared" si="57"/>
        <v>0</v>
      </c>
      <c r="U116" s="642"/>
      <c r="V116" s="689"/>
      <c r="W116" s="690"/>
      <c r="X116" s="690"/>
      <c r="Y116" s="690"/>
      <c r="Z116" s="690"/>
      <c r="AA116" s="689">
        <f t="shared" si="58"/>
        <v>1E-4</v>
      </c>
      <c r="AB116" s="690">
        <f t="shared" si="59"/>
        <v>1E-4</v>
      </c>
      <c r="AC116" s="690">
        <f t="shared" si="60"/>
        <v>2.0000000000000001E-4</v>
      </c>
      <c r="AD116" s="690">
        <f t="shared" si="61"/>
        <v>2.9999999999999997E-4</v>
      </c>
      <c r="AE116" s="690">
        <f t="shared" si="62"/>
        <v>4.0000000000000002E-4</v>
      </c>
      <c r="AF116" s="690">
        <f t="shared" si="63"/>
        <v>5.0000000000000001E-4</v>
      </c>
    </row>
    <row r="117" spans="1:32" hidden="1" x14ac:dyDescent="0.2">
      <c r="A117" s="680" t="str">
        <f t="shared" si="48"/>
        <v/>
      </c>
      <c r="B117" s="681" t="s">
        <v>138</v>
      </c>
      <c r="C117" s="682"/>
      <c r="D117" s="683"/>
      <c r="E117" s="673">
        <f>(IF(COUNT(M117,N117,O117,P117,Q117)&lt;4,SUM(M117,N117,O117,P117,Q117),SUM(LARGE((M117,N117,O117,P117,Q117),{1;2;3;4}))))</f>
        <v>0</v>
      </c>
      <c r="F117" s="684" t="str">
        <f>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amp;INDEX(ETAPP!B$1:B$32,MATCH(COUNTIF(M117:Q117,#REF!),ETAPP!A$1:A$32,0))</f>
        <v>0000000000000000000</v>
      </c>
      <c r="G117" s="684" t="str">
        <f t="shared" si="49"/>
        <v>000,0-0000000000000000000</v>
      </c>
      <c r="H117" s="684">
        <f t="shared" si="50"/>
        <v>149</v>
      </c>
      <c r="I117" s="684">
        <f t="shared" si="51"/>
        <v>57</v>
      </c>
      <c r="J117" s="684" t="str">
        <f t="shared" si="52"/>
        <v>000,0-0000000000000000000-057</v>
      </c>
      <c r="K117" s="684">
        <f t="shared" si="53"/>
        <v>111</v>
      </c>
      <c r="L117" s="685">
        <f t="shared" si="54"/>
        <v>39</v>
      </c>
      <c r="M117" s="686" t="str">
        <f>IFERROR(INDEX('M1'!C$300:C$400,MATCH("*"&amp;B117&amp;"*",'M1'!B$300:B$400,0)),"  ")</f>
        <v xml:space="preserve">  </v>
      </c>
      <c r="N117" s="686" t="str">
        <f>IFERROR(INDEX('M2'!C$300:C$400,MATCH("*"&amp;B117&amp;"*",'M2'!B$300:B$400,0)),"  ")</f>
        <v xml:space="preserve">  </v>
      </c>
      <c r="O117" s="686" t="str">
        <f>IFERROR(INDEX('M3'!C$300:C$400,MATCH("*"&amp;B117&amp;"*",'M3'!B$300:B$400,0)),"  ")</f>
        <v xml:space="preserve">  </v>
      </c>
      <c r="P117" s="686" t="str">
        <f>IFERROR(INDEX('M4'!C$300:C$400,MATCH("*"&amp;B117&amp;"*",'M4'!B$300:B$400,0)),"  ")</f>
        <v xml:space="preserve">  </v>
      </c>
      <c r="Q117" s="686" t="str">
        <f>IFERROR(INDEX('M5'!C$300:C$400,MATCH("*"&amp;B117&amp;"*",'M5'!B$300:B$400,0)),"  ")</f>
        <v xml:space="preserve">  </v>
      </c>
      <c r="R117" s="687">
        <f t="shared" si="55"/>
        <v>0</v>
      </c>
      <c r="S117" s="688">
        <f t="shared" si="56"/>
        <v>0</v>
      </c>
      <c r="T117" s="688">
        <f t="shared" si="57"/>
        <v>0</v>
      </c>
      <c r="U117" s="642"/>
      <c r="V117" s="689"/>
      <c r="W117" s="690"/>
      <c r="X117" s="690"/>
      <c r="Y117" s="690"/>
      <c r="Z117" s="690"/>
      <c r="AA117" s="689">
        <f t="shared" si="58"/>
        <v>1E-4</v>
      </c>
      <c r="AB117" s="690">
        <f t="shared" si="59"/>
        <v>1E-4</v>
      </c>
      <c r="AC117" s="690">
        <f t="shared" si="60"/>
        <v>2.0000000000000001E-4</v>
      </c>
      <c r="AD117" s="690">
        <f t="shared" si="61"/>
        <v>2.9999999999999997E-4</v>
      </c>
      <c r="AE117" s="690">
        <f t="shared" si="62"/>
        <v>4.0000000000000002E-4</v>
      </c>
      <c r="AF117" s="690">
        <f t="shared" si="63"/>
        <v>5.0000000000000001E-4</v>
      </c>
    </row>
    <row r="118" spans="1:32" hidden="1" x14ac:dyDescent="0.2">
      <c r="A118" s="680" t="str">
        <f t="shared" si="48"/>
        <v/>
      </c>
      <c r="B118" s="681" t="s">
        <v>229</v>
      </c>
      <c r="C118" s="682" t="s">
        <v>99</v>
      </c>
      <c r="D118" s="683"/>
      <c r="E118" s="673">
        <f>(IF(COUNT(M118,N118,O118,P118,Q118)&lt;4,SUM(M118,N118,O118,P118,Q118),SUM(LARGE((M118,N118,O118,P118,Q118),{1;2;3;4}))))</f>
        <v>0</v>
      </c>
      <c r="F118" s="684" t="str">
        <f>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amp;INDEX(ETAPP!B$1:B$32,MATCH(COUNTIF(M118:Q118,#REF!),ETAPP!A$1:A$32,0))</f>
        <v>0000000000000000000</v>
      </c>
      <c r="G118" s="684" t="str">
        <f t="shared" si="49"/>
        <v>000,0-0000000000000000000</v>
      </c>
      <c r="H118" s="684">
        <f t="shared" si="50"/>
        <v>149</v>
      </c>
      <c r="I118" s="684">
        <f t="shared" si="51"/>
        <v>56</v>
      </c>
      <c r="J118" s="684" t="str">
        <f t="shared" si="52"/>
        <v>000,0-0000000000000000000-056</v>
      </c>
      <c r="K118" s="684">
        <f t="shared" si="53"/>
        <v>112</v>
      </c>
      <c r="L118" s="685">
        <f t="shared" si="54"/>
        <v>38</v>
      </c>
      <c r="M118" s="686" t="str">
        <f>IFERROR(INDEX('M1'!C$300:C$400,MATCH("*"&amp;B118&amp;"*",'M1'!B$300:B$400,0)),"  ")</f>
        <v xml:space="preserve">  </v>
      </c>
      <c r="N118" s="686" t="str">
        <f>IFERROR(INDEX('M2'!C$300:C$400,MATCH("*"&amp;B118&amp;"*",'M2'!B$300:B$400,0)),"  ")</f>
        <v xml:space="preserve">  </v>
      </c>
      <c r="O118" s="686" t="str">
        <f>IFERROR(INDEX('M3'!C$300:C$400,MATCH("*"&amp;B118&amp;"*",'M3'!B$300:B$400,0)),"  ")</f>
        <v xml:space="preserve">  </v>
      </c>
      <c r="P118" s="686" t="str">
        <f>IFERROR(INDEX('M4'!C$300:C$400,MATCH("*"&amp;B118&amp;"*",'M4'!B$300:B$400,0)),"  ")</f>
        <v xml:space="preserve">  </v>
      </c>
      <c r="Q118" s="686" t="str">
        <f>IFERROR(INDEX('M5'!C$300:C$400,MATCH("*"&amp;B118&amp;"*",'M5'!B$300:B$400,0)),"  ")</f>
        <v xml:space="preserve">  </v>
      </c>
      <c r="R118" s="687">
        <f t="shared" si="55"/>
        <v>0</v>
      </c>
      <c r="S118" s="688">
        <f t="shared" si="56"/>
        <v>0</v>
      </c>
      <c r="T118" s="688">
        <f t="shared" si="57"/>
        <v>0</v>
      </c>
      <c r="U118" s="642"/>
      <c r="V118" s="689"/>
      <c r="W118" s="690"/>
      <c r="X118" s="690"/>
      <c r="Y118" s="690"/>
      <c r="Z118" s="690"/>
      <c r="AA118" s="689">
        <f t="shared" si="58"/>
        <v>1E-4</v>
      </c>
      <c r="AB118" s="690">
        <f t="shared" si="59"/>
        <v>1E-4</v>
      </c>
      <c r="AC118" s="690">
        <f t="shared" si="60"/>
        <v>2.0000000000000001E-4</v>
      </c>
      <c r="AD118" s="690">
        <f t="shared" si="61"/>
        <v>2.9999999999999997E-4</v>
      </c>
      <c r="AE118" s="690">
        <f t="shared" si="62"/>
        <v>4.0000000000000002E-4</v>
      </c>
      <c r="AF118" s="690">
        <f t="shared" si="63"/>
        <v>5.0000000000000001E-4</v>
      </c>
    </row>
    <row r="119" spans="1:32" hidden="1" x14ac:dyDescent="0.2">
      <c r="A119" s="680" t="str">
        <f t="shared" si="48"/>
        <v/>
      </c>
      <c r="B119" s="681" t="s">
        <v>230</v>
      </c>
      <c r="C119" s="682" t="s">
        <v>99</v>
      </c>
      <c r="D119" s="683"/>
      <c r="E119" s="673">
        <f>(IF(COUNT(M119,N119,O119,P119,Q119)&lt;4,SUM(M119,N119,O119,P119,Q119),SUM(LARGE((M119,N119,O119,P119,Q119),{1;2;3;4}))))</f>
        <v>0</v>
      </c>
      <c r="F119" s="684" t="str">
        <f>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amp;INDEX(ETAPP!B$1:B$32,MATCH(COUNTIF(M119:Q119,#REF!),ETAPP!A$1:A$32,0))</f>
        <v>0000000000000000000</v>
      </c>
      <c r="G119" s="684" t="str">
        <f t="shared" si="49"/>
        <v>000,0-0000000000000000000</v>
      </c>
      <c r="H119" s="684">
        <f t="shared" si="50"/>
        <v>149</v>
      </c>
      <c r="I119" s="684">
        <f t="shared" si="51"/>
        <v>55</v>
      </c>
      <c r="J119" s="684" t="str">
        <f t="shared" si="52"/>
        <v>000,0-0000000000000000000-055</v>
      </c>
      <c r="K119" s="684">
        <f t="shared" si="53"/>
        <v>113</v>
      </c>
      <c r="L119" s="685">
        <f t="shared" si="54"/>
        <v>37</v>
      </c>
      <c r="M119" s="686" t="str">
        <f>IFERROR(INDEX('M1'!C$300:C$400,MATCH("*"&amp;B119&amp;"*",'M1'!B$300:B$400,0)),"  ")</f>
        <v xml:space="preserve">  </v>
      </c>
      <c r="N119" s="686" t="str">
        <f>IFERROR(INDEX('M2'!C$300:C$400,MATCH("*"&amp;B119&amp;"*",'M2'!B$300:B$400,0)),"  ")</f>
        <v xml:space="preserve">  </v>
      </c>
      <c r="O119" s="686" t="str">
        <f>IFERROR(INDEX('M3'!C$300:C$400,MATCH("*"&amp;B119&amp;"*",'M3'!B$300:B$400,0)),"  ")</f>
        <v xml:space="preserve">  </v>
      </c>
      <c r="P119" s="686" t="str">
        <f>IFERROR(INDEX('M4'!C$300:C$400,MATCH("*"&amp;B119&amp;"*",'M4'!B$300:B$400,0)),"  ")</f>
        <v xml:space="preserve">  </v>
      </c>
      <c r="Q119" s="686" t="str">
        <f>IFERROR(INDEX('M5'!C$300:C$400,MATCH("*"&amp;B119&amp;"*",'M5'!B$300:B$400,0)),"  ")</f>
        <v xml:space="preserve">  </v>
      </c>
      <c r="R119" s="687">
        <f t="shared" si="55"/>
        <v>0</v>
      </c>
      <c r="S119" s="688">
        <f t="shared" si="56"/>
        <v>0</v>
      </c>
      <c r="T119" s="688">
        <f t="shared" si="57"/>
        <v>0</v>
      </c>
      <c r="U119" s="642"/>
      <c r="V119" s="689"/>
      <c r="W119" s="690"/>
      <c r="X119" s="690"/>
      <c r="Y119" s="690"/>
      <c r="Z119" s="690"/>
      <c r="AA119" s="689">
        <f t="shared" si="58"/>
        <v>1E-4</v>
      </c>
      <c r="AB119" s="690">
        <f t="shared" si="59"/>
        <v>1E-4</v>
      </c>
      <c r="AC119" s="690">
        <f t="shared" si="60"/>
        <v>2.0000000000000001E-4</v>
      </c>
      <c r="AD119" s="690">
        <f t="shared" si="61"/>
        <v>2.9999999999999997E-4</v>
      </c>
      <c r="AE119" s="690">
        <f t="shared" si="62"/>
        <v>4.0000000000000002E-4</v>
      </c>
      <c r="AF119" s="690">
        <f t="shared" si="63"/>
        <v>5.0000000000000001E-4</v>
      </c>
    </row>
    <row r="120" spans="1:32" hidden="1" x14ac:dyDescent="0.2">
      <c r="A120" s="680" t="str">
        <f t="shared" si="48"/>
        <v/>
      </c>
      <c r="B120" s="681" t="s">
        <v>472</v>
      </c>
      <c r="C120" s="682"/>
      <c r="D120" s="693" t="s">
        <v>105</v>
      </c>
      <c r="E120" s="673">
        <f>(IF(COUNT(M120,N120,O120,P120,Q120)&lt;4,SUM(M120,N120,O120,P120,Q120),SUM(LARGE((M120,N120,O120,P120,Q120),{1;2;3;4}))))</f>
        <v>0</v>
      </c>
      <c r="F120" s="684" t="str">
        <f>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amp;INDEX(ETAPP!B$1:B$32,MATCH(COUNTIF(M120:Q120,#REF!),ETAPP!A$1:A$32,0))</f>
        <v>0000000000000000000</v>
      </c>
      <c r="G120" s="684" t="str">
        <f t="shared" si="49"/>
        <v>000,0-0000000000000000000</v>
      </c>
      <c r="H120" s="684">
        <f t="shared" si="50"/>
        <v>149</v>
      </c>
      <c r="I120" s="684">
        <f t="shared" si="51"/>
        <v>51</v>
      </c>
      <c r="J120" s="684" t="str">
        <f t="shared" si="52"/>
        <v>000,0-0000000000000000000-051</v>
      </c>
      <c r="K120" s="684">
        <f t="shared" si="53"/>
        <v>114</v>
      </c>
      <c r="L120" s="685">
        <f t="shared" si="54"/>
        <v>36</v>
      </c>
      <c r="M120" s="686" t="str">
        <f>IFERROR(INDEX('M1'!C$300:C$400,MATCH("*"&amp;B120&amp;"*",'M1'!B$300:B$400,0)),"  ")</f>
        <v xml:space="preserve">  </v>
      </c>
      <c r="N120" s="686" t="str">
        <f>IFERROR(INDEX('M2'!C$300:C$400,MATCH("*"&amp;B120&amp;"*",'M2'!B$300:B$400,0)),"  ")</f>
        <v xml:space="preserve">  </v>
      </c>
      <c r="O120" s="686" t="str">
        <f>IFERROR(INDEX('M3'!C$300:C$400,MATCH("*"&amp;B120&amp;"*",'M3'!B$300:B$400,0)),"  ")</f>
        <v xml:space="preserve">  </v>
      </c>
      <c r="P120" s="686" t="str">
        <f>IFERROR(INDEX('M4'!C$300:C$400,MATCH("*"&amp;B120&amp;"*",'M4'!B$300:B$400,0)),"  ")</f>
        <v xml:space="preserve">  </v>
      </c>
      <c r="Q120" s="686" t="str">
        <f>IFERROR(INDEX('M5'!C$300:C$400,MATCH("*"&amp;B120&amp;"*",'M5'!B$300:B$400,0)),"  ")</f>
        <v xml:space="preserve">  </v>
      </c>
      <c r="R120" s="687">
        <f t="shared" si="55"/>
        <v>0</v>
      </c>
      <c r="S120" s="688">
        <f t="shared" si="56"/>
        <v>0</v>
      </c>
      <c r="T120" s="688">
        <f t="shared" si="57"/>
        <v>0</v>
      </c>
      <c r="U120" s="642"/>
      <c r="V120" s="689"/>
      <c r="W120" s="690"/>
      <c r="X120" s="690"/>
      <c r="Y120" s="690"/>
      <c r="Z120" s="690"/>
      <c r="AA120" s="689">
        <f t="shared" si="58"/>
        <v>1E-4</v>
      </c>
      <c r="AB120" s="690">
        <f t="shared" si="59"/>
        <v>1E-4</v>
      </c>
      <c r="AC120" s="690">
        <f t="shared" si="60"/>
        <v>2.0000000000000001E-4</v>
      </c>
      <c r="AD120" s="690">
        <f t="shared" si="61"/>
        <v>2.9999999999999997E-4</v>
      </c>
      <c r="AE120" s="690">
        <f t="shared" si="62"/>
        <v>4.0000000000000002E-4</v>
      </c>
      <c r="AF120" s="690">
        <f t="shared" si="63"/>
        <v>5.0000000000000001E-4</v>
      </c>
    </row>
    <row r="121" spans="1:32" hidden="1" x14ac:dyDescent="0.2">
      <c r="A121" s="680" t="str">
        <f t="shared" si="48"/>
        <v/>
      </c>
      <c r="B121" s="681" t="s">
        <v>85</v>
      </c>
      <c r="C121" s="682"/>
      <c r="D121" s="683"/>
      <c r="E121" s="673">
        <f>(IF(COUNT(M121,N121,O121,P121,Q121)&lt;4,SUM(M121,N121,O121,P121,Q121),SUM(LARGE((M121,N121,O121,P121,Q121),{1;2;3;4}))))</f>
        <v>0</v>
      </c>
      <c r="F121" s="684" t="str">
        <f>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amp;INDEX(ETAPP!B$1:B$32,MATCH(COUNTIF(M121:Q121,#REF!),ETAPP!A$1:A$32,0))</f>
        <v>0000000000000000000</v>
      </c>
      <c r="G121" s="684" t="str">
        <f t="shared" si="49"/>
        <v>000,0-0000000000000000000</v>
      </c>
      <c r="H121" s="684">
        <f t="shared" si="50"/>
        <v>149</v>
      </c>
      <c r="I121" s="684">
        <f t="shared" si="51"/>
        <v>50</v>
      </c>
      <c r="J121" s="684" t="str">
        <f t="shared" si="52"/>
        <v>000,0-0000000000000000000-050</v>
      </c>
      <c r="K121" s="684">
        <f t="shared" si="53"/>
        <v>115</v>
      </c>
      <c r="L121" s="685">
        <f t="shared" si="54"/>
        <v>35</v>
      </c>
      <c r="M121" s="686" t="str">
        <f>IFERROR(INDEX('M1'!C$300:C$400,MATCH("*"&amp;B121&amp;"*",'M1'!B$300:B$400,0)),"  ")</f>
        <v xml:space="preserve">  </v>
      </c>
      <c r="N121" s="686" t="str">
        <f>IFERROR(INDEX('M2'!C$300:C$400,MATCH("*"&amp;B121&amp;"*",'M2'!B$300:B$400,0)),"  ")</f>
        <v xml:space="preserve">  </v>
      </c>
      <c r="O121" s="686" t="str">
        <f>IFERROR(INDEX('M3'!C$300:C$400,MATCH("*"&amp;B121&amp;"*",'M3'!B$300:B$400,0)),"  ")</f>
        <v xml:space="preserve">  </v>
      </c>
      <c r="P121" s="686" t="str">
        <f>IFERROR(INDEX('M4'!C$300:C$400,MATCH("*"&amp;B121&amp;"*",'M4'!B$300:B$400,0)),"  ")</f>
        <v xml:space="preserve">  </v>
      </c>
      <c r="Q121" s="686" t="str">
        <f>IFERROR(INDEX('M5'!C$300:C$400,MATCH("*"&amp;B121&amp;"*",'M5'!B$300:B$400,0)),"  ")</f>
        <v xml:space="preserve">  </v>
      </c>
      <c r="R121" s="687">
        <f t="shared" si="55"/>
        <v>0</v>
      </c>
      <c r="S121" s="688">
        <f t="shared" si="56"/>
        <v>0</v>
      </c>
      <c r="T121" s="688">
        <f t="shared" si="57"/>
        <v>0</v>
      </c>
      <c r="U121" s="642"/>
      <c r="V121" s="689"/>
      <c r="W121" s="690"/>
      <c r="X121" s="690"/>
      <c r="Y121" s="690"/>
      <c r="Z121" s="690"/>
      <c r="AA121" s="689">
        <f t="shared" si="58"/>
        <v>1E-4</v>
      </c>
      <c r="AB121" s="690">
        <f t="shared" si="59"/>
        <v>1E-4</v>
      </c>
      <c r="AC121" s="690">
        <f t="shared" si="60"/>
        <v>2.0000000000000001E-4</v>
      </c>
      <c r="AD121" s="690">
        <f t="shared" si="61"/>
        <v>2.9999999999999997E-4</v>
      </c>
      <c r="AE121" s="690">
        <f t="shared" si="62"/>
        <v>4.0000000000000002E-4</v>
      </c>
      <c r="AF121" s="690">
        <f t="shared" si="63"/>
        <v>5.0000000000000001E-4</v>
      </c>
    </row>
    <row r="122" spans="1:32" hidden="1" x14ac:dyDescent="0.2">
      <c r="A122" s="680" t="str">
        <f t="shared" si="48"/>
        <v/>
      </c>
      <c r="B122" s="706" t="s">
        <v>159</v>
      </c>
      <c r="C122" s="691"/>
      <c r="D122" s="692"/>
      <c r="E122" s="673">
        <f>(IF(COUNT(M122,N122,O122,P122,Q122)&lt;4,SUM(M122,N122,O122,P122,Q122),SUM(LARGE((M122,N122,O122,P122,Q122),{1;2;3;4}))))</f>
        <v>0</v>
      </c>
      <c r="F122" s="684" t="str">
        <f>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amp;INDEX(ETAPP!B$1:B$32,MATCH(COUNTIF(M122:Q122,#REF!),ETAPP!A$1:A$32,0))</f>
        <v>0000000000000000000</v>
      </c>
      <c r="G122" s="684" t="str">
        <f t="shared" si="49"/>
        <v>000,0-0000000000000000000</v>
      </c>
      <c r="H122" s="684">
        <f t="shared" si="50"/>
        <v>149</v>
      </c>
      <c r="I122" s="684">
        <f t="shared" si="51"/>
        <v>49</v>
      </c>
      <c r="J122" s="684" t="str">
        <f t="shared" si="52"/>
        <v>000,0-0000000000000000000-049</v>
      </c>
      <c r="K122" s="684">
        <f t="shared" si="53"/>
        <v>116</v>
      </c>
      <c r="L122" s="685">
        <f t="shared" si="54"/>
        <v>34</v>
      </c>
      <c r="M122" s="686" t="str">
        <f>IFERROR(INDEX('M1'!C$300:C$400,MATCH("*"&amp;B122&amp;"*",'M1'!B$300:B$400,0)),"  ")</f>
        <v xml:space="preserve">  </v>
      </c>
      <c r="N122" s="686" t="str">
        <f>IFERROR(INDEX('M2'!C$300:C$400,MATCH("*"&amp;B122&amp;"*",'M2'!B$300:B$400,0)),"  ")</f>
        <v xml:space="preserve">  </v>
      </c>
      <c r="O122" s="686" t="str">
        <f>IFERROR(INDEX('M3'!C$300:C$400,MATCH("*"&amp;B122&amp;"*",'M3'!B$300:B$400,0)),"  ")</f>
        <v xml:space="preserve">  </v>
      </c>
      <c r="P122" s="686" t="str">
        <f>IFERROR(INDEX('M4'!C$300:C$400,MATCH("*"&amp;B122&amp;"*",'M4'!B$300:B$400,0)),"  ")</f>
        <v xml:space="preserve">  </v>
      </c>
      <c r="Q122" s="686" t="str">
        <f>IFERROR(INDEX('M5'!C$300:C$400,MATCH("*"&amp;B122&amp;"*",'M5'!B$300:B$400,0)),"  ")</f>
        <v xml:space="preserve">  </v>
      </c>
      <c r="R122" s="687">
        <f t="shared" si="55"/>
        <v>0</v>
      </c>
      <c r="S122" s="688">
        <f t="shared" si="56"/>
        <v>0</v>
      </c>
      <c r="T122" s="688">
        <f t="shared" si="57"/>
        <v>0</v>
      </c>
      <c r="U122" s="642"/>
      <c r="V122" s="689"/>
      <c r="W122" s="690"/>
      <c r="X122" s="690"/>
      <c r="Y122" s="690"/>
      <c r="Z122" s="690"/>
      <c r="AA122" s="689">
        <f t="shared" si="58"/>
        <v>1E-4</v>
      </c>
      <c r="AB122" s="690">
        <f t="shared" si="59"/>
        <v>1E-4</v>
      </c>
      <c r="AC122" s="690">
        <f t="shared" si="60"/>
        <v>2.0000000000000001E-4</v>
      </c>
      <c r="AD122" s="690">
        <f t="shared" si="61"/>
        <v>2.9999999999999997E-4</v>
      </c>
      <c r="AE122" s="690">
        <f t="shared" si="62"/>
        <v>4.0000000000000002E-4</v>
      </c>
      <c r="AF122" s="690">
        <f t="shared" si="63"/>
        <v>5.0000000000000001E-4</v>
      </c>
    </row>
    <row r="123" spans="1:32" hidden="1" x14ac:dyDescent="0.2">
      <c r="A123" s="680" t="str">
        <f t="shared" si="48"/>
        <v/>
      </c>
      <c r="B123" s="681" t="s">
        <v>199</v>
      </c>
      <c r="C123" s="682"/>
      <c r="D123" s="683"/>
      <c r="E123" s="673">
        <f>(IF(COUNT(M123,N123,O123,P123,Q123)&lt;4,SUM(M123,N123,O123,P123,Q123),SUM(LARGE((M123,N123,O123,P123,Q123),{1;2;3;4}))))</f>
        <v>0</v>
      </c>
      <c r="F123" s="684" t="str">
        <f>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amp;INDEX(ETAPP!B$1:B$32,MATCH(COUNTIF(M123:Q123,#REF!),ETAPP!A$1:A$32,0))</f>
        <v>0000000000000000000</v>
      </c>
      <c r="G123" s="684" t="str">
        <f t="shared" si="49"/>
        <v>000,0-0000000000000000000</v>
      </c>
      <c r="H123" s="684">
        <f t="shared" si="50"/>
        <v>149</v>
      </c>
      <c r="I123" s="684">
        <f t="shared" si="51"/>
        <v>48</v>
      </c>
      <c r="J123" s="684" t="str">
        <f t="shared" si="52"/>
        <v>000,0-0000000000000000000-048</v>
      </c>
      <c r="K123" s="684">
        <f t="shared" si="53"/>
        <v>117</v>
      </c>
      <c r="L123" s="685">
        <f t="shared" si="54"/>
        <v>33</v>
      </c>
      <c r="M123" s="686" t="str">
        <f>IFERROR(INDEX('M1'!C$300:C$400,MATCH("*"&amp;B123&amp;"*",'M1'!B$300:B$400,0)),"  ")</f>
        <v xml:space="preserve">  </v>
      </c>
      <c r="N123" s="686" t="str">
        <f>IFERROR(INDEX('M2'!C$300:C$400,MATCH("*"&amp;B123&amp;"*",'M2'!B$300:B$400,0)),"  ")</f>
        <v xml:space="preserve">  </v>
      </c>
      <c r="O123" s="686" t="str">
        <f>IFERROR(INDEX('M3'!C$300:C$400,MATCH("*"&amp;B123&amp;"*",'M3'!B$300:B$400,0)),"  ")</f>
        <v xml:space="preserve">  </v>
      </c>
      <c r="P123" s="686" t="str">
        <f>IFERROR(INDEX('M4'!C$300:C$400,MATCH("*"&amp;B123&amp;"*",'M4'!B$300:B$400,0)),"  ")</f>
        <v xml:space="preserve">  </v>
      </c>
      <c r="Q123" s="686" t="str">
        <f>IFERROR(INDEX('M5'!C$300:C$400,MATCH("*"&amp;B123&amp;"*",'M5'!B$300:B$400,0)),"  ")</f>
        <v xml:space="preserve">  </v>
      </c>
      <c r="R123" s="687">
        <f t="shared" si="55"/>
        <v>0</v>
      </c>
      <c r="S123" s="688">
        <f t="shared" si="56"/>
        <v>0</v>
      </c>
      <c r="T123" s="688">
        <f t="shared" si="57"/>
        <v>0</v>
      </c>
      <c r="U123" s="642"/>
      <c r="V123" s="689"/>
      <c r="W123" s="690"/>
      <c r="X123" s="690"/>
      <c r="Y123" s="690"/>
      <c r="Z123" s="690"/>
      <c r="AA123" s="689">
        <f t="shared" si="58"/>
        <v>1E-4</v>
      </c>
      <c r="AB123" s="690">
        <f t="shared" si="59"/>
        <v>1E-4</v>
      </c>
      <c r="AC123" s="690">
        <f t="shared" si="60"/>
        <v>2.0000000000000001E-4</v>
      </c>
      <c r="AD123" s="690">
        <f t="shared" si="61"/>
        <v>2.9999999999999997E-4</v>
      </c>
      <c r="AE123" s="690">
        <f t="shared" si="62"/>
        <v>4.0000000000000002E-4</v>
      </c>
      <c r="AF123" s="690">
        <f t="shared" si="63"/>
        <v>5.0000000000000001E-4</v>
      </c>
    </row>
    <row r="124" spans="1:32" hidden="1" x14ac:dyDescent="0.2">
      <c r="A124" s="680" t="str">
        <f t="shared" si="48"/>
        <v/>
      </c>
      <c r="B124" s="681" t="s">
        <v>196</v>
      </c>
      <c r="C124" s="682"/>
      <c r="D124" s="683"/>
      <c r="E124" s="673">
        <f>(IF(COUNT(M124,N124,O124,P124,Q124)&lt;4,SUM(M124,N124,O124,P124,Q124),SUM(LARGE((M124,N124,O124,P124,Q124),{1;2;3;4}))))</f>
        <v>0</v>
      </c>
      <c r="F124" s="684" t="str">
        <f>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amp;INDEX(ETAPP!B$1:B$32,MATCH(COUNTIF(M124:Q124,#REF!),ETAPP!A$1:A$32,0))</f>
        <v>0000000000000000000</v>
      </c>
      <c r="G124" s="684" t="str">
        <f t="shared" si="49"/>
        <v>000,0-0000000000000000000</v>
      </c>
      <c r="H124" s="684">
        <f t="shared" si="50"/>
        <v>149</v>
      </c>
      <c r="I124" s="684">
        <f t="shared" si="51"/>
        <v>47</v>
      </c>
      <c r="J124" s="684" t="str">
        <f t="shared" si="52"/>
        <v>000,0-0000000000000000000-047</v>
      </c>
      <c r="K124" s="684">
        <f t="shared" si="53"/>
        <v>118</v>
      </c>
      <c r="L124" s="685">
        <f t="shared" si="54"/>
        <v>32</v>
      </c>
      <c r="M124" s="686" t="str">
        <f>IFERROR(INDEX('M1'!C$300:C$400,MATCH("*"&amp;B124&amp;"*",'M1'!B$300:B$400,0)),"  ")</f>
        <v xml:space="preserve">  </v>
      </c>
      <c r="N124" s="686" t="str">
        <f>IFERROR(INDEX('M2'!C$300:C$400,MATCH("*"&amp;B124&amp;"*",'M2'!B$300:B$400,0)),"  ")</f>
        <v xml:space="preserve">  </v>
      </c>
      <c r="O124" s="686" t="str">
        <f>IFERROR(INDEX('M3'!C$300:C$400,MATCH("*"&amp;B124&amp;"*",'M3'!B$300:B$400,0)),"  ")</f>
        <v xml:space="preserve">  </v>
      </c>
      <c r="P124" s="686" t="str">
        <f>IFERROR(INDEX('M4'!C$300:C$400,MATCH("*"&amp;B124&amp;"*",'M4'!B$300:B$400,0)),"  ")</f>
        <v xml:space="preserve">  </v>
      </c>
      <c r="Q124" s="686" t="str">
        <f>IFERROR(INDEX('M5'!C$300:C$400,MATCH("*"&amp;B124&amp;"*",'M5'!B$300:B$400,0)),"  ")</f>
        <v xml:space="preserve">  </v>
      </c>
      <c r="R124" s="687">
        <f t="shared" si="55"/>
        <v>0</v>
      </c>
      <c r="S124" s="688">
        <f t="shared" si="56"/>
        <v>0</v>
      </c>
      <c r="T124" s="688">
        <f t="shared" si="57"/>
        <v>0</v>
      </c>
      <c r="U124" s="642"/>
      <c r="V124" s="689"/>
      <c r="W124" s="690"/>
      <c r="X124" s="690"/>
      <c r="Y124" s="690"/>
      <c r="Z124" s="690"/>
      <c r="AA124" s="689">
        <f t="shared" si="58"/>
        <v>1E-4</v>
      </c>
      <c r="AB124" s="690">
        <f t="shared" si="59"/>
        <v>1E-4</v>
      </c>
      <c r="AC124" s="690">
        <f t="shared" si="60"/>
        <v>2.0000000000000001E-4</v>
      </c>
      <c r="AD124" s="690">
        <f t="shared" si="61"/>
        <v>2.9999999999999997E-4</v>
      </c>
      <c r="AE124" s="690">
        <f t="shared" si="62"/>
        <v>4.0000000000000002E-4</v>
      </c>
      <c r="AF124" s="690">
        <f t="shared" si="63"/>
        <v>5.0000000000000001E-4</v>
      </c>
    </row>
    <row r="125" spans="1:32" hidden="1" x14ac:dyDescent="0.2">
      <c r="A125" s="680" t="str">
        <f t="shared" si="48"/>
        <v/>
      </c>
      <c r="B125" s="681" t="s">
        <v>231</v>
      </c>
      <c r="C125" s="682"/>
      <c r="D125" s="683"/>
      <c r="E125" s="673">
        <f>(IF(COUNT(M125,N125,O125,P125,Q125)&lt;4,SUM(M125,N125,O125,P125,Q125),SUM(LARGE((M125,N125,O125,P125,Q125),{1;2;3;4}))))</f>
        <v>0</v>
      </c>
      <c r="F125" s="684" t="str">
        <f>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amp;INDEX(ETAPP!B$1:B$32,MATCH(COUNTIF(M125:Q125,#REF!),ETAPP!A$1:A$32,0))</f>
        <v>0000000000000000000</v>
      </c>
      <c r="G125" s="684" t="str">
        <f t="shared" si="49"/>
        <v>000,0-0000000000000000000</v>
      </c>
      <c r="H125" s="684">
        <f t="shared" si="50"/>
        <v>149</v>
      </c>
      <c r="I125" s="684">
        <f t="shared" si="51"/>
        <v>46</v>
      </c>
      <c r="J125" s="684" t="str">
        <f t="shared" si="52"/>
        <v>000,0-0000000000000000000-046</v>
      </c>
      <c r="K125" s="684">
        <f t="shared" si="53"/>
        <v>119</v>
      </c>
      <c r="L125" s="685">
        <f t="shared" si="54"/>
        <v>31</v>
      </c>
      <c r="M125" s="686" t="str">
        <f>IFERROR(INDEX('M1'!C$300:C$400,MATCH("*"&amp;B125&amp;"*",'M1'!B$300:B$400,0)),"  ")</f>
        <v xml:space="preserve">  </v>
      </c>
      <c r="N125" s="686" t="str">
        <f>IFERROR(INDEX('M2'!C$300:C$400,MATCH("*"&amp;B125&amp;"*",'M2'!B$300:B$400,0)),"  ")</f>
        <v xml:space="preserve">  </v>
      </c>
      <c r="O125" s="686" t="str">
        <f>IFERROR(INDEX('M3'!C$300:C$400,MATCH("*"&amp;B125&amp;"*",'M3'!B$300:B$400,0)),"  ")</f>
        <v xml:space="preserve">  </v>
      </c>
      <c r="P125" s="686" t="str">
        <f>IFERROR(INDEX('M4'!C$300:C$400,MATCH("*"&amp;B125&amp;"*",'M4'!B$300:B$400,0)),"  ")</f>
        <v xml:space="preserve">  </v>
      </c>
      <c r="Q125" s="686" t="str">
        <f>IFERROR(INDEX('M5'!C$300:C$400,MATCH("*"&amp;B125&amp;"*",'M5'!B$300:B$400,0)),"  ")</f>
        <v xml:space="preserve">  </v>
      </c>
      <c r="R125" s="687">
        <f t="shared" si="55"/>
        <v>0</v>
      </c>
      <c r="S125" s="688">
        <f t="shared" si="56"/>
        <v>0</v>
      </c>
      <c r="T125" s="688">
        <f t="shared" si="57"/>
        <v>0</v>
      </c>
      <c r="U125" s="642"/>
      <c r="V125" s="689"/>
      <c r="W125" s="690"/>
      <c r="X125" s="690"/>
      <c r="Y125" s="690"/>
      <c r="Z125" s="690"/>
      <c r="AA125" s="689">
        <f t="shared" si="58"/>
        <v>1E-4</v>
      </c>
      <c r="AB125" s="690">
        <f t="shared" si="59"/>
        <v>1E-4</v>
      </c>
      <c r="AC125" s="690">
        <f t="shared" si="60"/>
        <v>2.0000000000000001E-4</v>
      </c>
      <c r="AD125" s="690">
        <f t="shared" si="61"/>
        <v>2.9999999999999997E-4</v>
      </c>
      <c r="AE125" s="690">
        <f t="shared" si="62"/>
        <v>4.0000000000000002E-4</v>
      </c>
      <c r="AF125" s="690">
        <f t="shared" si="63"/>
        <v>5.0000000000000001E-4</v>
      </c>
    </row>
    <row r="126" spans="1:32" hidden="1" x14ac:dyDescent="0.2">
      <c r="A126" s="680" t="str">
        <f t="shared" si="48"/>
        <v/>
      </c>
      <c r="B126" s="681" t="s">
        <v>232</v>
      </c>
      <c r="C126" s="682"/>
      <c r="D126" s="693" t="s">
        <v>105</v>
      </c>
      <c r="E126" s="673">
        <f>(IF(COUNT(M126,N126,O126,P126,Q126)&lt;4,SUM(M126,N126,O126,P126,Q126),SUM(LARGE((M126,N126,O126,P126,Q126),{1;2;3;4}))))</f>
        <v>0</v>
      </c>
      <c r="F126" s="684" t="str">
        <f>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amp;INDEX(ETAPP!B$1:B$32,MATCH(COUNTIF(M126:Q126,#REF!),ETAPP!A$1:A$32,0))</f>
        <v>0000000000000000000</v>
      </c>
      <c r="G126" s="684" t="str">
        <f t="shared" si="49"/>
        <v>000,0-0000000000000000000</v>
      </c>
      <c r="H126" s="684">
        <f t="shared" si="50"/>
        <v>149</v>
      </c>
      <c r="I126" s="684">
        <f t="shared" si="51"/>
        <v>45</v>
      </c>
      <c r="J126" s="684" t="str">
        <f t="shared" si="52"/>
        <v>000,0-0000000000000000000-045</v>
      </c>
      <c r="K126" s="684">
        <f t="shared" si="53"/>
        <v>120</v>
      </c>
      <c r="L126" s="685">
        <f t="shared" si="54"/>
        <v>30</v>
      </c>
      <c r="M126" s="686" t="str">
        <f>IFERROR(INDEX('M1'!C$300:C$400,MATCH("*"&amp;B126&amp;"*",'M1'!B$300:B$400,0)),"  ")</f>
        <v xml:space="preserve">  </v>
      </c>
      <c r="N126" s="686" t="str">
        <f>IFERROR(INDEX('M2'!C$300:C$400,MATCH("*"&amp;B126&amp;"*",'M2'!B$300:B$400,0)),"  ")</f>
        <v xml:space="preserve">  </v>
      </c>
      <c r="O126" s="686" t="str">
        <f>IFERROR(INDEX('M3'!C$300:C$400,MATCH("*"&amp;B126&amp;"*",'M3'!B$300:B$400,0)),"  ")</f>
        <v xml:space="preserve">  </v>
      </c>
      <c r="P126" s="686" t="str">
        <f>IFERROR(INDEX('M4'!C$300:C$400,MATCH("*"&amp;B126&amp;"*",'M4'!B$300:B$400,0)),"  ")</f>
        <v xml:space="preserve">  </v>
      </c>
      <c r="Q126" s="686" t="str">
        <f>IFERROR(INDEX('M5'!C$300:C$400,MATCH("*"&amp;B126&amp;"*",'M5'!B$300:B$400,0)),"  ")</f>
        <v xml:space="preserve">  </v>
      </c>
      <c r="R126" s="687">
        <f t="shared" si="55"/>
        <v>0</v>
      </c>
      <c r="S126" s="688">
        <f t="shared" si="56"/>
        <v>0</v>
      </c>
      <c r="T126" s="688">
        <f t="shared" si="57"/>
        <v>0</v>
      </c>
      <c r="U126" s="642"/>
      <c r="V126" s="689"/>
      <c r="W126" s="690"/>
      <c r="X126" s="690"/>
      <c r="Y126" s="690"/>
      <c r="Z126" s="690"/>
      <c r="AA126" s="689">
        <f t="shared" si="58"/>
        <v>1E-4</v>
      </c>
      <c r="AB126" s="690">
        <f t="shared" si="59"/>
        <v>1E-4</v>
      </c>
      <c r="AC126" s="690">
        <f t="shared" si="60"/>
        <v>2.0000000000000001E-4</v>
      </c>
      <c r="AD126" s="690">
        <f t="shared" si="61"/>
        <v>2.9999999999999997E-4</v>
      </c>
      <c r="AE126" s="690">
        <f t="shared" si="62"/>
        <v>4.0000000000000002E-4</v>
      </c>
      <c r="AF126" s="690">
        <f t="shared" si="63"/>
        <v>5.0000000000000001E-4</v>
      </c>
    </row>
    <row r="127" spans="1:32" hidden="1" x14ac:dyDescent="0.2">
      <c r="A127" s="680" t="str">
        <f t="shared" si="48"/>
        <v/>
      </c>
      <c r="B127" s="681" t="s">
        <v>233</v>
      </c>
      <c r="C127" s="682"/>
      <c r="D127" s="683"/>
      <c r="E127" s="673">
        <f>(IF(COUNT(M127,N127,O127,P127,Q127)&lt;4,SUM(M127,N127,O127,P127,Q127),SUM(LARGE((M127,N127,O127,P127,Q127),{1;2;3;4}))))</f>
        <v>0</v>
      </c>
      <c r="F127" s="684" t="str">
        <f>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amp;INDEX(ETAPP!B$1:B$32,MATCH(COUNTIF(M127:Q127,#REF!),ETAPP!A$1:A$32,0))</f>
        <v>0000000000000000000</v>
      </c>
      <c r="G127" s="684" t="str">
        <f t="shared" si="49"/>
        <v>000,0-0000000000000000000</v>
      </c>
      <c r="H127" s="684">
        <f t="shared" si="50"/>
        <v>149</v>
      </c>
      <c r="I127" s="684">
        <f t="shared" si="51"/>
        <v>44</v>
      </c>
      <c r="J127" s="684" t="str">
        <f t="shared" si="52"/>
        <v>000,0-0000000000000000000-044</v>
      </c>
      <c r="K127" s="684">
        <f t="shared" si="53"/>
        <v>121</v>
      </c>
      <c r="L127" s="685">
        <f t="shared" si="54"/>
        <v>29</v>
      </c>
      <c r="M127" s="686" t="str">
        <f>IFERROR(INDEX('M1'!C$300:C$400,MATCH("*"&amp;B127&amp;"*",'M1'!B$300:B$400,0)),"  ")</f>
        <v xml:space="preserve">  </v>
      </c>
      <c r="N127" s="686" t="str">
        <f>IFERROR(INDEX('M2'!C$300:C$400,MATCH("*"&amp;B127&amp;"*",'M2'!B$300:B$400,0)),"  ")</f>
        <v xml:space="preserve">  </v>
      </c>
      <c r="O127" s="686" t="str">
        <f>IFERROR(INDEX('M3'!C$300:C$400,MATCH("*"&amp;B127&amp;"*",'M3'!B$300:B$400,0)),"  ")</f>
        <v xml:space="preserve">  </v>
      </c>
      <c r="P127" s="686" t="str">
        <f>IFERROR(INDEX('M4'!C$300:C$400,MATCH("*"&amp;B127&amp;"*",'M4'!B$300:B$400,0)),"  ")</f>
        <v xml:space="preserve">  </v>
      </c>
      <c r="Q127" s="686" t="str">
        <f>IFERROR(INDEX('M5'!C$300:C$400,MATCH("*"&amp;B127&amp;"*",'M5'!B$300:B$400,0)),"  ")</f>
        <v xml:space="preserve">  </v>
      </c>
      <c r="R127" s="687">
        <f t="shared" si="55"/>
        <v>0</v>
      </c>
      <c r="S127" s="688">
        <f t="shared" si="56"/>
        <v>0</v>
      </c>
      <c r="T127" s="688">
        <f t="shared" si="57"/>
        <v>0</v>
      </c>
      <c r="U127" s="642"/>
      <c r="V127" s="689"/>
      <c r="W127" s="690"/>
      <c r="X127" s="690"/>
      <c r="Y127" s="690"/>
      <c r="Z127" s="690"/>
      <c r="AA127" s="689">
        <f t="shared" si="58"/>
        <v>1E-4</v>
      </c>
      <c r="AB127" s="690">
        <f t="shared" si="59"/>
        <v>1E-4</v>
      </c>
      <c r="AC127" s="690">
        <f t="shared" si="60"/>
        <v>2.0000000000000001E-4</v>
      </c>
      <c r="AD127" s="690">
        <f t="shared" si="61"/>
        <v>2.9999999999999997E-4</v>
      </c>
      <c r="AE127" s="690">
        <f t="shared" si="62"/>
        <v>4.0000000000000002E-4</v>
      </c>
      <c r="AF127" s="690">
        <f t="shared" si="63"/>
        <v>5.0000000000000001E-4</v>
      </c>
    </row>
    <row r="128" spans="1:32" hidden="1" x14ac:dyDescent="0.2">
      <c r="A128" s="680" t="str">
        <f t="shared" si="48"/>
        <v/>
      </c>
      <c r="B128" s="681" t="s">
        <v>114</v>
      </c>
      <c r="C128" s="682"/>
      <c r="D128" s="693" t="s">
        <v>105</v>
      </c>
      <c r="E128" s="673">
        <f>(IF(COUNT(M128,N128,O128,P128,Q128)&lt;4,SUM(M128,N128,O128,P128,Q128),SUM(LARGE((M128,N128,O128,P128,Q128),{1;2;3;4}))))</f>
        <v>0</v>
      </c>
      <c r="F128" s="684" t="str">
        <f>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amp;INDEX(ETAPP!B$1:B$32,MATCH(COUNTIF(M128:Q128,#REF!),ETAPP!A$1:A$32,0))</f>
        <v>0000000000000000000</v>
      </c>
      <c r="G128" s="684" t="str">
        <f t="shared" si="49"/>
        <v>000,0-0000000000000000000</v>
      </c>
      <c r="H128" s="684">
        <f t="shared" si="50"/>
        <v>149</v>
      </c>
      <c r="I128" s="684">
        <f t="shared" si="51"/>
        <v>43</v>
      </c>
      <c r="J128" s="684" t="str">
        <f t="shared" si="52"/>
        <v>000,0-0000000000000000000-043</v>
      </c>
      <c r="K128" s="684">
        <f t="shared" si="53"/>
        <v>122</v>
      </c>
      <c r="L128" s="685">
        <f t="shared" si="54"/>
        <v>28</v>
      </c>
      <c r="M128" s="686" t="str">
        <f>IFERROR(INDEX('M1'!C$300:C$400,MATCH("*"&amp;B128&amp;"*",'M1'!B$300:B$400,0)),"  ")</f>
        <v xml:space="preserve">  </v>
      </c>
      <c r="N128" s="686" t="str">
        <f>IFERROR(INDEX('M2'!C$300:C$400,MATCH("*"&amp;B128&amp;"*",'M2'!B$300:B$400,0)),"  ")</f>
        <v xml:space="preserve">  </v>
      </c>
      <c r="O128" s="686" t="str">
        <f>IFERROR(INDEX('M3'!C$300:C$400,MATCH("*"&amp;B128&amp;"*",'M3'!B$300:B$400,0)),"  ")</f>
        <v xml:space="preserve">  </v>
      </c>
      <c r="P128" s="686" t="str">
        <f>IFERROR(INDEX('M4'!C$300:C$400,MATCH("*"&amp;B128&amp;"*",'M4'!B$300:B$400,0)),"  ")</f>
        <v xml:space="preserve">  </v>
      </c>
      <c r="Q128" s="686" t="str">
        <f>IFERROR(INDEX('M5'!C$300:C$400,MATCH("*"&amp;B128&amp;"*",'M5'!B$300:B$400,0)),"  ")</f>
        <v xml:space="preserve">  </v>
      </c>
      <c r="R128" s="687">
        <f t="shared" si="55"/>
        <v>0</v>
      </c>
      <c r="S128" s="688">
        <f t="shared" si="56"/>
        <v>0</v>
      </c>
      <c r="T128" s="688">
        <f t="shared" si="57"/>
        <v>0</v>
      </c>
      <c r="U128" s="642"/>
      <c r="V128" s="689"/>
      <c r="W128" s="690"/>
      <c r="X128" s="690"/>
      <c r="Y128" s="690"/>
      <c r="Z128" s="690"/>
      <c r="AA128" s="689">
        <f t="shared" si="58"/>
        <v>1E-4</v>
      </c>
      <c r="AB128" s="690">
        <f t="shared" si="59"/>
        <v>1E-4</v>
      </c>
      <c r="AC128" s="690">
        <f t="shared" si="60"/>
        <v>2.0000000000000001E-4</v>
      </c>
      <c r="AD128" s="690">
        <f t="shared" si="61"/>
        <v>2.9999999999999997E-4</v>
      </c>
      <c r="AE128" s="690">
        <f t="shared" si="62"/>
        <v>4.0000000000000002E-4</v>
      </c>
      <c r="AF128" s="690">
        <f t="shared" si="63"/>
        <v>5.0000000000000001E-4</v>
      </c>
    </row>
    <row r="129" spans="1:32" hidden="1" x14ac:dyDescent="0.2">
      <c r="A129" s="680" t="str">
        <f t="shared" si="48"/>
        <v/>
      </c>
      <c r="B129" s="706" t="s">
        <v>234</v>
      </c>
      <c r="C129" s="691"/>
      <c r="D129" s="707" t="s">
        <v>105</v>
      </c>
      <c r="E129" s="673">
        <f>(IF(COUNT(M129,N129,O129,P129,Q129)&lt;4,SUM(M129,N129,O129,P129,Q129),SUM(LARGE((M129,N129,O129,P129,Q129),{1;2;3;4}))))</f>
        <v>0</v>
      </c>
      <c r="F129" s="684" t="str">
        <f>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amp;INDEX(ETAPP!B$1:B$32,MATCH(COUNTIF(M129:Q129,#REF!),ETAPP!A$1:A$32,0))</f>
        <v>0000000000000000000</v>
      </c>
      <c r="G129" s="684" t="str">
        <f t="shared" si="49"/>
        <v>000,0-0000000000000000000</v>
      </c>
      <c r="H129" s="684">
        <f t="shared" si="50"/>
        <v>149</v>
      </c>
      <c r="I129" s="684">
        <f t="shared" si="51"/>
        <v>42</v>
      </c>
      <c r="J129" s="684" t="str">
        <f t="shared" si="52"/>
        <v>000,0-0000000000000000000-042</v>
      </c>
      <c r="K129" s="684">
        <f t="shared" si="53"/>
        <v>123</v>
      </c>
      <c r="L129" s="685">
        <f t="shared" si="54"/>
        <v>27</v>
      </c>
      <c r="M129" s="686" t="str">
        <f>IFERROR(INDEX('M1'!C$300:C$400,MATCH("*"&amp;B129&amp;"*",'M1'!B$300:B$400,0)),"  ")</f>
        <v xml:space="preserve">  </v>
      </c>
      <c r="N129" s="686" t="str">
        <f>IFERROR(INDEX('M2'!C$300:C$400,MATCH("*"&amp;B129&amp;"*",'M2'!B$300:B$400,0)),"  ")</f>
        <v xml:space="preserve">  </v>
      </c>
      <c r="O129" s="686" t="str">
        <f>IFERROR(INDEX('M3'!C$300:C$400,MATCH("*"&amp;B129&amp;"*",'M3'!B$300:B$400,0)),"  ")</f>
        <v xml:space="preserve">  </v>
      </c>
      <c r="P129" s="686" t="str">
        <f>IFERROR(INDEX('M4'!C$300:C$400,MATCH("*"&amp;B129&amp;"*",'M4'!B$300:B$400,0)),"  ")</f>
        <v xml:space="preserve">  </v>
      </c>
      <c r="Q129" s="686" t="str">
        <f>IFERROR(INDEX('M5'!C$300:C$400,MATCH("*"&amp;B129&amp;"*",'M5'!B$300:B$400,0)),"  ")</f>
        <v xml:space="preserve">  </v>
      </c>
      <c r="R129" s="687">
        <f t="shared" si="55"/>
        <v>0</v>
      </c>
      <c r="S129" s="688">
        <f t="shared" si="56"/>
        <v>0</v>
      </c>
      <c r="T129" s="688">
        <f t="shared" si="57"/>
        <v>0</v>
      </c>
      <c r="U129" s="642"/>
      <c r="V129" s="689"/>
      <c r="W129" s="690"/>
      <c r="X129" s="690"/>
      <c r="Y129" s="690"/>
      <c r="Z129" s="690"/>
      <c r="AA129" s="689">
        <f t="shared" si="58"/>
        <v>1E-4</v>
      </c>
      <c r="AB129" s="690">
        <f t="shared" si="59"/>
        <v>1E-4</v>
      </c>
      <c r="AC129" s="690">
        <f t="shared" si="60"/>
        <v>2.0000000000000001E-4</v>
      </c>
      <c r="AD129" s="690">
        <f t="shared" si="61"/>
        <v>2.9999999999999997E-4</v>
      </c>
      <c r="AE129" s="690">
        <f t="shared" si="62"/>
        <v>4.0000000000000002E-4</v>
      </c>
      <c r="AF129" s="690">
        <f t="shared" si="63"/>
        <v>5.0000000000000001E-4</v>
      </c>
    </row>
    <row r="130" spans="1:32" hidden="1" x14ac:dyDescent="0.2">
      <c r="A130" s="680" t="str">
        <f t="shared" si="48"/>
        <v/>
      </c>
      <c r="B130" s="706" t="s">
        <v>235</v>
      </c>
      <c r="C130" s="691" t="s">
        <v>99</v>
      </c>
      <c r="D130" s="692"/>
      <c r="E130" s="673">
        <f>(IF(COUNT(M130,N130,O130,P130,Q130)&lt;4,SUM(M130,N130,O130,P130,Q130),SUM(LARGE((M130,N130,O130,P130,Q130),{1;2;3;4}))))</f>
        <v>0</v>
      </c>
      <c r="F130" s="684" t="str">
        <f>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amp;INDEX(ETAPP!B$1:B$32,MATCH(COUNTIF(M130:Q130,#REF!),ETAPP!A$1:A$32,0))</f>
        <v>0000000000000000000</v>
      </c>
      <c r="G130" s="684" t="str">
        <f t="shared" si="49"/>
        <v>000,0-0000000000000000000</v>
      </c>
      <c r="H130" s="684">
        <f t="shared" si="50"/>
        <v>149</v>
      </c>
      <c r="I130" s="684">
        <f t="shared" si="51"/>
        <v>41</v>
      </c>
      <c r="J130" s="684" t="str">
        <f t="shared" si="52"/>
        <v>000,0-0000000000000000000-041</v>
      </c>
      <c r="K130" s="684">
        <f t="shared" si="53"/>
        <v>124</v>
      </c>
      <c r="L130" s="685">
        <f t="shared" si="54"/>
        <v>26</v>
      </c>
      <c r="M130" s="686" t="str">
        <f>IFERROR(INDEX('M1'!C$300:C$400,MATCH("*"&amp;B130&amp;"*",'M1'!B$300:B$400,0)),"  ")</f>
        <v xml:space="preserve">  </v>
      </c>
      <c r="N130" s="686" t="str">
        <f>IFERROR(INDEX('M2'!C$300:C$400,MATCH("*"&amp;B130&amp;"*",'M2'!B$300:B$400,0)),"  ")</f>
        <v xml:space="preserve">  </v>
      </c>
      <c r="O130" s="686" t="str">
        <f>IFERROR(INDEX('M3'!C$300:C$400,MATCH("*"&amp;B130&amp;"*",'M3'!B$300:B$400,0)),"  ")</f>
        <v xml:space="preserve">  </v>
      </c>
      <c r="P130" s="686" t="str">
        <f>IFERROR(INDEX('M4'!C$300:C$400,MATCH("*"&amp;B130&amp;"*",'M4'!B$300:B$400,0)),"  ")</f>
        <v xml:space="preserve">  </v>
      </c>
      <c r="Q130" s="686" t="str">
        <f>IFERROR(INDEX('M5'!C$300:C$400,MATCH("*"&amp;B130&amp;"*",'M5'!B$300:B$400,0)),"  ")</f>
        <v xml:space="preserve">  </v>
      </c>
      <c r="R130" s="687">
        <f t="shared" si="55"/>
        <v>0</v>
      </c>
      <c r="S130" s="688">
        <f t="shared" si="56"/>
        <v>0</v>
      </c>
      <c r="T130" s="688">
        <f t="shared" si="57"/>
        <v>0</v>
      </c>
      <c r="U130" s="642"/>
      <c r="V130" s="689"/>
      <c r="W130" s="690"/>
      <c r="X130" s="690"/>
      <c r="Y130" s="690"/>
      <c r="Z130" s="690"/>
      <c r="AA130" s="689">
        <f t="shared" si="58"/>
        <v>1E-4</v>
      </c>
      <c r="AB130" s="690">
        <f t="shared" si="59"/>
        <v>1E-4</v>
      </c>
      <c r="AC130" s="690">
        <f t="shared" si="60"/>
        <v>2.0000000000000001E-4</v>
      </c>
      <c r="AD130" s="690">
        <f t="shared" si="61"/>
        <v>2.9999999999999997E-4</v>
      </c>
      <c r="AE130" s="690">
        <f t="shared" si="62"/>
        <v>4.0000000000000002E-4</v>
      </c>
      <c r="AF130" s="690">
        <f t="shared" si="63"/>
        <v>5.0000000000000001E-4</v>
      </c>
    </row>
    <row r="131" spans="1:32" hidden="1" x14ac:dyDescent="0.2">
      <c r="A131" s="680" t="str">
        <f t="shared" si="48"/>
        <v/>
      </c>
      <c r="B131" s="706" t="s">
        <v>140</v>
      </c>
      <c r="C131" s="691"/>
      <c r="D131" s="692"/>
      <c r="E131" s="673">
        <f>(IF(COUNT(M131,N131,O131,P131,Q131)&lt;4,SUM(M131,N131,O131,P131,Q131),SUM(LARGE((M131,N131,O131,P131,Q131),{1;2;3;4}))))</f>
        <v>0</v>
      </c>
      <c r="F131" s="684" t="str">
        <f>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amp;INDEX(ETAPP!B$1:B$32,MATCH(COUNTIF(M131:Q131,#REF!),ETAPP!A$1:A$32,0))</f>
        <v>0000000000000000000</v>
      </c>
      <c r="G131" s="684" t="str">
        <f t="shared" si="49"/>
        <v>000,0-0000000000000000000</v>
      </c>
      <c r="H131" s="684">
        <f t="shared" si="50"/>
        <v>149</v>
      </c>
      <c r="I131" s="684">
        <f t="shared" si="51"/>
        <v>39</v>
      </c>
      <c r="J131" s="684" t="str">
        <f t="shared" si="52"/>
        <v>000,0-0000000000000000000-039</v>
      </c>
      <c r="K131" s="684">
        <f t="shared" si="53"/>
        <v>125</v>
      </c>
      <c r="L131" s="685">
        <f t="shared" si="54"/>
        <v>25</v>
      </c>
      <c r="M131" s="686" t="str">
        <f>IFERROR(INDEX('M1'!C$300:C$400,MATCH("*"&amp;B131&amp;"*",'M1'!B$300:B$400,0)),"  ")</f>
        <v xml:space="preserve">  </v>
      </c>
      <c r="N131" s="686" t="str">
        <f>IFERROR(INDEX('M2'!C$300:C$400,MATCH("*"&amp;B131&amp;"*",'M2'!B$300:B$400,0)),"  ")</f>
        <v xml:space="preserve">  </v>
      </c>
      <c r="O131" s="686" t="str">
        <f>IFERROR(INDEX('M3'!C$300:C$400,MATCH("*"&amp;B131&amp;"*",'M3'!B$300:B$400,0)),"  ")</f>
        <v xml:space="preserve">  </v>
      </c>
      <c r="P131" s="686" t="str">
        <f>IFERROR(INDEX('M4'!C$300:C$400,MATCH("*"&amp;B131&amp;"*",'M4'!B$300:B$400,0)),"  ")</f>
        <v xml:space="preserve">  </v>
      </c>
      <c r="Q131" s="686" t="str">
        <f>IFERROR(INDEX('M5'!C$300:C$400,MATCH("*"&amp;B131&amp;"*",'M5'!B$300:B$400,0)),"  ")</f>
        <v xml:space="preserve">  </v>
      </c>
      <c r="R131" s="687">
        <f t="shared" si="55"/>
        <v>0</v>
      </c>
      <c r="S131" s="688">
        <f t="shared" si="56"/>
        <v>0</v>
      </c>
      <c r="T131" s="688">
        <f t="shared" si="57"/>
        <v>0</v>
      </c>
      <c r="U131" s="642"/>
      <c r="V131" s="689"/>
      <c r="W131" s="690"/>
      <c r="X131" s="690"/>
      <c r="Y131" s="690"/>
      <c r="Z131" s="690"/>
      <c r="AA131" s="689">
        <f t="shared" si="58"/>
        <v>1E-4</v>
      </c>
      <c r="AB131" s="690">
        <f t="shared" si="59"/>
        <v>1E-4</v>
      </c>
      <c r="AC131" s="690">
        <f t="shared" si="60"/>
        <v>2.0000000000000001E-4</v>
      </c>
      <c r="AD131" s="690">
        <f t="shared" si="61"/>
        <v>2.9999999999999997E-4</v>
      </c>
      <c r="AE131" s="690">
        <f t="shared" si="62"/>
        <v>4.0000000000000002E-4</v>
      </c>
      <c r="AF131" s="690">
        <f t="shared" si="63"/>
        <v>5.0000000000000001E-4</v>
      </c>
    </row>
    <row r="132" spans="1:32" hidden="1" x14ac:dyDescent="0.2">
      <c r="A132" s="680" t="str">
        <f t="shared" si="48"/>
        <v/>
      </c>
      <c r="B132" s="706" t="s">
        <v>115</v>
      </c>
      <c r="C132" s="691" t="s">
        <v>99</v>
      </c>
      <c r="D132" s="692"/>
      <c r="E132" s="673">
        <f>(IF(COUNT(M132,N132,O132,P132,Q132)&lt;4,SUM(M132,N132,O132,P132,Q132),SUM(LARGE((M132,N132,O132,P132,Q132),{1;2;3;4}))))</f>
        <v>0</v>
      </c>
      <c r="F132" s="684" t="str">
        <f>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amp;INDEX(ETAPP!B$1:B$32,MATCH(COUNTIF(M132:Q132,#REF!),ETAPP!A$1:A$32,0))</f>
        <v>0000000000000000000</v>
      </c>
      <c r="G132" s="684" t="str">
        <f t="shared" si="49"/>
        <v>000,0-0000000000000000000</v>
      </c>
      <c r="H132" s="684">
        <f t="shared" si="50"/>
        <v>149</v>
      </c>
      <c r="I132" s="684">
        <f t="shared" si="51"/>
        <v>38</v>
      </c>
      <c r="J132" s="684" t="str">
        <f t="shared" si="52"/>
        <v>000,0-0000000000000000000-038</v>
      </c>
      <c r="K132" s="684">
        <f t="shared" si="53"/>
        <v>126</v>
      </c>
      <c r="L132" s="685">
        <f t="shared" si="54"/>
        <v>24</v>
      </c>
      <c r="M132" s="686" t="str">
        <f>IFERROR(INDEX('M1'!C$300:C$400,MATCH("*"&amp;B132&amp;"*",'M1'!B$300:B$400,0)),"  ")</f>
        <v xml:space="preserve">  </v>
      </c>
      <c r="N132" s="686" t="str">
        <f>IFERROR(INDEX('M2'!C$300:C$400,MATCH("*"&amp;B132&amp;"*",'M2'!B$300:B$400,0)),"  ")</f>
        <v xml:space="preserve">  </v>
      </c>
      <c r="O132" s="686" t="str">
        <f>IFERROR(INDEX('M3'!C$300:C$400,MATCH("*"&amp;B132&amp;"*",'M3'!B$300:B$400,0)),"  ")</f>
        <v xml:space="preserve">  </v>
      </c>
      <c r="P132" s="686" t="str">
        <f>IFERROR(INDEX('M4'!C$300:C$400,MATCH("*"&amp;B132&amp;"*",'M4'!B$300:B$400,0)),"  ")</f>
        <v xml:space="preserve">  </v>
      </c>
      <c r="Q132" s="686" t="str">
        <f>IFERROR(INDEX('M5'!C$300:C$400,MATCH("*"&amp;B132&amp;"*",'M5'!B$300:B$400,0)),"  ")</f>
        <v xml:space="preserve">  </v>
      </c>
      <c r="R132" s="687">
        <f t="shared" si="55"/>
        <v>0</v>
      </c>
      <c r="S132" s="688">
        <f t="shared" si="56"/>
        <v>0</v>
      </c>
      <c r="T132" s="688">
        <f t="shared" si="57"/>
        <v>0</v>
      </c>
      <c r="U132" s="642"/>
      <c r="V132" s="689"/>
      <c r="W132" s="690"/>
      <c r="X132" s="690"/>
      <c r="Y132" s="690"/>
      <c r="Z132" s="690"/>
      <c r="AA132" s="689">
        <f t="shared" si="58"/>
        <v>1E-4</v>
      </c>
      <c r="AB132" s="690">
        <f t="shared" si="59"/>
        <v>1E-4</v>
      </c>
      <c r="AC132" s="690">
        <f t="shared" si="60"/>
        <v>2.0000000000000001E-4</v>
      </c>
      <c r="AD132" s="690">
        <f t="shared" si="61"/>
        <v>2.9999999999999997E-4</v>
      </c>
      <c r="AE132" s="690">
        <f t="shared" si="62"/>
        <v>4.0000000000000002E-4</v>
      </c>
      <c r="AF132" s="690">
        <f t="shared" si="63"/>
        <v>5.0000000000000001E-4</v>
      </c>
    </row>
    <row r="133" spans="1:32" hidden="1" x14ac:dyDescent="0.2">
      <c r="A133" s="680" t="str">
        <f t="shared" si="48"/>
        <v/>
      </c>
      <c r="B133" s="706" t="s">
        <v>236</v>
      </c>
      <c r="C133" s="691"/>
      <c r="D133" s="692"/>
      <c r="E133" s="673">
        <f>(IF(COUNT(M133,N133,O133,P133,Q133)&lt;4,SUM(M133,N133,O133,P133,Q133),SUM(LARGE((M133,N133,O133,P133,Q133),{1;2;3;4}))))</f>
        <v>0</v>
      </c>
      <c r="F133" s="684" t="str">
        <f>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amp;INDEX(ETAPP!B$1:B$32,MATCH(COUNTIF(M133:Q133,#REF!),ETAPP!A$1:A$32,0))</f>
        <v>0000000000000000000</v>
      </c>
      <c r="G133" s="684" t="str">
        <f t="shared" si="49"/>
        <v>000,0-0000000000000000000</v>
      </c>
      <c r="H133" s="684">
        <f t="shared" si="50"/>
        <v>149</v>
      </c>
      <c r="I133" s="684">
        <f t="shared" si="51"/>
        <v>37</v>
      </c>
      <c r="J133" s="684" t="str">
        <f t="shared" si="52"/>
        <v>000,0-0000000000000000000-037</v>
      </c>
      <c r="K133" s="684">
        <f t="shared" si="53"/>
        <v>127</v>
      </c>
      <c r="L133" s="685">
        <f t="shared" si="54"/>
        <v>23</v>
      </c>
      <c r="M133" s="686" t="str">
        <f>IFERROR(INDEX('M1'!C$300:C$400,MATCH("*"&amp;B133&amp;"*",'M1'!B$300:B$400,0)),"  ")</f>
        <v xml:space="preserve">  </v>
      </c>
      <c r="N133" s="686" t="str">
        <f>IFERROR(INDEX('M2'!C$300:C$400,MATCH("*"&amp;B133&amp;"*",'M2'!B$300:B$400,0)),"  ")</f>
        <v xml:space="preserve">  </v>
      </c>
      <c r="O133" s="686" t="str">
        <f>IFERROR(INDEX('M3'!C$300:C$400,MATCH("*"&amp;B133&amp;"*",'M3'!B$300:B$400,0)),"  ")</f>
        <v xml:space="preserve">  </v>
      </c>
      <c r="P133" s="686" t="str">
        <f>IFERROR(INDEX('M4'!C$300:C$400,MATCH("*"&amp;B133&amp;"*",'M4'!B$300:B$400,0)),"  ")</f>
        <v xml:space="preserve">  </v>
      </c>
      <c r="Q133" s="686" t="str">
        <f>IFERROR(INDEX('M5'!C$300:C$400,MATCH("*"&amp;B133&amp;"*",'M5'!B$300:B$400,0)),"  ")</f>
        <v xml:space="preserve">  </v>
      </c>
      <c r="R133" s="687">
        <f t="shared" si="55"/>
        <v>0</v>
      </c>
      <c r="S133" s="688">
        <f t="shared" si="56"/>
        <v>0</v>
      </c>
      <c r="T133" s="688">
        <f t="shared" si="57"/>
        <v>0</v>
      </c>
      <c r="U133" s="642"/>
      <c r="V133" s="689"/>
      <c r="W133" s="690"/>
      <c r="X133" s="690"/>
      <c r="Y133" s="690"/>
      <c r="Z133" s="690"/>
      <c r="AA133" s="689">
        <f t="shared" si="58"/>
        <v>1E-4</v>
      </c>
      <c r="AB133" s="690">
        <f t="shared" si="59"/>
        <v>1E-4</v>
      </c>
      <c r="AC133" s="690">
        <f t="shared" si="60"/>
        <v>2.0000000000000001E-4</v>
      </c>
      <c r="AD133" s="690">
        <f t="shared" si="61"/>
        <v>2.9999999999999997E-4</v>
      </c>
      <c r="AE133" s="690">
        <f t="shared" si="62"/>
        <v>4.0000000000000002E-4</v>
      </c>
      <c r="AF133" s="690">
        <f t="shared" si="63"/>
        <v>5.0000000000000001E-4</v>
      </c>
    </row>
    <row r="134" spans="1:32" hidden="1" x14ac:dyDescent="0.2">
      <c r="A134" s="680" t="str">
        <f t="shared" si="48"/>
        <v/>
      </c>
      <c r="B134" s="706" t="s">
        <v>237</v>
      </c>
      <c r="C134" s="691"/>
      <c r="D134" s="692"/>
      <c r="E134" s="673">
        <f>(IF(COUNT(M134,N134,O134,P134,Q134)&lt;4,SUM(M134,N134,O134,P134,Q134),SUM(LARGE((M134,N134,O134,P134,Q134),{1;2;3;4}))))</f>
        <v>0</v>
      </c>
      <c r="F134" s="684" t="str">
        <f>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amp;INDEX(ETAPP!B$1:B$32,MATCH(COUNTIF(M134:Q134,#REF!),ETAPP!A$1:A$32,0))</f>
        <v>0000000000000000000</v>
      </c>
      <c r="G134" s="684" t="str">
        <f t="shared" si="49"/>
        <v>000,0-0000000000000000000</v>
      </c>
      <c r="H134" s="684">
        <f t="shared" si="50"/>
        <v>149</v>
      </c>
      <c r="I134" s="684">
        <f t="shared" si="51"/>
        <v>36</v>
      </c>
      <c r="J134" s="684" t="str">
        <f t="shared" si="52"/>
        <v>000,0-0000000000000000000-036</v>
      </c>
      <c r="K134" s="684">
        <f t="shared" si="53"/>
        <v>128</v>
      </c>
      <c r="L134" s="685">
        <f t="shared" si="54"/>
        <v>22</v>
      </c>
      <c r="M134" s="686" t="str">
        <f>IFERROR(INDEX('M1'!C$300:C$400,MATCH("*"&amp;B134&amp;"*",'M1'!B$300:B$400,0)),"  ")</f>
        <v xml:space="preserve">  </v>
      </c>
      <c r="N134" s="686" t="str">
        <f>IFERROR(INDEX('M2'!C$300:C$400,MATCH("*"&amp;B134&amp;"*",'M2'!B$300:B$400,0)),"  ")</f>
        <v xml:space="preserve">  </v>
      </c>
      <c r="O134" s="686" t="str">
        <f>IFERROR(INDEX('M3'!C$300:C$400,MATCH("*"&amp;B134&amp;"*",'M3'!B$300:B$400,0)),"  ")</f>
        <v xml:space="preserve">  </v>
      </c>
      <c r="P134" s="686" t="str">
        <f>IFERROR(INDEX('M4'!C$300:C$400,MATCH("*"&amp;B134&amp;"*",'M4'!B$300:B$400,0)),"  ")</f>
        <v xml:space="preserve">  </v>
      </c>
      <c r="Q134" s="686" t="str">
        <f>IFERROR(INDEX('M5'!C$300:C$400,MATCH("*"&amp;B134&amp;"*",'M5'!B$300:B$400,0)),"  ")</f>
        <v xml:space="preserve">  </v>
      </c>
      <c r="R134" s="687">
        <f t="shared" si="55"/>
        <v>0</v>
      </c>
      <c r="S134" s="688">
        <f t="shared" si="56"/>
        <v>0</v>
      </c>
      <c r="T134" s="688">
        <f t="shared" si="57"/>
        <v>0</v>
      </c>
      <c r="U134" s="642"/>
      <c r="V134" s="689"/>
      <c r="W134" s="690"/>
      <c r="X134" s="690"/>
      <c r="Y134" s="690"/>
      <c r="Z134" s="690"/>
      <c r="AA134" s="689">
        <f t="shared" si="58"/>
        <v>1E-4</v>
      </c>
      <c r="AB134" s="690">
        <f t="shared" si="59"/>
        <v>1E-4</v>
      </c>
      <c r="AC134" s="690">
        <f t="shared" si="60"/>
        <v>2.0000000000000001E-4</v>
      </c>
      <c r="AD134" s="690">
        <f t="shared" si="61"/>
        <v>2.9999999999999997E-4</v>
      </c>
      <c r="AE134" s="690">
        <f t="shared" si="62"/>
        <v>4.0000000000000002E-4</v>
      </c>
      <c r="AF134" s="690">
        <f t="shared" si="63"/>
        <v>5.0000000000000001E-4</v>
      </c>
    </row>
    <row r="135" spans="1:32" hidden="1" x14ac:dyDescent="0.2">
      <c r="A135" s="680" t="str">
        <f t="shared" ref="A135:A155" si="64">IF(E135&gt;0,RANK(H135,H$7:H$155,1),"")</f>
        <v/>
      </c>
      <c r="B135" s="706" t="s">
        <v>238</v>
      </c>
      <c r="C135" s="691"/>
      <c r="D135" s="692"/>
      <c r="E135" s="673">
        <f>(IF(COUNT(M135,N135,O135,P135,Q135)&lt;4,SUM(M135,N135,O135,P135,Q135),SUM(LARGE((M135,N135,O135,P135,Q135),{1;2;3;4}))))</f>
        <v>0</v>
      </c>
      <c r="F135" s="684" t="str">
        <f>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amp;INDEX(ETAPP!B$1:B$32,MATCH(COUNTIF(M135:Q135,#REF!),ETAPP!A$1:A$32,0))</f>
        <v>0000000000000000000</v>
      </c>
      <c r="G135" s="684" t="str">
        <f t="shared" ref="G135:G155" si="65">TEXT(E135,"000,0")&amp;"-"&amp;F135</f>
        <v>000,0-0000000000000000000</v>
      </c>
      <c r="H135" s="684">
        <f t="shared" ref="H135:H155" si="66">COUNTIF(G$7:G$155,"&gt;="&amp;G135)</f>
        <v>149</v>
      </c>
      <c r="I135" s="684">
        <f t="shared" ref="I135:I155" si="67">COUNTIF(B$7:B$155,"&gt;="&amp;B135)</f>
        <v>32</v>
      </c>
      <c r="J135" s="684" t="str">
        <f t="shared" ref="J135:J155" si="68">TEXT(E135,"000,0")&amp;"-"&amp;F135&amp;"-"&amp;TEXT(I135,"000")</f>
        <v>000,0-0000000000000000000-032</v>
      </c>
      <c r="K135" s="684">
        <f t="shared" ref="K135:K155" si="69">COUNTIF(J$7:J$155,"&gt;="&amp;J135)</f>
        <v>129</v>
      </c>
      <c r="L135" s="685">
        <f t="shared" ref="L135:L155" si="70">RANK(K135,K$7:K$155,0)</f>
        <v>21</v>
      </c>
      <c r="M135" s="686" t="str">
        <f>IFERROR(INDEX('M1'!C$300:C$400,MATCH("*"&amp;B135&amp;"*",'M1'!B$300:B$400,0)),"  ")</f>
        <v xml:space="preserve">  </v>
      </c>
      <c r="N135" s="686" t="str">
        <f>IFERROR(INDEX('M2'!C$300:C$400,MATCH("*"&amp;B135&amp;"*",'M2'!B$300:B$400,0)),"  ")</f>
        <v xml:space="preserve">  </v>
      </c>
      <c r="O135" s="686" t="str">
        <f>IFERROR(INDEX('M3'!C$300:C$400,MATCH("*"&amp;B135&amp;"*",'M3'!B$300:B$400,0)),"  ")</f>
        <v xml:space="preserve">  </v>
      </c>
      <c r="P135" s="686" t="str">
        <f>IFERROR(INDEX('M4'!C$300:C$400,MATCH("*"&amp;B135&amp;"*",'M4'!B$300:B$400,0)),"  ")</f>
        <v xml:space="preserve">  </v>
      </c>
      <c r="Q135" s="686" t="str">
        <f>IFERROR(INDEX('M5'!C$300:C$400,MATCH("*"&amp;B135&amp;"*",'M5'!B$300:B$400,0)),"  ")</f>
        <v xml:space="preserve">  </v>
      </c>
      <c r="R135" s="687">
        <f t="shared" ref="R135:R155" si="71">COUNTIF(M135:Q135,"&gt;=0")</f>
        <v>0</v>
      </c>
      <c r="S135" s="688">
        <f t="shared" ref="S135:S155" si="72">COUNTIF(M135:Q135,"&gt;=30")</f>
        <v>0</v>
      </c>
      <c r="T135" s="688">
        <f t="shared" ref="T135:T155" si="73">COUNTIF(M135:Q135,"=40")</f>
        <v>0</v>
      </c>
      <c r="U135" s="642"/>
      <c r="V135" s="689"/>
      <c r="W135" s="690"/>
      <c r="X135" s="690"/>
      <c r="Y135" s="690"/>
      <c r="Z135" s="690"/>
      <c r="AA135" s="689">
        <f t="shared" ref="AA135:AA155" si="74">SMALL(AB135:AF135,AA$3)</f>
        <v>1E-4</v>
      </c>
      <c r="AB135" s="690">
        <f t="shared" ref="AB135:AB155" si="75">IF(M135="  ",0+MID(M$6,FIND("M",M$6)+1,256)/10000,M135+MID(M$6,FIND("M",M$6)+1,256)/10000)</f>
        <v>1E-4</v>
      </c>
      <c r="AC135" s="690">
        <f t="shared" ref="AC135:AC155" si="76">IF(N135="  ",0+MID(N$6,FIND("M",N$6)+1,256)/10000,N135+MID(N$6,FIND("M",N$6)+1,256)/10000)</f>
        <v>2.0000000000000001E-4</v>
      </c>
      <c r="AD135" s="690">
        <f t="shared" ref="AD135:AD155" si="77">IF(O135="  ",0+MID(O$6,FIND("M",O$6)+1,256)/10000,O135+MID(O$6,FIND("M",O$6)+1,256)/10000)</f>
        <v>2.9999999999999997E-4</v>
      </c>
      <c r="AE135" s="690">
        <f t="shared" ref="AE135:AE155" si="78">IF(P135="  ",0+MID(P$6,FIND("M",P$6)+1,256)/10000,P135+MID(P$6,FIND("M",P$6)+1,256)/10000)</f>
        <v>4.0000000000000002E-4</v>
      </c>
      <c r="AF135" s="690">
        <f t="shared" ref="AF135:AF155" si="79">IF(Q135="  ",0+MID(Q$6,FIND("M",Q$6)+1,256)/10000,Q135+MID(Q$6,FIND("M",Q$6)+1,256)/10000)</f>
        <v>5.0000000000000001E-4</v>
      </c>
    </row>
    <row r="136" spans="1:32" hidden="1" x14ac:dyDescent="0.2">
      <c r="A136" s="680" t="str">
        <f t="shared" si="64"/>
        <v/>
      </c>
      <c r="B136" s="706" t="s">
        <v>239</v>
      </c>
      <c r="C136" s="691"/>
      <c r="D136" s="692"/>
      <c r="E136" s="673">
        <f>(IF(COUNT(M136,N136,O136,P136,Q136)&lt;4,SUM(M136,N136,O136,P136,Q136),SUM(LARGE((M136,N136,O136,P136,Q136),{1;2;3;4}))))</f>
        <v>0</v>
      </c>
      <c r="F136" s="684" t="str">
        <f>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amp;INDEX(ETAPP!B$1:B$32,MATCH(COUNTIF(M136:Q136,#REF!),ETAPP!A$1:A$32,0))</f>
        <v>0000000000000000000</v>
      </c>
      <c r="G136" s="684" t="str">
        <f t="shared" si="65"/>
        <v>000,0-0000000000000000000</v>
      </c>
      <c r="H136" s="684">
        <f t="shared" si="66"/>
        <v>149</v>
      </c>
      <c r="I136" s="684">
        <f t="shared" si="67"/>
        <v>30</v>
      </c>
      <c r="J136" s="684" t="str">
        <f t="shared" si="68"/>
        <v>000,0-0000000000000000000-030</v>
      </c>
      <c r="K136" s="684">
        <f t="shared" si="69"/>
        <v>130</v>
      </c>
      <c r="L136" s="685">
        <f t="shared" si="70"/>
        <v>20</v>
      </c>
      <c r="M136" s="686" t="str">
        <f>IFERROR(INDEX('M1'!C$300:C$400,MATCH("*"&amp;B136&amp;"*",'M1'!B$300:B$400,0)),"  ")</f>
        <v xml:space="preserve">  </v>
      </c>
      <c r="N136" s="686" t="str">
        <f>IFERROR(INDEX('M2'!C$300:C$400,MATCH("*"&amp;B136&amp;"*",'M2'!B$300:B$400,0)),"  ")</f>
        <v xml:space="preserve">  </v>
      </c>
      <c r="O136" s="686" t="str">
        <f>IFERROR(INDEX('M3'!C$300:C$400,MATCH("*"&amp;B136&amp;"*",'M3'!B$300:B$400,0)),"  ")</f>
        <v xml:space="preserve">  </v>
      </c>
      <c r="P136" s="686" t="str">
        <f>IFERROR(INDEX('M4'!C$300:C$400,MATCH("*"&amp;B136&amp;"*",'M4'!B$300:B$400,0)),"  ")</f>
        <v xml:space="preserve">  </v>
      </c>
      <c r="Q136" s="686" t="str">
        <f>IFERROR(INDEX('M5'!C$300:C$400,MATCH("*"&amp;B136&amp;"*",'M5'!B$300:B$400,0)),"  ")</f>
        <v xml:space="preserve">  </v>
      </c>
      <c r="R136" s="687">
        <f t="shared" si="71"/>
        <v>0</v>
      </c>
      <c r="S136" s="688">
        <f t="shared" si="72"/>
        <v>0</v>
      </c>
      <c r="T136" s="688">
        <f t="shared" si="73"/>
        <v>0</v>
      </c>
      <c r="U136" s="642"/>
      <c r="V136" s="689"/>
      <c r="W136" s="690"/>
      <c r="X136" s="690"/>
      <c r="Y136" s="690"/>
      <c r="Z136" s="690"/>
      <c r="AA136" s="689">
        <f t="shared" si="74"/>
        <v>1E-4</v>
      </c>
      <c r="AB136" s="690">
        <f t="shared" si="75"/>
        <v>1E-4</v>
      </c>
      <c r="AC136" s="690">
        <f t="shared" si="76"/>
        <v>2.0000000000000001E-4</v>
      </c>
      <c r="AD136" s="690">
        <f t="shared" si="77"/>
        <v>2.9999999999999997E-4</v>
      </c>
      <c r="AE136" s="690">
        <f t="shared" si="78"/>
        <v>4.0000000000000002E-4</v>
      </c>
      <c r="AF136" s="690">
        <f t="shared" si="79"/>
        <v>5.0000000000000001E-4</v>
      </c>
    </row>
    <row r="137" spans="1:32" hidden="1" x14ac:dyDescent="0.2">
      <c r="A137" s="680" t="str">
        <f t="shared" si="64"/>
        <v/>
      </c>
      <c r="B137" s="706" t="s">
        <v>240</v>
      </c>
      <c r="C137" s="691"/>
      <c r="D137" s="692"/>
      <c r="E137" s="673">
        <f>(IF(COUNT(M137,N137,O137,P137,Q137)&lt;4,SUM(M137,N137,O137,P137,Q137),SUM(LARGE((M137,N137,O137,P137,Q137),{1;2;3;4}))))</f>
        <v>0</v>
      </c>
      <c r="F137" s="684" t="str">
        <f>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amp;INDEX(ETAPP!B$1:B$32,MATCH(COUNTIF(M137:Q137,#REF!),ETAPP!A$1:A$32,0))</f>
        <v>0000000000000000000</v>
      </c>
      <c r="G137" s="684" t="str">
        <f t="shared" si="65"/>
        <v>000,0-0000000000000000000</v>
      </c>
      <c r="H137" s="684">
        <f t="shared" si="66"/>
        <v>149</v>
      </c>
      <c r="I137" s="684">
        <f t="shared" si="67"/>
        <v>27</v>
      </c>
      <c r="J137" s="684" t="str">
        <f t="shared" si="68"/>
        <v>000,0-0000000000000000000-027</v>
      </c>
      <c r="K137" s="684">
        <f t="shared" si="69"/>
        <v>131</v>
      </c>
      <c r="L137" s="685">
        <f t="shared" si="70"/>
        <v>19</v>
      </c>
      <c r="M137" s="686" t="str">
        <f>IFERROR(INDEX('M1'!C$300:C$400,MATCH("*"&amp;B137&amp;"*",'M1'!B$300:B$400,0)),"  ")</f>
        <v xml:space="preserve">  </v>
      </c>
      <c r="N137" s="686" t="str">
        <f>IFERROR(INDEX('M2'!C$300:C$400,MATCH("*"&amp;B137&amp;"*",'M2'!B$300:B$400,0)),"  ")</f>
        <v xml:space="preserve">  </v>
      </c>
      <c r="O137" s="686" t="str">
        <f>IFERROR(INDEX('M3'!C$300:C$400,MATCH("*"&amp;B137&amp;"*",'M3'!B$300:B$400,0)),"  ")</f>
        <v xml:space="preserve">  </v>
      </c>
      <c r="P137" s="686" t="str">
        <f>IFERROR(INDEX('M4'!C$300:C$400,MATCH("*"&amp;B137&amp;"*",'M4'!B$300:B$400,0)),"  ")</f>
        <v xml:space="preserve">  </v>
      </c>
      <c r="Q137" s="686" t="str">
        <f>IFERROR(INDEX('M5'!C$300:C$400,MATCH("*"&amp;B137&amp;"*",'M5'!B$300:B$400,0)),"  ")</f>
        <v xml:space="preserve">  </v>
      </c>
      <c r="R137" s="687">
        <f t="shared" si="71"/>
        <v>0</v>
      </c>
      <c r="S137" s="688">
        <f t="shared" si="72"/>
        <v>0</v>
      </c>
      <c r="T137" s="688">
        <f t="shared" si="73"/>
        <v>0</v>
      </c>
      <c r="U137" s="642"/>
      <c r="V137" s="689"/>
      <c r="W137" s="690"/>
      <c r="X137" s="690"/>
      <c r="Y137" s="690"/>
      <c r="Z137" s="690"/>
      <c r="AA137" s="689">
        <f t="shared" si="74"/>
        <v>1E-4</v>
      </c>
      <c r="AB137" s="690">
        <f t="shared" si="75"/>
        <v>1E-4</v>
      </c>
      <c r="AC137" s="690">
        <f t="shared" si="76"/>
        <v>2.0000000000000001E-4</v>
      </c>
      <c r="AD137" s="690">
        <f t="shared" si="77"/>
        <v>2.9999999999999997E-4</v>
      </c>
      <c r="AE137" s="690">
        <f t="shared" si="78"/>
        <v>4.0000000000000002E-4</v>
      </c>
      <c r="AF137" s="690">
        <f t="shared" si="79"/>
        <v>5.0000000000000001E-4</v>
      </c>
    </row>
    <row r="138" spans="1:32" hidden="1" x14ac:dyDescent="0.2">
      <c r="A138" s="680" t="str">
        <f t="shared" si="64"/>
        <v/>
      </c>
      <c r="B138" s="706" t="s">
        <v>241</v>
      </c>
      <c r="C138" s="691"/>
      <c r="D138" s="692"/>
      <c r="E138" s="673">
        <f>(IF(COUNT(M138,N138,O138,P138,Q138)&lt;4,SUM(M138,N138,O138,P138,Q138),SUM(LARGE((M138,N138,O138,P138,Q138),{1;2;3;4}))))</f>
        <v>0</v>
      </c>
      <c r="F138" s="684" t="str">
        <f>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amp;INDEX(ETAPP!B$1:B$32,MATCH(COUNTIF(M138:Q138,#REF!),ETAPP!A$1:A$32,0))</f>
        <v>0000000000000000000</v>
      </c>
      <c r="G138" s="684" t="str">
        <f t="shared" si="65"/>
        <v>000,0-0000000000000000000</v>
      </c>
      <c r="H138" s="684">
        <f t="shared" si="66"/>
        <v>149</v>
      </c>
      <c r="I138" s="684">
        <f t="shared" si="67"/>
        <v>26</v>
      </c>
      <c r="J138" s="684" t="str">
        <f t="shared" si="68"/>
        <v>000,0-0000000000000000000-026</v>
      </c>
      <c r="K138" s="684">
        <f t="shared" si="69"/>
        <v>132</v>
      </c>
      <c r="L138" s="685">
        <f t="shared" si="70"/>
        <v>18</v>
      </c>
      <c r="M138" s="686" t="str">
        <f>IFERROR(INDEX('M1'!C$300:C$400,MATCH("*"&amp;B138&amp;"*",'M1'!B$300:B$400,0)),"  ")</f>
        <v xml:space="preserve">  </v>
      </c>
      <c r="N138" s="686" t="str">
        <f>IFERROR(INDEX('M2'!C$300:C$400,MATCH("*"&amp;B138&amp;"*",'M2'!B$300:B$400,0)),"  ")</f>
        <v xml:space="preserve">  </v>
      </c>
      <c r="O138" s="686" t="str">
        <f>IFERROR(INDEX('M3'!C$300:C$400,MATCH("*"&amp;B138&amp;"*",'M3'!B$300:B$400,0)),"  ")</f>
        <v xml:space="preserve">  </v>
      </c>
      <c r="P138" s="686" t="str">
        <f>IFERROR(INDEX('M4'!C$300:C$400,MATCH("*"&amp;B138&amp;"*",'M4'!B$300:B$400,0)),"  ")</f>
        <v xml:space="preserve">  </v>
      </c>
      <c r="Q138" s="686" t="str">
        <f>IFERROR(INDEX('M5'!C$300:C$400,MATCH("*"&amp;B138&amp;"*",'M5'!B$300:B$400,0)),"  ")</f>
        <v xml:space="preserve">  </v>
      </c>
      <c r="R138" s="687">
        <f t="shared" si="71"/>
        <v>0</v>
      </c>
      <c r="S138" s="688">
        <f t="shared" si="72"/>
        <v>0</v>
      </c>
      <c r="T138" s="688">
        <f t="shared" si="73"/>
        <v>0</v>
      </c>
      <c r="U138" s="642"/>
      <c r="V138" s="689"/>
      <c r="W138" s="690"/>
      <c r="X138" s="690"/>
      <c r="Y138" s="690"/>
      <c r="Z138" s="690"/>
      <c r="AA138" s="689">
        <f t="shared" si="74"/>
        <v>1E-4</v>
      </c>
      <c r="AB138" s="690">
        <f t="shared" si="75"/>
        <v>1E-4</v>
      </c>
      <c r="AC138" s="690">
        <f t="shared" si="76"/>
        <v>2.0000000000000001E-4</v>
      </c>
      <c r="AD138" s="690">
        <f t="shared" si="77"/>
        <v>2.9999999999999997E-4</v>
      </c>
      <c r="AE138" s="690">
        <f t="shared" si="78"/>
        <v>4.0000000000000002E-4</v>
      </c>
      <c r="AF138" s="690">
        <f t="shared" si="79"/>
        <v>5.0000000000000001E-4</v>
      </c>
    </row>
    <row r="139" spans="1:32" hidden="1" x14ac:dyDescent="0.2">
      <c r="A139" s="680" t="str">
        <f t="shared" si="64"/>
        <v/>
      </c>
      <c r="B139" s="708" t="s">
        <v>113</v>
      </c>
      <c r="C139" s="709"/>
      <c r="D139" s="710"/>
      <c r="E139" s="673">
        <f>(IF(COUNT(M139,N139,O139,P139,Q139)&lt;4,SUM(M139,N139,O139,P139,Q139),SUM(LARGE((M139,N139,O139,P139,Q139),{1;2;3;4}))))</f>
        <v>0</v>
      </c>
      <c r="F139" s="684" t="str">
        <f>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amp;INDEX(ETAPP!B$1:B$32,MATCH(COUNTIF(M139:Q139,#REF!),ETAPP!A$1:A$32,0))</f>
        <v>0000000000000000000</v>
      </c>
      <c r="G139" s="684" t="str">
        <f t="shared" si="65"/>
        <v>000,0-0000000000000000000</v>
      </c>
      <c r="H139" s="684">
        <f t="shared" si="66"/>
        <v>149</v>
      </c>
      <c r="I139" s="684">
        <f t="shared" si="67"/>
        <v>25</v>
      </c>
      <c r="J139" s="684" t="str">
        <f t="shared" si="68"/>
        <v>000,0-0000000000000000000-025</v>
      </c>
      <c r="K139" s="684">
        <f t="shared" si="69"/>
        <v>133</v>
      </c>
      <c r="L139" s="685">
        <f t="shared" si="70"/>
        <v>17</v>
      </c>
      <c r="M139" s="686" t="str">
        <f>IFERROR(INDEX('M1'!C$300:C$400,MATCH("*"&amp;B139&amp;"*",'M1'!B$300:B$400,0)),"  ")</f>
        <v xml:space="preserve">  </v>
      </c>
      <c r="N139" s="686" t="str">
        <f>IFERROR(INDEX('M2'!C$300:C$400,MATCH("*"&amp;B139&amp;"*",'M2'!B$300:B$400,0)),"  ")</f>
        <v xml:space="preserve">  </v>
      </c>
      <c r="O139" s="686" t="str">
        <f>IFERROR(INDEX('M3'!C$300:C$400,MATCH("*"&amp;B139&amp;"*",'M3'!B$300:B$400,0)),"  ")</f>
        <v xml:space="preserve">  </v>
      </c>
      <c r="P139" s="686" t="str">
        <f>IFERROR(INDEX('M4'!C$300:C$400,MATCH("*"&amp;B139&amp;"*",'M4'!B$300:B$400,0)),"  ")</f>
        <v xml:space="preserve">  </v>
      </c>
      <c r="Q139" s="686" t="str">
        <f>IFERROR(INDEX('M5'!C$300:C$400,MATCH("*"&amp;B139&amp;"*",'M5'!B$300:B$400,0)),"  ")</f>
        <v xml:space="preserve">  </v>
      </c>
      <c r="R139" s="687">
        <f t="shared" si="71"/>
        <v>0</v>
      </c>
      <c r="S139" s="688">
        <f t="shared" si="72"/>
        <v>0</v>
      </c>
      <c r="T139" s="688">
        <f t="shared" si="73"/>
        <v>0</v>
      </c>
      <c r="U139" s="642"/>
      <c r="V139" s="689"/>
      <c r="W139" s="690"/>
      <c r="X139" s="690"/>
      <c r="Y139" s="690"/>
      <c r="Z139" s="690"/>
      <c r="AA139" s="689">
        <f t="shared" si="74"/>
        <v>1E-4</v>
      </c>
      <c r="AB139" s="690">
        <f t="shared" si="75"/>
        <v>1E-4</v>
      </c>
      <c r="AC139" s="690">
        <f t="shared" si="76"/>
        <v>2.0000000000000001E-4</v>
      </c>
      <c r="AD139" s="690">
        <f t="shared" si="77"/>
        <v>2.9999999999999997E-4</v>
      </c>
      <c r="AE139" s="690">
        <f t="shared" si="78"/>
        <v>4.0000000000000002E-4</v>
      </c>
      <c r="AF139" s="690">
        <f t="shared" si="79"/>
        <v>5.0000000000000001E-4</v>
      </c>
    </row>
    <row r="140" spans="1:32" hidden="1" x14ac:dyDescent="0.2">
      <c r="A140" s="680" t="str">
        <f t="shared" si="64"/>
        <v/>
      </c>
      <c r="B140" s="708" t="s">
        <v>112</v>
      </c>
      <c r="C140" s="709"/>
      <c r="D140" s="710"/>
      <c r="E140" s="673">
        <f>(IF(COUNT(M140,N140,O140,P140,Q140)&lt;4,SUM(M140,N140,O140,P140,Q140),SUM(LARGE((M140,N140,O140,P140,Q140),{1;2;3;4}))))</f>
        <v>0</v>
      </c>
      <c r="F140" s="684" t="str">
        <f>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amp;INDEX(ETAPP!B$1:B$32,MATCH(COUNTIF(M140:Q140,#REF!),ETAPP!A$1:A$32,0))</f>
        <v>0000000000000000000</v>
      </c>
      <c r="G140" s="684" t="str">
        <f t="shared" si="65"/>
        <v>000,0-0000000000000000000</v>
      </c>
      <c r="H140" s="684">
        <f t="shared" si="66"/>
        <v>149</v>
      </c>
      <c r="I140" s="684">
        <f t="shared" si="67"/>
        <v>24</v>
      </c>
      <c r="J140" s="684" t="str">
        <f t="shared" si="68"/>
        <v>000,0-0000000000000000000-024</v>
      </c>
      <c r="K140" s="684">
        <f t="shared" si="69"/>
        <v>134</v>
      </c>
      <c r="L140" s="685">
        <f t="shared" si="70"/>
        <v>16</v>
      </c>
      <c r="M140" s="686" t="str">
        <f>IFERROR(INDEX('M1'!C$300:C$400,MATCH("*"&amp;B140&amp;"*",'M1'!B$300:B$400,0)),"  ")</f>
        <v xml:space="preserve">  </v>
      </c>
      <c r="N140" s="686" t="str">
        <f>IFERROR(INDEX('M2'!C$300:C$400,MATCH("*"&amp;B140&amp;"*",'M2'!B$300:B$400,0)),"  ")</f>
        <v xml:space="preserve">  </v>
      </c>
      <c r="O140" s="686" t="str">
        <f>IFERROR(INDEX('M3'!C$300:C$400,MATCH("*"&amp;B140&amp;"*",'M3'!B$300:B$400,0)),"  ")</f>
        <v xml:space="preserve">  </v>
      </c>
      <c r="P140" s="686" t="str">
        <f>IFERROR(INDEX('M4'!C$300:C$400,MATCH("*"&amp;B140&amp;"*",'M4'!B$300:B$400,0)),"  ")</f>
        <v xml:space="preserve">  </v>
      </c>
      <c r="Q140" s="686" t="str">
        <f>IFERROR(INDEX('M5'!C$300:C$400,MATCH("*"&amp;B140&amp;"*",'M5'!B$300:B$400,0)),"  ")</f>
        <v xml:space="preserve">  </v>
      </c>
      <c r="R140" s="687">
        <f t="shared" si="71"/>
        <v>0</v>
      </c>
      <c r="S140" s="688">
        <f t="shared" si="72"/>
        <v>0</v>
      </c>
      <c r="T140" s="688">
        <f t="shared" si="73"/>
        <v>0</v>
      </c>
      <c r="U140" s="642"/>
      <c r="V140" s="689"/>
      <c r="W140" s="690"/>
      <c r="X140" s="690"/>
      <c r="Y140" s="690"/>
      <c r="Z140" s="690"/>
      <c r="AA140" s="689">
        <f t="shared" si="74"/>
        <v>1E-4</v>
      </c>
      <c r="AB140" s="690">
        <f t="shared" si="75"/>
        <v>1E-4</v>
      </c>
      <c r="AC140" s="690">
        <f t="shared" si="76"/>
        <v>2.0000000000000001E-4</v>
      </c>
      <c r="AD140" s="690">
        <f t="shared" si="77"/>
        <v>2.9999999999999997E-4</v>
      </c>
      <c r="AE140" s="690">
        <f t="shared" si="78"/>
        <v>4.0000000000000002E-4</v>
      </c>
      <c r="AF140" s="690">
        <f t="shared" si="79"/>
        <v>5.0000000000000001E-4</v>
      </c>
    </row>
    <row r="141" spans="1:32" hidden="1" x14ac:dyDescent="0.2">
      <c r="A141" s="680" t="str">
        <f t="shared" si="64"/>
        <v/>
      </c>
      <c r="B141" s="708" t="s">
        <v>128</v>
      </c>
      <c r="C141" s="709"/>
      <c r="D141" s="710"/>
      <c r="E141" s="673">
        <f>(IF(COUNT(M141,N141,O141,P141,Q141)&lt;4,SUM(M141,N141,O141,P141,Q141),SUM(LARGE((M141,N141,O141,P141,Q141),{1;2;3;4}))))</f>
        <v>0</v>
      </c>
      <c r="F141" s="684" t="str">
        <f>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amp;INDEX(ETAPP!B$1:B$32,MATCH(COUNTIF(M141:Q141,#REF!),ETAPP!A$1:A$32,0))</f>
        <v>0000000000000000000</v>
      </c>
      <c r="G141" s="684" t="str">
        <f t="shared" si="65"/>
        <v>000,0-0000000000000000000</v>
      </c>
      <c r="H141" s="684">
        <f t="shared" si="66"/>
        <v>149</v>
      </c>
      <c r="I141" s="684">
        <f t="shared" si="67"/>
        <v>23</v>
      </c>
      <c r="J141" s="684" t="str">
        <f t="shared" si="68"/>
        <v>000,0-0000000000000000000-023</v>
      </c>
      <c r="K141" s="684">
        <f t="shared" si="69"/>
        <v>135</v>
      </c>
      <c r="L141" s="685">
        <f t="shared" si="70"/>
        <v>15</v>
      </c>
      <c r="M141" s="686" t="str">
        <f>IFERROR(INDEX('M1'!C$300:C$400,MATCH("*"&amp;B141&amp;"*",'M1'!B$300:B$400,0)),"  ")</f>
        <v xml:space="preserve">  </v>
      </c>
      <c r="N141" s="686" t="str">
        <f>IFERROR(INDEX('M2'!C$300:C$400,MATCH("*"&amp;B141&amp;"*",'M2'!B$300:B$400,0)),"  ")</f>
        <v xml:space="preserve">  </v>
      </c>
      <c r="O141" s="686" t="str">
        <f>IFERROR(INDEX('M3'!C$300:C$400,MATCH("*"&amp;B141&amp;"*",'M3'!B$300:B$400,0)),"  ")</f>
        <v xml:space="preserve">  </v>
      </c>
      <c r="P141" s="686" t="str">
        <f>IFERROR(INDEX('M4'!C$300:C$400,MATCH("*"&amp;B141&amp;"*",'M4'!B$300:B$400,0)),"  ")</f>
        <v xml:space="preserve">  </v>
      </c>
      <c r="Q141" s="686" t="str">
        <f>IFERROR(INDEX('M5'!C$300:C$400,MATCH("*"&amp;B141&amp;"*",'M5'!B$300:B$400,0)),"  ")</f>
        <v xml:space="preserve">  </v>
      </c>
      <c r="R141" s="687">
        <f t="shared" si="71"/>
        <v>0</v>
      </c>
      <c r="S141" s="688">
        <f t="shared" si="72"/>
        <v>0</v>
      </c>
      <c r="T141" s="688">
        <f t="shared" si="73"/>
        <v>0</v>
      </c>
      <c r="U141" s="642"/>
      <c r="V141" s="689"/>
      <c r="W141" s="690"/>
      <c r="X141" s="690"/>
      <c r="Y141" s="690"/>
      <c r="Z141" s="690"/>
      <c r="AA141" s="689">
        <f t="shared" si="74"/>
        <v>1E-4</v>
      </c>
      <c r="AB141" s="690">
        <f t="shared" si="75"/>
        <v>1E-4</v>
      </c>
      <c r="AC141" s="690">
        <f t="shared" si="76"/>
        <v>2.0000000000000001E-4</v>
      </c>
      <c r="AD141" s="690">
        <f t="shared" si="77"/>
        <v>2.9999999999999997E-4</v>
      </c>
      <c r="AE141" s="690">
        <f t="shared" si="78"/>
        <v>4.0000000000000002E-4</v>
      </c>
      <c r="AF141" s="690">
        <f t="shared" si="79"/>
        <v>5.0000000000000001E-4</v>
      </c>
    </row>
    <row r="142" spans="1:32" hidden="1" x14ac:dyDescent="0.2">
      <c r="A142" s="680" t="str">
        <f t="shared" si="64"/>
        <v/>
      </c>
      <c r="B142" s="708" t="s">
        <v>160</v>
      </c>
      <c r="C142" s="709"/>
      <c r="D142" s="710"/>
      <c r="E142" s="673">
        <f>(IF(COUNT(M142,N142,O142,P142,Q142)&lt;4,SUM(M142,N142,O142,P142,Q142),SUM(LARGE((M142,N142,O142,P142,Q142),{1;2;3;4}))))</f>
        <v>0</v>
      </c>
      <c r="F142" s="684" t="str">
        <f>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amp;INDEX(ETAPP!B$1:B$32,MATCH(COUNTIF(M142:Q142,#REF!),ETAPP!A$1:A$32,0))</f>
        <v>0000000000000000000</v>
      </c>
      <c r="G142" s="684" t="str">
        <f t="shared" si="65"/>
        <v>000,0-0000000000000000000</v>
      </c>
      <c r="H142" s="684">
        <f t="shared" si="66"/>
        <v>149</v>
      </c>
      <c r="I142" s="684">
        <f t="shared" si="67"/>
        <v>21</v>
      </c>
      <c r="J142" s="684" t="str">
        <f t="shared" si="68"/>
        <v>000,0-0000000000000000000-021</v>
      </c>
      <c r="K142" s="684">
        <f t="shared" si="69"/>
        <v>136</v>
      </c>
      <c r="L142" s="685">
        <f t="shared" si="70"/>
        <v>14</v>
      </c>
      <c r="M142" s="686" t="str">
        <f>IFERROR(INDEX('M1'!C$300:C$400,MATCH("*"&amp;B142&amp;"*",'M1'!B$300:B$400,0)),"  ")</f>
        <v xml:space="preserve">  </v>
      </c>
      <c r="N142" s="686" t="str">
        <f>IFERROR(INDEX('M2'!C$300:C$400,MATCH("*"&amp;B142&amp;"*",'M2'!B$300:B$400,0)),"  ")</f>
        <v xml:space="preserve">  </v>
      </c>
      <c r="O142" s="686" t="str">
        <f>IFERROR(INDEX('M3'!C$300:C$400,MATCH("*"&amp;B142&amp;"*",'M3'!B$300:B$400,0)),"  ")</f>
        <v xml:space="preserve">  </v>
      </c>
      <c r="P142" s="686" t="str">
        <f>IFERROR(INDEX('M4'!C$300:C$400,MATCH("*"&amp;B142&amp;"*",'M4'!B$300:B$400,0)),"  ")</f>
        <v xml:space="preserve">  </v>
      </c>
      <c r="Q142" s="686" t="str">
        <f>IFERROR(INDEX('M5'!C$300:C$400,MATCH("*"&amp;B142&amp;"*",'M5'!B$300:B$400,0)),"  ")</f>
        <v xml:space="preserve">  </v>
      </c>
      <c r="R142" s="687">
        <f t="shared" si="71"/>
        <v>0</v>
      </c>
      <c r="S142" s="688">
        <f t="shared" si="72"/>
        <v>0</v>
      </c>
      <c r="T142" s="688">
        <f t="shared" si="73"/>
        <v>0</v>
      </c>
      <c r="U142" s="642"/>
      <c r="V142" s="689"/>
      <c r="W142" s="690"/>
      <c r="X142" s="690"/>
      <c r="Y142" s="690"/>
      <c r="Z142" s="690"/>
      <c r="AA142" s="689">
        <f t="shared" si="74"/>
        <v>1E-4</v>
      </c>
      <c r="AB142" s="690">
        <f t="shared" si="75"/>
        <v>1E-4</v>
      </c>
      <c r="AC142" s="690">
        <f t="shared" si="76"/>
        <v>2.0000000000000001E-4</v>
      </c>
      <c r="AD142" s="690">
        <f t="shared" si="77"/>
        <v>2.9999999999999997E-4</v>
      </c>
      <c r="AE142" s="690">
        <f t="shared" si="78"/>
        <v>4.0000000000000002E-4</v>
      </c>
      <c r="AF142" s="690">
        <f t="shared" si="79"/>
        <v>5.0000000000000001E-4</v>
      </c>
    </row>
    <row r="143" spans="1:32" hidden="1" x14ac:dyDescent="0.2">
      <c r="A143" s="680" t="str">
        <f t="shared" si="64"/>
        <v/>
      </c>
      <c r="B143" s="708" t="s">
        <v>91</v>
      </c>
      <c r="C143" s="709"/>
      <c r="D143" s="710"/>
      <c r="E143" s="673">
        <f>(IF(COUNT(M143,N143,O143,P143,Q143)&lt;4,SUM(M143,N143,O143,P143,Q143),SUM(LARGE((M143,N143,O143,P143,Q143),{1;2;3;4}))))</f>
        <v>0</v>
      </c>
      <c r="F143" s="684" t="str">
        <f>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amp;INDEX(ETAPP!B$1:B$32,MATCH(COUNTIF(M143:Q143,#REF!),ETAPP!A$1:A$32,0))</f>
        <v>0000000000000000000</v>
      </c>
      <c r="G143" s="684" t="str">
        <f t="shared" si="65"/>
        <v>000,0-0000000000000000000</v>
      </c>
      <c r="H143" s="684">
        <f t="shared" si="66"/>
        <v>149</v>
      </c>
      <c r="I143" s="684">
        <f t="shared" si="67"/>
        <v>20</v>
      </c>
      <c r="J143" s="684" t="str">
        <f t="shared" si="68"/>
        <v>000,0-0000000000000000000-020</v>
      </c>
      <c r="K143" s="684">
        <f t="shared" si="69"/>
        <v>137</v>
      </c>
      <c r="L143" s="685">
        <f t="shared" si="70"/>
        <v>13</v>
      </c>
      <c r="M143" s="686" t="str">
        <f>IFERROR(INDEX('M1'!C$300:C$400,MATCH("*"&amp;B143&amp;"*",'M1'!B$300:B$400,0)),"  ")</f>
        <v xml:space="preserve">  </v>
      </c>
      <c r="N143" s="686" t="str">
        <f>IFERROR(INDEX('M2'!C$300:C$400,MATCH("*"&amp;B143&amp;"*",'M2'!B$300:B$400,0)),"  ")</f>
        <v xml:space="preserve">  </v>
      </c>
      <c r="O143" s="686" t="str">
        <f>IFERROR(INDEX('M3'!C$300:C$400,MATCH("*"&amp;B143&amp;"*",'M3'!B$300:B$400,0)),"  ")</f>
        <v xml:space="preserve">  </v>
      </c>
      <c r="P143" s="686" t="str">
        <f>IFERROR(INDEX('M4'!C$300:C$400,MATCH("*"&amp;B143&amp;"*",'M4'!B$300:B$400,0)),"  ")</f>
        <v xml:space="preserve">  </v>
      </c>
      <c r="Q143" s="686" t="str">
        <f>IFERROR(INDEX('M5'!C$300:C$400,MATCH("*"&amp;B143&amp;"*",'M5'!B$300:B$400,0)),"  ")</f>
        <v xml:space="preserve">  </v>
      </c>
      <c r="R143" s="687">
        <f t="shared" si="71"/>
        <v>0</v>
      </c>
      <c r="S143" s="688">
        <f t="shared" si="72"/>
        <v>0</v>
      </c>
      <c r="T143" s="688">
        <f t="shared" si="73"/>
        <v>0</v>
      </c>
      <c r="U143" s="642"/>
      <c r="V143" s="689"/>
      <c r="W143" s="690"/>
      <c r="X143" s="690"/>
      <c r="Y143" s="690"/>
      <c r="Z143" s="690"/>
      <c r="AA143" s="689">
        <f t="shared" si="74"/>
        <v>1E-4</v>
      </c>
      <c r="AB143" s="690">
        <f t="shared" si="75"/>
        <v>1E-4</v>
      </c>
      <c r="AC143" s="690">
        <f t="shared" si="76"/>
        <v>2.0000000000000001E-4</v>
      </c>
      <c r="AD143" s="690">
        <f t="shared" si="77"/>
        <v>2.9999999999999997E-4</v>
      </c>
      <c r="AE143" s="690">
        <f t="shared" si="78"/>
        <v>4.0000000000000002E-4</v>
      </c>
      <c r="AF143" s="690">
        <f t="shared" si="79"/>
        <v>5.0000000000000001E-4</v>
      </c>
    </row>
    <row r="144" spans="1:32" hidden="1" x14ac:dyDescent="0.2">
      <c r="A144" s="680" t="str">
        <f t="shared" si="64"/>
        <v/>
      </c>
      <c r="B144" s="708" t="s">
        <v>242</v>
      </c>
      <c r="C144" s="709"/>
      <c r="D144" s="710"/>
      <c r="E144" s="673">
        <f>(IF(COUNT(M144,N144,O144,P144,Q144)&lt;4,SUM(M144,N144,O144,P144,Q144),SUM(LARGE((M144,N144,O144,P144,Q144),{1;2;3;4}))))</f>
        <v>0</v>
      </c>
      <c r="F144" s="684" t="str">
        <f>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amp;INDEX(ETAPP!B$1:B$32,MATCH(COUNTIF(M144:Q144,#REF!),ETAPP!A$1:A$32,0))</f>
        <v>0000000000000000000</v>
      </c>
      <c r="G144" s="684" t="str">
        <f t="shared" si="65"/>
        <v>000,0-0000000000000000000</v>
      </c>
      <c r="H144" s="684">
        <f t="shared" si="66"/>
        <v>149</v>
      </c>
      <c r="I144" s="684">
        <f t="shared" si="67"/>
        <v>19</v>
      </c>
      <c r="J144" s="684" t="str">
        <f t="shared" si="68"/>
        <v>000,0-0000000000000000000-019</v>
      </c>
      <c r="K144" s="684">
        <f t="shared" si="69"/>
        <v>138</v>
      </c>
      <c r="L144" s="685">
        <f t="shared" si="70"/>
        <v>12</v>
      </c>
      <c r="M144" s="686" t="str">
        <f>IFERROR(INDEX('M1'!C$300:C$400,MATCH("*"&amp;B144&amp;"*",'M1'!B$300:B$400,0)),"  ")</f>
        <v xml:space="preserve">  </v>
      </c>
      <c r="N144" s="686" t="str">
        <f>IFERROR(INDEX('M2'!C$300:C$400,MATCH("*"&amp;B144&amp;"*",'M2'!B$300:B$400,0)),"  ")</f>
        <v xml:space="preserve">  </v>
      </c>
      <c r="O144" s="686" t="str">
        <f>IFERROR(INDEX('M3'!C$300:C$400,MATCH("*"&amp;B144&amp;"*",'M3'!B$300:B$400,0)),"  ")</f>
        <v xml:space="preserve">  </v>
      </c>
      <c r="P144" s="686" t="str">
        <f>IFERROR(INDEX('M4'!C$300:C$400,MATCH("*"&amp;B144&amp;"*",'M4'!B$300:B$400,0)),"  ")</f>
        <v xml:space="preserve">  </v>
      </c>
      <c r="Q144" s="686" t="str">
        <f>IFERROR(INDEX('M5'!C$300:C$400,MATCH("*"&amp;B144&amp;"*",'M5'!B$300:B$400,0)),"  ")</f>
        <v xml:space="preserve">  </v>
      </c>
      <c r="R144" s="687">
        <f t="shared" si="71"/>
        <v>0</v>
      </c>
      <c r="S144" s="688">
        <f t="shared" si="72"/>
        <v>0</v>
      </c>
      <c r="T144" s="688">
        <f t="shared" si="73"/>
        <v>0</v>
      </c>
      <c r="U144" s="642"/>
      <c r="V144" s="689"/>
      <c r="W144" s="690"/>
      <c r="X144" s="690"/>
      <c r="Y144" s="690"/>
      <c r="Z144" s="690"/>
      <c r="AA144" s="689">
        <f t="shared" si="74"/>
        <v>1E-4</v>
      </c>
      <c r="AB144" s="690">
        <f t="shared" si="75"/>
        <v>1E-4</v>
      </c>
      <c r="AC144" s="690">
        <f t="shared" si="76"/>
        <v>2.0000000000000001E-4</v>
      </c>
      <c r="AD144" s="690">
        <f t="shared" si="77"/>
        <v>2.9999999999999997E-4</v>
      </c>
      <c r="AE144" s="690">
        <f t="shared" si="78"/>
        <v>4.0000000000000002E-4</v>
      </c>
      <c r="AF144" s="690">
        <f t="shared" si="79"/>
        <v>5.0000000000000001E-4</v>
      </c>
    </row>
    <row r="145" spans="1:32" hidden="1" x14ac:dyDescent="0.2">
      <c r="A145" s="680" t="str">
        <f t="shared" si="64"/>
        <v/>
      </c>
      <c r="B145" s="706" t="s">
        <v>125</v>
      </c>
      <c r="C145" s="691"/>
      <c r="D145" s="692"/>
      <c r="E145" s="673">
        <f>(IF(COUNT(M145,N145,O145,P145,Q145)&lt;4,SUM(M145,N145,O145,P145,Q145),SUM(LARGE((M145,N145,O145,P145,Q145),{1;2;3;4}))))</f>
        <v>0</v>
      </c>
      <c r="F145" s="684" t="str">
        <f>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amp;INDEX(ETAPP!B$1:B$32,MATCH(COUNTIF(M145:Q145,#REF!),ETAPP!A$1:A$32,0))</f>
        <v>0000000000000000000</v>
      </c>
      <c r="G145" s="684" t="str">
        <f t="shared" si="65"/>
        <v>000,0-0000000000000000000</v>
      </c>
      <c r="H145" s="684">
        <f t="shared" si="66"/>
        <v>149</v>
      </c>
      <c r="I145" s="684">
        <f t="shared" si="67"/>
        <v>18</v>
      </c>
      <c r="J145" s="684" t="str">
        <f t="shared" si="68"/>
        <v>000,0-0000000000000000000-018</v>
      </c>
      <c r="K145" s="684">
        <f t="shared" si="69"/>
        <v>139</v>
      </c>
      <c r="L145" s="685">
        <f t="shared" si="70"/>
        <v>11</v>
      </c>
      <c r="M145" s="686" t="str">
        <f>IFERROR(INDEX('M1'!C$300:C$400,MATCH("*"&amp;B145&amp;"*",'M1'!B$300:B$400,0)),"  ")</f>
        <v xml:space="preserve">  </v>
      </c>
      <c r="N145" s="686" t="str">
        <f>IFERROR(INDEX('M2'!C$300:C$400,MATCH("*"&amp;B145&amp;"*",'M2'!B$300:B$400,0)),"  ")</f>
        <v xml:space="preserve">  </v>
      </c>
      <c r="O145" s="686" t="str">
        <f>IFERROR(INDEX('M3'!C$300:C$400,MATCH("*"&amp;B145&amp;"*",'M3'!B$300:B$400,0)),"  ")</f>
        <v xml:space="preserve">  </v>
      </c>
      <c r="P145" s="686" t="str">
        <f>IFERROR(INDEX('M4'!C$300:C$400,MATCH("*"&amp;B145&amp;"*",'M4'!B$300:B$400,0)),"  ")</f>
        <v xml:space="preserve">  </v>
      </c>
      <c r="Q145" s="686" t="str">
        <f>IFERROR(INDEX('M5'!C$300:C$400,MATCH("*"&amp;B145&amp;"*",'M5'!B$300:B$400,0)),"  ")</f>
        <v xml:space="preserve">  </v>
      </c>
      <c r="R145" s="687">
        <f t="shared" si="71"/>
        <v>0</v>
      </c>
      <c r="S145" s="688">
        <f t="shared" si="72"/>
        <v>0</v>
      </c>
      <c r="T145" s="688">
        <f t="shared" si="73"/>
        <v>0</v>
      </c>
      <c r="U145" s="642"/>
      <c r="V145" s="689"/>
      <c r="W145" s="690"/>
      <c r="X145" s="690"/>
      <c r="Y145" s="690"/>
      <c r="Z145" s="690"/>
      <c r="AA145" s="689">
        <f t="shared" si="74"/>
        <v>1E-4</v>
      </c>
      <c r="AB145" s="690">
        <f t="shared" si="75"/>
        <v>1E-4</v>
      </c>
      <c r="AC145" s="690">
        <f t="shared" si="76"/>
        <v>2.0000000000000001E-4</v>
      </c>
      <c r="AD145" s="690">
        <f t="shared" si="77"/>
        <v>2.9999999999999997E-4</v>
      </c>
      <c r="AE145" s="690">
        <f t="shared" si="78"/>
        <v>4.0000000000000002E-4</v>
      </c>
      <c r="AF145" s="690">
        <f t="shared" si="79"/>
        <v>5.0000000000000001E-4</v>
      </c>
    </row>
    <row r="146" spans="1:32" hidden="1" x14ac:dyDescent="0.2">
      <c r="A146" s="680" t="str">
        <f t="shared" si="64"/>
        <v/>
      </c>
      <c r="B146" s="706" t="s">
        <v>106</v>
      </c>
      <c r="C146" s="691"/>
      <c r="D146" s="692"/>
      <c r="E146" s="673">
        <f>(IF(COUNT(M146,N146,O146,P146,Q146)&lt;4,SUM(M146,N146,O146,P146,Q146),SUM(LARGE((M146,N146,O146,P146,Q146),{1;2;3;4}))))</f>
        <v>0</v>
      </c>
      <c r="F146" s="684" t="str">
        <f>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amp;INDEX(ETAPP!B$1:B$32,MATCH(COUNTIF(M146:Q146,#REF!),ETAPP!A$1:A$32,0))</f>
        <v>0000000000000000000</v>
      </c>
      <c r="G146" s="684" t="str">
        <f t="shared" si="65"/>
        <v>000,0-0000000000000000000</v>
      </c>
      <c r="H146" s="684">
        <f t="shared" si="66"/>
        <v>149</v>
      </c>
      <c r="I146" s="684">
        <f t="shared" si="67"/>
        <v>17</v>
      </c>
      <c r="J146" s="684" t="str">
        <f t="shared" si="68"/>
        <v>000,0-0000000000000000000-017</v>
      </c>
      <c r="K146" s="684">
        <f t="shared" si="69"/>
        <v>140</v>
      </c>
      <c r="L146" s="685">
        <f t="shared" si="70"/>
        <v>10</v>
      </c>
      <c r="M146" s="686" t="str">
        <f>IFERROR(INDEX('M1'!C$300:C$400,MATCH("*"&amp;B146&amp;"*",'M1'!B$300:B$400,0)),"  ")</f>
        <v xml:space="preserve">  </v>
      </c>
      <c r="N146" s="686" t="str">
        <f>IFERROR(INDEX('M2'!C$300:C$400,MATCH("*"&amp;B146&amp;"*",'M2'!B$300:B$400,0)),"  ")</f>
        <v xml:space="preserve">  </v>
      </c>
      <c r="O146" s="686" t="str">
        <f>IFERROR(INDEX('M3'!C$300:C$400,MATCH("*"&amp;B146&amp;"*",'M3'!B$300:B$400,0)),"  ")</f>
        <v xml:space="preserve">  </v>
      </c>
      <c r="P146" s="686" t="str">
        <f>IFERROR(INDEX('M4'!C$300:C$400,MATCH("*"&amp;B146&amp;"*",'M4'!B$300:B$400,0)),"  ")</f>
        <v xml:space="preserve">  </v>
      </c>
      <c r="Q146" s="686" t="str">
        <f>IFERROR(INDEX('M5'!C$300:C$400,MATCH("*"&amp;B146&amp;"*",'M5'!B$300:B$400,0)),"  ")</f>
        <v xml:space="preserve">  </v>
      </c>
      <c r="R146" s="687">
        <f t="shared" si="71"/>
        <v>0</v>
      </c>
      <c r="S146" s="688">
        <f t="shared" si="72"/>
        <v>0</v>
      </c>
      <c r="T146" s="688">
        <f t="shared" si="73"/>
        <v>0</v>
      </c>
      <c r="U146" s="642"/>
      <c r="V146" s="689"/>
      <c r="W146" s="690"/>
      <c r="X146" s="690"/>
      <c r="Y146" s="690"/>
      <c r="Z146" s="690"/>
      <c r="AA146" s="689">
        <f t="shared" si="74"/>
        <v>1E-4</v>
      </c>
      <c r="AB146" s="690">
        <f t="shared" si="75"/>
        <v>1E-4</v>
      </c>
      <c r="AC146" s="690">
        <f t="shared" si="76"/>
        <v>2.0000000000000001E-4</v>
      </c>
      <c r="AD146" s="690">
        <f t="shared" si="77"/>
        <v>2.9999999999999997E-4</v>
      </c>
      <c r="AE146" s="690">
        <f t="shared" si="78"/>
        <v>4.0000000000000002E-4</v>
      </c>
      <c r="AF146" s="690">
        <f t="shared" si="79"/>
        <v>5.0000000000000001E-4</v>
      </c>
    </row>
    <row r="147" spans="1:32" hidden="1" x14ac:dyDescent="0.2">
      <c r="A147" s="680" t="str">
        <f t="shared" si="64"/>
        <v/>
      </c>
      <c r="B147" s="706" t="s">
        <v>161</v>
      </c>
      <c r="C147" s="691"/>
      <c r="D147" s="692"/>
      <c r="E147" s="673">
        <f>(IF(COUNT(M147,N147,O147,P147,Q147)&lt;4,SUM(M147,N147,O147,P147,Q147),SUM(LARGE((M147,N147,O147,P147,Q147),{1;2;3;4}))))</f>
        <v>0</v>
      </c>
      <c r="F147" s="684" t="str">
        <f>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amp;INDEX(ETAPP!B$1:B$32,MATCH(COUNTIF(M147:Q147,#REF!),ETAPP!A$1:A$32,0))</f>
        <v>0000000000000000000</v>
      </c>
      <c r="G147" s="684" t="str">
        <f t="shared" si="65"/>
        <v>000,0-0000000000000000000</v>
      </c>
      <c r="H147" s="684">
        <f t="shared" si="66"/>
        <v>149</v>
      </c>
      <c r="I147" s="684">
        <f t="shared" si="67"/>
        <v>15</v>
      </c>
      <c r="J147" s="684" t="str">
        <f t="shared" si="68"/>
        <v>000,0-0000000000000000000-015</v>
      </c>
      <c r="K147" s="684">
        <f t="shared" si="69"/>
        <v>141</v>
      </c>
      <c r="L147" s="685">
        <f t="shared" si="70"/>
        <v>9</v>
      </c>
      <c r="M147" s="686" t="str">
        <f>IFERROR(INDEX('M1'!C$300:C$400,MATCH("*"&amp;B147&amp;"*",'M1'!B$300:B$400,0)),"  ")</f>
        <v xml:space="preserve">  </v>
      </c>
      <c r="N147" s="686" t="str">
        <f>IFERROR(INDEX('M2'!C$300:C$400,MATCH("*"&amp;B147&amp;"*",'M2'!B$300:B$400,0)),"  ")</f>
        <v xml:space="preserve">  </v>
      </c>
      <c r="O147" s="686" t="str">
        <f>IFERROR(INDEX('M3'!C$300:C$400,MATCH("*"&amp;B147&amp;"*",'M3'!B$300:B$400,0)),"  ")</f>
        <v xml:space="preserve">  </v>
      </c>
      <c r="P147" s="686" t="str">
        <f>IFERROR(INDEX('M4'!C$300:C$400,MATCH("*"&amp;B147&amp;"*",'M4'!B$300:B$400,0)),"  ")</f>
        <v xml:space="preserve">  </v>
      </c>
      <c r="Q147" s="686" t="str">
        <f>IFERROR(INDEX('M5'!C$300:C$400,MATCH("*"&amp;B147&amp;"*",'M5'!B$300:B$400,0)),"  ")</f>
        <v xml:space="preserve">  </v>
      </c>
      <c r="R147" s="687">
        <f t="shared" si="71"/>
        <v>0</v>
      </c>
      <c r="S147" s="688">
        <f t="shared" si="72"/>
        <v>0</v>
      </c>
      <c r="T147" s="688">
        <f t="shared" si="73"/>
        <v>0</v>
      </c>
      <c r="U147" s="642"/>
      <c r="V147" s="689"/>
      <c r="W147" s="690"/>
      <c r="X147" s="690"/>
      <c r="Y147" s="690"/>
      <c r="Z147" s="690"/>
      <c r="AA147" s="689">
        <f t="shared" si="74"/>
        <v>1E-4</v>
      </c>
      <c r="AB147" s="690">
        <f t="shared" si="75"/>
        <v>1E-4</v>
      </c>
      <c r="AC147" s="690">
        <f t="shared" si="76"/>
        <v>2.0000000000000001E-4</v>
      </c>
      <c r="AD147" s="690">
        <f t="shared" si="77"/>
        <v>2.9999999999999997E-4</v>
      </c>
      <c r="AE147" s="690">
        <f t="shared" si="78"/>
        <v>4.0000000000000002E-4</v>
      </c>
      <c r="AF147" s="690">
        <f t="shared" si="79"/>
        <v>5.0000000000000001E-4</v>
      </c>
    </row>
    <row r="148" spans="1:32" hidden="1" x14ac:dyDescent="0.2">
      <c r="A148" s="680" t="str">
        <f t="shared" si="64"/>
        <v/>
      </c>
      <c r="B148" s="706" t="s">
        <v>162</v>
      </c>
      <c r="C148" s="691"/>
      <c r="D148" s="692"/>
      <c r="E148" s="673">
        <f>(IF(COUNT(M148,N148,O148,P148,Q148)&lt;4,SUM(M148,N148,O148,P148,Q148),SUM(LARGE((M148,N148,O148,P148,Q148),{1;2;3;4}))))</f>
        <v>0</v>
      </c>
      <c r="F148" s="684" t="str">
        <f>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amp;INDEX(ETAPP!B$1:B$32,MATCH(COUNTIF(M148:Q148,#REF!),ETAPP!A$1:A$32,0))</f>
        <v>0000000000000000000</v>
      </c>
      <c r="G148" s="684" t="str">
        <f t="shared" si="65"/>
        <v>000,0-0000000000000000000</v>
      </c>
      <c r="H148" s="684">
        <f t="shared" si="66"/>
        <v>149</v>
      </c>
      <c r="I148" s="684">
        <f t="shared" si="67"/>
        <v>14</v>
      </c>
      <c r="J148" s="684" t="str">
        <f t="shared" si="68"/>
        <v>000,0-0000000000000000000-014</v>
      </c>
      <c r="K148" s="684">
        <f t="shared" si="69"/>
        <v>142</v>
      </c>
      <c r="L148" s="685">
        <f t="shared" si="70"/>
        <v>8</v>
      </c>
      <c r="M148" s="686" t="str">
        <f>IFERROR(INDEX('M1'!C$300:C$400,MATCH("*"&amp;B148&amp;"*",'M1'!B$300:B$400,0)),"  ")</f>
        <v xml:space="preserve">  </v>
      </c>
      <c r="N148" s="686" t="str">
        <f>IFERROR(INDEX('M2'!C$300:C$400,MATCH("*"&amp;B148&amp;"*",'M2'!B$300:B$400,0)),"  ")</f>
        <v xml:space="preserve">  </v>
      </c>
      <c r="O148" s="686" t="str">
        <f>IFERROR(INDEX('M3'!C$300:C$400,MATCH("*"&amp;B148&amp;"*",'M3'!B$300:B$400,0)),"  ")</f>
        <v xml:space="preserve">  </v>
      </c>
      <c r="P148" s="686" t="str">
        <f>IFERROR(INDEX('M4'!C$300:C$400,MATCH("*"&amp;B148&amp;"*",'M4'!B$300:B$400,0)),"  ")</f>
        <v xml:space="preserve">  </v>
      </c>
      <c r="Q148" s="686" t="str">
        <f>IFERROR(INDEX('M5'!C$300:C$400,MATCH("*"&amp;B148&amp;"*",'M5'!B$300:B$400,0)),"  ")</f>
        <v xml:space="preserve">  </v>
      </c>
      <c r="R148" s="687">
        <f t="shared" si="71"/>
        <v>0</v>
      </c>
      <c r="S148" s="688">
        <f t="shared" si="72"/>
        <v>0</v>
      </c>
      <c r="T148" s="688">
        <f t="shared" si="73"/>
        <v>0</v>
      </c>
      <c r="U148" s="642"/>
      <c r="V148" s="689"/>
      <c r="W148" s="690"/>
      <c r="X148" s="690"/>
      <c r="Y148" s="690"/>
      <c r="Z148" s="690"/>
      <c r="AA148" s="689">
        <f t="shared" si="74"/>
        <v>1E-4</v>
      </c>
      <c r="AB148" s="690">
        <f t="shared" si="75"/>
        <v>1E-4</v>
      </c>
      <c r="AC148" s="690">
        <f t="shared" si="76"/>
        <v>2.0000000000000001E-4</v>
      </c>
      <c r="AD148" s="690">
        <f t="shared" si="77"/>
        <v>2.9999999999999997E-4</v>
      </c>
      <c r="AE148" s="690">
        <f t="shared" si="78"/>
        <v>4.0000000000000002E-4</v>
      </c>
      <c r="AF148" s="690">
        <f t="shared" si="79"/>
        <v>5.0000000000000001E-4</v>
      </c>
    </row>
    <row r="149" spans="1:32" hidden="1" x14ac:dyDescent="0.2">
      <c r="A149" s="680" t="str">
        <f t="shared" si="64"/>
        <v/>
      </c>
      <c r="B149" s="708" t="s">
        <v>130</v>
      </c>
      <c r="C149" s="709"/>
      <c r="D149" s="710"/>
      <c r="E149" s="673">
        <f>(IF(COUNT(M149,N149,O149,P149,Q149)&lt;4,SUM(M149,N149,O149,P149,Q149),SUM(LARGE((M149,N149,O149,P149,Q149),{1;2;3;4}))))</f>
        <v>0</v>
      </c>
      <c r="F149" s="684" t="str">
        <f>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amp;INDEX(ETAPP!B$1:B$32,MATCH(COUNTIF(M149:Q149,#REF!),ETAPP!A$1:A$32,0))</f>
        <v>0000000000000000000</v>
      </c>
      <c r="G149" s="684" t="str">
        <f t="shared" si="65"/>
        <v>000,0-0000000000000000000</v>
      </c>
      <c r="H149" s="684">
        <f t="shared" si="66"/>
        <v>149</v>
      </c>
      <c r="I149" s="684">
        <f t="shared" si="67"/>
        <v>13</v>
      </c>
      <c r="J149" s="684" t="str">
        <f t="shared" si="68"/>
        <v>000,0-0000000000000000000-013</v>
      </c>
      <c r="K149" s="684">
        <f t="shared" si="69"/>
        <v>143</v>
      </c>
      <c r="L149" s="685">
        <f t="shared" si="70"/>
        <v>7</v>
      </c>
      <c r="M149" s="686" t="str">
        <f>IFERROR(INDEX('M1'!C$300:C$400,MATCH("*"&amp;B149&amp;"*",'M1'!B$300:B$400,0)),"  ")</f>
        <v xml:space="preserve">  </v>
      </c>
      <c r="N149" s="686" t="str">
        <f>IFERROR(INDEX('M2'!C$300:C$400,MATCH("*"&amp;B149&amp;"*",'M2'!B$300:B$400,0)),"  ")</f>
        <v xml:space="preserve">  </v>
      </c>
      <c r="O149" s="686" t="str">
        <f>IFERROR(INDEX('M3'!C$300:C$400,MATCH("*"&amp;B149&amp;"*",'M3'!B$300:B$400,0)),"  ")</f>
        <v xml:space="preserve">  </v>
      </c>
      <c r="P149" s="686" t="str">
        <f>IFERROR(INDEX('M4'!C$300:C$400,MATCH("*"&amp;B149&amp;"*",'M4'!B$300:B$400,0)),"  ")</f>
        <v xml:space="preserve">  </v>
      </c>
      <c r="Q149" s="686" t="str">
        <f>IFERROR(INDEX('M5'!C$300:C$400,MATCH("*"&amp;B149&amp;"*",'M5'!B$300:B$400,0)),"  ")</f>
        <v xml:space="preserve">  </v>
      </c>
      <c r="R149" s="687">
        <f t="shared" si="71"/>
        <v>0</v>
      </c>
      <c r="S149" s="688">
        <f t="shared" si="72"/>
        <v>0</v>
      </c>
      <c r="T149" s="688">
        <f t="shared" si="73"/>
        <v>0</v>
      </c>
      <c r="U149" s="642"/>
      <c r="V149" s="689"/>
      <c r="W149" s="690"/>
      <c r="X149" s="690"/>
      <c r="Y149" s="690"/>
      <c r="Z149" s="690"/>
      <c r="AA149" s="689">
        <f t="shared" si="74"/>
        <v>1E-4</v>
      </c>
      <c r="AB149" s="690">
        <f t="shared" si="75"/>
        <v>1E-4</v>
      </c>
      <c r="AC149" s="690">
        <f t="shared" si="76"/>
        <v>2.0000000000000001E-4</v>
      </c>
      <c r="AD149" s="690">
        <f t="shared" si="77"/>
        <v>2.9999999999999997E-4</v>
      </c>
      <c r="AE149" s="690">
        <f t="shared" si="78"/>
        <v>4.0000000000000002E-4</v>
      </c>
      <c r="AF149" s="690">
        <f t="shared" si="79"/>
        <v>5.0000000000000001E-4</v>
      </c>
    </row>
    <row r="150" spans="1:32" hidden="1" x14ac:dyDescent="0.2">
      <c r="A150" s="680" t="str">
        <f t="shared" si="64"/>
        <v/>
      </c>
      <c r="B150" s="708" t="s">
        <v>243</v>
      </c>
      <c r="C150" s="709" t="s">
        <v>99</v>
      </c>
      <c r="D150" s="710"/>
      <c r="E150" s="673">
        <f>(IF(COUNT(M150,N150,O150,P150,Q150)&lt;4,SUM(M150,N150,O150,P150,Q150),SUM(LARGE((M150,N150,O150,P150,Q150),{1;2;3;4}))))</f>
        <v>0</v>
      </c>
      <c r="F150" s="684" t="str">
        <f>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amp;INDEX(ETAPP!B$1:B$32,MATCH(COUNTIF(M150:Q150,#REF!),ETAPP!A$1:A$32,0))</f>
        <v>0000000000000000000</v>
      </c>
      <c r="G150" s="684" t="str">
        <f t="shared" si="65"/>
        <v>000,0-0000000000000000000</v>
      </c>
      <c r="H150" s="684">
        <f t="shared" si="66"/>
        <v>149</v>
      </c>
      <c r="I150" s="684">
        <f t="shared" si="67"/>
        <v>9</v>
      </c>
      <c r="J150" s="684" t="str">
        <f t="shared" si="68"/>
        <v>000,0-0000000000000000000-009</v>
      </c>
      <c r="K150" s="684">
        <f t="shared" si="69"/>
        <v>144</v>
      </c>
      <c r="L150" s="685">
        <f t="shared" si="70"/>
        <v>6</v>
      </c>
      <c r="M150" s="686" t="str">
        <f>IFERROR(INDEX('M1'!C$300:C$400,MATCH("*"&amp;B150&amp;"*",'M1'!B$300:B$400,0)),"  ")</f>
        <v xml:space="preserve">  </v>
      </c>
      <c r="N150" s="686" t="str">
        <f>IFERROR(INDEX('M2'!C$300:C$400,MATCH("*"&amp;B150&amp;"*",'M2'!B$300:B$400,0)),"  ")</f>
        <v xml:space="preserve">  </v>
      </c>
      <c r="O150" s="686" t="str">
        <f>IFERROR(INDEX('M3'!C$300:C$400,MATCH("*"&amp;B150&amp;"*",'M3'!B$300:B$400,0)),"  ")</f>
        <v xml:space="preserve">  </v>
      </c>
      <c r="P150" s="686" t="str">
        <f>IFERROR(INDEX('M4'!C$300:C$400,MATCH("*"&amp;B150&amp;"*",'M4'!B$300:B$400,0)),"  ")</f>
        <v xml:space="preserve">  </v>
      </c>
      <c r="Q150" s="686" t="str">
        <f>IFERROR(INDEX('M5'!C$300:C$400,MATCH("*"&amp;B150&amp;"*",'M5'!B$300:B$400,0)),"  ")</f>
        <v xml:space="preserve">  </v>
      </c>
      <c r="R150" s="687">
        <f t="shared" si="71"/>
        <v>0</v>
      </c>
      <c r="S150" s="688">
        <f t="shared" si="72"/>
        <v>0</v>
      </c>
      <c r="T150" s="688">
        <f t="shared" si="73"/>
        <v>0</v>
      </c>
      <c r="U150" s="642"/>
      <c r="V150" s="689"/>
      <c r="W150" s="690"/>
      <c r="X150" s="690"/>
      <c r="Y150" s="690"/>
      <c r="Z150" s="690"/>
      <c r="AA150" s="689">
        <f t="shared" si="74"/>
        <v>1E-4</v>
      </c>
      <c r="AB150" s="690">
        <f t="shared" si="75"/>
        <v>1E-4</v>
      </c>
      <c r="AC150" s="690">
        <f t="shared" si="76"/>
        <v>2.0000000000000001E-4</v>
      </c>
      <c r="AD150" s="690">
        <f t="shared" si="77"/>
        <v>2.9999999999999997E-4</v>
      </c>
      <c r="AE150" s="690">
        <f t="shared" si="78"/>
        <v>4.0000000000000002E-4</v>
      </c>
      <c r="AF150" s="690">
        <f t="shared" si="79"/>
        <v>5.0000000000000001E-4</v>
      </c>
    </row>
    <row r="151" spans="1:32" hidden="1" x14ac:dyDescent="0.2">
      <c r="A151" s="680" t="str">
        <f t="shared" si="64"/>
        <v/>
      </c>
      <c r="B151" s="706" t="s">
        <v>121</v>
      </c>
      <c r="C151" s="691"/>
      <c r="D151" s="692"/>
      <c r="E151" s="673">
        <f>(IF(COUNT(M151,N151,O151,P151,Q151)&lt;4,SUM(M151,N151,O151,P151,Q151),SUM(LARGE((M151,N151,O151,P151,Q151),{1;2;3;4}))))</f>
        <v>0</v>
      </c>
      <c r="F151" s="684" t="str">
        <f>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amp;INDEX(ETAPP!B$1:B$32,MATCH(COUNTIF(M151:Q151,#REF!),ETAPP!A$1:A$32,0))</f>
        <v>0000000000000000000</v>
      </c>
      <c r="G151" s="684" t="str">
        <f t="shared" si="65"/>
        <v>000,0-0000000000000000000</v>
      </c>
      <c r="H151" s="684">
        <f t="shared" si="66"/>
        <v>149</v>
      </c>
      <c r="I151" s="684">
        <f t="shared" si="67"/>
        <v>8</v>
      </c>
      <c r="J151" s="684" t="str">
        <f t="shared" si="68"/>
        <v>000,0-0000000000000000000-008</v>
      </c>
      <c r="K151" s="684">
        <f t="shared" si="69"/>
        <v>145</v>
      </c>
      <c r="L151" s="685">
        <f t="shared" si="70"/>
        <v>5</v>
      </c>
      <c r="M151" s="686" t="str">
        <f>IFERROR(INDEX('M1'!C$300:C$400,MATCH("*"&amp;B151&amp;"*",'M1'!B$300:B$400,0)),"  ")</f>
        <v xml:space="preserve">  </v>
      </c>
      <c r="N151" s="686" t="str">
        <f>IFERROR(INDEX('M2'!C$300:C$400,MATCH("*"&amp;B151&amp;"*",'M2'!B$300:B$400,0)),"  ")</f>
        <v xml:space="preserve">  </v>
      </c>
      <c r="O151" s="686" t="str">
        <f>IFERROR(INDEX('M3'!C$300:C$400,MATCH("*"&amp;B151&amp;"*",'M3'!B$300:B$400,0)),"  ")</f>
        <v xml:space="preserve">  </v>
      </c>
      <c r="P151" s="686" t="str">
        <f>IFERROR(INDEX('M4'!C$300:C$400,MATCH("*"&amp;B151&amp;"*",'M4'!B$300:B$400,0)),"  ")</f>
        <v xml:space="preserve">  </v>
      </c>
      <c r="Q151" s="686" t="str">
        <f>IFERROR(INDEX('M5'!C$300:C$400,MATCH("*"&amp;B151&amp;"*",'M5'!B$300:B$400,0)),"  ")</f>
        <v xml:space="preserve">  </v>
      </c>
      <c r="R151" s="687">
        <f t="shared" si="71"/>
        <v>0</v>
      </c>
      <c r="S151" s="688">
        <f t="shared" si="72"/>
        <v>0</v>
      </c>
      <c r="T151" s="688">
        <f t="shared" si="73"/>
        <v>0</v>
      </c>
      <c r="U151" s="642"/>
      <c r="V151" s="689"/>
      <c r="W151" s="690"/>
      <c r="X151" s="690"/>
      <c r="Y151" s="690"/>
      <c r="Z151" s="690"/>
      <c r="AA151" s="689">
        <f t="shared" si="74"/>
        <v>1E-4</v>
      </c>
      <c r="AB151" s="690">
        <f t="shared" si="75"/>
        <v>1E-4</v>
      </c>
      <c r="AC151" s="690">
        <f t="shared" si="76"/>
        <v>2.0000000000000001E-4</v>
      </c>
      <c r="AD151" s="690">
        <f t="shared" si="77"/>
        <v>2.9999999999999997E-4</v>
      </c>
      <c r="AE151" s="690">
        <f t="shared" si="78"/>
        <v>4.0000000000000002E-4</v>
      </c>
      <c r="AF151" s="690">
        <f t="shared" si="79"/>
        <v>5.0000000000000001E-4</v>
      </c>
    </row>
    <row r="152" spans="1:32" hidden="1" x14ac:dyDescent="0.2">
      <c r="A152" s="680" t="str">
        <f t="shared" si="64"/>
        <v/>
      </c>
      <c r="B152" s="706" t="s">
        <v>141</v>
      </c>
      <c r="C152" s="711"/>
      <c r="D152" s="692"/>
      <c r="E152" s="673">
        <f>(IF(COUNT(M152,N152,O152,P152,Q152)&lt;4,SUM(M152,N152,O152,P152,Q152),SUM(LARGE((M152,N152,O152,P152,Q152),{1;2;3;4}))))</f>
        <v>0</v>
      </c>
      <c r="F152" s="684" t="str">
        <f>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amp;INDEX(ETAPP!B$1:B$32,MATCH(COUNTIF(M152:Q152,#REF!),ETAPP!A$1:A$32,0))</f>
        <v>0000000000000000000</v>
      </c>
      <c r="G152" s="684" t="str">
        <f t="shared" si="65"/>
        <v>000,0-0000000000000000000</v>
      </c>
      <c r="H152" s="684">
        <f t="shared" si="66"/>
        <v>149</v>
      </c>
      <c r="I152" s="684">
        <f t="shared" si="67"/>
        <v>6</v>
      </c>
      <c r="J152" s="684" t="str">
        <f t="shared" si="68"/>
        <v>000,0-0000000000000000000-006</v>
      </c>
      <c r="K152" s="684">
        <f t="shared" si="69"/>
        <v>146</v>
      </c>
      <c r="L152" s="685">
        <f t="shared" si="70"/>
        <v>4</v>
      </c>
      <c r="M152" s="686" t="str">
        <f>IFERROR(INDEX('M1'!C$300:C$400,MATCH("*"&amp;B152&amp;"*",'M1'!B$300:B$400,0)),"  ")</f>
        <v xml:space="preserve">  </v>
      </c>
      <c r="N152" s="686" t="str">
        <f>IFERROR(INDEX('M2'!C$300:C$400,MATCH("*"&amp;B152&amp;"*",'M2'!B$300:B$400,0)),"  ")</f>
        <v xml:space="preserve">  </v>
      </c>
      <c r="O152" s="686" t="str">
        <f>IFERROR(INDEX('M3'!C$300:C$400,MATCH("*"&amp;B152&amp;"*",'M3'!B$300:B$400,0)),"  ")</f>
        <v xml:space="preserve">  </v>
      </c>
      <c r="P152" s="686" t="str">
        <f>IFERROR(INDEX('M4'!C$300:C$400,MATCH("*"&amp;B152&amp;"*",'M4'!B$300:B$400,0)),"  ")</f>
        <v xml:space="preserve">  </v>
      </c>
      <c r="Q152" s="686" t="str">
        <f>IFERROR(INDEX('M5'!C$300:C$400,MATCH("*"&amp;B152&amp;"*",'M5'!B$300:B$400,0)),"  ")</f>
        <v xml:space="preserve">  </v>
      </c>
      <c r="R152" s="687">
        <f t="shared" si="71"/>
        <v>0</v>
      </c>
      <c r="S152" s="688">
        <f t="shared" si="72"/>
        <v>0</v>
      </c>
      <c r="T152" s="688">
        <f t="shared" si="73"/>
        <v>0</v>
      </c>
      <c r="U152" s="642"/>
      <c r="V152" s="689"/>
      <c r="W152" s="690"/>
      <c r="X152" s="690"/>
      <c r="Y152" s="690"/>
      <c r="Z152" s="690"/>
      <c r="AA152" s="689">
        <f t="shared" si="74"/>
        <v>1E-4</v>
      </c>
      <c r="AB152" s="690">
        <f t="shared" si="75"/>
        <v>1E-4</v>
      </c>
      <c r="AC152" s="690">
        <f t="shared" si="76"/>
        <v>2.0000000000000001E-4</v>
      </c>
      <c r="AD152" s="690">
        <f t="shared" si="77"/>
        <v>2.9999999999999997E-4</v>
      </c>
      <c r="AE152" s="690">
        <f t="shared" si="78"/>
        <v>4.0000000000000002E-4</v>
      </c>
      <c r="AF152" s="690">
        <f t="shared" si="79"/>
        <v>5.0000000000000001E-4</v>
      </c>
    </row>
    <row r="153" spans="1:32" hidden="1" x14ac:dyDescent="0.2">
      <c r="A153" s="680" t="str">
        <f t="shared" si="64"/>
        <v/>
      </c>
      <c r="B153" s="706" t="s">
        <v>134</v>
      </c>
      <c r="C153" s="691"/>
      <c r="D153" s="707" t="s">
        <v>105</v>
      </c>
      <c r="E153" s="673">
        <f>(IF(COUNT(M153,N153,O153,P153,Q153)&lt;4,SUM(M153,N153,O153,P153,Q153),SUM(LARGE((M153,N153,O153,P153,Q153),{1;2;3;4}))))</f>
        <v>0</v>
      </c>
      <c r="F153" s="684" t="str">
        <f>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amp;INDEX(ETAPP!B$1:B$32,MATCH(COUNTIF(M153:Q153,#REF!),ETAPP!A$1:A$32,0))</f>
        <v>0000000000000000000</v>
      </c>
      <c r="G153" s="684" t="str">
        <f t="shared" si="65"/>
        <v>000,0-0000000000000000000</v>
      </c>
      <c r="H153" s="684">
        <f t="shared" si="66"/>
        <v>149</v>
      </c>
      <c r="I153" s="684">
        <f t="shared" si="67"/>
        <v>5</v>
      </c>
      <c r="J153" s="684" t="str">
        <f t="shared" si="68"/>
        <v>000,0-0000000000000000000-005</v>
      </c>
      <c r="K153" s="684">
        <f t="shared" si="69"/>
        <v>147</v>
      </c>
      <c r="L153" s="685">
        <f t="shared" si="70"/>
        <v>3</v>
      </c>
      <c r="M153" s="686" t="str">
        <f>IFERROR(INDEX('M1'!C$300:C$400,MATCH("*"&amp;B153&amp;"*",'M1'!B$300:B$400,0)),"  ")</f>
        <v xml:space="preserve">  </v>
      </c>
      <c r="N153" s="686" t="str">
        <f>IFERROR(INDEX('M2'!C$300:C$400,MATCH("*"&amp;B153&amp;"*",'M2'!B$300:B$400,0)),"  ")</f>
        <v xml:space="preserve">  </v>
      </c>
      <c r="O153" s="686" t="str">
        <f>IFERROR(INDEX('M3'!C$300:C$400,MATCH("*"&amp;B153&amp;"*",'M3'!B$300:B$400,0)),"  ")</f>
        <v xml:space="preserve">  </v>
      </c>
      <c r="P153" s="686" t="str">
        <f>IFERROR(INDEX('M4'!C$300:C$400,MATCH("*"&amp;B153&amp;"*",'M4'!B$300:B$400,0)),"  ")</f>
        <v xml:space="preserve">  </v>
      </c>
      <c r="Q153" s="686" t="str">
        <f>IFERROR(INDEX('M5'!C$300:C$400,MATCH("*"&amp;B153&amp;"*",'M5'!B$300:B$400,0)),"  ")</f>
        <v xml:space="preserve">  </v>
      </c>
      <c r="R153" s="687">
        <f t="shared" si="71"/>
        <v>0</v>
      </c>
      <c r="S153" s="688">
        <f t="shared" si="72"/>
        <v>0</v>
      </c>
      <c r="T153" s="688">
        <f t="shared" si="73"/>
        <v>0</v>
      </c>
      <c r="U153" s="642"/>
      <c r="V153" s="689"/>
      <c r="W153" s="690"/>
      <c r="X153" s="690"/>
      <c r="Y153" s="690"/>
      <c r="Z153" s="690"/>
      <c r="AA153" s="689">
        <f t="shared" si="74"/>
        <v>1E-4</v>
      </c>
      <c r="AB153" s="690">
        <f t="shared" si="75"/>
        <v>1E-4</v>
      </c>
      <c r="AC153" s="690">
        <f t="shared" si="76"/>
        <v>2.0000000000000001E-4</v>
      </c>
      <c r="AD153" s="690">
        <f t="shared" si="77"/>
        <v>2.9999999999999997E-4</v>
      </c>
      <c r="AE153" s="690">
        <f t="shared" si="78"/>
        <v>4.0000000000000002E-4</v>
      </c>
      <c r="AF153" s="690">
        <f t="shared" si="79"/>
        <v>5.0000000000000001E-4</v>
      </c>
    </row>
    <row r="154" spans="1:32" hidden="1" x14ac:dyDescent="0.2">
      <c r="A154" s="680" t="str">
        <f t="shared" si="64"/>
        <v/>
      </c>
      <c r="B154" s="706" t="s">
        <v>163</v>
      </c>
      <c r="C154" s="691"/>
      <c r="D154" s="692"/>
      <c r="E154" s="673">
        <f>(IF(COUNT(M154,N154,O154,P154,Q154)&lt;4,SUM(M154,N154,O154,P154,Q154),SUM(LARGE((M154,N154,O154,P154,Q154),{1;2;3;4}))))</f>
        <v>0</v>
      </c>
      <c r="F154" s="684" t="str">
        <f>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amp;INDEX(ETAPP!B$1:B$32,MATCH(COUNTIF(M154:Q154,#REF!),ETAPP!A$1:A$32,0))</f>
        <v>0000000000000000000</v>
      </c>
      <c r="G154" s="684" t="str">
        <f t="shared" si="65"/>
        <v>000,0-0000000000000000000</v>
      </c>
      <c r="H154" s="684">
        <f t="shared" si="66"/>
        <v>149</v>
      </c>
      <c r="I154" s="684">
        <f t="shared" si="67"/>
        <v>2</v>
      </c>
      <c r="J154" s="684" t="str">
        <f t="shared" si="68"/>
        <v>000,0-0000000000000000000-002</v>
      </c>
      <c r="K154" s="684">
        <f t="shared" si="69"/>
        <v>148</v>
      </c>
      <c r="L154" s="685">
        <f t="shared" si="70"/>
        <v>2</v>
      </c>
      <c r="M154" s="686" t="str">
        <f>IFERROR(INDEX('M1'!C$300:C$400,MATCH("*"&amp;B154&amp;"*",'M1'!B$300:B$400,0)),"  ")</f>
        <v xml:space="preserve">  </v>
      </c>
      <c r="N154" s="686" t="str">
        <f>IFERROR(INDEX('M2'!C$300:C$400,MATCH("*"&amp;B154&amp;"*",'M2'!B$300:B$400,0)),"  ")</f>
        <v xml:space="preserve">  </v>
      </c>
      <c r="O154" s="686" t="str">
        <f>IFERROR(INDEX('M3'!C$300:C$400,MATCH("*"&amp;B154&amp;"*",'M3'!B$300:B$400,0)),"  ")</f>
        <v xml:space="preserve">  </v>
      </c>
      <c r="P154" s="686" t="str">
        <f>IFERROR(INDEX('M4'!C$300:C$400,MATCH("*"&amp;B154&amp;"*",'M4'!B$300:B$400,0)),"  ")</f>
        <v xml:space="preserve">  </v>
      </c>
      <c r="Q154" s="686" t="str">
        <f>IFERROR(INDEX('M5'!C$300:C$400,MATCH("*"&amp;B154&amp;"*",'M5'!B$300:B$400,0)),"  ")</f>
        <v xml:space="preserve">  </v>
      </c>
      <c r="R154" s="687">
        <f t="shared" si="71"/>
        <v>0</v>
      </c>
      <c r="S154" s="688">
        <f t="shared" si="72"/>
        <v>0</v>
      </c>
      <c r="T154" s="688">
        <f t="shared" si="73"/>
        <v>0</v>
      </c>
      <c r="U154" s="642"/>
      <c r="V154" s="689"/>
      <c r="W154" s="690"/>
      <c r="X154" s="690"/>
      <c r="Y154" s="690"/>
      <c r="Z154" s="690"/>
      <c r="AA154" s="689">
        <f t="shared" si="74"/>
        <v>1E-4</v>
      </c>
      <c r="AB154" s="690">
        <f t="shared" si="75"/>
        <v>1E-4</v>
      </c>
      <c r="AC154" s="690">
        <f t="shared" si="76"/>
        <v>2.0000000000000001E-4</v>
      </c>
      <c r="AD154" s="690">
        <f t="shared" si="77"/>
        <v>2.9999999999999997E-4</v>
      </c>
      <c r="AE154" s="690">
        <f t="shared" si="78"/>
        <v>4.0000000000000002E-4</v>
      </c>
      <c r="AF154" s="690">
        <f t="shared" si="79"/>
        <v>5.0000000000000001E-4</v>
      </c>
    </row>
    <row r="155" spans="1:32" hidden="1" x14ac:dyDescent="0.2">
      <c r="A155" s="680" t="str">
        <f t="shared" si="64"/>
        <v/>
      </c>
      <c r="B155" s="681" t="s">
        <v>131</v>
      </c>
      <c r="C155" s="682"/>
      <c r="D155" s="683"/>
      <c r="E155" s="673">
        <f>(IF(COUNT(M155,N155,O155,P155,Q155)&lt;4,SUM(M155,N155,O155,P155,Q155),SUM(LARGE((M155,N155,O155,P155,Q155),{1;2;3;4}))))</f>
        <v>0</v>
      </c>
      <c r="F155" s="684" t="str">
        <f>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amp;INDEX(ETAPP!B$1:B$32,MATCH(COUNTIF(M155:Q155,#REF!),ETAPP!A$1:A$32,0))</f>
        <v>0000000000000000000</v>
      </c>
      <c r="G155" s="684" t="str">
        <f t="shared" si="65"/>
        <v>000,0-0000000000000000000</v>
      </c>
      <c r="H155" s="684">
        <f t="shared" si="66"/>
        <v>149</v>
      </c>
      <c r="I155" s="684">
        <f t="shared" si="67"/>
        <v>1</v>
      </c>
      <c r="J155" s="684" t="str">
        <f t="shared" si="68"/>
        <v>000,0-0000000000000000000-001</v>
      </c>
      <c r="K155" s="684">
        <f t="shared" si="69"/>
        <v>149</v>
      </c>
      <c r="L155" s="685">
        <f t="shared" si="70"/>
        <v>1</v>
      </c>
      <c r="M155" s="686" t="str">
        <f>IFERROR(INDEX('M1'!C$300:C$400,MATCH("*"&amp;B155&amp;"*",'M1'!B$300:B$400,0)),"  ")</f>
        <v xml:space="preserve">  </v>
      </c>
      <c r="N155" s="686" t="str">
        <f>IFERROR(INDEX('M2'!C$300:C$400,MATCH("*"&amp;B155&amp;"*",'M2'!B$300:B$400,0)),"  ")</f>
        <v xml:space="preserve">  </v>
      </c>
      <c r="O155" s="686" t="str">
        <f>IFERROR(INDEX('M3'!C$300:C$400,MATCH("*"&amp;B155&amp;"*",'M3'!B$300:B$400,0)),"  ")</f>
        <v xml:space="preserve">  </v>
      </c>
      <c r="P155" s="686" t="str">
        <f>IFERROR(INDEX('M4'!C$300:C$400,MATCH("*"&amp;B155&amp;"*",'M4'!B$300:B$400,0)),"  ")</f>
        <v xml:space="preserve">  </v>
      </c>
      <c r="Q155" s="686" t="str">
        <f>IFERROR(INDEX('M5'!C$300:C$400,MATCH("*"&amp;B155&amp;"*",'M5'!B$300:B$400,0)),"  ")</f>
        <v xml:space="preserve">  </v>
      </c>
      <c r="R155" s="687">
        <f t="shared" si="71"/>
        <v>0</v>
      </c>
      <c r="S155" s="688">
        <f t="shared" si="72"/>
        <v>0</v>
      </c>
      <c r="T155" s="688">
        <f t="shared" si="73"/>
        <v>0</v>
      </c>
      <c r="U155" s="642"/>
      <c r="V155" s="689"/>
      <c r="W155" s="690"/>
      <c r="X155" s="690"/>
      <c r="Y155" s="690"/>
      <c r="Z155" s="690"/>
      <c r="AA155" s="689">
        <f t="shared" si="74"/>
        <v>1E-4</v>
      </c>
      <c r="AB155" s="690">
        <f t="shared" si="75"/>
        <v>1E-4</v>
      </c>
      <c r="AC155" s="690">
        <f t="shared" si="76"/>
        <v>2.0000000000000001E-4</v>
      </c>
      <c r="AD155" s="690">
        <f t="shared" si="77"/>
        <v>2.9999999999999997E-4</v>
      </c>
      <c r="AE155" s="690">
        <f t="shared" si="78"/>
        <v>4.0000000000000002E-4</v>
      </c>
      <c r="AF155" s="690">
        <f t="shared" si="79"/>
        <v>5.0000000000000001E-4</v>
      </c>
    </row>
    <row r="156" spans="1:32" x14ac:dyDescent="0.2">
      <c r="A156" s="712">
        <f>COUNT(A7:A155)</f>
        <v>46</v>
      </c>
      <c r="B156" s="713" t="s">
        <v>164</v>
      </c>
      <c r="C156" s="714">
        <f>COUNTIF(C7:C155,"n")</f>
        <v>39</v>
      </c>
      <c r="D156" s="715">
        <f>COUNTIF(D7:D155,"j")</f>
        <v>10</v>
      </c>
      <c r="E156" s="716"/>
      <c r="F156" s="716"/>
      <c r="G156" s="716"/>
      <c r="H156" s="716"/>
      <c r="I156" s="716"/>
      <c r="J156" s="716"/>
      <c r="K156" s="716"/>
      <c r="L156" s="716"/>
      <c r="M156" s="717">
        <f>COUNTIF(M7:M155,"&gt;0")</f>
        <v>18</v>
      </c>
      <c r="N156" s="717">
        <f>COUNTIF(N7:N155,"&gt;0")</f>
        <v>25</v>
      </c>
      <c r="O156" s="717">
        <f>COUNTIF(O7:O155,"&gt;0")</f>
        <v>22</v>
      </c>
      <c r="P156" s="717">
        <f>COUNTIF(P7:P155,"&gt;0")</f>
        <v>16</v>
      </c>
      <c r="Q156" s="717">
        <f>COUNTIF(Q7:Q155,"&gt;0")</f>
        <v>20</v>
      </c>
      <c r="R156" s="648"/>
      <c r="S156" s="648"/>
      <c r="T156" s="648"/>
      <c r="U156" s="642"/>
      <c r="V156" s="642"/>
      <c r="W156" s="642"/>
      <c r="X156" s="642"/>
      <c r="Y156" s="642"/>
      <c r="Z156" s="642"/>
      <c r="AA156" s="689"/>
      <c r="AB156" s="690"/>
      <c r="AC156" s="690"/>
      <c r="AD156" s="690"/>
      <c r="AE156" s="690"/>
      <c r="AF156" s="690"/>
    </row>
    <row r="157" spans="1:32" x14ac:dyDescent="0.2">
      <c r="A157" s="688"/>
      <c r="B157" s="642"/>
      <c r="C157" s="642"/>
      <c r="D157" s="642"/>
      <c r="E157" s="688"/>
      <c r="F157" s="688"/>
      <c r="G157" s="688"/>
      <c r="H157" s="688"/>
      <c r="I157" s="688"/>
      <c r="J157" s="688"/>
      <c r="K157" s="688"/>
      <c r="L157" s="688"/>
      <c r="M157" s="688"/>
      <c r="N157" s="688"/>
      <c r="O157" s="688"/>
      <c r="P157" s="688"/>
      <c r="Q157" s="688"/>
      <c r="R157" s="642"/>
      <c r="S157" s="642"/>
      <c r="T157" s="642"/>
      <c r="U157" s="642"/>
      <c r="V157" s="642"/>
      <c r="W157" s="642"/>
      <c r="X157" s="642"/>
      <c r="Y157" s="642"/>
      <c r="Z157" s="642"/>
      <c r="AA157" s="642"/>
      <c r="AB157" s="642"/>
      <c r="AC157" s="642"/>
      <c r="AD157" s="642"/>
      <c r="AE157" s="642"/>
      <c r="AF157" s="642"/>
    </row>
    <row r="158" spans="1:32" x14ac:dyDescent="0.2">
      <c r="A158" s="718" t="s">
        <v>494</v>
      </c>
      <c r="B158" s="642"/>
      <c r="C158" s="642"/>
      <c r="D158" s="642"/>
      <c r="E158" s="719"/>
      <c r="F158" s="719"/>
      <c r="G158" s="719"/>
      <c r="H158" s="719"/>
      <c r="I158" s="719"/>
      <c r="J158" s="719"/>
      <c r="K158" s="719"/>
      <c r="L158" s="719"/>
      <c r="M158" s="688"/>
      <c r="N158" s="688"/>
      <c r="O158" s="688"/>
      <c r="P158" s="688"/>
      <c r="Q158" s="688"/>
      <c r="R158" s="642"/>
      <c r="S158" s="642"/>
      <c r="T158" s="642"/>
      <c r="U158" s="642"/>
      <c r="V158" s="642"/>
      <c r="W158" s="642"/>
      <c r="X158" s="642"/>
      <c r="Y158" s="642"/>
      <c r="Z158" s="642"/>
      <c r="AA158" s="642"/>
      <c r="AB158" s="642"/>
      <c r="AC158" s="642"/>
      <c r="AD158" s="642"/>
      <c r="AE158" s="642"/>
      <c r="AF158" s="642"/>
    </row>
    <row r="159" spans="1:32" x14ac:dyDescent="0.2">
      <c r="A159" s="720" t="s">
        <v>493</v>
      </c>
    </row>
    <row r="160" spans="1:32" x14ac:dyDescent="0.2">
      <c r="A160" s="720"/>
    </row>
    <row r="161" spans="1:1" x14ac:dyDescent="0.2">
      <c r="A161" s="720"/>
    </row>
  </sheetData>
  <autoFilter ref="R6:T6"/>
  <sortState ref="A7:AG155">
    <sortCondition descending="1" ref="L7:L155"/>
  </sortState>
  <mergeCells count="3">
    <mergeCell ref="R4:R5"/>
    <mergeCell ref="S4:S5"/>
    <mergeCell ref="T4:T5"/>
  </mergeCells>
  <conditionalFormatting sqref="M156:Q156">
    <cfRule type="top10" dxfId="207" priority="817" stopIfTrue="1" rank="1"/>
  </conditionalFormatting>
  <conditionalFormatting sqref="A7:A155">
    <cfRule type="duplicateValues" dxfId="206" priority="2580"/>
  </conditionalFormatting>
  <conditionalFormatting sqref="S7:S155">
    <cfRule type="top10" dxfId="205" priority="2582" stopIfTrue="1" rank="1"/>
  </conditionalFormatting>
  <conditionalFormatting sqref="T7:T155">
    <cfRule type="top10" dxfId="204" priority="2584" stopIfTrue="1" rank="1"/>
  </conditionalFormatting>
  <conditionalFormatting sqref="E7:E155">
    <cfRule type="duplicateValues" dxfId="203" priority="2586"/>
  </conditionalFormatting>
  <conditionalFormatting sqref="R7:R155">
    <cfRule type="top10" dxfId="202" priority="2588" stopIfTrue="1" rank="1"/>
  </conditionalFormatting>
  <conditionalFormatting sqref="M7:Q155">
    <cfRule type="cellIs" dxfId="201" priority="2590" operator="equal">
      <formula>30</formula>
    </cfRule>
    <cfRule type="cellIs" dxfId="200" priority="2591" operator="equal">
      <formula>34</formula>
    </cfRule>
    <cfRule type="cellIs" dxfId="199" priority="2592" operator="equal">
      <formula>40</formula>
    </cfRule>
    <cfRule type="expression" dxfId="198" priority="2593">
      <formula>IF(COUNT(M$7:M$155)=0,TRUE)</formula>
    </cfRule>
    <cfRule type="expression" dxfId="197" priority="2594">
      <formula>MID(M$6,FIND("V",M$6)+1,256)/10000+IF(M7="  ",FALSE,M7)&lt;=$AA7</formula>
    </cfRule>
  </conditionalFormatting>
  <conditionalFormatting sqref="B7:B155">
    <cfRule type="duplicateValues" dxfId="196" priority="2600"/>
    <cfRule type="expression" dxfId="195" priority="2601">
      <formula>AND(E7=LARGE(E$7:E$155,3),COUNT($Q$7:$Q$155)&gt;0)</formula>
    </cfRule>
    <cfRule type="expression" dxfId="194" priority="2602">
      <formula>AND(E7=LARGE(E$7:E$155,2),COUNT($Q$7:$Q$155)&gt;0)</formula>
    </cfRule>
    <cfRule type="expression" dxfId="193" priority="2603">
      <formula>AND(E7=LARGE(E$7:E$155,1),COUNT($Q$7:$Q$155)&gt;0)</formula>
    </cfRule>
    <cfRule type="expression" dxfId="192" priority="2604">
      <formula>C7="n"</formula>
    </cfRule>
    <cfRule type="expression" dxfId="191" priority="2605">
      <formula>D7="j"</formula>
    </cfRule>
  </conditionalFormatting>
  <pageMargins left="0.39370078740157483" right="0.27559055118110237" top="0.27559055118110237" bottom="0.19685039370078741" header="7.874015748031496E-2" footer="0"/>
  <pageSetup paperSize="9" fitToHeight="0" orientation="portrait" r:id="rId1"/>
  <headerFooter>
    <oddHeader>&amp;R&amp;9Page &amp;P of &amp;N</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AF317"/>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3" width="4.7109375" style="581" customWidth="1"/>
    <col min="4" max="4" width="1.140625" style="581" customWidth="1"/>
    <col min="5" max="5" width="2.7109375" style="581" customWidth="1"/>
    <col min="6" max="6" width="6.28515625" style="581" customWidth="1"/>
    <col min="7" max="7" width="2.7109375" style="581" customWidth="1"/>
    <col min="8" max="8" width="1.140625" style="581" customWidth="1"/>
    <col min="9" max="9" width="2.7109375" style="581" customWidth="1"/>
    <col min="10" max="10" width="6.28515625" style="581" customWidth="1"/>
    <col min="11" max="11" width="2.7109375" style="581" customWidth="1"/>
    <col min="12" max="12" width="1.140625" style="581" customWidth="1"/>
    <col min="13" max="13" width="2.7109375" style="581" customWidth="1"/>
    <col min="14" max="14" width="6.28515625" style="581" customWidth="1"/>
    <col min="15" max="15" width="2.7109375" style="581" customWidth="1"/>
    <col min="16" max="16" width="1.140625" style="581" customWidth="1"/>
    <col min="17" max="17" width="2.7109375" style="581" customWidth="1"/>
    <col min="18" max="18" width="6.28515625" style="581" customWidth="1"/>
    <col min="19" max="19" width="2.7109375" style="581" customWidth="1"/>
    <col min="20" max="20" width="1.140625" style="581" customWidth="1"/>
    <col min="21" max="21" width="2.7109375" style="581" customWidth="1"/>
    <col min="22" max="22" width="6.28515625" style="581" customWidth="1"/>
    <col min="23" max="23" width="5.7109375" style="581" customWidth="1"/>
    <col min="24" max="24" width="5.5703125" style="581" hidden="1" customWidth="1"/>
    <col min="25" max="25" width="2.7109375" style="581" hidden="1" customWidth="1"/>
    <col min="26" max="26" width="1.140625" style="581" hidden="1" customWidth="1"/>
    <col min="27" max="27" width="2.7109375" style="581" hidden="1" customWidth="1"/>
    <col min="28" max="28" width="4.7109375" style="581" hidden="1" customWidth="1"/>
    <col min="29" max="29" width="9.140625" style="581"/>
    <col min="30" max="30" width="9.140625" style="581" hidden="1" customWidth="1"/>
    <col min="31" max="31" width="18.7109375" style="581" hidden="1" customWidth="1"/>
    <col min="32" max="32" width="9.140625" style="581" hidden="1" customWidth="1"/>
    <col min="33" max="16384" width="9.140625" style="581"/>
  </cols>
  <sheetData>
    <row r="1" spans="1:32" x14ac:dyDescent="0.2">
      <c r="A1" s="572" t="str">
        <f>UPPER((Kalend!E7)&amp;" - "&amp;(Kalend!C7)&amp;" - "&amp;(Kalend!D7))</f>
        <v>M1 - MAIDU KARIKAS, 1. ETAPP - ÜKSIK</v>
      </c>
      <c r="B1" s="573"/>
      <c r="C1" s="574"/>
      <c r="D1" s="573"/>
      <c r="E1" s="573"/>
      <c r="F1" s="575"/>
      <c r="G1" s="575"/>
      <c r="H1" s="575"/>
      <c r="I1" s="575"/>
      <c r="J1" s="576"/>
      <c r="K1" s="577"/>
      <c r="L1" s="578"/>
      <c r="M1" s="579"/>
      <c r="N1" s="579"/>
      <c r="O1" s="573"/>
      <c r="P1" s="573"/>
      <c r="Q1" s="577"/>
      <c r="R1" s="577"/>
      <c r="S1" s="577"/>
      <c r="T1" s="578"/>
      <c r="U1" s="578"/>
      <c r="V1" s="578"/>
      <c r="W1" s="573"/>
      <c r="X1" s="580"/>
      <c r="Y1" s="573"/>
      <c r="Z1" s="573"/>
      <c r="AA1" s="573"/>
      <c r="AB1" s="573"/>
      <c r="AD1" s="582" t="s">
        <v>53</v>
      </c>
      <c r="AE1" s="580"/>
      <c r="AF1" s="580"/>
    </row>
    <row r="2" spans="1:32" x14ac:dyDescent="0.2">
      <c r="A2" s="583" t="str">
        <f>"Toimumisaeg: "&amp;(Kalend!A7)&amp;" kell "&amp;(Kalend!B7)</f>
        <v>Toimumisaeg: L, 28.05.2022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84"/>
      <c r="AB2" s="573"/>
      <c r="AD2" s="573"/>
      <c r="AE2" s="573"/>
      <c r="AF2" s="573"/>
    </row>
    <row r="3" spans="1:32" x14ac:dyDescent="0.2">
      <c r="A3" s="583" t="str">
        <f>"Toimumiskoht: "&amp;(Kalend!F7)</f>
        <v>Toimumiskoht: K-Järve spordihoone</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row>
    <row r="4" spans="1:32" x14ac:dyDescent="0.2">
      <c r="A4" s="583" t="str">
        <f>"Korraldaja: "&amp;(Kalend!G7)</f>
        <v>Korraldaja: Ivar Viljaste</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591" t="s">
        <v>273</v>
      </c>
      <c r="AF4" s="583"/>
    </row>
    <row r="5" spans="1:32"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94" t="s">
        <v>310</v>
      </c>
      <c r="AE5" s="595" t="s">
        <v>77</v>
      </c>
      <c r="AF5" s="596"/>
    </row>
    <row r="6" spans="1:32" hidden="1"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94" t="s">
        <v>275</v>
      </c>
      <c r="AF6" s="595"/>
    </row>
    <row r="7" spans="1:32" hidden="1"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01"/>
      <c r="Z7" s="602" t="s">
        <v>286</v>
      </c>
      <c r="AA7" s="603"/>
      <c r="AB7" s="604" t="s">
        <v>344</v>
      </c>
      <c r="AD7" s="605"/>
      <c r="AE7" s="596"/>
      <c r="AF7" s="596"/>
    </row>
    <row r="8" spans="1:32" hidden="1" x14ac:dyDescent="0.2">
      <c r="A8" s="634">
        <v>1</v>
      </c>
      <c r="B8" s="635" t="s">
        <v>12</v>
      </c>
      <c r="C8" s="613"/>
      <c r="D8" s="614" t="s">
        <v>288</v>
      </c>
      <c r="E8" s="614"/>
      <c r="F8" s="636"/>
      <c r="G8" s="613"/>
      <c r="H8" s="614" t="s">
        <v>288</v>
      </c>
      <c r="I8" s="614"/>
      <c r="J8" s="636"/>
      <c r="K8" s="613"/>
      <c r="L8" s="614" t="s">
        <v>288</v>
      </c>
      <c r="M8" s="614"/>
      <c r="N8" s="636"/>
      <c r="O8" s="613"/>
      <c r="P8" s="614" t="s">
        <v>288</v>
      </c>
      <c r="Q8" s="614"/>
      <c r="R8" s="636"/>
      <c r="S8" s="613"/>
      <c r="T8" s="614" t="s">
        <v>288</v>
      </c>
      <c r="U8" s="614"/>
      <c r="V8" s="636"/>
      <c r="W8" s="637">
        <v>5</v>
      </c>
      <c r="X8" s="612"/>
      <c r="Y8" s="613">
        <f>C8+G8+K8+O8+S8</f>
        <v>0</v>
      </c>
      <c r="Z8" s="614" t="s">
        <v>288</v>
      </c>
      <c r="AA8" s="615">
        <f>E8+I8+M8+Q8+U8</f>
        <v>0</v>
      </c>
      <c r="AB8" s="616"/>
      <c r="AC8" s="617"/>
      <c r="AD8" s="618">
        <f t="shared" ref="AD8:AD25" si="0">SUM(AF8:AF8)</f>
        <v>126</v>
      </c>
      <c r="AE8" s="619" t="str">
        <f>$B8</f>
        <v>Ivar Viljaste</v>
      </c>
      <c r="AF8" s="620">
        <f>IFERROR(INDEX(M!$E:$E,MATCH(AE8,M!$B:$B,0)),"")</f>
        <v>126</v>
      </c>
    </row>
    <row r="9" spans="1:32" hidden="1" x14ac:dyDescent="0.2">
      <c r="A9" s="634">
        <v>2</v>
      </c>
      <c r="B9" s="635" t="s">
        <v>104</v>
      </c>
      <c r="C9" s="613"/>
      <c r="D9" s="614" t="s">
        <v>288</v>
      </c>
      <c r="E9" s="614"/>
      <c r="F9" s="636"/>
      <c r="G9" s="613"/>
      <c r="H9" s="614" t="s">
        <v>288</v>
      </c>
      <c r="I9" s="614"/>
      <c r="J9" s="636"/>
      <c r="K9" s="613"/>
      <c r="L9" s="614" t="s">
        <v>288</v>
      </c>
      <c r="M9" s="614"/>
      <c r="N9" s="636"/>
      <c r="O9" s="613"/>
      <c r="P9" s="614" t="s">
        <v>288</v>
      </c>
      <c r="Q9" s="614"/>
      <c r="R9" s="636"/>
      <c r="S9" s="613"/>
      <c r="T9" s="614" t="s">
        <v>288</v>
      </c>
      <c r="U9" s="614"/>
      <c r="V9" s="636"/>
      <c r="W9" s="637">
        <v>4</v>
      </c>
      <c r="X9" s="612"/>
      <c r="Y9" s="613">
        <f t="shared" ref="Y9:Y18" si="1">C9+G9+K9+O9+S9</f>
        <v>0</v>
      </c>
      <c r="Z9" s="614" t="s">
        <v>288</v>
      </c>
      <c r="AA9" s="615">
        <f t="shared" ref="AA9:AA18" si="2">E9+I9+M9+Q9+U9</f>
        <v>0</v>
      </c>
      <c r="AB9" s="616"/>
      <c r="AC9" s="617"/>
      <c r="AD9" s="618">
        <f t="shared" si="0"/>
        <v>58</v>
      </c>
      <c r="AE9" s="619" t="str">
        <f t="shared" ref="AE9:AE25" si="3">$B9</f>
        <v>Henri Mitt</v>
      </c>
      <c r="AF9" s="620">
        <f>IFERROR(INDEX(M!$E:$E,MATCH(AE9,M!$B:$B,0)),"")</f>
        <v>58</v>
      </c>
    </row>
    <row r="10" spans="1:32" hidden="1" x14ac:dyDescent="0.2">
      <c r="A10" s="634">
        <v>3</v>
      </c>
      <c r="B10" s="635" t="s">
        <v>471</v>
      </c>
      <c r="C10" s="613"/>
      <c r="D10" s="614" t="s">
        <v>288</v>
      </c>
      <c r="E10" s="614"/>
      <c r="F10" s="636"/>
      <c r="G10" s="613"/>
      <c r="H10" s="614" t="s">
        <v>288</v>
      </c>
      <c r="I10" s="614"/>
      <c r="J10" s="636"/>
      <c r="K10" s="613"/>
      <c r="L10" s="614" t="s">
        <v>288</v>
      </c>
      <c r="M10" s="614"/>
      <c r="N10" s="636"/>
      <c r="O10" s="613"/>
      <c r="P10" s="614" t="s">
        <v>288</v>
      </c>
      <c r="Q10" s="614"/>
      <c r="R10" s="636"/>
      <c r="S10" s="613"/>
      <c r="T10" s="614" t="s">
        <v>288</v>
      </c>
      <c r="U10" s="614"/>
      <c r="V10" s="636"/>
      <c r="W10" s="637">
        <v>4</v>
      </c>
      <c r="X10" s="612"/>
      <c r="Y10" s="613">
        <f t="shared" si="1"/>
        <v>0</v>
      </c>
      <c r="Z10" s="614" t="s">
        <v>288</v>
      </c>
      <c r="AA10" s="615">
        <f t="shared" si="2"/>
        <v>0</v>
      </c>
      <c r="AB10" s="616"/>
      <c r="AC10" s="617"/>
      <c r="AD10" s="618">
        <f t="shared" si="0"/>
        <v>85</v>
      </c>
      <c r="AE10" s="619" t="str">
        <f t="shared" si="3"/>
        <v>Olav Türk</v>
      </c>
      <c r="AF10" s="620">
        <f>IFERROR(INDEX(M!$E:$E,MATCH(AE10,M!$B:$B,0)),"")</f>
        <v>85</v>
      </c>
    </row>
    <row r="11" spans="1:32" hidden="1" x14ac:dyDescent="0.2">
      <c r="A11" s="634">
        <v>4</v>
      </c>
      <c r="B11" s="635" t="s">
        <v>119</v>
      </c>
      <c r="C11" s="613"/>
      <c r="D11" s="614" t="s">
        <v>288</v>
      </c>
      <c r="E11" s="614"/>
      <c r="F11" s="636"/>
      <c r="G11" s="613"/>
      <c r="H11" s="614" t="s">
        <v>288</v>
      </c>
      <c r="I11" s="614"/>
      <c r="J11" s="636"/>
      <c r="K11" s="613"/>
      <c r="L11" s="614" t="s">
        <v>288</v>
      </c>
      <c r="M11" s="614"/>
      <c r="N11" s="636"/>
      <c r="O11" s="613"/>
      <c r="P11" s="614" t="s">
        <v>288</v>
      </c>
      <c r="Q11" s="614"/>
      <c r="R11" s="636"/>
      <c r="S11" s="613"/>
      <c r="T11" s="614" t="s">
        <v>288</v>
      </c>
      <c r="U11" s="614"/>
      <c r="V11" s="636"/>
      <c r="W11" s="637">
        <v>3</v>
      </c>
      <c r="X11" s="612"/>
      <c r="Y11" s="613">
        <f t="shared" si="1"/>
        <v>0</v>
      </c>
      <c r="Z11" s="614" t="s">
        <v>288</v>
      </c>
      <c r="AA11" s="615">
        <f t="shared" si="2"/>
        <v>0</v>
      </c>
      <c r="AB11" s="616"/>
      <c r="AC11" s="617"/>
      <c r="AD11" s="618">
        <f t="shared" si="0"/>
        <v>102</v>
      </c>
      <c r="AE11" s="619" t="str">
        <f t="shared" si="3"/>
        <v>Viktor Švarõgin</v>
      </c>
      <c r="AF11" s="620">
        <f>IFERROR(INDEX(M!$E:$E,MATCH(AE11,M!$B:$B,0)),"")</f>
        <v>102</v>
      </c>
    </row>
    <row r="12" spans="1:32" hidden="1" x14ac:dyDescent="0.2">
      <c r="A12" s="634">
        <v>5</v>
      </c>
      <c r="B12" s="635" t="s">
        <v>95</v>
      </c>
      <c r="C12" s="613"/>
      <c r="D12" s="614" t="s">
        <v>288</v>
      </c>
      <c r="E12" s="614"/>
      <c r="F12" s="636"/>
      <c r="G12" s="613"/>
      <c r="H12" s="614" t="s">
        <v>288</v>
      </c>
      <c r="I12" s="614"/>
      <c r="J12" s="636"/>
      <c r="K12" s="613"/>
      <c r="L12" s="614" t="s">
        <v>288</v>
      </c>
      <c r="M12" s="614"/>
      <c r="N12" s="636"/>
      <c r="O12" s="613"/>
      <c r="P12" s="614" t="s">
        <v>288</v>
      </c>
      <c r="Q12" s="614"/>
      <c r="R12" s="636"/>
      <c r="S12" s="613"/>
      <c r="T12" s="614" t="s">
        <v>288</v>
      </c>
      <c r="U12" s="614"/>
      <c r="V12" s="636"/>
      <c r="W12" s="637">
        <v>3</v>
      </c>
      <c r="X12" s="612"/>
      <c r="Y12" s="613">
        <f t="shared" si="1"/>
        <v>0</v>
      </c>
      <c r="Z12" s="614" t="s">
        <v>288</v>
      </c>
      <c r="AA12" s="615">
        <f t="shared" si="2"/>
        <v>0</v>
      </c>
      <c r="AB12" s="616"/>
      <c r="AC12" s="617"/>
      <c r="AD12" s="618">
        <f t="shared" si="0"/>
        <v>108</v>
      </c>
      <c r="AE12" s="619" t="str">
        <f t="shared" si="3"/>
        <v>Aarne Välja</v>
      </c>
      <c r="AF12" s="620">
        <f>IFERROR(INDEX(M!$E:$E,MATCH(AE12,M!$B:$B,0)),"")</f>
        <v>108</v>
      </c>
    </row>
    <row r="13" spans="1:32" hidden="1" x14ac:dyDescent="0.2">
      <c r="A13" s="634">
        <v>6</v>
      </c>
      <c r="B13" s="635" t="s">
        <v>90</v>
      </c>
      <c r="C13" s="613"/>
      <c r="D13" s="614" t="s">
        <v>288</v>
      </c>
      <c r="E13" s="614"/>
      <c r="F13" s="636"/>
      <c r="G13" s="613"/>
      <c r="H13" s="614" t="s">
        <v>288</v>
      </c>
      <c r="I13" s="614"/>
      <c r="J13" s="636"/>
      <c r="K13" s="613"/>
      <c r="L13" s="614" t="s">
        <v>288</v>
      </c>
      <c r="M13" s="614"/>
      <c r="N13" s="636"/>
      <c r="O13" s="613"/>
      <c r="P13" s="614" t="s">
        <v>288</v>
      </c>
      <c r="Q13" s="614"/>
      <c r="R13" s="636"/>
      <c r="S13" s="613"/>
      <c r="T13" s="614" t="s">
        <v>288</v>
      </c>
      <c r="U13" s="614"/>
      <c r="V13" s="636"/>
      <c r="W13" s="637">
        <v>3</v>
      </c>
      <c r="X13" s="612"/>
      <c r="Y13" s="613">
        <f t="shared" si="1"/>
        <v>0</v>
      </c>
      <c r="Z13" s="614" t="s">
        <v>288</v>
      </c>
      <c r="AA13" s="615">
        <f t="shared" si="2"/>
        <v>0</v>
      </c>
      <c r="AB13" s="616"/>
      <c r="AC13" s="617"/>
      <c r="AD13" s="618">
        <f t="shared" si="0"/>
        <v>78</v>
      </c>
      <c r="AE13" s="619" t="str">
        <f t="shared" si="3"/>
        <v>Kenneth Muusikus</v>
      </c>
      <c r="AF13" s="620">
        <f>IFERROR(INDEX(M!$E:$E,MATCH(AE13,M!$B:$B,0)),"")</f>
        <v>78</v>
      </c>
    </row>
    <row r="14" spans="1:32" hidden="1" x14ac:dyDescent="0.2">
      <c r="A14" s="634">
        <v>7</v>
      </c>
      <c r="B14" s="638" t="s">
        <v>135</v>
      </c>
      <c r="C14" s="613"/>
      <c r="D14" s="614" t="s">
        <v>288</v>
      </c>
      <c r="E14" s="614"/>
      <c r="F14" s="636"/>
      <c r="G14" s="613"/>
      <c r="H14" s="614" t="s">
        <v>288</v>
      </c>
      <c r="I14" s="614"/>
      <c r="J14" s="636"/>
      <c r="K14" s="613"/>
      <c r="L14" s="614" t="s">
        <v>288</v>
      </c>
      <c r="M14" s="614"/>
      <c r="N14" s="636"/>
      <c r="O14" s="613"/>
      <c r="P14" s="614" t="s">
        <v>288</v>
      </c>
      <c r="Q14" s="614"/>
      <c r="R14" s="636"/>
      <c r="S14" s="613"/>
      <c r="T14" s="614" t="s">
        <v>288</v>
      </c>
      <c r="U14" s="614"/>
      <c r="V14" s="636"/>
      <c r="W14" s="637">
        <v>3</v>
      </c>
      <c r="X14" s="612"/>
      <c r="Y14" s="613">
        <f t="shared" si="1"/>
        <v>0</v>
      </c>
      <c r="Z14" s="614" t="s">
        <v>288</v>
      </c>
      <c r="AA14" s="615">
        <f t="shared" si="2"/>
        <v>0</v>
      </c>
      <c r="AB14" s="616"/>
      <c r="AC14" s="617"/>
      <c r="AD14" s="618">
        <f t="shared" si="0"/>
        <v>68</v>
      </c>
      <c r="AE14" s="619" t="str">
        <f t="shared" si="3"/>
        <v>Vello Vasser</v>
      </c>
      <c r="AF14" s="620">
        <f>IFERROR(INDEX(M!$E:$E,MATCH(AE14,M!$B:$B,0)),"")</f>
        <v>68</v>
      </c>
    </row>
    <row r="15" spans="1:32" hidden="1" x14ac:dyDescent="0.2">
      <c r="A15" s="634">
        <v>8</v>
      </c>
      <c r="B15" s="638" t="s">
        <v>88</v>
      </c>
      <c r="C15" s="613"/>
      <c r="D15" s="614" t="s">
        <v>288</v>
      </c>
      <c r="E15" s="614"/>
      <c r="F15" s="636"/>
      <c r="G15" s="613"/>
      <c r="H15" s="614" t="s">
        <v>288</v>
      </c>
      <c r="I15" s="614"/>
      <c r="J15" s="636"/>
      <c r="K15" s="613"/>
      <c r="L15" s="614" t="s">
        <v>288</v>
      </c>
      <c r="M15" s="614"/>
      <c r="N15" s="636"/>
      <c r="O15" s="613"/>
      <c r="P15" s="614" t="s">
        <v>288</v>
      </c>
      <c r="Q15" s="614"/>
      <c r="R15" s="636"/>
      <c r="S15" s="613"/>
      <c r="T15" s="614" t="s">
        <v>288</v>
      </c>
      <c r="U15" s="614"/>
      <c r="V15" s="636"/>
      <c r="W15" s="637">
        <v>3</v>
      </c>
      <c r="X15" s="612"/>
      <c r="Y15" s="613">
        <f t="shared" si="1"/>
        <v>0</v>
      </c>
      <c r="Z15" s="614" t="s">
        <v>288</v>
      </c>
      <c r="AA15" s="615">
        <f t="shared" si="2"/>
        <v>0</v>
      </c>
      <c r="AB15" s="616"/>
      <c r="AC15" s="617"/>
      <c r="AD15" s="618">
        <f t="shared" si="0"/>
        <v>52</v>
      </c>
      <c r="AE15" s="619" t="str">
        <f t="shared" si="3"/>
        <v>Oleg Rõndenkov</v>
      </c>
      <c r="AF15" s="620">
        <f>IFERROR(INDEX(M!$E:$E,MATCH(AE15,M!$B:$B,0)),"")</f>
        <v>52</v>
      </c>
    </row>
    <row r="16" spans="1:32" hidden="1" x14ac:dyDescent="0.2">
      <c r="A16" s="634">
        <v>9</v>
      </c>
      <c r="B16" s="635" t="s">
        <v>96</v>
      </c>
      <c r="C16" s="613"/>
      <c r="D16" s="614" t="s">
        <v>288</v>
      </c>
      <c r="E16" s="614"/>
      <c r="F16" s="636"/>
      <c r="G16" s="613"/>
      <c r="H16" s="614" t="s">
        <v>288</v>
      </c>
      <c r="I16" s="614"/>
      <c r="J16" s="636"/>
      <c r="K16" s="613"/>
      <c r="L16" s="614" t="s">
        <v>288</v>
      </c>
      <c r="M16" s="614"/>
      <c r="N16" s="636"/>
      <c r="O16" s="613"/>
      <c r="P16" s="614" t="s">
        <v>288</v>
      </c>
      <c r="Q16" s="614"/>
      <c r="R16" s="636"/>
      <c r="S16" s="613"/>
      <c r="T16" s="614" t="s">
        <v>288</v>
      </c>
      <c r="U16" s="614"/>
      <c r="V16" s="636"/>
      <c r="W16" s="637">
        <v>2</v>
      </c>
      <c r="X16" s="612"/>
      <c r="Y16" s="613">
        <f t="shared" si="1"/>
        <v>0</v>
      </c>
      <c r="Z16" s="614" t="s">
        <v>288</v>
      </c>
      <c r="AA16" s="615">
        <f t="shared" si="2"/>
        <v>0</v>
      </c>
      <c r="AB16" s="616"/>
      <c r="AC16" s="617"/>
      <c r="AD16" s="618">
        <f t="shared" si="0"/>
        <v>22</v>
      </c>
      <c r="AE16" s="619" t="str">
        <f t="shared" si="3"/>
        <v>Boriss Klubov</v>
      </c>
      <c r="AF16" s="620">
        <f>IFERROR(INDEX(M!$E:$E,MATCH(AE16,M!$B:$B,0)),"")</f>
        <v>22</v>
      </c>
    </row>
    <row r="17" spans="1:32" hidden="1" x14ac:dyDescent="0.2">
      <c r="A17" s="634">
        <v>10</v>
      </c>
      <c r="B17" s="635" t="s">
        <v>496</v>
      </c>
      <c r="C17" s="613"/>
      <c r="D17" s="614" t="s">
        <v>288</v>
      </c>
      <c r="E17" s="614"/>
      <c r="F17" s="636"/>
      <c r="G17" s="613"/>
      <c r="H17" s="614" t="s">
        <v>288</v>
      </c>
      <c r="I17" s="614"/>
      <c r="J17" s="636"/>
      <c r="K17" s="613"/>
      <c r="L17" s="614" t="s">
        <v>288</v>
      </c>
      <c r="M17" s="614"/>
      <c r="N17" s="636"/>
      <c r="O17" s="613"/>
      <c r="P17" s="614" t="s">
        <v>288</v>
      </c>
      <c r="Q17" s="614"/>
      <c r="R17" s="636"/>
      <c r="S17" s="613"/>
      <c r="T17" s="614" t="s">
        <v>288</v>
      </c>
      <c r="U17" s="614"/>
      <c r="V17" s="636"/>
      <c r="W17" s="637">
        <v>2</v>
      </c>
      <c r="X17" s="612"/>
      <c r="Y17" s="613">
        <f t="shared" si="1"/>
        <v>0</v>
      </c>
      <c r="Z17" s="614" t="s">
        <v>288</v>
      </c>
      <c r="AA17" s="615">
        <f t="shared" si="2"/>
        <v>0</v>
      </c>
      <c r="AB17" s="616"/>
      <c r="AC17" s="617"/>
      <c r="AD17" s="618">
        <f t="shared" si="0"/>
        <v>94</v>
      </c>
      <c r="AE17" s="619" t="str">
        <f t="shared" si="3"/>
        <v>Sirje Maala</v>
      </c>
      <c r="AF17" s="620">
        <f>IFERROR(INDEX(M!$E:$E,MATCH(AE17,M!$B:$B,0)),"")</f>
        <v>94</v>
      </c>
    </row>
    <row r="18" spans="1:32" hidden="1" x14ac:dyDescent="0.2">
      <c r="A18" s="634">
        <v>11</v>
      </c>
      <c r="B18" s="635" t="s">
        <v>118</v>
      </c>
      <c r="C18" s="613"/>
      <c r="D18" s="614" t="s">
        <v>288</v>
      </c>
      <c r="E18" s="614"/>
      <c r="F18" s="636"/>
      <c r="G18" s="613"/>
      <c r="H18" s="614" t="s">
        <v>288</v>
      </c>
      <c r="I18" s="614"/>
      <c r="J18" s="636"/>
      <c r="K18" s="613"/>
      <c r="L18" s="614" t="s">
        <v>288</v>
      </c>
      <c r="M18" s="614"/>
      <c r="N18" s="636"/>
      <c r="O18" s="613"/>
      <c r="P18" s="614" t="s">
        <v>288</v>
      </c>
      <c r="Q18" s="614"/>
      <c r="R18" s="636"/>
      <c r="S18" s="613"/>
      <c r="T18" s="614" t="s">
        <v>288</v>
      </c>
      <c r="U18" s="614"/>
      <c r="V18" s="636"/>
      <c r="W18" s="637">
        <v>2</v>
      </c>
      <c r="X18" s="612"/>
      <c r="Y18" s="613">
        <f t="shared" si="1"/>
        <v>0</v>
      </c>
      <c r="Z18" s="614" t="s">
        <v>288</v>
      </c>
      <c r="AA18" s="615">
        <f t="shared" si="2"/>
        <v>0</v>
      </c>
      <c r="AB18" s="616"/>
      <c r="AC18" s="617"/>
      <c r="AD18" s="618">
        <f t="shared" si="0"/>
        <v>39</v>
      </c>
      <c r="AE18" s="619" t="str">
        <f t="shared" si="3"/>
        <v>Ljudmila Varendi</v>
      </c>
      <c r="AF18" s="620">
        <f>IFERROR(INDEX(M!$E:$E,MATCH(AE18,M!$B:$B,0)),"")</f>
        <v>39</v>
      </c>
    </row>
    <row r="19" spans="1:32" hidden="1" x14ac:dyDescent="0.2">
      <c r="A19" s="634">
        <v>12</v>
      </c>
      <c r="B19" s="635" t="s">
        <v>123</v>
      </c>
      <c r="C19" s="613"/>
      <c r="D19" s="614" t="s">
        <v>288</v>
      </c>
      <c r="E19" s="614"/>
      <c r="F19" s="636"/>
      <c r="G19" s="613"/>
      <c r="H19" s="614" t="s">
        <v>288</v>
      </c>
      <c r="I19" s="614"/>
      <c r="J19" s="636"/>
      <c r="K19" s="613"/>
      <c r="L19" s="614" t="s">
        <v>288</v>
      </c>
      <c r="M19" s="614"/>
      <c r="N19" s="636"/>
      <c r="O19" s="613"/>
      <c r="P19" s="614" t="s">
        <v>288</v>
      </c>
      <c r="Q19" s="614"/>
      <c r="R19" s="636"/>
      <c r="S19" s="613"/>
      <c r="T19" s="614" t="s">
        <v>288</v>
      </c>
      <c r="U19" s="614"/>
      <c r="V19" s="636"/>
      <c r="W19" s="637">
        <v>2</v>
      </c>
      <c r="X19" s="612"/>
      <c r="Y19" s="613">
        <f t="shared" ref="Y19:Y25" si="4">C19+G19+K19+O19+S19</f>
        <v>0</v>
      </c>
      <c r="Z19" s="614" t="s">
        <v>288</v>
      </c>
      <c r="AA19" s="615">
        <f t="shared" ref="AA19:AA25" si="5">E19+I19+M19+Q19+U19</f>
        <v>0</v>
      </c>
      <c r="AB19" s="616"/>
      <c r="AC19" s="573"/>
      <c r="AD19" s="618">
        <f t="shared" si="0"/>
        <v>10</v>
      </c>
      <c r="AE19" s="619" t="str">
        <f t="shared" si="3"/>
        <v>Meelis Luud</v>
      </c>
      <c r="AF19" s="620">
        <f>IFERROR(INDEX(M!$E:$E,MATCH(AE19,M!$B:$B,0)),"")</f>
        <v>10</v>
      </c>
    </row>
    <row r="20" spans="1:32" hidden="1" x14ac:dyDescent="0.2">
      <c r="A20" s="634">
        <v>13</v>
      </c>
      <c r="B20" s="635" t="s">
        <v>122</v>
      </c>
      <c r="C20" s="613"/>
      <c r="D20" s="614" t="s">
        <v>288</v>
      </c>
      <c r="E20" s="614"/>
      <c r="F20" s="636"/>
      <c r="G20" s="613"/>
      <c r="H20" s="614" t="s">
        <v>288</v>
      </c>
      <c r="I20" s="614"/>
      <c r="J20" s="636"/>
      <c r="K20" s="613"/>
      <c r="L20" s="614" t="s">
        <v>288</v>
      </c>
      <c r="M20" s="614"/>
      <c r="N20" s="636"/>
      <c r="O20" s="613"/>
      <c r="P20" s="614" t="s">
        <v>288</v>
      </c>
      <c r="Q20" s="614"/>
      <c r="R20" s="636"/>
      <c r="S20" s="613"/>
      <c r="T20" s="614" t="s">
        <v>288</v>
      </c>
      <c r="U20" s="614"/>
      <c r="V20" s="636"/>
      <c r="W20" s="637">
        <v>2</v>
      </c>
      <c r="X20" s="612"/>
      <c r="Y20" s="613">
        <f t="shared" si="4"/>
        <v>0</v>
      </c>
      <c r="Z20" s="614" t="s">
        <v>288</v>
      </c>
      <c r="AA20" s="615">
        <f t="shared" si="5"/>
        <v>0</v>
      </c>
      <c r="AB20" s="616"/>
      <c r="AC20" s="573"/>
      <c r="AD20" s="618">
        <f t="shared" si="0"/>
        <v>15</v>
      </c>
      <c r="AE20" s="619" t="str">
        <f t="shared" si="3"/>
        <v>Liidia Põllu</v>
      </c>
      <c r="AF20" s="620">
        <f>IFERROR(INDEX(M!$E:$E,MATCH(AE20,M!$B:$B,0)),"")</f>
        <v>15</v>
      </c>
    </row>
    <row r="21" spans="1:32" hidden="1" x14ac:dyDescent="0.2">
      <c r="A21" s="634">
        <v>14</v>
      </c>
      <c r="B21" s="635" t="s">
        <v>98</v>
      </c>
      <c r="C21" s="613"/>
      <c r="D21" s="614" t="s">
        <v>288</v>
      </c>
      <c r="E21" s="614"/>
      <c r="F21" s="636"/>
      <c r="G21" s="613"/>
      <c r="H21" s="614" t="s">
        <v>288</v>
      </c>
      <c r="I21" s="614"/>
      <c r="J21" s="636"/>
      <c r="K21" s="613"/>
      <c r="L21" s="614" t="s">
        <v>288</v>
      </c>
      <c r="M21" s="614"/>
      <c r="N21" s="636"/>
      <c r="O21" s="613"/>
      <c r="P21" s="614" t="s">
        <v>288</v>
      </c>
      <c r="Q21" s="614"/>
      <c r="R21" s="636"/>
      <c r="S21" s="613"/>
      <c r="T21" s="614" t="s">
        <v>288</v>
      </c>
      <c r="U21" s="614"/>
      <c r="V21" s="636"/>
      <c r="W21" s="637">
        <v>2</v>
      </c>
      <c r="X21" s="612"/>
      <c r="Y21" s="613">
        <f t="shared" si="4"/>
        <v>0</v>
      </c>
      <c r="Z21" s="614" t="s">
        <v>288</v>
      </c>
      <c r="AA21" s="615">
        <f t="shared" si="5"/>
        <v>0</v>
      </c>
      <c r="AB21" s="616"/>
      <c r="AC21" s="573"/>
      <c r="AD21" s="618">
        <f t="shared" si="0"/>
        <v>22</v>
      </c>
      <c r="AE21" s="619" t="str">
        <f t="shared" si="3"/>
        <v>Svetlana Veski</v>
      </c>
      <c r="AF21" s="620">
        <f>IFERROR(INDEX(M!$E:$E,MATCH(AE21,M!$B:$B,0)),"")</f>
        <v>22</v>
      </c>
    </row>
    <row r="22" spans="1:32" hidden="1" x14ac:dyDescent="0.2">
      <c r="A22" s="634">
        <v>15</v>
      </c>
      <c r="B22" s="635" t="s">
        <v>109</v>
      </c>
      <c r="C22" s="613"/>
      <c r="D22" s="614" t="s">
        <v>288</v>
      </c>
      <c r="E22" s="614"/>
      <c r="F22" s="636"/>
      <c r="G22" s="613"/>
      <c r="H22" s="614" t="s">
        <v>288</v>
      </c>
      <c r="I22" s="614"/>
      <c r="J22" s="636"/>
      <c r="K22" s="613"/>
      <c r="L22" s="614" t="s">
        <v>288</v>
      </c>
      <c r="M22" s="614"/>
      <c r="N22" s="636"/>
      <c r="O22" s="613"/>
      <c r="P22" s="614" t="s">
        <v>288</v>
      </c>
      <c r="Q22" s="614"/>
      <c r="R22" s="636"/>
      <c r="S22" s="613"/>
      <c r="T22" s="614" t="s">
        <v>288</v>
      </c>
      <c r="U22" s="614"/>
      <c r="V22" s="636"/>
      <c r="W22" s="637">
        <v>2</v>
      </c>
      <c r="X22" s="612"/>
      <c r="Y22" s="613">
        <f t="shared" si="4"/>
        <v>0</v>
      </c>
      <c r="Z22" s="614" t="s">
        <v>288</v>
      </c>
      <c r="AA22" s="615">
        <f t="shared" si="5"/>
        <v>0</v>
      </c>
      <c r="AB22" s="616"/>
      <c r="AC22" s="573"/>
      <c r="AD22" s="618">
        <f t="shared" si="0"/>
        <v>14</v>
      </c>
      <c r="AE22" s="619" t="str">
        <f t="shared" si="3"/>
        <v>Enn Tokman</v>
      </c>
      <c r="AF22" s="620">
        <f>IFERROR(INDEX(M!$E:$E,MATCH(AE22,M!$B:$B,0)),"")</f>
        <v>14</v>
      </c>
    </row>
    <row r="23" spans="1:32" hidden="1" x14ac:dyDescent="0.2">
      <c r="A23" s="634">
        <v>16</v>
      </c>
      <c r="B23" s="635" t="s">
        <v>94</v>
      </c>
      <c r="C23" s="613"/>
      <c r="D23" s="614" t="s">
        <v>288</v>
      </c>
      <c r="E23" s="614"/>
      <c r="F23" s="636"/>
      <c r="G23" s="613"/>
      <c r="H23" s="614" t="s">
        <v>288</v>
      </c>
      <c r="I23" s="614"/>
      <c r="J23" s="636"/>
      <c r="K23" s="613"/>
      <c r="L23" s="614" t="s">
        <v>288</v>
      </c>
      <c r="M23" s="614"/>
      <c r="N23" s="636"/>
      <c r="O23" s="613"/>
      <c r="P23" s="614" t="s">
        <v>288</v>
      </c>
      <c r="Q23" s="614"/>
      <c r="R23" s="636"/>
      <c r="S23" s="613"/>
      <c r="T23" s="614" t="s">
        <v>288</v>
      </c>
      <c r="U23" s="614"/>
      <c r="V23" s="636"/>
      <c r="W23" s="637">
        <v>2</v>
      </c>
      <c r="X23" s="612"/>
      <c r="Y23" s="613">
        <f t="shared" si="4"/>
        <v>0</v>
      </c>
      <c r="Z23" s="614" t="s">
        <v>288</v>
      </c>
      <c r="AA23" s="615">
        <f t="shared" si="5"/>
        <v>0</v>
      </c>
      <c r="AB23" s="616"/>
      <c r="AC23" s="573"/>
      <c r="AD23" s="618">
        <f t="shared" si="0"/>
        <v>46</v>
      </c>
      <c r="AE23" s="619" t="str">
        <f t="shared" si="3"/>
        <v>Janek Tarto</v>
      </c>
      <c r="AF23" s="620">
        <f>IFERROR(INDEX(M!$E:$E,MATCH(AE23,M!$B:$B,0)),"")</f>
        <v>46</v>
      </c>
    </row>
    <row r="24" spans="1:32" hidden="1" x14ac:dyDescent="0.2">
      <c r="A24" s="634">
        <v>17</v>
      </c>
      <c r="B24" s="635" t="s">
        <v>139</v>
      </c>
      <c r="C24" s="613"/>
      <c r="D24" s="614" t="s">
        <v>288</v>
      </c>
      <c r="E24" s="614"/>
      <c r="F24" s="636"/>
      <c r="G24" s="613"/>
      <c r="H24" s="614" t="s">
        <v>288</v>
      </c>
      <c r="I24" s="614"/>
      <c r="J24" s="636"/>
      <c r="K24" s="613"/>
      <c r="L24" s="614" t="s">
        <v>288</v>
      </c>
      <c r="M24" s="614"/>
      <c r="N24" s="636"/>
      <c r="O24" s="613"/>
      <c r="P24" s="614" t="s">
        <v>288</v>
      </c>
      <c r="Q24" s="614"/>
      <c r="R24" s="636"/>
      <c r="S24" s="613"/>
      <c r="T24" s="614" t="s">
        <v>288</v>
      </c>
      <c r="U24" s="614"/>
      <c r="V24" s="636"/>
      <c r="W24" s="637">
        <v>1</v>
      </c>
      <c r="X24" s="612"/>
      <c r="Y24" s="613">
        <f t="shared" si="4"/>
        <v>0</v>
      </c>
      <c r="Z24" s="614" t="s">
        <v>288</v>
      </c>
      <c r="AA24" s="615">
        <f t="shared" si="5"/>
        <v>0</v>
      </c>
      <c r="AB24" s="616"/>
      <c r="AC24" s="573"/>
      <c r="AD24" s="618">
        <f t="shared" si="0"/>
        <v>18</v>
      </c>
      <c r="AE24" s="619" t="str">
        <f t="shared" si="3"/>
        <v>Sander Rose</v>
      </c>
      <c r="AF24" s="620">
        <f>IFERROR(INDEX(M!$E:$E,MATCH(AE24,M!$B:$B,0)),"")</f>
        <v>18</v>
      </c>
    </row>
    <row r="25" spans="1:32" hidden="1" x14ac:dyDescent="0.2">
      <c r="A25" s="634">
        <v>18</v>
      </c>
      <c r="B25" s="635" t="s">
        <v>102</v>
      </c>
      <c r="C25" s="613"/>
      <c r="D25" s="614" t="s">
        <v>288</v>
      </c>
      <c r="E25" s="614"/>
      <c r="F25" s="636"/>
      <c r="G25" s="613"/>
      <c r="H25" s="614" t="s">
        <v>288</v>
      </c>
      <c r="I25" s="614"/>
      <c r="J25" s="636"/>
      <c r="K25" s="613"/>
      <c r="L25" s="614" t="s">
        <v>288</v>
      </c>
      <c r="M25" s="614"/>
      <c r="N25" s="636"/>
      <c r="O25" s="613"/>
      <c r="P25" s="614" t="s">
        <v>288</v>
      </c>
      <c r="Q25" s="614"/>
      <c r="R25" s="636"/>
      <c r="S25" s="613"/>
      <c r="T25" s="614" t="s">
        <v>288</v>
      </c>
      <c r="U25" s="614"/>
      <c r="V25" s="636"/>
      <c r="W25" s="637">
        <v>0</v>
      </c>
      <c r="X25" s="612"/>
      <c r="Y25" s="613">
        <f t="shared" si="4"/>
        <v>0</v>
      </c>
      <c r="Z25" s="614" t="s">
        <v>288</v>
      </c>
      <c r="AA25" s="615">
        <f t="shared" si="5"/>
        <v>0</v>
      </c>
      <c r="AB25" s="616"/>
      <c r="AC25" s="573"/>
      <c r="AD25" s="618">
        <f t="shared" si="0"/>
        <v>49</v>
      </c>
      <c r="AE25" s="619" t="str">
        <f t="shared" si="3"/>
        <v>Vladimir Ogneštšikov</v>
      </c>
      <c r="AF25" s="620">
        <f>IFERROR(INDEX(M!$E:$E,MATCH(AE25,M!$B:$B,0)),"")</f>
        <v>49</v>
      </c>
    </row>
    <row r="26" spans="1:32"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row>
    <row r="27" spans="1:32"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row>
    <row r="28" spans="1:32"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row>
    <row r="29" spans="1:32"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row>
    <row r="30" spans="1:32"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row>
    <row r="31" spans="1:32"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row>
    <row r="32" spans="1:32"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row>
    <row r="33" spans="1:32"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row>
    <row r="34" spans="1:32"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row>
    <row r="35" spans="1:32"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row>
    <row r="36" spans="1:32"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row>
    <row r="37" spans="1:32"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row>
    <row r="38" spans="1:32"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row>
    <row r="39" spans="1:32"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row>
    <row r="40" spans="1:32"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row>
    <row r="41" spans="1:32"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row>
    <row r="42" spans="1:32"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row>
    <row r="43" spans="1:32"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row>
    <row r="44" spans="1:32"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row>
    <row r="45" spans="1:32"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row>
    <row r="46" spans="1:32"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row>
    <row r="47" spans="1:32"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row>
    <row r="48" spans="1:32"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row>
    <row r="49" spans="1:32"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row>
    <row r="50" spans="1:32"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row>
    <row r="51" spans="1:32"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row>
    <row r="52" spans="1:32"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row>
    <row r="53" spans="1:32"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row>
    <row r="54" spans="1:32"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row>
    <row r="55" spans="1:32"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row>
    <row r="56" spans="1:32"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row>
    <row r="57" spans="1:32"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row>
    <row r="58" spans="1:32"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row>
    <row r="59" spans="1:32"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row>
    <row r="60" spans="1:32"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row>
    <row r="61" spans="1:32"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row>
    <row r="62" spans="1:32"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row>
    <row r="63" spans="1:32"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row>
    <row r="64" spans="1:32"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row>
    <row r="65" spans="1:32"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row>
    <row r="66" spans="1:32"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row>
    <row r="67" spans="1:32"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row>
    <row r="68" spans="1:32"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row>
    <row r="69" spans="1:32"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row>
    <row r="70" spans="1:32"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row>
    <row r="71" spans="1:32"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row>
    <row r="72" spans="1:32"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row>
    <row r="73" spans="1:32"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row>
    <row r="74" spans="1:32"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row>
    <row r="75" spans="1:32"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row>
    <row r="76" spans="1:32"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row>
    <row r="77" spans="1:32"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row>
    <row r="78" spans="1:32"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row>
    <row r="79" spans="1:32"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row>
    <row r="80" spans="1:32"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row>
    <row r="81" spans="1:32"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row>
    <row r="82" spans="1:32"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row>
    <row r="83" spans="1:32"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row>
    <row r="84" spans="1:32"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row>
    <row r="85" spans="1:32"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row>
    <row r="86" spans="1:32"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row>
    <row r="87" spans="1:32"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row>
    <row r="88" spans="1:32"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row>
    <row r="89" spans="1:32"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row>
    <row r="90" spans="1:32"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row>
    <row r="91" spans="1:32"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row>
    <row r="92" spans="1:32"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row>
    <row r="93" spans="1:32"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row>
    <row r="94" spans="1:32"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row>
    <row r="95" spans="1:32"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row>
    <row r="96" spans="1:32"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row>
    <row r="97" spans="1:32"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row>
    <row r="98" spans="1:32"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row>
    <row r="99" spans="1:32"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row>
    <row r="100" spans="1:32"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row>
    <row r="101" spans="1:32"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row>
    <row r="102" spans="1:32"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row>
    <row r="103" spans="1:32"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row>
    <row r="104" spans="1:32"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row>
    <row r="105" spans="1:32"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row>
    <row r="106" spans="1:32"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row>
    <row r="107" spans="1:32"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row>
    <row r="108" spans="1:32"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row>
    <row r="109" spans="1:32"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row>
    <row r="110" spans="1:32"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row>
    <row r="111" spans="1:32"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row>
    <row r="112" spans="1:32"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row>
    <row r="113" spans="1:32"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row>
    <row r="114" spans="1:32"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row>
    <row r="115" spans="1:32"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row>
    <row r="116" spans="1:32"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row>
    <row r="117" spans="1:32"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row>
    <row r="118" spans="1:32"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row>
    <row r="119" spans="1:32"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row>
    <row r="120" spans="1:32"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row>
    <row r="121" spans="1:32"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row>
    <row r="122" spans="1:32"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row>
    <row r="123" spans="1:32"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row>
    <row r="124" spans="1:32"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row>
    <row r="125" spans="1:32"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row>
    <row r="126" spans="1:32"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row>
    <row r="127" spans="1:32"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row>
    <row r="128" spans="1:32"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row>
    <row r="129" spans="1:32"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row>
    <row r="130" spans="1:32"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row>
    <row r="131" spans="1:32"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row>
    <row r="132" spans="1:32"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row>
    <row r="133" spans="1:32"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row>
    <row r="134" spans="1:32"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row>
    <row r="135" spans="1:32"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row>
    <row r="136" spans="1:32"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row>
    <row r="137" spans="1:32"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row>
    <row r="138" spans="1:32"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row>
    <row r="139" spans="1:32"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row>
    <row r="140" spans="1:32"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row>
    <row r="141" spans="1:32"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row>
    <row r="142" spans="1:32"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row>
    <row r="143" spans="1:32"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row>
    <row r="144" spans="1:32"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row>
    <row r="145" spans="1:32"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row>
    <row r="146" spans="1:32"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row>
    <row r="147" spans="1:32"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row>
    <row r="148" spans="1:32"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row>
    <row r="149" spans="1:32"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row>
    <row r="150" spans="1:32"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row>
    <row r="151" spans="1:32"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row>
    <row r="152" spans="1:32"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row>
    <row r="153" spans="1:32"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row>
    <row r="154" spans="1:32"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row>
    <row r="155" spans="1:32"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row>
    <row r="156" spans="1:32"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row>
    <row r="157" spans="1:32"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row>
    <row r="158" spans="1:32"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row>
    <row r="159" spans="1:32"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row>
    <row r="160" spans="1:32"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row>
    <row r="161" spans="1:32"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row>
    <row r="162" spans="1:32"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row>
    <row r="163" spans="1:32"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row>
    <row r="164" spans="1:32"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row>
    <row r="165" spans="1:32"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row>
    <row r="166" spans="1:32"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row>
    <row r="167" spans="1:32"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row>
    <row r="168" spans="1:32"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row>
    <row r="169" spans="1:32"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row>
    <row r="170" spans="1:32"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row>
    <row r="171" spans="1:32"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row>
    <row r="172" spans="1:32"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row>
    <row r="173" spans="1:32"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row>
    <row r="174" spans="1:32"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row>
    <row r="175" spans="1:32"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row>
    <row r="176" spans="1:32"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row>
    <row r="177" spans="1:32"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row>
    <row r="178" spans="1:32"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row>
    <row r="179" spans="1:32"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row>
    <row r="180" spans="1:32"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row>
    <row r="181" spans="1:32"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row>
    <row r="182" spans="1:32"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row>
    <row r="183" spans="1:32"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row>
    <row r="184" spans="1:32"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row>
    <row r="185" spans="1:32"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row>
    <row r="186" spans="1:32"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row>
    <row r="187" spans="1:32"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row>
    <row r="188" spans="1:32"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row>
    <row r="189" spans="1:32"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row>
    <row r="190" spans="1:32"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row>
    <row r="191" spans="1:32"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row>
    <row r="192" spans="1:32"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row>
    <row r="193" spans="1:32"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row>
    <row r="194" spans="1:32"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row>
    <row r="195" spans="1:32"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row>
    <row r="196" spans="1:32"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row>
    <row r="197" spans="1:32"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row>
    <row r="198" spans="1:32"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row>
    <row r="199" spans="1:32"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row>
    <row r="200" spans="1:32"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row>
    <row r="201" spans="1:32"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row>
    <row r="202" spans="1:32"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row>
    <row r="203" spans="1:32"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row>
    <row r="204" spans="1:32"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row>
    <row r="205" spans="1:32"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row>
    <row r="206" spans="1:32"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row>
    <row r="207" spans="1:32"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row>
    <row r="208" spans="1:32"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row>
    <row r="209" spans="1:32"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row>
    <row r="210" spans="1:32"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row>
    <row r="211" spans="1:32"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row>
    <row r="212" spans="1:32"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row>
    <row r="213" spans="1:32"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row>
    <row r="214" spans="1:32"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row>
    <row r="215" spans="1:32"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row>
    <row r="216" spans="1:32"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row>
    <row r="217" spans="1:32"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row>
    <row r="218" spans="1:32"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row>
    <row r="219" spans="1:32"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row>
    <row r="220" spans="1:32"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row>
    <row r="221" spans="1:32"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row>
    <row r="222" spans="1:32"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row>
    <row r="223" spans="1:32"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row>
    <row r="224" spans="1:32"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row>
    <row r="225" spans="1:32"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row>
    <row r="226" spans="1:32"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row>
    <row r="227" spans="1:32"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row>
    <row r="228" spans="1:32"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row>
    <row r="229" spans="1:32"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row>
    <row r="230" spans="1:32"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row>
    <row r="231" spans="1:32"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row>
    <row r="232" spans="1:32"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row>
    <row r="233" spans="1:32"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row>
    <row r="234" spans="1:32"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row>
    <row r="235" spans="1:32"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row>
    <row r="236" spans="1:32"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row>
    <row r="237" spans="1:32"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row>
    <row r="238" spans="1:32"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row>
    <row r="239" spans="1:32"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row>
    <row r="240" spans="1:32"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row>
    <row r="241" spans="1:32"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row>
    <row r="242" spans="1:32"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row>
    <row r="243" spans="1:32"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row>
    <row r="244" spans="1:32"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row>
    <row r="245" spans="1:32"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row>
    <row r="246" spans="1:32"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row>
    <row r="247" spans="1:32"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row>
    <row r="248" spans="1:32"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row>
    <row r="249" spans="1:32"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row>
    <row r="250" spans="1:32"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row>
    <row r="251" spans="1:32"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row>
    <row r="252" spans="1:32"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row>
    <row r="253" spans="1:32"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row>
    <row r="254" spans="1:32"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row>
    <row r="255" spans="1:32"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row>
    <row r="256" spans="1:32"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row>
    <row r="257" spans="1:32"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row>
    <row r="258" spans="1:32"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row>
    <row r="259" spans="1:32"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row>
    <row r="260" spans="1:32"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row>
    <row r="261" spans="1:32"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row>
    <row r="262" spans="1:32"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row>
    <row r="263" spans="1:32"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row>
    <row r="264" spans="1:32"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row>
    <row r="265" spans="1:32"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row>
    <row r="266" spans="1:32"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row>
    <row r="267" spans="1:32"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row>
    <row r="268" spans="1:32"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row>
    <row r="269" spans="1:32"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row>
    <row r="270" spans="1:32"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row>
    <row r="271" spans="1:32"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row>
    <row r="272" spans="1:32"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row>
    <row r="273" spans="1:32"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row>
    <row r="274" spans="1:32"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row>
    <row r="275" spans="1:32"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row>
    <row r="276" spans="1:32"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row>
    <row r="277" spans="1:32"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row>
    <row r="278" spans="1:32"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row>
    <row r="279" spans="1:32"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row>
    <row r="280" spans="1:32"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row>
    <row r="281" spans="1:32"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row>
    <row r="282" spans="1:32"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row>
    <row r="283" spans="1:32"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row>
    <row r="284" spans="1:32"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row>
    <row r="285" spans="1:32"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row>
    <row r="286" spans="1:32"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row>
    <row r="287" spans="1:32"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row>
    <row r="288" spans="1:32"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row>
    <row r="289" spans="1:32"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row>
    <row r="290" spans="1:32"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row>
    <row r="291" spans="1:32"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row>
    <row r="292" spans="1:32"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row>
    <row r="293" spans="1:32"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row>
    <row r="294" spans="1:32" hidden="1" x14ac:dyDescent="0.2"/>
    <row r="295" spans="1:32" hidden="1" x14ac:dyDescent="0.2"/>
    <row r="296" spans="1:32" hidden="1" x14ac:dyDescent="0.2"/>
    <row r="297" spans="1:32" hidden="1" x14ac:dyDescent="0.2"/>
    <row r="299" spans="1:32" x14ac:dyDescent="0.2">
      <c r="A299" s="573"/>
      <c r="B299" s="573"/>
      <c r="C299" s="584" t="s">
        <v>54</v>
      </c>
      <c r="F299" s="626" t="s">
        <v>68</v>
      </c>
    </row>
    <row r="300" spans="1:32" x14ac:dyDescent="0.2">
      <c r="A300" s="627">
        <v>1</v>
      </c>
      <c r="B300" s="628" t="str">
        <f t="shared" ref="B300:B310" si="6">IFERROR(INDEX(B$1:B$85,MATCH(A300,A$1:A$85,0)),"")</f>
        <v>Ivar Viljaste</v>
      </c>
      <c r="C300" s="629">
        <v>40</v>
      </c>
      <c r="F300" s="626">
        <v>5</v>
      </c>
    </row>
    <row r="301" spans="1:32" x14ac:dyDescent="0.2">
      <c r="A301" s="627">
        <v>2</v>
      </c>
      <c r="B301" s="628" t="str">
        <f t="shared" si="6"/>
        <v>Henri Mitt</v>
      </c>
      <c r="C301" s="629">
        <v>34</v>
      </c>
      <c r="F301" s="626">
        <v>4</v>
      </c>
    </row>
    <row r="302" spans="1:32" x14ac:dyDescent="0.2">
      <c r="A302" s="627">
        <v>3</v>
      </c>
      <c r="B302" s="628" t="str">
        <f t="shared" si="6"/>
        <v>Olav Türk</v>
      </c>
      <c r="C302" s="629">
        <v>30</v>
      </c>
      <c r="F302" s="626">
        <v>4</v>
      </c>
    </row>
    <row r="303" spans="1:32" x14ac:dyDescent="0.2">
      <c r="A303" s="627">
        <v>4</v>
      </c>
      <c r="B303" s="628" t="str">
        <f t="shared" si="6"/>
        <v>Viktor Švarõgin</v>
      </c>
      <c r="C303" s="629">
        <v>26</v>
      </c>
      <c r="F303" s="626">
        <v>3</v>
      </c>
    </row>
    <row r="304" spans="1:32" x14ac:dyDescent="0.2">
      <c r="A304" s="627">
        <v>5</v>
      </c>
      <c r="B304" s="628" t="str">
        <f t="shared" si="6"/>
        <v>Aarne Välja</v>
      </c>
      <c r="C304" s="629">
        <v>24</v>
      </c>
      <c r="F304" s="626">
        <v>3</v>
      </c>
    </row>
    <row r="305" spans="1:6" x14ac:dyDescent="0.2">
      <c r="A305" s="627">
        <v>6</v>
      </c>
      <c r="B305" s="628" t="str">
        <f t="shared" si="6"/>
        <v>Kenneth Muusikus</v>
      </c>
      <c r="C305" s="629">
        <v>22</v>
      </c>
      <c r="F305" s="626">
        <v>3</v>
      </c>
    </row>
    <row r="306" spans="1:6" x14ac:dyDescent="0.2">
      <c r="A306" s="627">
        <v>7</v>
      </c>
      <c r="B306" s="628" t="str">
        <f t="shared" si="6"/>
        <v>Vello Vasser</v>
      </c>
      <c r="C306" s="629">
        <v>20</v>
      </c>
      <c r="F306" s="626">
        <v>3</v>
      </c>
    </row>
    <row r="307" spans="1:6" x14ac:dyDescent="0.2">
      <c r="A307" s="627">
        <v>8</v>
      </c>
      <c r="B307" s="628" t="str">
        <f t="shared" si="6"/>
        <v>Oleg Rõndenkov</v>
      </c>
      <c r="C307" s="629">
        <v>18</v>
      </c>
      <c r="F307" s="626">
        <v>3</v>
      </c>
    </row>
    <row r="308" spans="1:6" x14ac:dyDescent="0.2">
      <c r="A308" s="627">
        <v>9</v>
      </c>
      <c r="B308" s="628" t="str">
        <f t="shared" si="6"/>
        <v>Boriss Klubov</v>
      </c>
      <c r="C308" s="629">
        <v>16</v>
      </c>
      <c r="F308" s="626">
        <v>2</v>
      </c>
    </row>
    <row r="309" spans="1:6" x14ac:dyDescent="0.2">
      <c r="A309" s="627">
        <v>10</v>
      </c>
      <c r="B309" s="628" t="str">
        <f t="shared" si="6"/>
        <v>Sirje Maala</v>
      </c>
      <c r="C309" s="616">
        <v>14</v>
      </c>
      <c r="F309" s="626">
        <v>2</v>
      </c>
    </row>
    <row r="310" spans="1:6" x14ac:dyDescent="0.2">
      <c r="A310" s="627">
        <v>11</v>
      </c>
      <c r="B310" s="628" t="str">
        <f t="shared" si="6"/>
        <v>Ljudmila Varendi</v>
      </c>
      <c r="C310" s="616">
        <v>12</v>
      </c>
      <c r="F310" s="626">
        <v>2</v>
      </c>
    </row>
    <row r="311" spans="1:6" x14ac:dyDescent="0.2">
      <c r="A311" s="627">
        <v>12</v>
      </c>
      <c r="B311" s="628" t="str">
        <f t="shared" ref="B311:B317" si="7">IFERROR(INDEX(B$1:B$85,MATCH(A311,A$1:A$85,0)),"")</f>
        <v>Meelis Luud</v>
      </c>
      <c r="C311" s="616">
        <v>10</v>
      </c>
      <c r="F311" s="626">
        <v>2</v>
      </c>
    </row>
    <row r="312" spans="1:6" x14ac:dyDescent="0.2">
      <c r="A312" s="627">
        <v>13</v>
      </c>
      <c r="B312" s="628" t="str">
        <f t="shared" si="7"/>
        <v>Liidia Põllu</v>
      </c>
      <c r="C312" s="616">
        <v>8</v>
      </c>
      <c r="F312" s="626">
        <v>2</v>
      </c>
    </row>
    <row r="313" spans="1:6" x14ac:dyDescent="0.2">
      <c r="A313" s="627">
        <v>14</v>
      </c>
      <c r="B313" s="628" t="str">
        <f t="shared" si="7"/>
        <v>Svetlana Veski</v>
      </c>
      <c r="C313" s="616">
        <v>6</v>
      </c>
      <c r="F313" s="626">
        <v>2</v>
      </c>
    </row>
    <row r="314" spans="1:6" x14ac:dyDescent="0.2">
      <c r="A314" s="627">
        <v>15</v>
      </c>
      <c r="B314" s="628" t="str">
        <f t="shared" si="7"/>
        <v>Enn Tokman</v>
      </c>
      <c r="C314" s="616">
        <v>4</v>
      </c>
      <c r="F314" s="626">
        <v>2</v>
      </c>
    </row>
    <row r="315" spans="1:6" x14ac:dyDescent="0.2">
      <c r="A315" s="627">
        <v>16</v>
      </c>
      <c r="B315" s="628" t="str">
        <f t="shared" si="7"/>
        <v>Janek Tarto</v>
      </c>
      <c r="C315" s="616">
        <v>2</v>
      </c>
      <c r="F315" s="626">
        <v>2</v>
      </c>
    </row>
    <row r="316" spans="1:6" x14ac:dyDescent="0.2">
      <c r="A316" s="627">
        <v>17</v>
      </c>
      <c r="B316" s="628" t="str">
        <f t="shared" si="7"/>
        <v>Sander Rose</v>
      </c>
      <c r="C316" s="616">
        <v>1</v>
      </c>
      <c r="F316" s="626">
        <v>1</v>
      </c>
    </row>
    <row r="317" spans="1:6" x14ac:dyDescent="0.2">
      <c r="A317" s="627">
        <v>18</v>
      </c>
      <c r="B317" s="628" t="str">
        <f t="shared" si="7"/>
        <v>Vladimir Ogneštšikov</v>
      </c>
      <c r="C317" s="616">
        <v>1</v>
      </c>
      <c r="F317" s="626">
        <v>0</v>
      </c>
    </row>
  </sheetData>
  <conditionalFormatting sqref="C8:C25">
    <cfRule type="expression" dxfId="190" priority="19">
      <formula>IF($C8&gt;$E8,TRUE)</formula>
    </cfRule>
  </conditionalFormatting>
  <conditionalFormatting sqref="E8:E25">
    <cfRule type="expression" dxfId="189" priority="20">
      <formula>IF($C8&lt;$E8,TRUE)</formula>
    </cfRule>
  </conditionalFormatting>
  <conditionalFormatting sqref="K8:K25">
    <cfRule type="expression" dxfId="188" priority="27">
      <formula>IF($K8&gt;$M8,TRUE)</formula>
    </cfRule>
  </conditionalFormatting>
  <conditionalFormatting sqref="M8:M25">
    <cfRule type="expression" dxfId="187" priority="28">
      <formula>IF($K8&lt;$M8,TRUE)</formula>
    </cfRule>
  </conditionalFormatting>
  <conditionalFormatting sqref="O8:O25">
    <cfRule type="expression" dxfId="186" priority="31">
      <formula>IF($O8&gt;$Q8,TRUE)</formula>
    </cfRule>
  </conditionalFormatting>
  <conditionalFormatting sqref="Q8:Q25">
    <cfRule type="expression" dxfId="185" priority="32">
      <formula>IF($O8&lt;$Q8,TRUE)</formula>
    </cfRule>
  </conditionalFormatting>
  <conditionalFormatting sqref="S8:S25">
    <cfRule type="expression" dxfId="184" priority="35">
      <formula>IF($S8&gt;$U8,TRUE)</formula>
    </cfRule>
  </conditionalFormatting>
  <conditionalFormatting sqref="U8:U25">
    <cfRule type="expression" dxfId="183" priority="36">
      <formula>IF($S8&lt;$U8,TRUE)</formula>
    </cfRule>
  </conditionalFormatting>
  <conditionalFormatting sqref="G8:G25">
    <cfRule type="expression" dxfId="182" priority="23">
      <formula>IF($G8&gt;$I8,TRUE)</formula>
    </cfRule>
  </conditionalFormatting>
  <conditionalFormatting sqref="I8:I25">
    <cfRule type="expression" dxfId="181" priority="24">
      <formula>IF($G8&lt;$I8,TRUE)</formula>
    </cfRule>
  </conditionalFormatting>
  <conditionalFormatting sqref="F8:F25">
    <cfRule type="containsText" dxfId="180" priority="10" operator="containsText" text="vaba voor">
      <formula>NOT(ISERROR(SEARCH("vaba voor",F8)))</formula>
    </cfRule>
  </conditionalFormatting>
  <conditionalFormatting sqref="N8:N25">
    <cfRule type="containsText" dxfId="179" priority="8" operator="containsText" text="vaba voor">
      <formula>NOT(ISERROR(SEARCH("vaba voor",N8)))</formula>
    </cfRule>
  </conditionalFormatting>
  <conditionalFormatting sqref="R8:R25">
    <cfRule type="containsText" dxfId="178" priority="11" operator="containsText" text="vaba voor">
      <formula>NOT(ISERROR(SEARCH("vaba voor",R8)))</formula>
    </cfRule>
  </conditionalFormatting>
  <conditionalFormatting sqref="V8:V25">
    <cfRule type="containsText" dxfId="177" priority="7" operator="containsText" text="vaba voor">
      <formula>NOT(ISERROR(SEARCH("vaba voor",V8)))</formula>
    </cfRule>
  </conditionalFormatting>
  <conditionalFormatting sqref="J8:J25">
    <cfRule type="containsText" dxfId="176" priority="9" operator="containsText" text="vaba voor">
      <formula>NOT(ISERROR(SEARCH("vaba voor",J8)))</formula>
    </cfRule>
  </conditionalFormatting>
  <conditionalFormatting sqref="C8:F25">
    <cfRule type="expression" dxfId="175" priority="15">
      <formula>IF(AND(ISNUMBER($C8),$C8=$E8),TRUE)</formula>
    </cfRule>
    <cfRule type="expression" dxfId="174" priority="17">
      <formula>IF($C8&gt;$E8,TRUE)</formula>
    </cfRule>
    <cfRule type="expression" dxfId="173" priority="18">
      <formula>IF($C8&lt;$E8,TRUE)</formula>
    </cfRule>
  </conditionalFormatting>
  <conditionalFormatting sqref="G8:J25">
    <cfRule type="expression" dxfId="172" priority="16">
      <formula>IF(AND(ISNUMBER($G8),$G8=$I8),TRUE)</formula>
    </cfRule>
    <cfRule type="expression" dxfId="171" priority="21">
      <formula>IF($G8&gt;$I8,TRUE)</formula>
    </cfRule>
    <cfRule type="expression" dxfId="170" priority="22">
      <formula>IF($G8&lt;$I8,TRUE)</formula>
    </cfRule>
  </conditionalFormatting>
  <conditionalFormatting sqref="K8:N25">
    <cfRule type="expression" dxfId="169" priority="14">
      <formula>IF(AND(ISNUMBER($K8),$K8=$M8),TRUE)</formula>
    </cfRule>
    <cfRule type="expression" dxfId="168" priority="25">
      <formula>IF($K8&gt;$M8,TRUE)</formula>
    </cfRule>
    <cfRule type="expression" dxfId="167" priority="26">
      <formula>IF($K8&lt;$M8,TRUE)</formula>
    </cfRule>
  </conditionalFormatting>
  <conditionalFormatting sqref="O8:R25">
    <cfRule type="expression" dxfId="166" priority="13">
      <formula>IF(AND(ISNUMBER($O8),$O8=$Q8),TRUE)</formula>
    </cfRule>
    <cfRule type="expression" dxfId="165" priority="29">
      <formula>IF($O8&gt;$Q8,TRUE)</formula>
    </cfRule>
    <cfRule type="expression" dxfId="164" priority="30">
      <formula>IF($O8&lt;$Q8,TRUE)</formula>
    </cfRule>
  </conditionalFormatting>
  <conditionalFormatting sqref="S8:V25">
    <cfRule type="expression" dxfId="163" priority="12">
      <formula>IF(AND(ISNUMBER($S8),$S8=$U8),TRUE)</formula>
    </cfRule>
    <cfRule type="expression" dxfId="162" priority="33">
      <formula>IF($S8&gt;$U8,TRUE)</formula>
    </cfRule>
    <cfRule type="expression" dxfId="161" priority="34">
      <formula>IF($S8&lt;$U8,TRUE)</formula>
    </cfRule>
  </conditionalFormatting>
  <conditionalFormatting sqref="A300:A317">
    <cfRule type="duplicateValues" dxfId="160" priority="37"/>
  </conditionalFormatting>
  <conditionalFormatting sqref="A8:A25">
    <cfRule type="duplicateValues" dxfId="159" priority="38"/>
  </conditionalFormatting>
  <conditionalFormatting sqref="B300:B317">
    <cfRule type="expression" dxfId="158" priority="39">
      <formula>A300=3</formula>
    </cfRule>
    <cfRule type="expression" dxfId="157" priority="40">
      <formula>A300=2</formula>
    </cfRule>
    <cfRule type="expression" dxfId="156" priority="41">
      <formula>A300=1</formula>
    </cfRule>
    <cfRule type="containsBlanks" dxfId="155" priority="42">
      <formula>LEN(TRIM(B300))=0</formula>
    </cfRule>
    <cfRule type="duplicateValues" dxfId="154" priority="43"/>
  </conditionalFormatting>
  <conditionalFormatting sqref="AE8:AE25">
    <cfRule type="expression" dxfId="153" priority="2060">
      <formula>AND(AF8="",COUNTIF(AE8,"*,*")=0)</formula>
    </cfRule>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AF324"/>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3" width="4.7109375" style="581" customWidth="1"/>
    <col min="4" max="4" width="1.140625" style="581" customWidth="1"/>
    <col min="5" max="5" width="2.7109375" style="581" customWidth="1"/>
    <col min="6" max="6" width="6.28515625" style="581" customWidth="1"/>
    <col min="7" max="7" width="2.7109375" style="581" customWidth="1"/>
    <col min="8" max="8" width="1.140625" style="581" customWidth="1"/>
    <col min="9" max="9" width="2.7109375" style="581" customWidth="1"/>
    <col min="10" max="10" width="6.28515625" style="581" customWidth="1"/>
    <col min="11" max="11" width="2.7109375" style="581" customWidth="1"/>
    <col min="12" max="12" width="1.140625" style="581" customWidth="1"/>
    <col min="13" max="13" width="2.7109375" style="581" customWidth="1"/>
    <col min="14" max="14" width="6.28515625" style="581" customWidth="1"/>
    <col min="15" max="15" width="2.7109375" style="581" customWidth="1"/>
    <col min="16" max="16" width="1.140625" style="581" customWidth="1"/>
    <col min="17" max="17" width="2.7109375" style="581" customWidth="1"/>
    <col min="18" max="18" width="6.28515625" style="581" customWidth="1"/>
    <col min="19" max="19" width="2.7109375" style="581" customWidth="1"/>
    <col min="20" max="20" width="1.140625" style="581" customWidth="1"/>
    <col min="21" max="21" width="2.7109375" style="581" customWidth="1"/>
    <col min="22" max="22" width="6.28515625" style="581" customWidth="1"/>
    <col min="23" max="23" width="5.7109375" style="581" customWidth="1"/>
    <col min="24" max="24" width="5.5703125" style="581" hidden="1" customWidth="1"/>
    <col min="25" max="25" width="2.7109375" style="581" customWidth="1"/>
    <col min="26" max="26" width="1.140625" style="581" customWidth="1"/>
    <col min="27" max="27" width="2.7109375" style="581" customWidth="1"/>
    <col min="28" max="28" width="4.7109375" style="581" customWidth="1"/>
    <col min="29" max="29" width="9.140625" style="581"/>
    <col min="30" max="30" width="9.140625" style="581" hidden="1" customWidth="1"/>
    <col min="31" max="31" width="18.7109375" style="581" hidden="1" customWidth="1"/>
    <col min="32" max="32" width="9.140625" style="581" hidden="1" customWidth="1"/>
    <col min="33" max="16384" width="9.140625" style="581"/>
  </cols>
  <sheetData>
    <row r="1" spans="1:32" x14ac:dyDescent="0.2">
      <c r="A1" s="572" t="str">
        <f>UPPER((Kalend!E19)&amp;" - "&amp;(Kalend!C19)&amp;" - "&amp;(Kalend!D19))</f>
        <v>M2 - MAIDU KARIKAS, 2. ETAPP - ÜKSIK</v>
      </c>
      <c r="B1" s="573"/>
      <c r="C1" s="574"/>
      <c r="D1" s="573"/>
      <c r="E1" s="573"/>
      <c r="F1" s="575"/>
      <c r="G1" s="575"/>
      <c r="H1" s="575"/>
      <c r="I1" s="575"/>
      <c r="J1" s="576"/>
      <c r="K1" s="577"/>
      <c r="L1" s="578"/>
      <c r="M1" s="579"/>
      <c r="N1" s="579"/>
      <c r="O1" s="573"/>
      <c r="P1" s="573"/>
      <c r="Q1" s="577"/>
      <c r="R1" s="577"/>
      <c r="S1" s="577"/>
      <c r="T1" s="578"/>
      <c r="U1" s="578"/>
      <c r="V1" s="578"/>
      <c r="W1" s="573"/>
      <c r="X1" s="580"/>
      <c r="Y1" s="573"/>
      <c r="Z1" s="573"/>
      <c r="AA1" s="573"/>
      <c r="AB1" s="573"/>
      <c r="AD1" s="582" t="s">
        <v>53</v>
      </c>
      <c r="AE1" s="580"/>
      <c r="AF1" s="580"/>
    </row>
    <row r="2" spans="1:32" x14ac:dyDescent="0.2">
      <c r="A2" s="583" t="str">
        <f>"Toimumisaeg: "&amp;(Kalend!A19)&amp;" kell "&amp;(Kalend!B19)</f>
        <v>Toimumisaeg: L, 02.07.2022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84"/>
      <c r="AB2" s="573"/>
      <c r="AD2" s="573"/>
      <c r="AE2" s="573"/>
      <c r="AF2" s="573"/>
    </row>
    <row r="3" spans="1:32" x14ac:dyDescent="0.2">
      <c r="A3" s="583" t="str">
        <f>"Toimumiskoht: "&amp;(Kalend!F19)</f>
        <v>Toimumiskoht: K-Järve spordihoone</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row>
    <row r="4" spans="1:32" x14ac:dyDescent="0.2">
      <c r="A4" s="583" t="str">
        <f>"Korraldaja: "&amp;(Kalend!G19)</f>
        <v>Korraldaja: Ivar Viljaste</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591" t="s">
        <v>273</v>
      </c>
      <c r="AF4" s="583"/>
    </row>
    <row r="5" spans="1:32"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94" t="s">
        <v>310</v>
      </c>
      <c r="AE5" s="595" t="s">
        <v>77</v>
      </c>
      <c r="AF5" s="596"/>
    </row>
    <row r="6" spans="1:32"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94" t="s">
        <v>275</v>
      </c>
      <c r="AF6" s="595"/>
    </row>
    <row r="7" spans="1:32"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01"/>
      <c r="Z7" s="602" t="s">
        <v>286</v>
      </c>
      <c r="AA7" s="603"/>
      <c r="AB7" s="604" t="s">
        <v>344</v>
      </c>
      <c r="AD7" s="605"/>
      <c r="AE7" s="596"/>
      <c r="AF7" s="596"/>
    </row>
    <row r="8" spans="1:32" x14ac:dyDescent="0.2">
      <c r="A8" s="634">
        <v>1</v>
      </c>
      <c r="B8" s="635" t="s">
        <v>496</v>
      </c>
      <c r="C8" s="613">
        <v>13</v>
      </c>
      <c r="D8" s="614" t="s">
        <v>288</v>
      </c>
      <c r="E8" s="614">
        <v>9</v>
      </c>
      <c r="F8" s="636" t="s">
        <v>136</v>
      </c>
      <c r="G8" s="613">
        <v>13</v>
      </c>
      <c r="H8" s="614" t="s">
        <v>288</v>
      </c>
      <c r="I8" s="614">
        <v>0</v>
      </c>
      <c r="J8" s="636" t="s">
        <v>117</v>
      </c>
      <c r="K8" s="613">
        <v>10</v>
      </c>
      <c r="L8" s="614" t="s">
        <v>288</v>
      </c>
      <c r="M8" s="614">
        <v>7</v>
      </c>
      <c r="N8" s="636" t="s">
        <v>94</v>
      </c>
      <c r="O8" s="613">
        <v>13</v>
      </c>
      <c r="P8" s="614" t="s">
        <v>288</v>
      </c>
      <c r="Q8" s="614">
        <v>2</v>
      </c>
      <c r="R8" s="636" t="s">
        <v>102</v>
      </c>
      <c r="S8" s="613">
        <v>9</v>
      </c>
      <c r="T8" s="614" t="s">
        <v>288</v>
      </c>
      <c r="U8" s="614">
        <v>13</v>
      </c>
      <c r="V8" s="636" t="s">
        <v>12</v>
      </c>
      <c r="W8" s="637">
        <f>IF(C8&gt;E8,J$3,IF(C8&lt;E8,J$5,IF(ISNUMBER(C8),J$4,0)))+IF(G8&gt;I8,J$3,IF(G8&lt;I8,J$5,IF(ISNUMBER(G8),J$4,0)))+IF(K8&gt;M8,J$3,IF(K8&lt;M8,J$5,IF(ISNUMBER(K8),J$4,0)))+IF(O8&gt;Q8,J$3,IF(O8&lt;Q8,J$5,IF(ISNUMBER(O8),J$4,0)))+IF(S8&gt;U8,J$3,IF(S8&lt;U8,J$5,IF(ISNUMBER(S8),J$4,0)))</f>
        <v>4</v>
      </c>
      <c r="X8" s="612"/>
      <c r="Y8" s="613">
        <f>C8+G8+K8+O8+S8</f>
        <v>58</v>
      </c>
      <c r="Z8" s="614" t="s">
        <v>288</v>
      </c>
      <c r="AA8" s="615">
        <f>E8+I8+M8+Q8+U8</f>
        <v>31</v>
      </c>
      <c r="AB8" s="616">
        <f>Y8-AA8</f>
        <v>27</v>
      </c>
      <c r="AC8" s="617"/>
      <c r="AD8" s="618">
        <f t="shared" ref="AD8:AD25" si="0">SUM(AF8:AF8)</f>
        <v>94</v>
      </c>
      <c r="AE8" s="619" t="str">
        <f>$B8</f>
        <v>Sirje Maala</v>
      </c>
      <c r="AF8" s="620">
        <f>IFERROR(INDEX(M!$E:$E,MATCH(AE8,M!$B:$B,0)),"")</f>
        <v>94</v>
      </c>
    </row>
    <row r="9" spans="1:32" x14ac:dyDescent="0.2">
      <c r="A9" s="634">
        <v>2</v>
      </c>
      <c r="B9" s="635" t="s">
        <v>94</v>
      </c>
      <c r="C9" s="613">
        <v>13</v>
      </c>
      <c r="D9" s="614" t="s">
        <v>288</v>
      </c>
      <c r="E9" s="614">
        <v>6</v>
      </c>
      <c r="F9" s="636" t="s">
        <v>12</v>
      </c>
      <c r="G9" s="613">
        <v>13</v>
      </c>
      <c r="H9" s="614" t="s">
        <v>288</v>
      </c>
      <c r="I9" s="614">
        <v>4</v>
      </c>
      <c r="J9" s="636" t="s">
        <v>118</v>
      </c>
      <c r="K9" s="613">
        <v>7</v>
      </c>
      <c r="L9" s="614" t="s">
        <v>288</v>
      </c>
      <c r="M9" s="614">
        <v>10</v>
      </c>
      <c r="N9" s="636" t="s">
        <v>496</v>
      </c>
      <c r="O9" s="613">
        <v>13</v>
      </c>
      <c r="P9" s="614" t="s">
        <v>288</v>
      </c>
      <c r="Q9" s="614">
        <v>4</v>
      </c>
      <c r="R9" s="636" t="s">
        <v>104</v>
      </c>
      <c r="S9" s="613">
        <v>13</v>
      </c>
      <c r="T9" s="614" t="s">
        <v>288</v>
      </c>
      <c r="U9" s="614">
        <v>10</v>
      </c>
      <c r="V9" s="636" t="s">
        <v>95</v>
      </c>
      <c r="W9" s="637">
        <f t="shared" ref="W9:W32" si="1">IF(C9&gt;E9,J$3,IF(C9&lt;E9,J$5,IF(ISNUMBER(C9),J$4,0)))+IF(G9&gt;I9,J$3,IF(G9&lt;I9,J$5,IF(ISNUMBER(G9),J$4,0)))+IF(K9&gt;M9,J$3,IF(K9&lt;M9,J$5,IF(ISNUMBER(K9),J$4,0)))+IF(O9&gt;Q9,J$3,IF(O9&lt;Q9,J$5,IF(ISNUMBER(O9),J$4,0)))+IF(S9&gt;U9,J$3,IF(S9&lt;U9,J$5,IF(ISNUMBER(S9),J$4,0)))</f>
        <v>4</v>
      </c>
      <c r="X9" s="612"/>
      <c r="Y9" s="613">
        <f t="shared" ref="Y9:Y25" si="2">C9+G9+K9+O9+S9</f>
        <v>59</v>
      </c>
      <c r="Z9" s="614" t="s">
        <v>288</v>
      </c>
      <c r="AA9" s="615">
        <f t="shared" ref="AA9:AA25" si="3">E9+I9+M9+Q9+U9</f>
        <v>34</v>
      </c>
      <c r="AB9" s="616">
        <f t="shared" ref="AB9:AB32" si="4">Y9-AA9</f>
        <v>25</v>
      </c>
      <c r="AC9" s="617"/>
      <c r="AD9" s="618">
        <f t="shared" si="0"/>
        <v>46</v>
      </c>
      <c r="AE9" s="619" t="str">
        <f t="shared" ref="AE9:AE32" si="5">$B9</f>
        <v>Janek Tarto</v>
      </c>
      <c r="AF9" s="620">
        <f>IFERROR(INDEX(M!$E:$E,MATCH(AE9,M!$B:$B,0)),"")</f>
        <v>46</v>
      </c>
    </row>
    <row r="10" spans="1:32" x14ac:dyDescent="0.2">
      <c r="A10" s="634">
        <v>3</v>
      </c>
      <c r="B10" s="635" t="s">
        <v>12</v>
      </c>
      <c r="C10" s="613">
        <v>6</v>
      </c>
      <c r="D10" s="614" t="s">
        <v>288</v>
      </c>
      <c r="E10" s="614">
        <v>13</v>
      </c>
      <c r="F10" s="636" t="s">
        <v>94</v>
      </c>
      <c r="G10" s="613">
        <v>13</v>
      </c>
      <c r="H10" s="614" t="s">
        <v>288</v>
      </c>
      <c r="I10" s="614">
        <v>7</v>
      </c>
      <c r="J10" s="636" t="s">
        <v>139</v>
      </c>
      <c r="K10" s="613">
        <v>13</v>
      </c>
      <c r="L10" s="614" t="s">
        <v>288</v>
      </c>
      <c r="M10" s="614">
        <v>5</v>
      </c>
      <c r="N10" s="636" t="s">
        <v>155</v>
      </c>
      <c r="O10" s="613">
        <v>13</v>
      </c>
      <c r="P10" s="614" t="s">
        <v>288</v>
      </c>
      <c r="Q10" s="614">
        <v>2</v>
      </c>
      <c r="R10" s="636" t="s">
        <v>116</v>
      </c>
      <c r="S10" s="613">
        <v>13</v>
      </c>
      <c r="T10" s="614" t="s">
        <v>288</v>
      </c>
      <c r="U10" s="614">
        <v>9</v>
      </c>
      <c r="V10" s="636" t="s">
        <v>496</v>
      </c>
      <c r="W10" s="637">
        <f t="shared" si="1"/>
        <v>4</v>
      </c>
      <c r="X10" s="612"/>
      <c r="Y10" s="613">
        <f t="shared" si="2"/>
        <v>58</v>
      </c>
      <c r="Z10" s="614" t="s">
        <v>288</v>
      </c>
      <c r="AA10" s="615">
        <f t="shared" si="3"/>
        <v>36</v>
      </c>
      <c r="AB10" s="616">
        <f t="shared" si="4"/>
        <v>22</v>
      </c>
      <c r="AC10" s="617"/>
      <c r="AD10" s="618">
        <f t="shared" si="0"/>
        <v>126</v>
      </c>
      <c r="AE10" s="619" t="str">
        <f t="shared" si="5"/>
        <v>Ivar Viljaste</v>
      </c>
      <c r="AF10" s="620">
        <f>IFERROR(INDEX(M!$E:$E,MATCH(AE10,M!$B:$B,0)),"")</f>
        <v>126</v>
      </c>
    </row>
    <row r="11" spans="1:32" x14ac:dyDescent="0.2">
      <c r="A11" s="634">
        <v>4</v>
      </c>
      <c r="B11" s="635" t="s">
        <v>87</v>
      </c>
      <c r="C11" s="613">
        <v>11</v>
      </c>
      <c r="D11" s="614" t="s">
        <v>288</v>
      </c>
      <c r="E11" s="614">
        <v>13</v>
      </c>
      <c r="F11" s="636" t="s">
        <v>90</v>
      </c>
      <c r="G11" s="613">
        <v>13</v>
      </c>
      <c r="H11" s="614" t="s">
        <v>288</v>
      </c>
      <c r="I11" s="614">
        <v>3</v>
      </c>
      <c r="J11" s="636" t="s">
        <v>86</v>
      </c>
      <c r="K11" s="613">
        <v>13</v>
      </c>
      <c r="L11" s="614" t="s">
        <v>288</v>
      </c>
      <c r="M11" s="614">
        <v>9</v>
      </c>
      <c r="N11" s="636" t="s">
        <v>136</v>
      </c>
      <c r="O11" s="613">
        <v>13</v>
      </c>
      <c r="P11" s="614" t="s">
        <v>288</v>
      </c>
      <c r="Q11" s="614">
        <v>10</v>
      </c>
      <c r="R11" s="636" t="s">
        <v>96</v>
      </c>
      <c r="S11" s="613">
        <v>13</v>
      </c>
      <c r="T11" s="614" t="s">
        <v>288</v>
      </c>
      <c r="U11" s="614">
        <v>8</v>
      </c>
      <c r="V11" s="636" t="s">
        <v>102</v>
      </c>
      <c r="W11" s="637">
        <f t="shared" si="1"/>
        <v>4</v>
      </c>
      <c r="X11" s="612"/>
      <c r="Y11" s="613">
        <f t="shared" si="2"/>
        <v>63</v>
      </c>
      <c r="Z11" s="614" t="s">
        <v>288</v>
      </c>
      <c r="AA11" s="615">
        <f t="shared" si="3"/>
        <v>43</v>
      </c>
      <c r="AB11" s="616">
        <f t="shared" si="4"/>
        <v>20</v>
      </c>
      <c r="AC11" s="617"/>
      <c r="AD11" s="618">
        <f t="shared" si="0"/>
        <v>56</v>
      </c>
      <c r="AE11" s="619" t="str">
        <f t="shared" si="5"/>
        <v>Matti Vinni</v>
      </c>
      <c r="AF11" s="620">
        <f>IFERROR(INDEX(M!$E:$E,MATCH(AE11,M!$B:$B,0)),"")</f>
        <v>56</v>
      </c>
    </row>
    <row r="12" spans="1:32" x14ac:dyDescent="0.2">
      <c r="A12" s="634">
        <v>5</v>
      </c>
      <c r="B12" s="635" t="s">
        <v>104</v>
      </c>
      <c r="C12" s="613">
        <v>13</v>
      </c>
      <c r="D12" s="614" t="s">
        <v>288</v>
      </c>
      <c r="E12" s="614">
        <v>8</v>
      </c>
      <c r="F12" s="636" t="s">
        <v>139</v>
      </c>
      <c r="G12" s="613">
        <v>13</v>
      </c>
      <c r="H12" s="614" t="s">
        <v>288</v>
      </c>
      <c r="I12" s="614">
        <v>10</v>
      </c>
      <c r="J12" s="636" t="s">
        <v>541</v>
      </c>
      <c r="K12" s="613">
        <v>13</v>
      </c>
      <c r="L12" s="614" t="s">
        <v>288</v>
      </c>
      <c r="M12" s="614">
        <v>9</v>
      </c>
      <c r="N12" s="636" t="s">
        <v>119</v>
      </c>
      <c r="O12" s="613">
        <v>4</v>
      </c>
      <c r="P12" s="614" t="s">
        <v>288</v>
      </c>
      <c r="Q12" s="614">
        <v>13</v>
      </c>
      <c r="R12" s="636" t="s">
        <v>94</v>
      </c>
      <c r="S12" s="613">
        <v>13</v>
      </c>
      <c r="T12" s="614" t="s">
        <v>288</v>
      </c>
      <c r="U12" s="614">
        <v>1</v>
      </c>
      <c r="V12" s="636" t="s">
        <v>90</v>
      </c>
      <c r="W12" s="637">
        <f t="shared" si="1"/>
        <v>4</v>
      </c>
      <c r="X12" s="612"/>
      <c r="Y12" s="613">
        <f t="shared" si="2"/>
        <v>56</v>
      </c>
      <c r="Z12" s="614" t="s">
        <v>288</v>
      </c>
      <c r="AA12" s="615">
        <f t="shared" si="3"/>
        <v>41</v>
      </c>
      <c r="AB12" s="616">
        <f t="shared" si="4"/>
        <v>15</v>
      </c>
      <c r="AC12" s="617"/>
      <c r="AD12" s="618">
        <f t="shared" si="0"/>
        <v>58</v>
      </c>
      <c r="AE12" s="619" t="str">
        <f t="shared" si="5"/>
        <v>Henri Mitt</v>
      </c>
      <c r="AF12" s="620">
        <f>IFERROR(INDEX(M!$E:$E,MATCH(AE12,M!$B:$B,0)),"")</f>
        <v>58</v>
      </c>
    </row>
    <row r="13" spans="1:32" x14ac:dyDescent="0.2">
      <c r="A13" s="634">
        <v>6</v>
      </c>
      <c r="B13" s="635" t="s">
        <v>88</v>
      </c>
      <c r="C13" s="613">
        <v>8</v>
      </c>
      <c r="D13" s="614" t="s">
        <v>288</v>
      </c>
      <c r="E13" s="614">
        <v>13</v>
      </c>
      <c r="F13" s="636" t="s">
        <v>117</v>
      </c>
      <c r="G13" s="613">
        <v>7</v>
      </c>
      <c r="H13" s="614" t="s">
        <v>288</v>
      </c>
      <c r="I13" s="614">
        <v>13</v>
      </c>
      <c r="J13" s="636" t="s">
        <v>155</v>
      </c>
      <c r="K13" s="613">
        <v>13</v>
      </c>
      <c r="L13" s="614" t="s">
        <v>288</v>
      </c>
      <c r="M13" s="614">
        <v>5</v>
      </c>
      <c r="N13" s="636" t="s">
        <v>139</v>
      </c>
      <c r="O13" s="613">
        <v>13</v>
      </c>
      <c r="P13" s="614" t="s">
        <v>288</v>
      </c>
      <c r="Q13" s="614">
        <v>3</v>
      </c>
      <c r="R13" s="636" t="s">
        <v>100</v>
      </c>
      <c r="S13" s="613">
        <v>13</v>
      </c>
      <c r="T13" s="614" t="s">
        <v>288</v>
      </c>
      <c r="U13" s="614">
        <v>4</v>
      </c>
      <c r="V13" s="636" t="s">
        <v>541</v>
      </c>
      <c r="W13" s="637">
        <f t="shared" si="1"/>
        <v>3</v>
      </c>
      <c r="X13" s="612"/>
      <c r="Y13" s="613">
        <f t="shared" si="2"/>
        <v>54</v>
      </c>
      <c r="Z13" s="614" t="s">
        <v>288</v>
      </c>
      <c r="AA13" s="615">
        <f t="shared" si="3"/>
        <v>38</v>
      </c>
      <c r="AB13" s="616">
        <f t="shared" si="4"/>
        <v>16</v>
      </c>
      <c r="AC13" s="617"/>
      <c r="AD13" s="618">
        <f t="shared" si="0"/>
        <v>52</v>
      </c>
      <c r="AE13" s="619" t="str">
        <f t="shared" si="5"/>
        <v>Oleg Rõndenkov</v>
      </c>
      <c r="AF13" s="620">
        <f>IFERROR(INDEX(M!$E:$E,MATCH(AE13,M!$B:$B,0)),"")</f>
        <v>52</v>
      </c>
    </row>
    <row r="14" spans="1:32" x14ac:dyDescent="0.2">
      <c r="A14" s="634">
        <v>7</v>
      </c>
      <c r="B14" s="638" t="s">
        <v>95</v>
      </c>
      <c r="C14" s="613">
        <v>13</v>
      </c>
      <c r="D14" s="614" t="s">
        <v>288</v>
      </c>
      <c r="E14" s="614">
        <v>3</v>
      </c>
      <c r="F14" s="636" t="s">
        <v>116</v>
      </c>
      <c r="G14" s="613">
        <v>12</v>
      </c>
      <c r="H14" s="614" t="s">
        <v>288</v>
      </c>
      <c r="I14" s="614">
        <v>7</v>
      </c>
      <c r="J14" s="636" t="s">
        <v>96</v>
      </c>
      <c r="K14" s="613">
        <v>4</v>
      </c>
      <c r="L14" s="614" t="s">
        <v>288</v>
      </c>
      <c r="M14" s="614">
        <v>13</v>
      </c>
      <c r="N14" s="636" t="s">
        <v>102</v>
      </c>
      <c r="O14" s="613">
        <v>13</v>
      </c>
      <c r="P14" s="614" t="s">
        <v>288</v>
      </c>
      <c r="Q14" s="614">
        <v>4</v>
      </c>
      <c r="R14" s="636" t="s">
        <v>98</v>
      </c>
      <c r="S14" s="613">
        <v>10</v>
      </c>
      <c r="T14" s="614" t="s">
        <v>288</v>
      </c>
      <c r="U14" s="614">
        <v>13</v>
      </c>
      <c r="V14" s="636" t="s">
        <v>94</v>
      </c>
      <c r="W14" s="637">
        <f t="shared" si="1"/>
        <v>3</v>
      </c>
      <c r="X14" s="612"/>
      <c r="Y14" s="613">
        <f t="shared" si="2"/>
        <v>52</v>
      </c>
      <c r="Z14" s="614" t="s">
        <v>288</v>
      </c>
      <c r="AA14" s="615">
        <f t="shared" si="3"/>
        <v>40</v>
      </c>
      <c r="AB14" s="616">
        <f t="shared" si="4"/>
        <v>12</v>
      </c>
      <c r="AC14" s="617"/>
      <c r="AD14" s="618">
        <f t="shared" si="0"/>
        <v>108</v>
      </c>
      <c r="AE14" s="619" t="str">
        <f t="shared" si="5"/>
        <v>Aarne Välja</v>
      </c>
      <c r="AF14" s="620">
        <f>IFERROR(INDEX(M!$E:$E,MATCH(AE14,M!$B:$B,0)),"")</f>
        <v>108</v>
      </c>
    </row>
    <row r="15" spans="1:32" x14ac:dyDescent="0.2">
      <c r="A15" s="634">
        <v>8</v>
      </c>
      <c r="B15" s="638" t="s">
        <v>136</v>
      </c>
      <c r="C15" s="613">
        <v>9</v>
      </c>
      <c r="D15" s="614" t="s">
        <v>288</v>
      </c>
      <c r="E15" s="614">
        <v>13</v>
      </c>
      <c r="F15" s="636" t="s">
        <v>496</v>
      </c>
      <c r="G15" s="613">
        <v>13</v>
      </c>
      <c r="H15" s="614" t="s">
        <v>288</v>
      </c>
      <c r="I15" s="614">
        <v>3</v>
      </c>
      <c r="J15" s="636" t="s">
        <v>92</v>
      </c>
      <c r="K15" s="613">
        <v>9</v>
      </c>
      <c r="L15" s="614" t="s">
        <v>288</v>
      </c>
      <c r="M15" s="614">
        <v>13</v>
      </c>
      <c r="N15" s="636" t="s">
        <v>87</v>
      </c>
      <c r="O15" s="613">
        <v>12</v>
      </c>
      <c r="P15" s="614" t="s">
        <v>288</v>
      </c>
      <c r="Q15" s="614">
        <v>8</v>
      </c>
      <c r="R15" s="636" t="s">
        <v>109</v>
      </c>
      <c r="S15" s="613">
        <v>13</v>
      </c>
      <c r="T15" s="614" t="s">
        <v>288</v>
      </c>
      <c r="U15" s="614">
        <v>10</v>
      </c>
      <c r="V15" s="636" t="s">
        <v>96</v>
      </c>
      <c r="W15" s="637">
        <f t="shared" si="1"/>
        <v>3</v>
      </c>
      <c r="X15" s="612"/>
      <c r="Y15" s="613">
        <f t="shared" si="2"/>
        <v>56</v>
      </c>
      <c r="Z15" s="614" t="s">
        <v>288</v>
      </c>
      <c r="AA15" s="615">
        <f t="shared" si="3"/>
        <v>47</v>
      </c>
      <c r="AB15" s="616">
        <f t="shared" si="4"/>
        <v>9</v>
      </c>
      <c r="AC15" s="617"/>
      <c r="AD15" s="618">
        <f t="shared" si="0"/>
        <v>46</v>
      </c>
      <c r="AE15" s="619" t="str">
        <f t="shared" si="5"/>
        <v>Marko Rooden</v>
      </c>
      <c r="AF15" s="620">
        <f>IFERROR(INDEX(M!$E:$E,MATCH(AE15,M!$B:$B,0)),"")</f>
        <v>46</v>
      </c>
    </row>
    <row r="16" spans="1:32" x14ac:dyDescent="0.2">
      <c r="A16" s="634">
        <v>9</v>
      </c>
      <c r="B16" s="635" t="s">
        <v>102</v>
      </c>
      <c r="C16" s="613">
        <v>12</v>
      </c>
      <c r="D16" s="614" t="s">
        <v>288</v>
      </c>
      <c r="E16" s="614">
        <v>10</v>
      </c>
      <c r="F16" s="636" t="s">
        <v>471</v>
      </c>
      <c r="G16" s="613">
        <v>13</v>
      </c>
      <c r="H16" s="614" t="s">
        <v>288</v>
      </c>
      <c r="I16" s="614">
        <v>2</v>
      </c>
      <c r="J16" s="636" t="s">
        <v>109</v>
      </c>
      <c r="K16" s="613">
        <v>13</v>
      </c>
      <c r="L16" s="614" t="s">
        <v>288</v>
      </c>
      <c r="M16" s="614">
        <v>4</v>
      </c>
      <c r="N16" s="636" t="s">
        <v>95</v>
      </c>
      <c r="O16" s="613">
        <v>2</v>
      </c>
      <c r="P16" s="614" t="s">
        <v>288</v>
      </c>
      <c r="Q16" s="614">
        <v>13</v>
      </c>
      <c r="R16" s="636" t="s">
        <v>496</v>
      </c>
      <c r="S16" s="613">
        <v>8</v>
      </c>
      <c r="T16" s="614" t="s">
        <v>288</v>
      </c>
      <c r="U16" s="614">
        <v>13</v>
      </c>
      <c r="V16" s="636" t="s">
        <v>87</v>
      </c>
      <c r="W16" s="637">
        <f t="shared" si="1"/>
        <v>3</v>
      </c>
      <c r="X16" s="612"/>
      <c r="Y16" s="613">
        <f t="shared" si="2"/>
        <v>48</v>
      </c>
      <c r="Z16" s="614" t="s">
        <v>288</v>
      </c>
      <c r="AA16" s="615">
        <f t="shared" si="3"/>
        <v>42</v>
      </c>
      <c r="AB16" s="616">
        <f t="shared" si="4"/>
        <v>6</v>
      </c>
      <c r="AC16" s="617"/>
      <c r="AD16" s="618">
        <f t="shared" si="0"/>
        <v>49</v>
      </c>
      <c r="AE16" s="619" t="str">
        <f t="shared" si="5"/>
        <v>Vladimir Ogneštšikov</v>
      </c>
      <c r="AF16" s="620">
        <f>IFERROR(INDEX(M!$E:$E,MATCH(AE16,M!$B:$B,0)),"")</f>
        <v>49</v>
      </c>
    </row>
    <row r="17" spans="1:32" x14ac:dyDescent="0.2">
      <c r="A17" s="634">
        <v>10</v>
      </c>
      <c r="B17" s="635" t="s">
        <v>119</v>
      </c>
      <c r="C17" s="613">
        <v>13</v>
      </c>
      <c r="D17" s="614" t="s">
        <v>288</v>
      </c>
      <c r="E17" s="614">
        <v>10</v>
      </c>
      <c r="F17" s="636" t="s">
        <v>86</v>
      </c>
      <c r="G17" s="613">
        <v>13</v>
      </c>
      <c r="H17" s="614" t="s">
        <v>288</v>
      </c>
      <c r="I17" s="614">
        <v>8</v>
      </c>
      <c r="J17" s="636" t="s">
        <v>98</v>
      </c>
      <c r="K17" s="613">
        <v>9</v>
      </c>
      <c r="L17" s="614" t="s">
        <v>288</v>
      </c>
      <c r="M17" s="614">
        <v>13</v>
      </c>
      <c r="N17" s="636" t="s">
        <v>104</v>
      </c>
      <c r="O17" s="613">
        <v>8</v>
      </c>
      <c r="P17" s="614" t="s">
        <v>288</v>
      </c>
      <c r="Q17" s="614">
        <v>13</v>
      </c>
      <c r="R17" s="636" t="s">
        <v>90</v>
      </c>
      <c r="S17" s="613">
        <v>13</v>
      </c>
      <c r="T17" s="614" t="s">
        <v>288</v>
      </c>
      <c r="U17" s="614">
        <v>12</v>
      </c>
      <c r="V17" s="636" t="s">
        <v>155</v>
      </c>
      <c r="W17" s="637">
        <f t="shared" si="1"/>
        <v>3</v>
      </c>
      <c r="X17" s="612"/>
      <c r="Y17" s="613">
        <f t="shared" si="2"/>
        <v>56</v>
      </c>
      <c r="Z17" s="614" t="s">
        <v>288</v>
      </c>
      <c r="AA17" s="615">
        <f t="shared" si="3"/>
        <v>56</v>
      </c>
      <c r="AB17" s="616">
        <f t="shared" si="4"/>
        <v>0</v>
      </c>
      <c r="AC17" s="617"/>
      <c r="AD17" s="618">
        <f t="shared" si="0"/>
        <v>102</v>
      </c>
      <c r="AE17" s="619" t="str">
        <f t="shared" si="5"/>
        <v>Viktor Švarõgin</v>
      </c>
      <c r="AF17" s="620">
        <f>IFERROR(INDEX(M!$E:$E,MATCH(AE17,M!$B:$B,0)),"")</f>
        <v>102</v>
      </c>
    </row>
    <row r="18" spans="1:32" x14ac:dyDescent="0.2">
      <c r="A18" s="634">
        <v>11</v>
      </c>
      <c r="B18" s="635" t="s">
        <v>86</v>
      </c>
      <c r="C18" s="613">
        <v>10</v>
      </c>
      <c r="D18" s="614" t="s">
        <v>288</v>
      </c>
      <c r="E18" s="614">
        <v>13</v>
      </c>
      <c r="F18" s="636" t="s">
        <v>119</v>
      </c>
      <c r="G18" s="613">
        <v>3</v>
      </c>
      <c r="H18" s="614" t="s">
        <v>288</v>
      </c>
      <c r="I18" s="614">
        <v>13</v>
      </c>
      <c r="J18" s="636" t="s">
        <v>87</v>
      </c>
      <c r="K18" s="613">
        <v>13</v>
      </c>
      <c r="L18" s="614" t="s">
        <v>288</v>
      </c>
      <c r="M18" s="614">
        <v>9</v>
      </c>
      <c r="N18" s="636" t="s">
        <v>92</v>
      </c>
      <c r="O18" s="613">
        <v>13</v>
      </c>
      <c r="P18" s="614" t="s">
        <v>288</v>
      </c>
      <c r="Q18" s="614">
        <v>7</v>
      </c>
      <c r="R18" s="636" t="s">
        <v>117</v>
      </c>
      <c r="S18" s="613">
        <v>13</v>
      </c>
      <c r="T18" s="614" t="s">
        <v>288</v>
      </c>
      <c r="U18" s="614">
        <v>11</v>
      </c>
      <c r="V18" s="636" t="s">
        <v>116</v>
      </c>
      <c r="W18" s="637">
        <f t="shared" si="1"/>
        <v>3</v>
      </c>
      <c r="X18" s="612"/>
      <c r="Y18" s="613">
        <f t="shared" si="2"/>
        <v>52</v>
      </c>
      <c r="Z18" s="614" t="s">
        <v>288</v>
      </c>
      <c r="AA18" s="615">
        <f t="shared" si="3"/>
        <v>53</v>
      </c>
      <c r="AB18" s="616">
        <f t="shared" si="4"/>
        <v>-1</v>
      </c>
      <c r="AC18" s="617"/>
      <c r="AD18" s="618">
        <f t="shared" si="0"/>
        <v>30</v>
      </c>
      <c r="AE18" s="619" t="str">
        <f t="shared" si="5"/>
        <v>Jaan Sepp</v>
      </c>
      <c r="AF18" s="620">
        <f>IFERROR(INDEX(M!$E:$E,MATCH(AE18,M!$B:$B,0)),"")</f>
        <v>30</v>
      </c>
    </row>
    <row r="19" spans="1:32" x14ac:dyDescent="0.2">
      <c r="A19" s="634">
        <v>12</v>
      </c>
      <c r="B19" s="635" t="s">
        <v>98</v>
      </c>
      <c r="C19" s="613">
        <v>13</v>
      </c>
      <c r="D19" s="614" t="s">
        <v>288</v>
      </c>
      <c r="E19" s="614">
        <v>9</v>
      </c>
      <c r="F19" s="636" t="s">
        <v>155</v>
      </c>
      <c r="G19" s="613">
        <v>8</v>
      </c>
      <c r="H19" s="614" t="s">
        <v>288</v>
      </c>
      <c r="I19" s="614">
        <v>13</v>
      </c>
      <c r="J19" s="636" t="s">
        <v>119</v>
      </c>
      <c r="K19" s="613">
        <v>13</v>
      </c>
      <c r="L19" s="614" t="s">
        <v>288</v>
      </c>
      <c r="M19" s="614">
        <v>7</v>
      </c>
      <c r="N19" s="636" t="s">
        <v>118</v>
      </c>
      <c r="O19" s="613">
        <v>4</v>
      </c>
      <c r="P19" s="614" t="s">
        <v>288</v>
      </c>
      <c r="Q19" s="614">
        <v>13</v>
      </c>
      <c r="R19" s="636" t="s">
        <v>95</v>
      </c>
      <c r="S19" s="613">
        <v>13</v>
      </c>
      <c r="T19" s="614" t="s">
        <v>288</v>
      </c>
      <c r="U19" s="614">
        <v>11</v>
      </c>
      <c r="V19" s="636" t="s">
        <v>109</v>
      </c>
      <c r="W19" s="637">
        <f t="shared" si="1"/>
        <v>3</v>
      </c>
      <c r="X19" s="612"/>
      <c r="Y19" s="613">
        <f t="shared" si="2"/>
        <v>51</v>
      </c>
      <c r="Z19" s="614" t="s">
        <v>288</v>
      </c>
      <c r="AA19" s="615">
        <f t="shared" si="3"/>
        <v>53</v>
      </c>
      <c r="AB19" s="616">
        <f t="shared" si="4"/>
        <v>-2</v>
      </c>
      <c r="AC19" s="573"/>
      <c r="AD19" s="618">
        <f t="shared" si="0"/>
        <v>22</v>
      </c>
      <c r="AE19" s="619" t="str">
        <f t="shared" si="5"/>
        <v>Svetlana Veski</v>
      </c>
      <c r="AF19" s="620">
        <f>IFERROR(INDEX(M!$E:$E,MATCH(AE19,M!$B:$B,0)),"")</f>
        <v>22</v>
      </c>
    </row>
    <row r="20" spans="1:32" x14ac:dyDescent="0.2">
      <c r="A20" s="634">
        <v>13</v>
      </c>
      <c r="B20" s="635" t="s">
        <v>90</v>
      </c>
      <c r="C20" s="613">
        <v>13</v>
      </c>
      <c r="D20" s="614" t="s">
        <v>288</v>
      </c>
      <c r="E20" s="614">
        <v>11</v>
      </c>
      <c r="F20" s="636" t="s">
        <v>87</v>
      </c>
      <c r="G20" s="613">
        <v>6</v>
      </c>
      <c r="H20" s="614" t="s">
        <v>288</v>
      </c>
      <c r="I20" s="614">
        <v>13</v>
      </c>
      <c r="J20" s="640" t="s">
        <v>471</v>
      </c>
      <c r="K20" s="613">
        <v>7</v>
      </c>
      <c r="L20" s="614" t="s">
        <v>288</v>
      </c>
      <c r="M20" s="614">
        <v>6</v>
      </c>
      <c r="N20" s="636" t="s">
        <v>100</v>
      </c>
      <c r="O20" s="613">
        <v>13</v>
      </c>
      <c r="P20" s="614" t="s">
        <v>288</v>
      </c>
      <c r="Q20" s="614">
        <v>8</v>
      </c>
      <c r="R20" s="636" t="s">
        <v>119</v>
      </c>
      <c r="S20" s="613">
        <v>1</v>
      </c>
      <c r="T20" s="614" t="s">
        <v>288</v>
      </c>
      <c r="U20" s="614">
        <v>13</v>
      </c>
      <c r="V20" s="636" t="s">
        <v>104</v>
      </c>
      <c r="W20" s="637">
        <f t="shared" si="1"/>
        <v>3</v>
      </c>
      <c r="X20" s="612"/>
      <c r="Y20" s="613">
        <f t="shared" si="2"/>
        <v>40</v>
      </c>
      <c r="Z20" s="614" t="s">
        <v>288</v>
      </c>
      <c r="AA20" s="615">
        <f t="shared" si="3"/>
        <v>51</v>
      </c>
      <c r="AB20" s="616">
        <f t="shared" si="4"/>
        <v>-11</v>
      </c>
      <c r="AC20" s="573"/>
      <c r="AD20" s="618">
        <f t="shared" si="0"/>
        <v>78</v>
      </c>
      <c r="AE20" s="619" t="str">
        <f t="shared" si="5"/>
        <v>Kenneth Muusikus</v>
      </c>
      <c r="AF20" s="620">
        <f>IFERROR(INDEX(M!$E:$E,MATCH(AE20,M!$B:$B,0)),"")</f>
        <v>78</v>
      </c>
    </row>
    <row r="21" spans="1:32" x14ac:dyDescent="0.2">
      <c r="A21" s="634">
        <v>14</v>
      </c>
      <c r="B21" s="635" t="s">
        <v>96</v>
      </c>
      <c r="C21" s="613">
        <v>13</v>
      </c>
      <c r="D21" s="614" t="s">
        <v>288</v>
      </c>
      <c r="E21" s="614">
        <v>3</v>
      </c>
      <c r="F21" s="636" t="s">
        <v>100</v>
      </c>
      <c r="G21" s="613">
        <v>7</v>
      </c>
      <c r="H21" s="614" t="s">
        <v>288</v>
      </c>
      <c r="I21" s="614">
        <v>12</v>
      </c>
      <c r="J21" s="636" t="s">
        <v>95</v>
      </c>
      <c r="K21" s="613">
        <v>13</v>
      </c>
      <c r="L21" s="614" t="s">
        <v>288</v>
      </c>
      <c r="M21" s="614">
        <v>9</v>
      </c>
      <c r="N21" s="636" t="s">
        <v>471</v>
      </c>
      <c r="O21" s="613">
        <v>10</v>
      </c>
      <c r="P21" s="614" t="s">
        <v>288</v>
      </c>
      <c r="Q21" s="614">
        <v>13</v>
      </c>
      <c r="R21" s="636" t="s">
        <v>87</v>
      </c>
      <c r="S21" s="613">
        <v>10</v>
      </c>
      <c r="T21" s="614" t="s">
        <v>288</v>
      </c>
      <c r="U21" s="614">
        <v>13</v>
      </c>
      <c r="V21" s="636" t="s">
        <v>136</v>
      </c>
      <c r="W21" s="637">
        <f t="shared" si="1"/>
        <v>2</v>
      </c>
      <c r="X21" s="612"/>
      <c r="Y21" s="613">
        <f t="shared" si="2"/>
        <v>53</v>
      </c>
      <c r="Z21" s="614" t="s">
        <v>288</v>
      </c>
      <c r="AA21" s="615">
        <f t="shared" si="3"/>
        <v>50</v>
      </c>
      <c r="AB21" s="616">
        <f t="shared" si="4"/>
        <v>3</v>
      </c>
      <c r="AC21" s="573"/>
      <c r="AD21" s="618">
        <f t="shared" si="0"/>
        <v>22</v>
      </c>
      <c r="AE21" s="619" t="str">
        <f t="shared" si="5"/>
        <v>Boriss Klubov</v>
      </c>
      <c r="AF21" s="620">
        <f>IFERROR(INDEX(M!$E:$E,MATCH(AE21,M!$B:$B,0)),"")</f>
        <v>22</v>
      </c>
    </row>
    <row r="22" spans="1:32" x14ac:dyDescent="0.2">
      <c r="A22" s="634">
        <v>15</v>
      </c>
      <c r="B22" s="635" t="s">
        <v>155</v>
      </c>
      <c r="C22" s="613">
        <v>9</v>
      </c>
      <c r="D22" s="614" t="s">
        <v>288</v>
      </c>
      <c r="E22" s="614">
        <v>13</v>
      </c>
      <c r="F22" s="636" t="s">
        <v>98</v>
      </c>
      <c r="G22" s="613">
        <v>13</v>
      </c>
      <c r="H22" s="614" t="s">
        <v>288</v>
      </c>
      <c r="I22" s="614">
        <v>7</v>
      </c>
      <c r="J22" s="636" t="s">
        <v>88</v>
      </c>
      <c r="K22" s="613">
        <v>5</v>
      </c>
      <c r="L22" s="614" t="s">
        <v>288</v>
      </c>
      <c r="M22" s="614">
        <v>13</v>
      </c>
      <c r="N22" s="636" t="s">
        <v>12</v>
      </c>
      <c r="O22" s="613">
        <v>13</v>
      </c>
      <c r="P22" s="614" t="s">
        <v>288</v>
      </c>
      <c r="Q22" s="614">
        <v>4</v>
      </c>
      <c r="R22" s="636" t="s">
        <v>118</v>
      </c>
      <c r="S22" s="613">
        <v>12</v>
      </c>
      <c r="T22" s="614" t="s">
        <v>288</v>
      </c>
      <c r="U22" s="614">
        <v>13</v>
      </c>
      <c r="V22" s="636" t="s">
        <v>119</v>
      </c>
      <c r="W22" s="637">
        <f t="shared" si="1"/>
        <v>2</v>
      </c>
      <c r="X22" s="612"/>
      <c r="Y22" s="613">
        <f t="shared" si="2"/>
        <v>52</v>
      </c>
      <c r="Z22" s="614" t="s">
        <v>288</v>
      </c>
      <c r="AA22" s="615">
        <f t="shared" si="3"/>
        <v>50</v>
      </c>
      <c r="AB22" s="616">
        <f t="shared" si="4"/>
        <v>2</v>
      </c>
      <c r="AC22" s="573"/>
      <c r="AD22" s="618">
        <f t="shared" si="0"/>
        <v>4</v>
      </c>
      <c r="AE22" s="619" t="str">
        <f t="shared" si="5"/>
        <v>Marta Bernat</v>
      </c>
      <c r="AF22" s="620">
        <f>IFERROR(INDEX(M!$E:$E,MATCH(AE22,M!$B:$B,0)),"")</f>
        <v>4</v>
      </c>
    </row>
    <row r="23" spans="1:32" x14ac:dyDescent="0.2">
      <c r="A23" s="634">
        <v>16</v>
      </c>
      <c r="B23" s="635" t="s">
        <v>541</v>
      </c>
      <c r="C23" s="613">
        <v>13</v>
      </c>
      <c r="D23" s="614" t="s">
        <v>288</v>
      </c>
      <c r="E23" s="614">
        <v>7</v>
      </c>
      <c r="F23" s="636" t="s">
        <v>291</v>
      </c>
      <c r="G23" s="613">
        <v>10</v>
      </c>
      <c r="H23" s="614" t="s">
        <v>288</v>
      </c>
      <c r="I23" s="614">
        <v>13</v>
      </c>
      <c r="J23" s="636" t="s">
        <v>104</v>
      </c>
      <c r="K23" s="613">
        <v>8</v>
      </c>
      <c r="L23" s="614" t="s">
        <v>288</v>
      </c>
      <c r="M23" s="614">
        <v>13</v>
      </c>
      <c r="N23" s="636" t="s">
        <v>116</v>
      </c>
      <c r="O23" s="613">
        <v>13</v>
      </c>
      <c r="P23" s="614" t="s">
        <v>288</v>
      </c>
      <c r="Q23" s="614">
        <v>2</v>
      </c>
      <c r="R23" s="636" t="s">
        <v>471</v>
      </c>
      <c r="S23" s="613">
        <v>4</v>
      </c>
      <c r="T23" s="614" t="s">
        <v>288</v>
      </c>
      <c r="U23" s="614">
        <v>13</v>
      </c>
      <c r="V23" s="636" t="s">
        <v>88</v>
      </c>
      <c r="W23" s="637">
        <f t="shared" si="1"/>
        <v>2</v>
      </c>
      <c r="X23" s="612"/>
      <c r="Y23" s="613">
        <f t="shared" si="2"/>
        <v>48</v>
      </c>
      <c r="Z23" s="614" t="s">
        <v>288</v>
      </c>
      <c r="AA23" s="615">
        <f t="shared" si="3"/>
        <v>48</v>
      </c>
      <c r="AB23" s="616">
        <f t="shared" si="4"/>
        <v>0</v>
      </c>
      <c r="AC23" s="573"/>
      <c r="AD23" s="618">
        <f t="shared" si="0"/>
        <v>2</v>
      </c>
      <c r="AE23" s="619" t="str">
        <f t="shared" si="5"/>
        <v>Veronika Pirk</v>
      </c>
      <c r="AF23" s="620">
        <f>IFERROR(INDEX(M!$E:$E,MATCH(AE23,M!$B:$B,0)),"")</f>
        <v>2</v>
      </c>
    </row>
    <row r="24" spans="1:32" x14ac:dyDescent="0.2">
      <c r="A24" s="634">
        <v>17</v>
      </c>
      <c r="B24" s="635" t="s">
        <v>92</v>
      </c>
      <c r="C24" s="613">
        <v>10</v>
      </c>
      <c r="D24" s="614" t="s">
        <v>288</v>
      </c>
      <c r="E24" s="614">
        <v>13</v>
      </c>
      <c r="F24" s="636" t="s">
        <v>109</v>
      </c>
      <c r="G24" s="613">
        <v>3</v>
      </c>
      <c r="H24" s="614" t="s">
        <v>288</v>
      </c>
      <c r="I24" s="614">
        <v>13</v>
      </c>
      <c r="J24" s="636" t="s">
        <v>136</v>
      </c>
      <c r="K24" s="613">
        <v>9</v>
      </c>
      <c r="L24" s="614" t="s">
        <v>288</v>
      </c>
      <c r="M24" s="614">
        <v>13</v>
      </c>
      <c r="N24" s="636" t="s">
        <v>86</v>
      </c>
      <c r="O24" s="613">
        <v>13</v>
      </c>
      <c r="P24" s="614" t="s">
        <v>288</v>
      </c>
      <c r="Q24" s="614">
        <v>2</v>
      </c>
      <c r="R24" s="636" t="s">
        <v>539</v>
      </c>
      <c r="S24" s="613">
        <v>13</v>
      </c>
      <c r="T24" s="614" t="s">
        <v>288</v>
      </c>
      <c r="U24" s="614">
        <v>8</v>
      </c>
      <c r="V24" s="636" t="s">
        <v>471</v>
      </c>
      <c r="W24" s="637">
        <f t="shared" si="1"/>
        <v>2</v>
      </c>
      <c r="X24" s="612"/>
      <c r="Y24" s="613">
        <f t="shared" si="2"/>
        <v>48</v>
      </c>
      <c r="Z24" s="614" t="s">
        <v>288</v>
      </c>
      <c r="AA24" s="615">
        <f t="shared" si="3"/>
        <v>49</v>
      </c>
      <c r="AB24" s="616">
        <f t="shared" si="4"/>
        <v>-1</v>
      </c>
      <c r="AC24" s="573"/>
      <c r="AD24" s="618">
        <f t="shared" si="0"/>
        <v>81</v>
      </c>
      <c r="AE24" s="619" t="str">
        <f t="shared" si="5"/>
        <v>Andres Veski</v>
      </c>
      <c r="AF24" s="620">
        <f>IFERROR(INDEX(M!$E:$E,MATCH(AE24,M!$B:$B,0)),"")</f>
        <v>81</v>
      </c>
    </row>
    <row r="25" spans="1:32" x14ac:dyDescent="0.2">
      <c r="A25" s="634">
        <v>18</v>
      </c>
      <c r="B25" s="635" t="s">
        <v>139</v>
      </c>
      <c r="C25" s="613">
        <v>8</v>
      </c>
      <c r="D25" s="614" t="s">
        <v>288</v>
      </c>
      <c r="E25" s="614">
        <v>13</v>
      </c>
      <c r="F25" s="636" t="s">
        <v>104</v>
      </c>
      <c r="G25" s="613">
        <v>7</v>
      </c>
      <c r="H25" s="614" t="s">
        <v>288</v>
      </c>
      <c r="I25" s="614">
        <v>13</v>
      </c>
      <c r="J25" s="636" t="s">
        <v>12</v>
      </c>
      <c r="K25" s="613">
        <v>5</v>
      </c>
      <c r="L25" s="614" t="s">
        <v>288</v>
      </c>
      <c r="M25" s="614">
        <v>13</v>
      </c>
      <c r="N25" s="636" t="s">
        <v>88</v>
      </c>
      <c r="O25" s="613">
        <v>13</v>
      </c>
      <c r="P25" s="614" t="s">
        <v>288</v>
      </c>
      <c r="Q25" s="614">
        <v>7</v>
      </c>
      <c r="R25" s="636" t="s">
        <v>291</v>
      </c>
      <c r="S25" s="613">
        <v>13</v>
      </c>
      <c r="T25" s="614" t="s">
        <v>288</v>
      </c>
      <c r="U25" s="614">
        <v>5</v>
      </c>
      <c r="V25" s="636" t="s">
        <v>118</v>
      </c>
      <c r="W25" s="637">
        <f t="shared" si="1"/>
        <v>2</v>
      </c>
      <c r="X25" s="612"/>
      <c r="Y25" s="613">
        <f t="shared" si="2"/>
        <v>46</v>
      </c>
      <c r="Z25" s="614" t="s">
        <v>288</v>
      </c>
      <c r="AA25" s="615">
        <f t="shared" si="3"/>
        <v>51</v>
      </c>
      <c r="AB25" s="616">
        <f t="shared" si="4"/>
        <v>-5</v>
      </c>
      <c r="AC25" s="573"/>
      <c r="AD25" s="618">
        <f t="shared" si="0"/>
        <v>18</v>
      </c>
      <c r="AE25" s="619" t="str">
        <f t="shared" si="5"/>
        <v>Sander Rose</v>
      </c>
      <c r="AF25" s="620">
        <f>IFERROR(INDEX(M!$E:$E,MATCH(AE25,M!$B:$B,0)),"")</f>
        <v>18</v>
      </c>
    </row>
    <row r="26" spans="1:32" x14ac:dyDescent="0.2">
      <c r="A26" s="634">
        <v>19</v>
      </c>
      <c r="B26" s="635" t="s">
        <v>116</v>
      </c>
      <c r="C26" s="613">
        <v>3</v>
      </c>
      <c r="D26" s="614" t="s">
        <v>288</v>
      </c>
      <c r="E26" s="614">
        <v>13</v>
      </c>
      <c r="F26" s="636" t="s">
        <v>95</v>
      </c>
      <c r="G26" s="613">
        <v>13</v>
      </c>
      <c r="H26" s="614" t="s">
        <v>288</v>
      </c>
      <c r="I26" s="614">
        <v>0</v>
      </c>
      <c r="J26" s="636" t="s">
        <v>539</v>
      </c>
      <c r="K26" s="613">
        <v>13</v>
      </c>
      <c r="L26" s="614" t="s">
        <v>288</v>
      </c>
      <c r="M26" s="614">
        <v>8</v>
      </c>
      <c r="N26" s="636" t="s">
        <v>541</v>
      </c>
      <c r="O26" s="613">
        <v>2</v>
      </c>
      <c r="P26" s="614" t="s">
        <v>288</v>
      </c>
      <c r="Q26" s="614">
        <v>13</v>
      </c>
      <c r="R26" s="636" t="s">
        <v>12</v>
      </c>
      <c r="S26" s="613">
        <v>11</v>
      </c>
      <c r="T26" s="614" t="s">
        <v>288</v>
      </c>
      <c r="U26" s="614">
        <v>13</v>
      </c>
      <c r="V26" s="636" t="s">
        <v>86</v>
      </c>
      <c r="W26" s="637">
        <f t="shared" si="1"/>
        <v>2</v>
      </c>
      <c r="X26" s="612"/>
      <c r="Y26" s="613">
        <f t="shared" ref="Y26:Y32" si="6">C26+G26+K26+O26+S26</f>
        <v>42</v>
      </c>
      <c r="Z26" s="614" t="s">
        <v>288</v>
      </c>
      <c r="AA26" s="615">
        <f t="shared" ref="AA26:AA32" si="7">E26+I26+M26+Q26+U26</f>
        <v>47</v>
      </c>
      <c r="AB26" s="616">
        <f t="shared" si="4"/>
        <v>-5</v>
      </c>
      <c r="AC26" s="573"/>
      <c r="AD26" s="618">
        <f t="shared" ref="AD26:AD32" si="8">SUM(AF26:AF26)</f>
        <v>47</v>
      </c>
      <c r="AE26" s="619" t="str">
        <f t="shared" si="5"/>
        <v>Kaspar Mänd</v>
      </c>
      <c r="AF26" s="620">
        <f>IFERROR(INDEX(M!$E:$E,MATCH(AE26,M!$B:$B,0)),"")</f>
        <v>47</v>
      </c>
    </row>
    <row r="27" spans="1:32" x14ac:dyDescent="0.2">
      <c r="A27" s="634">
        <v>20</v>
      </c>
      <c r="B27" s="635" t="s">
        <v>109</v>
      </c>
      <c r="C27" s="613">
        <v>13</v>
      </c>
      <c r="D27" s="614" t="s">
        <v>288</v>
      </c>
      <c r="E27" s="614">
        <v>10</v>
      </c>
      <c r="F27" s="636" t="s">
        <v>92</v>
      </c>
      <c r="G27" s="613">
        <v>2</v>
      </c>
      <c r="H27" s="614" t="s">
        <v>288</v>
      </c>
      <c r="I27" s="614">
        <v>13</v>
      </c>
      <c r="J27" s="636" t="s">
        <v>102</v>
      </c>
      <c r="K27" s="613">
        <v>13</v>
      </c>
      <c r="L27" s="614" t="s">
        <v>288</v>
      </c>
      <c r="M27" s="614">
        <v>10</v>
      </c>
      <c r="N27" s="636" t="s">
        <v>117</v>
      </c>
      <c r="O27" s="613">
        <v>8</v>
      </c>
      <c r="P27" s="614" t="s">
        <v>288</v>
      </c>
      <c r="Q27" s="614">
        <v>12</v>
      </c>
      <c r="R27" s="636" t="s">
        <v>136</v>
      </c>
      <c r="S27" s="613">
        <v>11</v>
      </c>
      <c r="T27" s="614" t="s">
        <v>288</v>
      </c>
      <c r="U27" s="614">
        <v>13</v>
      </c>
      <c r="V27" s="636" t="s">
        <v>98</v>
      </c>
      <c r="W27" s="637">
        <f t="shared" si="1"/>
        <v>2</v>
      </c>
      <c r="X27" s="612"/>
      <c r="Y27" s="613">
        <f t="shared" si="6"/>
        <v>47</v>
      </c>
      <c r="Z27" s="614" t="s">
        <v>288</v>
      </c>
      <c r="AA27" s="615">
        <f t="shared" si="7"/>
        <v>58</v>
      </c>
      <c r="AB27" s="616">
        <f t="shared" si="4"/>
        <v>-11</v>
      </c>
      <c r="AC27" s="573"/>
      <c r="AD27" s="618">
        <f t="shared" si="8"/>
        <v>14</v>
      </c>
      <c r="AE27" s="619" t="str">
        <f t="shared" si="5"/>
        <v>Enn Tokman</v>
      </c>
      <c r="AF27" s="620">
        <f>IFERROR(INDEX(M!$E:$E,MATCH(AE27,M!$B:$B,0)),"")</f>
        <v>14</v>
      </c>
    </row>
    <row r="28" spans="1:32" x14ac:dyDescent="0.2">
      <c r="A28" s="634">
        <v>21</v>
      </c>
      <c r="B28" s="635" t="s">
        <v>117</v>
      </c>
      <c r="C28" s="613">
        <v>13</v>
      </c>
      <c r="D28" s="614" t="s">
        <v>288</v>
      </c>
      <c r="E28" s="614">
        <v>8</v>
      </c>
      <c r="F28" s="636" t="s">
        <v>88</v>
      </c>
      <c r="G28" s="613">
        <v>0</v>
      </c>
      <c r="H28" s="614" t="s">
        <v>288</v>
      </c>
      <c r="I28" s="614">
        <v>13</v>
      </c>
      <c r="J28" s="636" t="s">
        <v>496</v>
      </c>
      <c r="K28" s="613">
        <v>10</v>
      </c>
      <c r="L28" s="614" t="s">
        <v>288</v>
      </c>
      <c r="M28" s="614">
        <v>13</v>
      </c>
      <c r="N28" s="636" t="s">
        <v>109</v>
      </c>
      <c r="O28" s="613">
        <v>7</v>
      </c>
      <c r="P28" s="614" t="s">
        <v>288</v>
      </c>
      <c r="Q28" s="614">
        <v>13</v>
      </c>
      <c r="R28" s="636" t="s">
        <v>86</v>
      </c>
      <c r="S28" s="613">
        <v>13</v>
      </c>
      <c r="T28" s="614" t="s">
        <v>288</v>
      </c>
      <c r="U28" s="614">
        <v>7</v>
      </c>
      <c r="V28" s="636" t="s">
        <v>291</v>
      </c>
      <c r="W28" s="637">
        <f t="shared" si="1"/>
        <v>2</v>
      </c>
      <c r="X28" s="612"/>
      <c r="Y28" s="613">
        <f t="shared" si="6"/>
        <v>43</v>
      </c>
      <c r="Z28" s="614" t="s">
        <v>288</v>
      </c>
      <c r="AA28" s="615">
        <f t="shared" si="7"/>
        <v>54</v>
      </c>
      <c r="AB28" s="616">
        <f t="shared" si="4"/>
        <v>-11</v>
      </c>
      <c r="AC28" s="573"/>
      <c r="AD28" s="618">
        <f t="shared" si="8"/>
        <v>1</v>
      </c>
      <c r="AE28" s="619" t="str">
        <f t="shared" si="5"/>
        <v>Lemmit Toomra</v>
      </c>
      <c r="AF28" s="620">
        <f>IFERROR(INDEX(M!$E:$E,MATCH(AE28,M!$B:$B,0)),"")</f>
        <v>1</v>
      </c>
    </row>
    <row r="29" spans="1:32" x14ac:dyDescent="0.2">
      <c r="A29" s="634">
        <v>22</v>
      </c>
      <c r="B29" s="635" t="s">
        <v>100</v>
      </c>
      <c r="C29" s="613">
        <v>3</v>
      </c>
      <c r="D29" s="614" t="s">
        <v>288</v>
      </c>
      <c r="E29" s="614">
        <v>13</v>
      </c>
      <c r="F29" s="636" t="s">
        <v>96</v>
      </c>
      <c r="G29" s="613">
        <v>13</v>
      </c>
      <c r="H29" s="614" t="s">
        <v>288</v>
      </c>
      <c r="I29" s="614">
        <v>7</v>
      </c>
      <c r="J29" s="636" t="s">
        <v>291</v>
      </c>
      <c r="K29" s="613">
        <v>6</v>
      </c>
      <c r="L29" s="614" t="s">
        <v>288</v>
      </c>
      <c r="M29" s="614">
        <v>7</v>
      </c>
      <c r="N29" s="636" t="s">
        <v>90</v>
      </c>
      <c r="O29" s="613">
        <v>3</v>
      </c>
      <c r="P29" s="614" t="s">
        <v>288</v>
      </c>
      <c r="Q29" s="614">
        <v>13</v>
      </c>
      <c r="R29" s="636" t="s">
        <v>88</v>
      </c>
      <c r="S29" s="613">
        <v>13</v>
      </c>
      <c r="T29" s="614" t="s">
        <v>288</v>
      </c>
      <c r="U29" s="614">
        <v>10</v>
      </c>
      <c r="V29" s="636" t="s">
        <v>539</v>
      </c>
      <c r="W29" s="637">
        <f t="shared" si="1"/>
        <v>2</v>
      </c>
      <c r="X29" s="612"/>
      <c r="Y29" s="613">
        <f t="shared" si="6"/>
        <v>38</v>
      </c>
      <c r="Z29" s="614" t="s">
        <v>288</v>
      </c>
      <c r="AA29" s="615">
        <f t="shared" si="7"/>
        <v>50</v>
      </c>
      <c r="AB29" s="616">
        <f t="shared" si="4"/>
        <v>-12</v>
      </c>
      <c r="AC29" s="573"/>
      <c r="AD29" s="618">
        <f t="shared" si="8"/>
        <v>1</v>
      </c>
      <c r="AE29" s="619" t="str">
        <f t="shared" si="5"/>
        <v>Tõnu Kapper</v>
      </c>
      <c r="AF29" s="620">
        <f>IFERROR(INDEX(M!$E:$E,MATCH(AE29,M!$B:$B,0)),"")</f>
        <v>1</v>
      </c>
    </row>
    <row r="30" spans="1:32" x14ac:dyDescent="0.2">
      <c r="A30" s="634">
        <v>23</v>
      </c>
      <c r="B30" s="635" t="s">
        <v>471</v>
      </c>
      <c r="C30" s="613">
        <v>10</v>
      </c>
      <c r="D30" s="614" t="s">
        <v>288</v>
      </c>
      <c r="E30" s="614">
        <v>12</v>
      </c>
      <c r="F30" s="636" t="s">
        <v>102</v>
      </c>
      <c r="G30" s="613">
        <v>13</v>
      </c>
      <c r="H30" s="614" t="s">
        <v>288</v>
      </c>
      <c r="I30" s="614">
        <v>6</v>
      </c>
      <c r="J30" s="636" t="s">
        <v>90</v>
      </c>
      <c r="K30" s="613">
        <v>9</v>
      </c>
      <c r="L30" s="614" t="s">
        <v>288</v>
      </c>
      <c r="M30" s="614">
        <v>13</v>
      </c>
      <c r="N30" s="636" t="s">
        <v>96</v>
      </c>
      <c r="O30" s="613">
        <v>2</v>
      </c>
      <c r="P30" s="614" t="s">
        <v>288</v>
      </c>
      <c r="Q30" s="614">
        <v>13</v>
      </c>
      <c r="R30" s="636" t="s">
        <v>541</v>
      </c>
      <c r="S30" s="613">
        <v>8</v>
      </c>
      <c r="T30" s="614" t="s">
        <v>288</v>
      </c>
      <c r="U30" s="614">
        <v>13</v>
      </c>
      <c r="V30" s="636" t="s">
        <v>92</v>
      </c>
      <c r="W30" s="637">
        <f t="shared" si="1"/>
        <v>1</v>
      </c>
      <c r="X30" s="612"/>
      <c r="Y30" s="613">
        <f t="shared" si="6"/>
        <v>42</v>
      </c>
      <c r="Z30" s="614" t="s">
        <v>288</v>
      </c>
      <c r="AA30" s="615">
        <f t="shared" si="7"/>
        <v>57</v>
      </c>
      <c r="AB30" s="616">
        <f t="shared" si="4"/>
        <v>-15</v>
      </c>
      <c r="AC30" s="573"/>
      <c r="AD30" s="618">
        <f t="shared" si="8"/>
        <v>85</v>
      </c>
      <c r="AE30" s="619" t="str">
        <f t="shared" si="5"/>
        <v>Olav Türk</v>
      </c>
      <c r="AF30" s="620">
        <f>IFERROR(INDEX(M!$E:$E,MATCH(AE30,M!$B:$B,0)),"")</f>
        <v>85</v>
      </c>
    </row>
    <row r="31" spans="1:32" x14ac:dyDescent="0.2">
      <c r="A31" s="634">
        <v>24</v>
      </c>
      <c r="B31" s="635" t="s">
        <v>118</v>
      </c>
      <c r="C31" s="613">
        <v>13</v>
      </c>
      <c r="D31" s="614" t="s">
        <v>288</v>
      </c>
      <c r="E31" s="614">
        <v>5</v>
      </c>
      <c r="F31" s="636" t="s">
        <v>539</v>
      </c>
      <c r="G31" s="613">
        <v>4</v>
      </c>
      <c r="H31" s="614" t="s">
        <v>288</v>
      </c>
      <c r="I31" s="614">
        <v>13</v>
      </c>
      <c r="J31" s="636" t="s">
        <v>94</v>
      </c>
      <c r="K31" s="613">
        <v>7</v>
      </c>
      <c r="L31" s="614" t="s">
        <v>288</v>
      </c>
      <c r="M31" s="614">
        <v>13</v>
      </c>
      <c r="N31" s="636" t="s">
        <v>98</v>
      </c>
      <c r="O31" s="613">
        <v>4</v>
      </c>
      <c r="P31" s="614" t="s">
        <v>288</v>
      </c>
      <c r="Q31" s="614">
        <v>13</v>
      </c>
      <c r="R31" s="636" t="s">
        <v>155</v>
      </c>
      <c r="S31" s="613">
        <v>5</v>
      </c>
      <c r="T31" s="614" t="s">
        <v>288</v>
      </c>
      <c r="U31" s="614">
        <v>13</v>
      </c>
      <c r="V31" s="636" t="s">
        <v>139</v>
      </c>
      <c r="W31" s="637">
        <f t="shared" si="1"/>
        <v>1</v>
      </c>
      <c r="X31" s="612"/>
      <c r="Y31" s="613">
        <f t="shared" si="6"/>
        <v>33</v>
      </c>
      <c r="Z31" s="614" t="s">
        <v>288</v>
      </c>
      <c r="AA31" s="615">
        <f t="shared" si="7"/>
        <v>57</v>
      </c>
      <c r="AB31" s="616">
        <f t="shared" si="4"/>
        <v>-24</v>
      </c>
      <c r="AC31" s="573"/>
      <c r="AD31" s="618">
        <f t="shared" si="8"/>
        <v>39</v>
      </c>
      <c r="AE31" s="619" t="str">
        <f t="shared" si="5"/>
        <v>Ljudmila Varendi</v>
      </c>
      <c r="AF31" s="620">
        <f>IFERROR(INDEX(M!$E:$E,MATCH(AE31,M!$B:$B,0)),"")</f>
        <v>39</v>
      </c>
    </row>
    <row r="32" spans="1:32" x14ac:dyDescent="0.2">
      <c r="A32" s="634">
        <v>25</v>
      </c>
      <c r="B32" s="635" t="s">
        <v>539</v>
      </c>
      <c r="C32" s="613">
        <v>5</v>
      </c>
      <c r="D32" s="614" t="s">
        <v>288</v>
      </c>
      <c r="E32" s="614">
        <v>13</v>
      </c>
      <c r="F32" s="636" t="s">
        <v>118</v>
      </c>
      <c r="G32" s="613">
        <v>0</v>
      </c>
      <c r="H32" s="614" t="s">
        <v>288</v>
      </c>
      <c r="I32" s="614">
        <v>13</v>
      </c>
      <c r="J32" s="636" t="s">
        <v>116</v>
      </c>
      <c r="K32" s="613">
        <v>13</v>
      </c>
      <c r="L32" s="614" t="s">
        <v>288</v>
      </c>
      <c r="M32" s="614">
        <v>7</v>
      </c>
      <c r="N32" s="636" t="s">
        <v>291</v>
      </c>
      <c r="O32" s="613">
        <v>2</v>
      </c>
      <c r="P32" s="614" t="s">
        <v>288</v>
      </c>
      <c r="Q32" s="614">
        <v>13</v>
      </c>
      <c r="R32" s="636" t="s">
        <v>92</v>
      </c>
      <c r="S32" s="613">
        <v>10</v>
      </c>
      <c r="T32" s="614" t="s">
        <v>288</v>
      </c>
      <c r="U32" s="614">
        <v>13</v>
      </c>
      <c r="V32" s="636" t="s">
        <v>100</v>
      </c>
      <c r="W32" s="637">
        <f t="shared" si="1"/>
        <v>1</v>
      </c>
      <c r="X32" s="612"/>
      <c r="Y32" s="613">
        <f t="shared" si="6"/>
        <v>30</v>
      </c>
      <c r="Z32" s="614" t="s">
        <v>288</v>
      </c>
      <c r="AA32" s="615">
        <f t="shared" si="7"/>
        <v>59</v>
      </c>
      <c r="AB32" s="616">
        <f t="shared" si="4"/>
        <v>-29</v>
      </c>
      <c r="AC32" s="573"/>
      <c r="AD32" s="618">
        <f t="shared" si="8"/>
        <v>1</v>
      </c>
      <c r="AE32" s="619" t="str">
        <f t="shared" si="5"/>
        <v>Liis Mägi</v>
      </c>
      <c r="AF32" s="620">
        <f>IFERROR(INDEX(M!$E:$E,MATCH(AE32,M!$B:$B,0)),"")</f>
        <v>1</v>
      </c>
    </row>
    <row r="33" spans="1:32"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row>
    <row r="34" spans="1:32"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row>
    <row r="35" spans="1:32"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row>
    <row r="36" spans="1:32"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row>
    <row r="37" spans="1:32"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row>
    <row r="38" spans="1:32"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row>
    <row r="39" spans="1:32"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row>
    <row r="40" spans="1:32"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row>
    <row r="41" spans="1:32"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row>
    <row r="42" spans="1:32"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row>
    <row r="43" spans="1:32"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row>
    <row r="44" spans="1:32"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row>
    <row r="45" spans="1:32"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row>
    <row r="46" spans="1:32"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row>
    <row r="47" spans="1:32"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row>
    <row r="48" spans="1:32"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row>
    <row r="49" spans="1:32"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row>
    <row r="50" spans="1:32"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row>
    <row r="51" spans="1:32"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row>
    <row r="52" spans="1:32"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row>
    <row r="53" spans="1:32"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row>
    <row r="54" spans="1:32"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row>
    <row r="55" spans="1:32"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row>
    <row r="56" spans="1:32"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row>
    <row r="57" spans="1:32"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row>
    <row r="58" spans="1:32"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row>
    <row r="59" spans="1:32"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row>
    <row r="60" spans="1:32"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row>
    <row r="61" spans="1:32"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row>
    <row r="62" spans="1:32"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row>
    <row r="63" spans="1:32"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row>
    <row r="64" spans="1:32"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row>
    <row r="65" spans="1:32"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row>
    <row r="66" spans="1:32"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row>
    <row r="67" spans="1:32"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row>
    <row r="68" spans="1:32"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row>
    <row r="69" spans="1:32"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row>
    <row r="70" spans="1:32"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row>
    <row r="71" spans="1:32"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row>
    <row r="72" spans="1:32"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row>
    <row r="73" spans="1:32"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row>
    <row r="74" spans="1:32"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row>
    <row r="75" spans="1:32"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row>
    <row r="76" spans="1:32"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row>
    <row r="77" spans="1:32"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row>
    <row r="78" spans="1:32"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row>
    <row r="79" spans="1:32"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row>
    <row r="80" spans="1:32"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row>
    <row r="81" spans="1:32"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row>
    <row r="82" spans="1:32"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row>
    <row r="83" spans="1:32"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row>
    <row r="84" spans="1:32"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row>
    <row r="85" spans="1:32"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row>
    <row r="86" spans="1:32"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row>
    <row r="87" spans="1:32"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row>
    <row r="88" spans="1:32"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row>
    <row r="89" spans="1:32"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row>
    <row r="90" spans="1:32"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row>
    <row r="91" spans="1:32"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row>
    <row r="92" spans="1:32"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row>
    <row r="93" spans="1:32"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row>
    <row r="94" spans="1:32"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row>
    <row r="95" spans="1:32"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row>
    <row r="96" spans="1:32"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row>
    <row r="97" spans="1:32"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row>
    <row r="98" spans="1:32"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row>
    <row r="99" spans="1:32"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row>
    <row r="100" spans="1:32"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row>
    <row r="101" spans="1:32"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row>
    <row r="102" spans="1:32"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row>
    <row r="103" spans="1:32"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row>
    <row r="104" spans="1:32"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row>
    <row r="105" spans="1:32"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row>
    <row r="106" spans="1:32"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row>
    <row r="107" spans="1:32"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row>
    <row r="108" spans="1:32"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row>
    <row r="109" spans="1:32"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row>
    <row r="110" spans="1:32"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row>
    <row r="111" spans="1:32"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row>
    <row r="112" spans="1:32"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row>
    <row r="113" spans="1:32"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row>
    <row r="114" spans="1:32"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row>
    <row r="115" spans="1:32"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row>
    <row r="116" spans="1:32"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row>
    <row r="117" spans="1:32"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row>
    <row r="118" spans="1:32"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row>
    <row r="119" spans="1:32"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row>
    <row r="120" spans="1:32"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row>
    <row r="121" spans="1:32"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row>
    <row r="122" spans="1:32"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row>
    <row r="123" spans="1:32"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row>
    <row r="124" spans="1:32"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row>
    <row r="125" spans="1:32"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row>
    <row r="126" spans="1:32"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row>
    <row r="127" spans="1:32"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row>
    <row r="128" spans="1:32"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row>
    <row r="129" spans="1:32"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row>
    <row r="130" spans="1:32"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row>
    <row r="131" spans="1:32"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row>
    <row r="132" spans="1:32"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row>
    <row r="133" spans="1:32"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row>
    <row r="134" spans="1:32"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row>
    <row r="135" spans="1:32"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row>
    <row r="136" spans="1:32"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row>
    <row r="137" spans="1:32"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row>
    <row r="138" spans="1:32"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row>
    <row r="139" spans="1:32"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row>
    <row r="140" spans="1:32"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row>
    <row r="141" spans="1:32"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row>
    <row r="142" spans="1:32"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row>
    <row r="143" spans="1:32"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row>
    <row r="144" spans="1:32"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row>
    <row r="145" spans="1:32"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row>
    <row r="146" spans="1:32"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row>
    <row r="147" spans="1:32"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row>
    <row r="148" spans="1:32"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row>
    <row r="149" spans="1:32"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row>
    <row r="150" spans="1:32"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row>
    <row r="151" spans="1:32"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row>
    <row r="152" spans="1:32"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row>
    <row r="153" spans="1:32"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row>
    <row r="154" spans="1:32"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row>
    <row r="155" spans="1:32"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row>
    <row r="156" spans="1:32"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row>
    <row r="157" spans="1:32"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row>
    <row r="158" spans="1:32"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row>
    <row r="159" spans="1:32"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row>
    <row r="160" spans="1:32"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row>
    <row r="161" spans="1:32"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row>
    <row r="162" spans="1:32"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row>
    <row r="163" spans="1:32"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row>
    <row r="164" spans="1:32"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row>
    <row r="165" spans="1:32"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row>
    <row r="166" spans="1:32"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row>
    <row r="167" spans="1:32"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row>
    <row r="168" spans="1:32"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row>
    <row r="169" spans="1:32"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row>
    <row r="170" spans="1:32"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row>
    <row r="171" spans="1:32"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row>
    <row r="172" spans="1:32"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row>
    <row r="173" spans="1:32"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row>
    <row r="174" spans="1:32"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row>
    <row r="175" spans="1:32"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row>
    <row r="176" spans="1:32"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row>
    <row r="177" spans="1:32"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row>
    <row r="178" spans="1:32"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row>
    <row r="179" spans="1:32"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row>
    <row r="180" spans="1:32"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row>
    <row r="181" spans="1:32"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row>
    <row r="182" spans="1:32"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row>
    <row r="183" spans="1:32"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row>
    <row r="184" spans="1:32"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row>
    <row r="185" spans="1:32"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row>
    <row r="186" spans="1:32"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row>
    <row r="187" spans="1:32"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row>
    <row r="188" spans="1:32"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row>
    <row r="189" spans="1:32"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row>
    <row r="190" spans="1:32"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row>
    <row r="191" spans="1:32"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row>
    <row r="192" spans="1:32"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row>
    <row r="193" spans="1:32"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row>
    <row r="194" spans="1:32"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row>
    <row r="195" spans="1:32"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row>
    <row r="196" spans="1:32"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row>
    <row r="197" spans="1:32"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row>
    <row r="198" spans="1:32"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row>
    <row r="199" spans="1:32"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row>
    <row r="200" spans="1:32"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row>
    <row r="201" spans="1:32"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row>
    <row r="202" spans="1:32"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row>
    <row r="203" spans="1:32"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row>
    <row r="204" spans="1:32"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row>
    <row r="205" spans="1:32"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row>
    <row r="206" spans="1:32"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row>
    <row r="207" spans="1:32"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row>
    <row r="208" spans="1:32"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row>
    <row r="209" spans="1:32"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row>
    <row r="210" spans="1:32"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row>
    <row r="211" spans="1:32"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row>
    <row r="212" spans="1:32"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row>
    <row r="213" spans="1:32"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row>
    <row r="214" spans="1:32"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row>
    <row r="215" spans="1:32"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row>
    <row r="216" spans="1:32"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row>
    <row r="217" spans="1:32"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row>
    <row r="218" spans="1:32"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row>
    <row r="219" spans="1:32"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row>
    <row r="220" spans="1:32"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row>
    <row r="221" spans="1:32"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row>
    <row r="222" spans="1:32"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row>
    <row r="223" spans="1:32"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row>
    <row r="224" spans="1:32"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row>
    <row r="225" spans="1:32"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row>
    <row r="226" spans="1:32"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row>
    <row r="227" spans="1:32"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row>
    <row r="228" spans="1:32"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row>
    <row r="229" spans="1:32"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row>
    <row r="230" spans="1:32"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row>
    <row r="231" spans="1:32"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row>
    <row r="232" spans="1:32"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row>
    <row r="233" spans="1:32"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row>
    <row r="234" spans="1:32"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row>
    <row r="235" spans="1:32"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row>
    <row r="236" spans="1:32"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row>
    <row r="237" spans="1:32"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row>
    <row r="238" spans="1:32"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row>
    <row r="239" spans="1:32"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row>
    <row r="240" spans="1:32"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row>
    <row r="241" spans="1:32"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row>
    <row r="242" spans="1:32"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row>
    <row r="243" spans="1:32"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row>
    <row r="244" spans="1:32"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row>
    <row r="245" spans="1:32"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row>
    <row r="246" spans="1:32"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row>
    <row r="247" spans="1:32"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row>
    <row r="248" spans="1:32"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row>
    <row r="249" spans="1:32"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row>
    <row r="250" spans="1:32"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row>
    <row r="251" spans="1:32"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row>
    <row r="252" spans="1:32"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row>
    <row r="253" spans="1:32"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row>
    <row r="254" spans="1:32"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row>
    <row r="255" spans="1:32"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row>
    <row r="256" spans="1:32"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row>
    <row r="257" spans="1:32"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row>
    <row r="258" spans="1:32"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row>
    <row r="259" spans="1:32"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row>
    <row r="260" spans="1:32"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row>
    <row r="261" spans="1:32"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row>
    <row r="262" spans="1:32"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row>
    <row r="263" spans="1:32"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row>
    <row r="264" spans="1:32"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row>
    <row r="265" spans="1:32"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row>
    <row r="266" spans="1:32"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row>
    <row r="267" spans="1:32"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row>
    <row r="268" spans="1:32"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row>
    <row r="269" spans="1:32"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row>
    <row r="270" spans="1:32"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row>
    <row r="271" spans="1:32"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row>
    <row r="272" spans="1:32"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row>
    <row r="273" spans="1:32"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row>
    <row r="274" spans="1:32"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row>
    <row r="275" spans="1:32"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row>
    <row r="276" spans="1:32"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row>
    <row r="277" spans="1:32"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row>
    <row r="278" spans="1:32"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row>
    <row r="279" spans="1:32"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row>
    <row r="280" spans="1:32"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row>
    <row r="281" spans="1:32"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row>
    <row r="282" spans="1:32"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row>
    <row r="283" spans="1:32"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row>
    <row r="284" spans="1:32"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row>
    <row r="285" spans="1:32"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row>
    <row r="286" spans="1:32"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row>
    <row r="287" spans="1:32"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row>
    <row r="288" spans="1:32"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row>
    <row r="289" spans="1:32"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row>
    <row r="290" spans="1:32"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row>
    <row r="291" spans="1:32"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row>
    <row r="292" spans="1:32"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row>
    <row r="293" spans="1:32"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row>
    <row r="294" spans="1:32" hidden="1" x14ac:dyDescent="0.2"/>
    <row r="295" spans="1:32" hidden="1" x14ac:dyDescent="0.2"/>
    <row r="296" spans="1:32" hidden="1" x14ac:dyDescent="0.2"/>
    <row r="297" spans="1:32" hidden="1" x14ac:dyDescent="0.2"/>
    <row r="298" spans="1:32" hidden="1" x14ac:dyDescent="0.2"/>
    <row r="299" spans="1:32" x14ac:dyDescent="0.2">
      <c r="A299" s="573"/>
      <c r="B299" s="573"/>
      <c r="C299" s="584" t="s">
        <v>54</v>
      </c>
      <c r="F299" s="626"/>
    </row>
    <row r="300" spans="1:32" x14ac:dyDescent="0.2">
      <c r="A300" s="627">
        <v>1</v>
      </c>
      <c r="B300" s="628" t="str">
        <f t="shared" ref="B300:B317" si="9">IFERROR(INDEX(B$1:B$85,MATCH(A300,A$1:A$85,0)),"")</f>
        <v>Sirje Maala</v>
      </c>
      <c r="C300" s="629">
        <v>40</v>
      </c>
      <c r="F300" s="626"/>
    </row>
    <row r="301" spans="1:32" x14ac:dyDescent="0.2">
      <c r="A301" s="627">
        <v>2</v>
      </c>
      <c r="B301" s="628" t="str">
        <f t="shared" si="9"/>
        <v>Janek Tarto</v>
      </c>
      <c r="C301" s="629">
        <v>34</v>
      </c>
      <c r="F301" s="626"/>
    </row>
    <row r="302" spans="1:32" x14ac:dyDescent="0.2">
      <c r="A302" s="627">
        <v>3</v>
      </c>
      <c r="B302" s="628" t="str">
        <f t="shared" si="9"/>
        <v>Ivar Viljaste</v>
      </c>
      <c r="C302" s="629">
        <v>30</v>
      </c>
      <c r="F302" s="626"/>
    </row>
    <row r="303" spans="1:32" x14ac:dyDescent="0.2">
      <c r="A303" s="627">
        <v>4</v>
      </c>
      <c r="B303" s="628" t="str">
        <f t="shared" si="9"/>
        <v>Matti Vinni</v>
      </c>
      <c r="C303" s="629">
        <v>26</v>
      </c>
      <c r="F303" s="626"/>
    </row>
    <row r="304" spans="1:32" x14ac:dyDescent="0.2">
      <c r="A304" s="627">
        <v>5</v>
      </c>
      <c r="B304" s="628" t="str">
        <f t="shared" si="9"/>
        <v>Henri Mitt</v>
      </c>
      <c r="C304" s="629">
        <v>24</v>
      </c>
      <c r="F304" s="626"/>
    </row>
    <row r="305" spans="1:6" x14ac:dyDescent="0.2">
      <c r="A305" s="627">
        <v>6</v>
      </c>
      <c r="B305" s="628" t="str">
        <f t="shared" si="9"/>
        <v>Oleg Rõndenkov</v>
      </c>
      <c r="C305" s="629">
        <v>22</v>
      </c>
      <c r="F305" s="626"/>
    </row>
    <row r="306" spans="1:6" x14ac:dyDescent="0.2">
      <c r="A306" s="627">
        <v>7</v>
      </c>
      <c r="B306" s="628" t="str">
        <f t="shared" si="9"/>
        <v>Aarne Välja</v>
      </c>
      <c r="C306" s="629">
        <v>20</v>
      </c>
      <c r="F306" s="626"/>
    </row>
    <row r="307" spans="1:6" x14ac:dyDescent="0.2">
      <c r="A307" s="627">
        <v>8</v>
      </c>
      <c r="B307" s="628" t="str">
        <f t="shared" si="9"/>
        <v>Marko Rooden</v>
      </c>
      <c r="C307" s="629">
        <v>18</v>
      </c>
      <c r="F307" s="626"/>
    </row>
    <row r="308" spans="1:6" x14ac:dyDescent="0.2">
      <c r="A308" s="627">
        <v>9</v>
      </c>
      <c r="B308" s="628" t="str">
        <f t="shared" si="9"/>
        <v>Vladimir Ogneštšikov</v>
      </c>
      <c r="C308" s="629">
        <v>16</v>
      </c>
      <c r="F308" s="626"/>
    </row>
    <row r="309" spans="1:6" x14ac:dyDescent="0.2">
      <c r="A309" s="627">
        <v>10</v>
      </c>
      <c r="B309" s="628" t="str">
        <f t="shared" si="9"/>
        <v>Viktor Švarõgin</v>
      </c>
      <c r="C309" s="616">
        <v>14</v>
      </c>
      <c r="F309" s="626"/>
    </row>
    <row r="310" spans="1:6" x14ac:dyDescent="0.2">
      <c r="A310" s="627">
        <v>11</v>
      </c>
      <c r="B310" s="628" t="str">
        <f t="shared" si="9"/>
        <v>Jaan Sepp</v>
      </c>
      <c r="C310" s="616">
        <v>12</v>
      </c>
      <c r="F310" s="626"/>
    </row>
    <row r="311" spans="1:6" x14ac:dyDescent="0.2">
      <c r="A311" s="627">
        <v>12</v>
      </c>
      <c r="B311" s="628" t="str">
        <f t="shared" si="9"/>
        <v>Svetlana Veski</v>
      </c>
      <c r="C311" s="616">
        <v>10</v>
      </c>
      <c r="F311" s="626"/>
    </row>
    <row r="312" spans="1:6" x14ac:dyDescent="0.2">
      <c r="A312" s="627">
        <v>13</v>
      </c>
      <c r="B312" s="628" t="str">
        <f t="shared" si="9"/>
        <v>Kenneth Muusikus</v>
      </c>
      <c r="C312" s="616">
        <v>8</v>
      </c>
      <c r="F312" s="626"/>
    </row>
    <row r="313" spans="1:6" x14ac:dyDescent="0.2">
      <c r="A313" s="627">
        <v>14</v>
      </c>
      <c r="B313" s="628" t="str">
        <f t="shared" si="9"/>
        <v>Boriss Klubov</v>
      </c>
      <c r="C313" s="616">
        <v>6</v>
      </c>
      <c r="F313" s="626"/>
    </row>
    <row r="314" spans="1:6" x14ac:dyDescent="0.2">
      <c r="A314" s="627">
        <v>15</v>
      </c>
      <c r="B314" s="628" t="str">
        <f t="shared" si="9"/>
        <v>Marta Bernat</v>
      </c>
      <c r="C314" s="616">
        <v>4</v>
      </c>
      <c r="F314" s="626"/>
    </row>
    <row r="315" spans="1:6" x14ac:dyDescent="0.2">
      <c r="A315" s="627">
        <v>16</v>
      </c>
      <c r="B315" s="628" t="str">
        <f t="shared" si="9"/>
        <v>Veronika Pirk</v>
      </c>
      <c r="C315" s="616">
        <v>2</v>
      </c>
      <c r="F315" s="626"/>
    </row>
    <row r="316" spans="1:6" x14ac:dyDescent="0.2">
      <c r="A316" s="627">
        <v>17</v>
      </c>
      <c r="B316" s="628" t="str">
        <f t="shared" si="9"/>
        <v>Andres Veski</v>
      </c>
      <c r="C316" s="616">
        <v>1</v>
      </c>
      <c r="F316" s="626"/>
    </row>
    <row r="317" spans="1:6" x14ac:dyDescent="0.2">
      <c r="A317" s="627">
        <v>18</v>
      </c>
      <c r="B317" s="628" t="str">
        <f t="shared" si="9"/>
        <v>Sander Rose</v>
      </c>
      <c r="C317" s="616">
        <v>1</v>
      </c>
      <c r="F317" s="626"/>
    </row>
    <row r="318" spans="1:6" x14ac:dyDescent="0.2">
      <c r="A318" s="627">
        <v>19</v>
      </c>
      <c r="B318" s="628" t="str">
        <f t="shared" ref="B318:B324" si="10">IFERROR(INDEX(B$1:B$85,MATCH(A318,A$1:A$85,0)),"")</f>
        <v>Kaspar Mänd</v>
      </c>
      <c r="C318" s="616">
        <v>1</v>
      </c>
      <c r="F318" s="626"/>
    </row>
    <row r="319" spans="1:6" x14ac:dyDescent="0.2">
      <c r="A319" s="627">
        <v>20</v>
      </c>
      <c r="B319" s="628" t="str">
        <f t="shared" si="10"/>
        <v>Enn Tokman</v>
      </c>
      <c r="C319" s="616">
        <v>1</v>
      </c>
      <c r="F319" s="626"/>
    </row>
    <row r="320" spans="1:6" x14ac:dyDescent="0.2">
      <c r="A320" s="627">
        <v>21</v>
      </c>
      <c r="B320" s="628" t="str">
        <f t="shared" si="10"/>
        <v>Lemmit Toomra</v>
      </c>
      <c r="C320" s="616">
        <v>1</v>
      </c>
      <c r="F320" s="626"/>
    </row>
    <row r="321" spans="1:6" x14ac:dyDescent="0.2">
      <c r="A321" s="627">
        <v>22</v>
      </c>
      <c r="B321" s="628" t="str">
        <f t="shared" si="10"/>
        <v>Tõnu Kapper</v>
      </c>
      <c r="C321" s="616">
        <v>1</v>
      </c>
      <c r="F321" s="626"/>
    </row>
    <row r="322" spans="1:6" x14ac:dyDescent="0.2">
      <c r="A322" s="627">
        <v>23</v>
      </c>
      <c r="B322" s="628" t="str">
        <f t="shared" si="10"/>
        <v>Olav Türk</v>
      </c>
      <c r="C322" s="616">
        <v>1</v>
      </c>
      <c r="F322" s="626"/>
    </row>
    <row r="323" spans="1:6" x14ac:dyDescent="0.2">
      <c r="A323" s="627">
        <v>24</v>
      </c>
      <c r="B323" s="628" t="str">
        <f t="shared" si="10"/>
        <v>Ljudmila Varendi</v>
      </c>
      <c r="C323" s="616">
        <v>1</v>
      </c>
      <c r="F323" s="626"/>
    </row>
    <row r="324" spans="1:6" x14ac:dyDescent="0.2">
      <c r="A324" s="627">
        <v>25</v>
      </c>
      <c r="B324" s="628" t="str">
        <f t="shared" si="10"/>
        <v>Liis Mägi</v>
      </c>
      <c r="C324" s="616">
        <v>1</v>
      </c>
      <c r="F324" s="626"/>
    </row>
  </sheetData>
  <conditionalFormatting sqref="C8:C32">
    <cfRule type="expression" dxfId="152" priority="15">
      <formula>IF($C8&gt;$E8,TRUE)</formula>
    </cfRule>
  </conditionalFormatting>
  <conditionalFormatting sqref="E8:E32">
    <cfRule type="expression" dxfId="151" priority="16">
      <formula>IF($C8&lt;$E8,TRUE)</formula>
    </cfRule>
  </conditionalFormatting>
  <conditionalFormatting sqref="K8:K32">
    <cfRule type="expression" dxfId="150" priority="23">
      <formula>IF($K8&gt;$M8,TRUE)</formula>
    </cfRule>
  </conditionalFormatting>
  <conditionalFormatting sqref="M8:M32">
    <cfRule type="expression" dxfId="149" priority="24">
      <formula>IF($K8&lt;$M8,TRUE)</formula>
    </cfRule>
  </conditionalFormatting>
  <conditionalFormatting sqref="O8:O32">
    <cfRule type="expression" dxfId="148" priority="27">
      <formula>IF($O8&gt;$Q8,TRUE)</formula>
    </cfRule>
  </conditionalFormatting>
  <conditionalFormatting sqref="Q8:Q32">
    <cfRule type="expression" dxfId="147" priority="28">
      <formula>IF($O8&lt;$Q8,TRUE)</formula>
    </cfRule>
  </conditionalFormatting>
  <conditionalFormatting sqref="S8:S32">
    <cfRule type="expression" dxfId="146" priority="31">
      <formula>IF($S8&gt;$U8,TRUE)</formula>
    </cfRule>
  </conditionalFormatting>
  <conditionalFormatting sqref="U8:U32">
    <cfRule type="expression" dxfId="145" priority="32">
      <formula>IF($S8&lt;$U8,TRUE)</formula>
    </cfRule>
  </conditionalFormatting>
  <conditionalFormatting sqref="G8:G32">
    <cfRule type="expression" dxfId="144" priority="19">
      <formula>IF($G8&gt;$I8,TRUE)</formula>
    </cfRule>
  </conditionalFormatting>
  <conditionalFormatting sqref="I8:I32">
    <cfRule type="expression" dxfId="143" priority="20">
      <formula>IF($G8&lt;$I8,TRUE)</formula>
    </cfRule>
  </conditionalFormatting>
  <conditionalFormatting sqref="F8:F32">
    <cfRule type="containsText" dxfId="142" priority="6" operator="containsText" text="vaba voor">
      <formula>NOT(ISERROR(SEARCH("vaba voor",F8)))</formula>
    </cfRule>
  </conditionalFormatting>
  <conditionalFormatting sqref="N8:N32">
    <cfRule type="containsText" dxfId="141" priority="4" operator="containsText" text="vaba voor">
      <formula>NOT(ISERROR(SEARCH("vaba voor",N8)))</formula>
    </cfRule>
  </conditionalFormatting>
  <conditionalFormatting sqref="R8:R32">
    <cfRule type="containsText" dxfId="140" priority="7" operator="containsText" text="vaba voor">
      <formula>NOT(ISERROR(SEARCH("vaba voor",R8)))</formula>
    </cfRule>
  </conditionalFormatting>
  <conditionalFormatting sqref="V8:V32">
    <cfRule type="containsText" dxfId="139" priority="3" operator="containsText" text="vaba voor">
      <formula>NOT(ISERROR(SEARCH("vaba voor",V8)))</formula>
    </cfRule>
  </conditionalFormatting>
  <conditionalFormatting sqref="J8:J32">
    <cfRule type="containsText" dxfId="138" priority="5" operator="containsText" text="vaba voor">
      <formula>NOT(ISERROR(SEARCH("vaba voor",J8)))</formula>
    </cfRule>
  </conditionalFormatting>
  <conditionalFormatting sqref="C8:F32">
    <cfRule type="expression" dxfId="137" priority="11">
      <formula>IF(AND(ISNUMBER($C8),$C8=$E8),TRUE)</formula>
    </cfRule>
    <cfRule type="expression" dxfId="136" priority="13">
      <formula>IF($C8&gt;$E8,TRUE)</formula>
    </cfRule>
    <cfRule type="expression" dxfId="135" priority="14">
      <formula>IF($C8&lt;$E8,TRUE)</formula>
    </cfRule>
  </conditionalFormatting>
  <conditionalFormatting sqref="G8:J32">
    <cfRule type="expression" dxfId="134" priority="12">
      <formula>IF(AND(ISNUMBER($G8),$G8=$I8),TRUE)</formula>
    </cfRule>
    <cfRule type="expression" dxfId="133" priority="17">
      <formula>IF($G8&gt;$I8,TRUE)</formula>
    </cfRule>
    <cfRule type="expression" dxfId="132" priority="18">
      <formula>IF($G8&lt;$I8,TRUE)</formula>
    </cfRule>
  </conditionalFormatting>
  <conditionalFormatting sqref="K8:N32">
    <cfRule type="expression" dxfId="131" priority="10">
      <formula>IF(AND(ISNUMBER($K8),$K8=$M8),TRUE)</formula>
    </cfRule>
    <cfRule type="expression" dxfId="130" priority="21">
      <formula>IF($K8&gt;$M8,TRUE)</formula>
    </cfRule>
    <cfRule type="expression" dxfId="129" priority="22">
      <formula>IF($K8&lt;$M8,TRUE)</formula>
    </cfRule>
  </conditionalFormatting>
  <conditionalFormatting sqref="O8:R32">
    <cfRule type="expression" dxfId="128" priority="9">
      <formula>IF(AND(ISNUMBER($O8),$O8=$Q8),TRUE)</formula>
    </cfRule>
    <cfRule type="expression" dxfId="127" priority="25">
      <formula>IF($O8&gt;$Q8,TRUE)</formula>
    </cfRule>
    <cfRule type="expression" dxfId="126" priority="26">
      <formula>IF($O8&lt;$Q8,TRUE)</formula>
    </cfRule>
  </conditionalFormatting>
  <conditionalFormatting sqref="S8:V32">
    <cfRule type="expression" dxfId="125" priority="8">
      <formula>IF(AND(ISNUMBER($S8),$S8=$U8),TRUE)</formula>
    </cfRule>
    <cfRule type="expression" dxfId="124" priority="29">
      <formula>IF($S8&gt;$U8,TRUE)</formula>
    </cfRule>
    <cfRule type="expression" dxfId="123" priority="30">
      <formula>IF($S8&lt;$U8,TRUE)</formula>
    </cfRule>
  </conditionalFormatting>
  <conditionalFormatting sqref="A300:A324">
    <cfRule type="duplicateValues" dxfId="122" priority="33"/>
  </conditionalFormatting>
  <conditionalFormatting sqref="A8:A32">
    <cfRule type="duplicateValues" dxfId="121" priority="34"/>
  </conditionalFormatting>
  <conditionalFormatting sqref="B300:B324">
    <cfRule type="expression" dxfId="120" priority="35">
      <formula>A300=3</formula>
    </cfRule>
    <cfRule type="expression" dxfId="119" priority="36">
      <formula>A300=2</formula>
    </cfRule>
    <cfRule type="expression" dxfId="118" priority="37">
      <formula>A300=1</formula>
    </cfRule>
    <cfRule type="containsBlanks" dxfId="117" priority="38">
      <formula>LEN(TRIM(B300))=0</formula>
    </cfRule>
    <cfRule type="duplicateValues" dxfId="116" priority="39"/>
  </conditionalFormatting>
  <conditionalFormatting sqref="AE8:AE32">
    <cfRule type="expression" dxfId="115" priority="40">
      <formula>AND(AF8="",COUNTIF(AE8,"*,*")=0)</formula>
    </cfRule>
  </conditionalFormatting>
  <pageMargins left="0.39370078740157483" right="0.27559055118110237" top="0.78740157480314965" bottom="0.39370078740157483" header="0.59055118110236227" footer="0"/>
  <pageSetup paperSize="9" scale="94" fitToHeight="0" orientation="portrait" r:id="rId1"/>
  <headerFooter>
    <oddHeader>&amp;R&amp;9Page &amp;P of &amp;N</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BD134"/>
  <sheetViews>
    <sheetView showGridLines="0" zoomScaleNormal="100" workbookViewId="0">
      <pane ySplit="7" topLeftCell="A74" activePane="bottomLeft" state="frozen"/>
      <selection activeCell="I1" sqref="I1"/>
      <selection pane="bottomLeft" activeCell="P75" sqref="P75"/>
    </sheetView>
  </sheetViews>
  <sheetFormatPr defaultRowHeight="12.75" x14ac:dyDescent="0.2"/>
  <cols>
    <col min="1" max="1" width="3.28515625" style="581" customWidth="1"/>
    <col min="2" max="2" width="4" style="581" hidden="1" customWidth="1"/>
    <col min="3" max="3" width="3.28515625" style="581" customWidth="1"/>
    <col min="4" max="4" width="3.28515625" style="581" hidden="1" customWidth="1"/>
    <col min="5" max="5" width="3.7109375" style="581" customWidth="1"/>
    <col min="6" max="6" width="19.5703125" style="581" customWidth="1"/>
    <col min="7" max="7" width="2.28515625" style="581" hidden="1" customWidth="1"/>
    <col min="8" max="8" width="1.85546875" style="581" hidden="1" customWidth="1"/>
    <col min="9" max="9" width="8" style="581" customWidth="1"/>
    <col min="10" max="10" width="26.5703125" style="581" hidden="1" customWidth="1"/>
    <col min="11" max="11" width="28.5703125" style="581" hidden="1" customWidth="1"/>
    <col min="12" max="12" width="10.85546875" style="581" hidden="1" customWidth="1"/>
    <col min="13" max="13" width="8.5703125" style="581" hidden="1" customWidth="1"/>
    <col min="14" max="14" width="32.28515625" style="581" hidden="1" customWidth="1"/>
    <col min="15" max="15" width="10.7109375" style="581" hidden="1" customWidth="1"/>
    <col min="16" max="16" width="3.5703125" style="581" bestFit="1" customWidth="1"/>
    <col min="17" max="17" width="3.28515625" style="581" bestFit="1" customWidth="1"/>
    <col min="18" max="18" width="3.5703125" style="581" bestFit="1" customWidth="1"/>
    <col min="19" max="21" width="3.28515625" style="581" bestFit="1" customWidth="1"/>
    <col min="22" max="22" width="3.85546875" style="581" bestFit="1" customWidth="1"/>
    <col min="23" max="23" width="3.28515625" style="581" bestFit="1" customWidth="1"/>
    <col min="24" max="24" width="3.5703125" style="581" bestFit="1" customWidth="1"/>
    <col min="25" max="25" width="4.28515625" style="581" bestFit="1" customWidth="1"/>
    <col min="26" max="26" width="4.28515625" style="581" customWidth="1"/>
    <col min="27" max="29" width="3.28515625" style="581" customWidth="1"/>
    <col min="30" max="30" width="10.28515625" style="581" customWidth="1"/>
    <col min="31" max="31" width="10.5703125" style="581" hidden="1" customWidth="1"/>
    <col min="32" max="32" width="12" style="581" hidden="1" customWidth="1"/>
    <col min="33" max="33" width="14.28515625" style="581" hidden="1" customWidth="1"/>
    <col min="34" max="43" width="9.140625" style="581" hidden="1" customWidth="1"/>
    <col min="44" max="44" width="9.140625" style="581" customWidth="1"/>
    <col min="45" max="56" width="9.140625" style="581" hidden="1" customWidth="1"/>
    <col min="57" max="16384" width="9.140625" style="581"/>
  </cols>
  <sheetData>
    <row r="1" spans="1:56" x14ac:dyDescent="0.2">
      <c r="A1" s="1345"/>
      <c r="B1" s="1346"/>
      <c r="C1" s="1347"/>
      <c r="D1" s="1348"/>
      <c r="E1" s="1347" t="s">
        <v>470</v>
      </c>
      <c r="F1" s="1349"/>
      <c r="G1" s="1350"/>
      <c r="H1" s="1350"/>
      <c r="I1" s="1349"/>
      <c r="J1" s="582" t="s">
        <v>53</v>
      </c>
      <c r="K1" s="1351"/>
      <c r="L1" s="1351"/>
      <c r="M1" s="1351"/>
      <c r="N1" s="1351"/>
      <c r="O1" s="1351"/>
      <c r="P1" s="1352"/>
      <c r="Q1" s="1353"/>
      <c r="R1" s="1349"/>
      <c r="S1" s="1349"/>
      <c r="T1" s="1349"/>
      <c r="U1" s="1349"/>
      <c r="V1" s="1349"/>
      <c r="W1" s="1349"/>
      <c r="X1" s="1354"/>
      <c r="Y1" s="1354"/>
      <c r="Z1" s="645" t="s">
        <v>54</v>
      </c>
      <c r="AA1" s="1355"/>
      <c r="AB1" s="1356" t="s">
        <v>55</v>
      </c>
      <c r="AC1" s="1356"/>
      <c r="AE1" s="647"/>
      <c r="AF1" s="647"/>
      <c r="AG1" s="647"/>
      <c r="AH1" s="1346"/>
      <c r="AI1" s="647"/>
      <c r="AJ1" s="647"/>
      <c r="AK1" s="647"/>
      <c r="AL1" s="647"/>
      <c r="AM1" s="647"/>
      <c r="AN1" s="647"/>
      <c r="AO1" s="647"/>
      <c r="AP1" s="647"/>
      <c r="AQ1" s="647"/>
      <c r="AS1" s="582" t="s">
        <v>53</v>
      </c>
      <c r="AT1" s="648"/>
      <c r="AU1" s="648"/>
      <c r="AV1" s="648"/>
      <c r="AW1" s="648"/>
      <c r="AX1" s="648"/>
      <c r="AY1" s="648"/>
      <c r="AZ1" s="648"/>
      <c r="BA1" s="648"/>
      <c r="BB1" s="648"/>
      <c r="BC1" s="648"/>
      <c r="BD1" s="647"/>
    </row>
    <row r="2" spans="1:56" x14ac:dyDescent="0.2">
      <c r="A2" s="1345"/>
      <c r="B2" s="1345"/>
      <c r="C2" s="649"/>
      <c r="D2" s="649"/>
      <c r="E2" s="649" t="s">
        <v>490</v>
      </c>
      <c r="F2" s="1357"/>
      <c r="G2" s="1307"/>
      <c r="H2" s="1307"/>
      <c r="I2" s="1357"/>
      <c r="J2" s="1357"/>
      <c r="K2" s="1357"/>
      <c r="L2" s="1357"/>
      <c r="M2" s="1357"/>
      <c r="N2" s="1357"/>
      <c r="O2" s="1357"/>
      <c r="P2" s="1357"/>
      <c r="Q2" s="1357"/>
      <c r="R2" s="1357"/>
      <c r="S2" s="1357"/>
      <c r="T2" s="1357"/>
      <c r="U2" s="1357"/>
      <c r="V2" s="1357"/>
      <c r="W2" s="1357"/>
      <c r="X2" s="1357"/>
      <c r="Y2" s="1357"/>
      <c r="Z2" s="1357"/>
      <c r="AA2" s="1345"/>
      <c r="AB2" s="1346" t="s">
        <v>56</v>
      </c>
      <c r="AC2" s="1346"/>
      <c r="AD2" s="1345"/>
      <c r="AE2" s="1345"/>
      <c r="AF2" s="1345"/>
      <c r="AG2" s="1345"/>
      <c r="AH2" s="1345"/>
      <c r="AS2" s="642"/>
      <c r="AT2" s="642"/>
      <c r="AU2" s="642"/>
      <c r="AV2" s="642"/>
      <c r="AW2" s="642"/>
      <c r="AX2" s="642"/>
      <c r="AY2" s="642"/>
      <c r="AZ2" s="642"/>
      <c r="BA2" s="642"/>
      <c r="BB2" s="642"/>
      <c r="BC2" s="642"/>
    </row>
    <row r="3" spans="1:56" x14ac:dyDescent="0.2">
      <c r="A3" s="1345"/>
      <c r="B3" s="1345"/>
      <c r="C3" s="1357"/>
      <c r="D3" s="1357"/>
      <c r="E3" s="1345"/>
      <c r="F3" s="1357"/>
      <c r="G3" s="746"/>
      <c r="H3" s="746"/>
      <c r="I3" s="1357"/>
      <c r="J3" s="1357"/>
      <c r="K3" s="1357"/>
      <c r="L3" s="1357"/>
      <c r="M3" s="1357"/>
      <c r="N3" s="1357"/>
      <c r="O3" s="1357"/>
      <c r="P3" s="1357"/>
      <c r="Q3" s="1357"/>
      <c r="R3" s="1357"/>
      <c r="S3" s="1357"/>
      <c r="T3" s="1357"/>
      <c r="U3" s="1357"/>
      <c r="V3" s="1357"/>
      <c r="W3" s="1357"/>
      <c r="X3" s="1357"/>
      <c r="Y3" s="1357"/>
      <c r="Z3" s="1357"/>
      <c r="AA3" s="1345"/>
      <c r="AB3" s="1358" t="s">
        <v>57</v>
      </c>
      <c r="AC3" s="1358"/>
      <c r="AD3" s="1345"/>
      <c r="AE3" s="1345"/>
      <c r="AF3" s="1345"/>
      <c r="AG3" s="1345"/>
      <c r="AH3" s="1345"/>
      <c r="AS3" s="651">
        <v>3</v>
      </c>
      <c r="AT3" s="652" t="s">
        <v>168</v>
      </c>
      <c r="AU3" s="653"/>
      <c r="AV3" s="653"/>
      <c r="AW3" s="653"/>
      <c r="AX3" s="642"/>
      <c r="AY3" s="642"/>
      <c r="AZ3" s="642"/>
      <c r="BA3" s="642"/>
      <c r="BB3" s="642"/>
      <c r="BC3" s="642"/>
    </row>
    <row r="4" spans="1:56" ht="65.25" x14ac:dyDescent="0.2">
      <c r="A4" s="1359"/>
      <c r="B4" s="1359"/>
      <c r="C4" s="1359"/>
      <c r="D4" s="1359"/>
      <c r="E4" s="1360"/>
      <c r="F4" s="1360"/>
      <c r="G4" s="1361"/>
      <c r="H4" s="1361"/>
      <c r="I4" s="1359"/>
      <c r="J4" s="1362" t="s">
        <v>58</v>
      </c>
      <c r="K4" s="1362" t="s">
        <v>59</v>
      </c>
      <c r="L4" s="1363" t="s">
        <v>60</v>
      </c>
      <c r="M4" s="1364" t="s">
        <v>61</v>
      </c>
      <c r="N4" s="1364" t="s">
        <v>62</v>
      </c>
      <c r="O4" s="1365" t="s">
        <v>63</v>
      </c>
      <c r="P4" s="1366" t="s">
        <v>65</v>
      </c>
      <c r="Q4" s="1367" t="s">
        <v>64</v>
      </c>
      <c r="R4" s="1368" t="s">
        <v>468</v>
      </c>
      <c r="S4" s="1366" t="s">
        <v>65</v>
      </c>
      <c r="T4" s="1367" t="s">
        <v>64</v>
      </c>
      <c r="U4" s="1366" t="s">
        <v>65</v>
      </c>
      <c r="V4" s="1367" t="s">
        <v>64</v>
      </c>
      <c r="W4" s="1368" t="s">
        <v>468</v>
      </c>
      <c r="X4" s="1367" t="s">
        <v>64</v>
      </c>
      <c r="Y4" s="1367" t="s">
        <v>64</v>
      </c>
      <c r="Z4" s="1368" t="s">
        <v>468</v>
      </c>
      <c r="AA4" s="1345"/>
      <c r="AB4" s="1345"/>
      <c r="AC4" s="1345"/>
      <c r="AE4" s="1345"/>
      <c r="AF4" s="1345"/>
      <c r="AG4" s="1345"/>
      <c r="AH4" s="1345"/>
    </row>
    <row r="5" spans="1:56" ht="29.25" x14ac:dyDescent="0.2">
      <c r="A5" s="1359"/>
      <c r="B5" s="1359"/>
      <c r="C5" s="1359"/>
      <c r="D5" s="1359"/>
      <c r="E5" s="1360"/>
      <c r="F5" s="1360"/>
      <c r="G5" s="1361"/>
      <c r="H5" s="1361"/>
      <c r="I5" s="1369"/>
      <c r="J5" s="1369"/>
      <c r="K5" s="1369"/>
      <c r="L5" s="1369"/>
      <c r="M5" s="1369"/>
      <c r="N5" s="1369"/>
      <c r="O5" s="1369"/>
      <c r="P5" s="1370" t="str">
        <f>MID(Kalend!$A5,4,5)</f>
        <v>15.05</v>
      </c>
      <c r="Q5" s="1370" t="str">
        <f>MID(Kalend!$A8,4,5)</f>
        <v>29.05</v>
      </c>
      <c r="R5" s="1370" t="str">
        <f>MID(Kalend!$A11,4,5)</f>
        <v>05.06</v>
      </c>
      <c r="S5" s="1370" t="str">
        <f>MID(Kalend!$A12,4,5)</f>
        <v>12.06</v>
      </c>
      <c r="T5" s="1370" t="str">
        <f>MID(Kalend!$A17,4,5)</f>
        <v>26.06</v>
      </c>
      <c r="U5" s="1370" t="str">
        <f>MID(Kalend!$A20,4,5)</f>
        <v>03.07</v>
      </c>
      <c r="V5" s="1370" t="str">
        <f>MID(Kalend!$A23,4,5)</f>
        <v>21.07</v>
      </c>
      <c r="W5" s="1370" t="str">
        <f>MID(Kalend!$A31,4,5)</f>
        <v>28.08</v>
      </c>
      <c r="X5" s="1370" t="str">
        <f>MID(Kalend!$A33,4,5)</f>
        <v>04.09</v>
      </c>
      <c r="Y5" s="1370" t="str">
        <f>MID(Kalend!$A35,4,5)</f>
        <v>18.09</v>
      </c>
      <c r="Z5" s="1370" t="str">
        <f>MID(Kalend!$A38,4,5)</f>
        <v>25.09</v>
      </c>
      <c r="AA5" s="1437" t="s">
        <v>66</v>
      </c>
      <c r="AB5" s="1438" t="s">
        <v>67</v>
      </c>
      <c r="AC5" s="1439" t="s">
        <v>68</v>
      </c>
      <c r="AH5" s="1345"/>
    </row>
    <row r="6" spans="1:56" x14ac:dyDescent="0.2">
      <c r="A6" s="1371"/>
      <c r="B6" s="1372"/>
      <c r="C6" s="1373"/>
      <c r="D6" s="1373"/>
      <c r="E6" s="1374" t="s">
        <v>69</v>
      </c>
      <c r="F6" s="1360"/>
      <c r="G6" s="1361"/>
      <c r="H6" s="1361"/>
      <c r="I6" s="1375" t="s">
        <v>70</v>
      </c>
      <c r="J6" s="1376"/>
      <c r="K6" s="1376"/>
      <c r="L6" s="1376"/>
      <c r="M6" s="1376"/>
      <c r="N6" s="1376"/>
      <c r="O6" s="1376"/>
      <c r="P6" s="1377" t="s">
        <v>71</v>
      </c>
      <c r="Q6" s="1377" t="s">
        <v>73</v>
      </c>
      <c r="R6" s="1377" t="s">
        <v>71</v>
      </c>
      <c r="S6" s="1377" t="s">
        <v>72</v>
      </c>
      <c r="T6" s="1377" t="s">
        <v>467</v>
      </c>
      <c r="U6" s="1377" t="s">
        <v>73</v>
      </c>
      <c r="V6" s="1377" t="s">
        <v>41</v>
      </c>
      <c r="W6" s="1377" t="s">
        <v>72</v>
      </c>
      <c r="X6" s="1377" t="s">
        <v>72</v>
      </c>
      <c r="Y6" s="1377" t="s">
        <v>71</v>
      </c>
      <c r="Z6" s="1377" t="s">
        <v>73</v>
      </c>
      <c r="AA6" s="1437"/>
      <c r="AB6" s="1438"/>
      <c r="AC6" s="1439"/>
      <c r="AH6" s="1345"/>
      <c r="AS6" s="581" t="s">
        <v>167</v>
      </c>
    </row>
    <row r="7" spans="1:56" x14ac:dyDescent="0.2">
      <c r="A7" s="1378" t="s">
        <v>74</v>
      </c>
      <c r="B7" s="1379" t="s">
        <v>74</v>
      </c>
      <c r="C7" s="1380" t="s">
        <v>75</v>
      </c>
      <c r="D7" s="1381" t="s">
        <v>75</v>
      </c>
      <c r="E7" s="1382" t="s">
        <v>76</v>
      </c>
      <c r="F7" s="1383" t="s">
        <v>77</v>
      </c>
      <c r="G7" s="1379" t="s">
        <v>74</v>
      </c>
      <c r="H7" s="1384" t="s">
        <v>75</v>
      </c>
      <c r="I7" s="1385" t="s">
        <v>78</v>
      </c>
      <c r="J7" s="1386" t="s">
        <v>79</v>
      </c>
      <c r="K7" s="1387" t="s">
        <v>80</v>
      </c>
      <c r="L7" s="1388" t="s">
        <v>81</v>
      </c>
      <c r="M7" s="1388" t="s">
        <v>82</v>
      </c>
      <c r="N7" s="1387" t="s">
        <v>83</v>
      </c>
      <c r="O7" s="1388" t="s">
        <v>84</v>
      </c>
      <c r="P7" s="1389" t="str">
        <f>HYPERLINK("#1!G1","R1")</f>
        <v>R1</v>
      </c>
      <c r="Q7" s="1389" t="str">
        <f>HYPERLINK("#2!G1","R2")</f>
        <v>R2</v>
      </c>
      <c r="R7" s="1389" t="str">
        <f>HYPERLINK("#3!G1","R3")</f>
        <v>R3</v>
      </c>
      <c r="S7" s="1389" t="str">
        <f>HYPERLINK("#4!G1","R4")</f>
        <v>R4</v>
      </c>
      <c r="T7" s="1389" t="str">
        <f>HYPERLINK("#5!G1","R5")</f>
        <v>R5</v>
      </c>
      <c r="U7" s="1389" t="str">
        <f>HYPERLINK("#6!G1","R6")</f>
        <v>R6</v>
      </c>
      <c r="V7" s="1389" t="str">
        <f>HYPERLINK("#7!G1","R7")</f>
        <v>R7</v>
      </c>
      <c r="W7" s="1389" t="str">
        <f>HYPERLINK("#8!G1","R8")</f>
        <v>R8</v>
      </c>
      <c r="X7" s="1389" t="str">
        <f>HYPERLINK("#9!G1","R9")</f>
        <v>R9</v>
      </c>
      <c r="Y7" s="1389" t="str">
        <f>HYPERLINK("#10!G1","R10")</f>
        <v>R10</v>
      </c>
      <c r="Z7" s="1389" t="str">
        <f>HYPERLINK("#11!G1","R11")</f>
        <v>R11</v>
      </c>
      <c r="AA7" s="1390"/>
      <c r="AB7" s="1391"/>
      <c r="AC7" s="1355"/>
      <c r="AH7" s="1345"/>
    </row>
    <row r="8" spans="1:56" x14ac:dyDescent="0.2">
      <c r="A8" s="1378" t="str">
        <f t="shared" ref="A8:A39" si="0">IFERROR(RANK(B8,B$8:B$115,1),"")</f>
        <v/>
      </c>
      <c r="B8" s="1392" t="str">
        <f t="shared" ref="B8:B39" si="1">IF(G8="n",L8,"")</f>
        <v/>
      </c>
      <c r="C8" s="1380" t="str">
        <f t="shared" ref="C8:C39" si="2">IFERROR(RANK(D8,D$8:D$115,1),"")</f>
        <v/>
      </c>
      <c r="D8" s="1393" t="str">
        <f t="shared" ref="D8:D39" si="3">IF(H8="j",L8,"")</f>
        <v/>
      </c>
      <c r="E8" s="1394">
        <f t="shared" ref="E8:E39" ca="1" si="4">RANK(L8,L$8:L$115,1)</f>
        <v>1</v>
      </c>
      <c r="F8" s="1395" t="s">
        <v>12</v>
      </c>
      <c r="G8" s="1379"/>
      <c r="H8" s="1384"/>
      <c r="I8" s="1385">
        <f t="array" aca="1" ref="I8" ca="1">(IF(COUNT(P8:Z8)&lt;8,SUM(P8:Z8),SUM(LARGE((P8:Z8),{1;2;3;4;5;6;7;8}))))</f>
        <v>268</v>
      </c>
      <c r="J8" s="1388" t="str">
        <f ca="1">INDEX(ETAPP!B$1:B$32,MATCH(COUNTIF(P8:Z8,PIV!A$1),ETAPP!A$1:A$32,0))&amp;INDEX(ETAPP!B$1:B$32,MATCH(COUNTIF(P8:Z8,PIV!A$2),ETAPP!A$1:A$32,0))&amp;INDEX(ETAPP!B$1:B$32,MATCH(COUNTIF(P8:Z8,PIV!A$3),ETAPP!A$1:A$32,0))&amp;INDEX(ETAPP!B$1:B$32,MATCH(COUNTIF(P8:Z8,PIV!A$4),ETAPP!A$1:A$32,0))&amp;INDEX(ETAPP!B$1:B$32,MATCH(COUNTIF(P8:Z8,PIV!A$5),ETAPP!A$1:A$32,0))&amp;INDEX(ETAPP!B$1:B$32,MATCH(COUNTIF(P8:Z8,PIV!A$6),ETAPP!A$1:A$32,0))&amp;INDEX(ETAPP!B$1:B$32,MATCH(COUNTIF(P8:Z8,PIV!A$7),ETAPP!A$1:A$32,0))&amp;INDEX(ETAPP!B$1:B$32,MATCH(COUNTIF(P8:Z8,PIV!A$8),ETAPP!A$1:A$32,0))&amp;INDEX(ETAPP!B$1:B$32,MATCH(COUNTIF(P8:Z8,PIV!A$9),ETAPP!A$1:A$32,0))&amp;INDEX(ETAPP!B$1:B$32,MATCH(COUNTIF(P8:Z8,PIV!A$10),ETAPP!A$1:A$32,0))&amp;INDEX(ETAPP!B$1:B$32,MATCH(COUNTIF(P8:Z8,PIV!A$11),ETAPP!A$1:A$32,0))&amp;INDEX(ETAPP!B$1:B$32,MATCH(COUNTIF(P8:Z8,PIV!A$12),ETAPP!A$1:A$32,0))&amp;INDEX(ETAPP!B$1:B$32,MATCH(COUNTIF(P8:Z8,PIV!A$13),ETAPP!A$1:A$32,0))&amp;INDEX(ETAPP!B$1:B$32,MATCH(COUNTIF(P8:Z8,PIV!A$14),ETAPP!A$1:A$32,0))&amp;INDEX(ETAPP!B$1:B$32,MATCH(COUNTIF(P8:Z8,PIV!A$15),ETAPP!A$1:A$32,0))&amp;INDEX(ETAPP!B$1:B$32,MATCH(COUNTIF(P8:Z8,PIV!A$16),ETAPP!A$1:A$32,0))&amp;INDEX(ETAPP!B$1:B$32,MATCH(COUNTIF(P8:Z8,PIV!A$17),ETAPP!A$1:A$32,0))&amp;INDEX(ETAPP!B$1:B$32,MATCH(COUNTIF(P8:Z8,PIV!A$18),ETAPP!A$1:A$32,0))&amp;INDEX(ETAPP!B$1:B$32,MATCH(COUNTIF(P8:Z8,PIV!A$19),ETAPP!A$1:A$32,0))</f>
        <v>BBEB000000000000000</v>
      </c>
      <c r="K8" s="1388" t="str">
        <f t="shared" ref="K8:K39" ca="1" si="5">TEXT(I8,"000,0")&amp;"-"&amp;J8</f>
        <v>268,0-BBEB000000000000000</v>
      </c>
      <c r="L8" s="1387">
        <f t="shared" ref="L8:L39" ca="1" si="6">COUNTIF(K$8:K$115,"&gt;="&amp;K8)</f>
        <v>1</v>
      </c>
      <c r="M8" s="1387">
        <f t="shared" ref="M8:M39" si="7">COUNTIF(F$8:F$115,"&gt;="&amp;F8)</f>
        <v>78</v>
      </c>
      <c r="N8" s="1388" t="str">
        <f t="shared" ref="N8:N39" ca="1" si="8">TEXT(I8,"000,0")&amp;"-"&amp;J8&amp;"-"&amp;TEXT(M8,"000")</f>
        <v>268,0-BBEB000000000000000-078</v>
      </c>
      <c r="O8" s="1396">
        <f t="shared" ref="O8:O39" ca="1" si="9">COUNTIF(N$8:N$115,"&lt;="&amp;N8)</f>
        <v>108</v>
      </c>
      <c r="P8" s="1397">
        <f>IFERROR(INDEX('1'!C$300:C$400,MATCH("*"&amp;F8&amp;"*",'1'!B$300:B$400,0)),"  ")</f>
        <v>30</v>
      </c>
      <c r="Q8" s="1398">
        <f>IFERROR(INDEX('2'!C$300:C$400,MATCH("*"&amp;F8&amp;"*",'2'!B$300:B$400,0)),"  ")</f>
        <v>40</v>
      </c>
      <c r="R8" s="1398">
        <f>IFERROR(INDEX('3'!C$300:C$400,MATCH("*"&amp;F8&amp;"*",'3'!B$300:B$400,0)),"  ")</f>
        <v>34</v>
      </c>
      <c r="S8" s="1398">
        <f>IFERROR(INDEX('4'!C$300:C$400,MATCH("*"&amp;F8&amp;"*",'4'!B$300:B$400,0)),"  ")</f>
        <v>30</v>
      </c>
      <c r="T8" s="1398">
        <f>IFERROR(INDEX('5'!C$300:C$400,MATCH("*"&amp;F8&amp;"*",'5'!B$300:B$400,0)),"  ")</f>
        <v>30</v>
      </c>
      <c r="U8" s="1398">
        <f>IFERROR(INDEX('6'!C$300:C$400,MATCH("*"&amp;F8&amp;"*",'6'!B$300:B$400,0)),"  ")</f>
        <v>30</v>
      </c>
      <c r="V8" s="1398">
        <f ca="1">IFERROR(INDEX('7'!C$300:C$400,MATCH("*"&amp;F8&amp;"*",'7'!B$300:B$400,0)),"  ")</f>
        <v>40</v>
      </c>
      <c r="W8" s="1398">
        <f>IFERROR(INDEX('8'!C$300:C$400,MATCH("*"&amp;F8&amp;"*",'8'!B$300:B$400,0)),"  ")</f>
        <v>30</v>
      </c>
      <c r="X8" s="1398">
        <f>IFERROR(INDEX('9'!C$300:C$400,MATCH("*"&amp;F8&amp;"*",'9'!B$300:B$400,0)),"  ")</f>
        <v>26</v>
      </c>
      <c r="Y8" s="1398">
        <f>IFERROR(INDEX('10'!C$300:C$400,MATCH("*"&amp;F8&amp;"*",'10'!B$300:B$400,0)),"  ")</f>
        <v>26</v>
      </c>
      <c r="Z8" s="1398">
        <f>IFERROR(INDEX('11'!C$300:C$400,MATCH("*"&amp;F8&amp;"*",'11'!B$300:B$400,0)),"  ")</f>
        <v>34</v>
      </c>
      <c r="AA8" s="1399">
        <f t="shared" ref="AA8:AA39" ca="1" si="10">COUNTIF(P8:Z8,"&gt;=0")</f>
        <v>11</v>
      </c>
      <c r="AB8" s="1353">
        <f t="shared" ref="AB8:AB39" ca="1" si="11">COUNTIF(P8:Z8,"&gt;=30")</f>
        <v>9</v>
      </c>
      <c r="AC8" s="1353">
        <f t="shared" ref="AC8:AC39" ca="1" si="12">COUNTIF(P8:Z8,"=40")</f>
        <v>2</v>
      </c>
      <c r="AH8" s="1353"/>
      <c r="AS8" s="689">
        <f t="shared" ref="AS8:AS39" ca="1" si="13">SMALL(AT8:BD8,AS$3)</f>
        <v>30.0001</v>
      </c>
      <c r="AT8" s="690">
        <f t="shared" ref="AT8:AT39" si="14">IF(P8="  ",0+MID(P$7,FIND("R",P$7)+1,256)/10000,P8+MID(P$7,FIND("R",P$7)+1,256)/10000)</f>
        <v>30.0001</v>
      </c>
      <c r="AU8" s="690">
        <f t="shared" ref="AU8:AU39" si="15">IF(Q8="  ",0+MID(Q$7,FIND("R",Q$7)+1,256)/10000,Q8+MID(Q$7,FIND("R",Q$7)+1,256)/10000)</f>
        <v>40.0002</v>
      </c>
      <c r="AV8" s="690">
        <f t="shared" ref="AV8:AV39" si="16">IF(R8="  ",0+MID(R$7,FIND("R",R$7)+1,256)/10000,R8+MID(R$7,FIND("R",R$7)+1,256)/10000)</f>
        <v>34.000300000000003</v>
      </c>
      <c r="AW8" s="690">
        <f t="shared" ref="AW8:AW39" si="17">IF(S8="  ",0+MID(S$7,FIND("R",S$7)+1,256)/10000,S8+MID(S$7,FIND("R",S$7)+1,256)/10000)</f>
        <v>30.000399999999999</v>
      </c>
      <c r="AX8" s="690">
        <f t="shared" ref="AX8:AX39" si="18">IF(T8="  ",0+MID(T$7,FIND("R",T$7)+1,256)/10000,T8+MID(T$7,FIND("R",T$7)+1,256)/10000)</f>
        <v>30.000499999999999</v>
      </c>
      <c r="AY8" s="690">
        <f t="shared" ref="AY8:AY39" si="19">IF(U8="  ",0+MID(U$7,FIND("R",U$7)+1,256)/10000,U8+MID(U$7,FIND("R",U$7)+1,256)/10000)</f>
        <v>30.000599999999999</v>
      </c>
      <c r="AZ8" s="690">
        <f t="shared" ref="AZ8:AZ39" ca="1" si="20">IF(V8="  ",0+MID(V$7,FIND("R",V$7)+1,256)/10000,V8+MID(V$7,FIND("R",V$7)+1,256)/10000)</f>
        <v>40.000700000000002</v>
      </c>
      <c r="BA8" s="690">
        <f t="shared" ref="BA8:BA39" si="21">IF(W8="  ",0+MID(W$7,FIND("R",W$7)+1,256)/10000,W8+MID(W$7,FIND("R",W$7)+1,256)/10000)</f>
        <v>30.000800000000002</v>
      </c>
      <c r="BB8" s="690">
        <f t="shared" ref="BB8:BB39" si="22">IF(X8="  ",0+MID(X$7,FIND("R",X$7)+1,256)/10000,X8+MID(X$7,FIND("R",X$7)+1,256)/10000)</f>
        <v>26.000900000000001</v>
      </c>
      <c r="BC8" s="690">
        <f t="shared" ref="BC8:BC39" si="23">IF(Y8="  ",0+MID(Y$7,FIND("R",Y$7)+1,256)/10000,Y8+MID(Y$7,FIND("R",Y$7)+1,256)/10000)</f>
        <v>26.001000000000001</v>
      </c>
      <c r="BD8" s="690">
        <f t="shared" ref="BD8:BD39" si="24">IF(Z8="  ",0+MID(Z$7,FIND("R",Z$7)+1,256)/10000,Z8+MID(Z$7,FIND("R",Z$7)+1,256)/10000)</f>
        <v>34.001100000000001</v>
      </c>
    </row>
    <row r="9" spans="1:56" x14ac:dyDescent="0.2">
      <c r="A9" s="1378" t="str">
        <f t="shared" si="0"/>
        <v/>
      </c>
      <c r="B9" s="1392" t="str">
        <f t="shared" si="1"/>
        <v/>
      </c>
      <c r="C9" s="1380" t="str">
        <f t="shared" si="2"/>
        <v/>
      </c>
      <c r="D9" s="1393" t="str">
        <f t="shared" si="3"/>
        <v/>
      </c>
      <c r="E9" s="1394">
        <f t="shared" ca="1" si="4"/>
        <v>2</v>
      </c>
      <c r="F9" s="1400" t="s">
        <v>90</v>
      </c>
      <c r="G9" s="1379"/>
      <c r="H9" s="1384"/>
      <c r="I9" s="1385">
        <f t="array" aca="1" ref="I9" ca="1">(IF(COUNT(P9:Z9)&lt;8,SUM(P9:Z9),SUM(LARGE((P9:Z9),{1;2;3;4;5;6;7;8}))))</f>
        <v>262</v>
      </c>
      <c r="J9" s="1388" t="str">
        <f ca="1">INDEX(ETAPP!B$1:B$32,MATCH(COUNTIF(P9:Z9,PIV!A$1),ETAPP!A$1:A$32,0))&amp;INDEX(ETAPP!B$1:B$32,MATCH(COUNTIF(P9:Z9,PIV!A$2),ETAPP!A$1:A$32,0))&amp;INDEX(ETAPP!B$1:B$32,MATCH(COUNTIF(P9:Z9,PIV!A$3),ETAPP!A$1:A$32,0))&amp;INDEX(ETAPP!B$1:B$32,MATCH(COUNTIF(P9:Z9,PIV!A$4),ETAPP!A$1:A$32,0))&amp;INDEX(ETAPP!B$1:B$32,MATCH(COUNTIF(P9:Z9,PIV!A$5),ETAPP!A$1:A$32,0))&amp;INDEX(ETAPP!B$1:B$32,MATCH(COUNTIF(P9:Z9,PIV!A$6),ETAPP!A$1:A$32,0))&amp;INDEX(ETAPP!B$1:B$32,MATCH(COUNTIF(P9:Z9,PIV!A$7),ETAPP!A$1:A$32,0))&amp;INDEX(ETAPP!B$1:B$32,MATCH(COUNTIF(P9:Z9,PIV!A$8),ETAPP!A$1:A$32,0))&amp;INDEX(ETAPP!B$1:B$32,MATCH(COUNTIF(P9:Z9,PIV!A$9),ETAPP!A$1:A$32,0))&amp;INDEX(ETAPP!B$1:B$32,MATCH(COUNTIF(P9:Z9,PIV!A$10),ETAPP!A$1:A$32,0))&amp;INDEX(ETAPP!B$1:B$32,MATCH(COUNTIF(P9:Z9,PIV!A$11),ETAPP!A$1:A$32,0))&amp;INDEX(ETAPP!B$1:B$32,MATCH(COUNTIF(P9:Z9,PIV!A$12),ETAPP!A$1:A$32,0))&amp;INDEX(ETAPP!B$1:B$32,MATCH(COUNTIF(P9:Z9,PIV!A$13),ETAPP!A$1:A$32,0))&amp;INDEX(ETAPP!B$1:B$32,MATCH(COUNTIF(P9:Z9,PIV!A$14),ETAPP!A$1:A$32,0))&amp;INDEX(ETAPP!B$1:B$32,MATCH(COUNTIF(P9:Z9,PIV!A$15),ETAPP!A$1:A$32,0))&amp;INDEX(ETAPP!B$1:B$32,MATCH(COUNTIF(P9:Z9,PIV!A$16),ETAPP!A$1:A$32,0))&amp;INDEX(ETAPP!B$1:B$32,MATCH(COUNTIF(P9:Z9,PIV!A$17),ETAPP!A$1:A$32,0))&amp;INDEX(ETAPP!B$1:B$32,MATCH(COUNTIF(P9:Z9,PIV!A$18),ETAPP!A$1:A$32,0))&amp;INDEX(ETAPP!B$1:B$32,MATCH(COUNTIF(P9:Z9,PIV!A$19),ETAPP!A$1:A$32,0))</f>
        <v>ADBAA0000000000000B</v>
      </c>
      <c r="K9" s="1388" t="str">
        <f t="shared" ca="1" si="5"/>
        <v>262,0-ADBAA0000000000000B</v>
      </c>
      <c r="L9" s="1387">
        <f t="shared" ca="1" si="6"/>
        <v>2</v>
      </c>
      <c r="M9" s="1387">
        <f t="shared" si="7"/>
        <v>63</v>
      </c>
      <c r="N9" s="1388" t="str">
        <f t="shared" ca="1" si="8"/>
        <v>262,0-ADBAA0000000000000B-063</v>
      </c>
      <c r="O9" s="1396">
        <f t="shared" ca="1" si="9"/>
        <v>107</v>
      </c>
      <c r="P9" s="1397">
        <f>IFERROR(INDEX('1'!C$300:C$400,MATCH("*"&amp;F9&amp;"*",'1'!B$300:B$400,0)),"  ")</f>
        <v>34</v>
      </c>
      <c r="Q9" s="1398">
        <f>IFERROR(INDEX('2'!C$300:C$400,MATCH("*"&amp;F9&amp;"*",'2'!B$300:B$400,0)),"  ")</f>
        <v>24</v>
      </c>
      <c r="R9" s="1398">
        <f>IFERROR(INDEX('3'!C$300:C$400,MATCH("*"&amp;F9&amp;"*",'3'!B$300:B$400,0)),"  ")</f>
        <v>34</v>
      </c>
      <c r="S9" s="1398" t="str">
        <f>IFERROR(INDEX('4'!C$300:C$400,MATCH("*"&amp;F9&amp;"*",'4'!B$300:B$400,0)),"  ")</f>
        <v xml:space="preserve">  </v>
      </c>
      <c r="T9" s="1398" t="str">
        <f>IFERROR(INDEX('5'!C$300:C$400,MATCH("*"&amp;F9&amp;"*",'5'!B$300:B$400,0)),"  ")</f>
        <v xml:space="preserve">  </v>
      </c>
      <c r="U9" s="1398">
        <f>IFERROR(INDEX('6'!C$300:C$400,MATCH("*"&amp;F9&amp;"*",'6'!B$300:B$400,0)),"  ")</f>
        <v>34</v>
      </c>
      <c r="V9" s="1398">
        <f ca="1">IFERROR(INDEX('7'!C$300:C$400,MATCH("*"&amp;F9&amp;"*",'7'!B$300:B$400,0)),"  ")</f>
        <v>30</v>
      </c>
      <c r="W9" s="1398">
        <f>IFERROR(INDEX('8'!C$300:C$400,MATCH("*"&amp;F9&amp;"*",'8'!B$300:B$400,0)),"  ")</f>
        <v>26</v>
      </c>
      <c r="X9" s="1398">
        <f>IFERROR(INDEX('9'!C$300:C$400,MATCH("*"&amp;F9&amp;"*",'9'!B$300:B$400,0)),"  ")</f>
        <v>40</v>
      </c>
      <c r="Y9" s="1398">
        <f>IFERROR(INDEX('10'!C$300:C$400,MATCH("*"&amp;F9&amp;"*",'10'!B$300:B$400,0)),"  ")</f>
        <v>34</v>
      </c>
      <c r="Z9" s="1398">
        <f>IFERROR(INDEX('11'!C$300:C$400,MATCH("*"&amp;F9&amp;"*",'11'!B$300:B$400,0)),"  ")</f>
        <v>30</v>
      </c>
      <c r="AA9" s="1353">
        <f t="shared" ca="1" si="10"/>
        <v>9</v>
      </c>
      <c r="AB9" s="1353">
        <f t="shared" ca="1" si="11"/>
        <v>7</v>
      </c>
      <c r="AC9" s="1353">
        <f t="shared" ca="1" si="12"/>
        <v>1</v>
      </c>
      <c r="AH9" s="1345"/>
      <c r="AS9" s="689">
        <f t="shared" ca="1" si="13"/>
        <v>24.0002</v>
      </c>
      <c r="AT9" s="690">
        <f t="shared" si="14"/>
        <v>34.000100000000003</v>
      </c>
      <c r="AU9" s="690">
        <f t="shared" si="15"/>
        <v>24.0002</v>
      </c>
      <c r="AV9" s="690">
        <f t="shared" si="16"/>
        <v>34.000300000000003</v>
      </c>
      <c r="AW9" s="690">
        <f t="shared" si="17"/>
        <v>4.0000000000000002E-4</v>
      </c>
      <c r="AX9" s="690">
        <f t="shared" si="18"/>
        <v>5.0000000000000001E-4</v>
      </c>
      <c r="AY9" s="690">
        <f t="shared" si="19"/>
        <v>34.000599999999999</v>
      </c>
      <c r="AZ9" s="690">
        <f t="shared" ca="1" si="20"/>
        <v>30.000699999999998</v>
      </c>
      <c r="BA9" s="690">
        <f t="shared" si="21"/>
        <v>26.000800000000002</v>
      </c>
      <c r="BB9" s="690">
        <f t="shared" si="22"/>
        <v>40.000900000000001</v>
      </c>
      <c r="BC9" s="690">
        <f t="shared" si="23"/>
        <v>34.000999999999998</v>
      </c>
      <c r="BD9" s="690">
        <f t="shared" si="24"/>
        <v>30.001100000000001</v>
      </c>
    </row>
    <row r="10" spans="1:56" x14ac:dyDescent="0.2">
      <c r="A10" s="1378" t="str">
        <f t="shared" si="0"/>
        <v/>
      </c>
      <c r="B10" s="1392" t="str">
        <f t="shared" si="1"/>
        <v/>
      </c>
      <c r="C10" s="1380" t="str">
        <f t="shared" si="2"/>
        <v/>
      </c>
      <c r="D10" s="1393" t="str">
        <f t="shared" si="3"/>
        <v/>
      </c>
      <c r="E10" s="1394">
        <f t="shared" ca="1" si="4"/>
        <v>3</v>
      </c>
      <c r="F10" s="1360" t="s">
        <v>87</v>
      </c>
      <c r="G10" s="1379"/>
      <c r="H10" s="1384"/>
      <c r="I10" s="1385">
        <f t="array" aca="1" ref="I10" ca="1">(IF(COUNT(P10:Z10)&lt;8,SUM(P10:Z10),SUM(LARGE((P10:Z10),{1;2;3;4;5;6;7;8}))))</f>
        <v>256</v>
      </c>
      <c r="J10" s="1388" t="str">
        <f ca="1">INDEX(ETAPP!B$1:B$32,MATCH(COUNTIF(P10:Z10,PIV!A$1),ETAPP!A$1:A$32,0))&amp;INDEX(ETAPP!B$1:B$32,MATCH(COUNTIF(P10:Z10,PIV!A$2),ETAPP!A$1:A$32,0))&amp;INDEX(ETAPP!B$1:B$32,MATCH(COUNTIF(P10:Z10,PIV!A$3),ETAPP!A$1:A$32,0))&amp;INDEX(ETAPP!B$1:B$32,MATCH(COUNTIF(P10:Z10,PIV!A$4),ETAPP!A$1:A$32,0))&amp;INDEX(ETAPP!B$1:B$32,MATCH(COUNTIF(P10:Z10,PIV!A$5),ETAPP!A$1:A$32,0))&amp;INDEX(ETAPP!B$1:B$32,MATCH(COUNTIF(P10:Z10,PIV!A$6),ETAPP!A$1:A$32,0))&amp;INDEX(ETAPP!B$1:B$32,MATCH(COUNTIF(P10:Z10,PIV!A$7),ETAPP!A$1:A$32,0))&amp;INDEX(ETAPP!B$1:B$32,MATCH(COUNTIF(P10:Z10,PIV!A$8),ETAPP!A$1:A$32,0))&amp;INDEX(ETAPP!B$1:B$32,MATCH(COUNTIF(P10:Z10,PIV!A$9),ETAPP!A$1:A$32,0))&amp;INDEX(ETAPP!B$1:B$32,MATCH(COUNTIF(P10:Z10,PIV!A$10),ETAPP!A$1:A$32,0))&amp;INDEX(ETAPP!B$1:B$32,MATCH(COUNTIF(P10:Z10,PIV!A$11),ETAPP!A$1:A$32,0))&amp;INDEX(ETAPP!B$1:B$32,MATCH(COUNTIF(P10:Z10,PIV!A$12),ETAPP!A$1:A$32,0))&amp;INDEX(ETAPP!B$1:B$32,MATCH(COUNTIF(P10:Z10,PIV!A$13),ETAPP!A$1:A$32,0))&amp;INDEX(ETAPP!B$1:B$32,MATCH(COUNTIF(P10:Z10,PIV!A$14),ETAPP!A$1:A$32,0))&amp;INDEX(ETAPP!B$1:B$32,MATCH(COUNTIF(P10:Z10,PIV!A$15),ETAPP!A$1:A$32,0))&amp;INDEX(ETAPP!B$1:B$32,MATCH(COUNTIF(P10:Z10,PIV!A$16),ETAPP!A$1:A$32,0))&amp;INDEX(ETAPP!B$1:B$32,MATCH(COUNTIF(P10:Z10,PIV!A$17),ETAPP!A$1:A$32,0))&amp;INDEX(ETAPP!B$1:B$32,MATCH(COUNTIF(P10:Z10,PIV!A$18),ETAPP!A$1:A$32,0))&amp;INDEX(ETAPP!B$1:B$32,MATCH(COUNTIF(P10:Z10,PIV!A$19),ETAPP!A$1:A$32,0))</f>
        <v>CAAAAA000000000000C</v>
      </c>
      <c r="K10" s="1388" t="str">
        <f t="shared" ca="1" si="5"/>
        <v>256,0-CAAAAA000000000000C</v>
      </c>
      <c r="L10" s="1387">
        <f t="shared" ca="1" si="6"/>
        <v>3</v>
      </c>
      <c r="M10" s="1387">
        <f t="shared" si="7"/>
        <v>48</v>
      </c>
      <c r="N10" s="1388" t="str">
        <f t="shared" ca="1" si="8"/>
        <v>256,0-CAAAAA000000000000C-048</v>
      </c>
      <c r="O10" s="1396">
        <f t="shared" ca="1" si="9"/>
        <v>106</v>
      </c>
      <c r="P10" s="1397">
        <f>IFERROR(INDEX('1'!C$300:C$400,MATCH("*"&amp;F10&amp;"*",'1'!B$300:B$400,0)),"  ")</f>
        <v>40</v>
      </c>
      <c r="Q10" s="1398">
        <f>IFERROR(INDEX('2'!C$300:C$400,MATCH("*"&amp;F10&amp;"*",'2'!B$300:B$400,0)),"  ")</f>
        <v>26</v>
      </c>
      <c r="R10" s="1398" t="str">
        <f>IFERROR(INDEX('3'!C$300:C$400,MATCH("*"&amp;F10&amp;"*",'3'!B$300:B$400,0)),"  ")</f>
        <v xml:space="preserve">  </v>
      </c>
      <c r="S10" s="1398">
        <f>IFERROR(INDEX('4'!C$300:C$400,MATCH("*"&amp;F10&amp;"*",'4'!B$300:B$400,0)),"  ")</f>
        <v>40</v>
      </c>
      <c r="T10" s="1398" t="str">
        <f>IFERROR(INDEX('5'!C$300:C$400,MATCH("*"&amp;F10&amp;"*",'5'!B$300:B$400,0)),"  ")</f>
        <v xml:space="preserve">  </v>
      </c>
      <c r="U10" s="1398">
        <f>IFERROR(INDEX('6'!C$300:C$400,MATCH("*"&amp;F10&amp;"*",'6'!B$300:B$400,0)),"  ")</f>
        <v>22</v>
      </c>
      <c r="V10" s="1398" t="str">
        <f ca="1">IFERROR(INDEX('7'!C$300:C$400,MATCH("*"&amp;F10&amp;"*",'7'!B$300:B$400,0)),"  ")</f>
        <v xml:space="preserve">  </v>
      </c>
      <c r="W10" s="1398">
        <f>IFERROR(INDEX('8'!C$300:C$400,MATCH("*"&amp;F10&amp;"*",'8'!B$300:B$400,0)),"  ")</f>
        <v>40</v>
      </c>
      <c r="X10" s="1398">
        <f>IFERROR(INDEX('9'!C$300:C$400,MATCH("*"&amp;F10&amp;"*",'9'!B$300:B$400,0)),"  ")</f>
        <v>34</v>
      </c>
      <c r="Y10" s="1398">
        <f>IFERROR(INDEX('10'!C$300:C$400,MATCH("*"&amp;F10&amp;"*",'10'!B$300:B$400,0)),"  ")</f>
        <v>30</v>
      </c>
      <c r="Z10" s="1398">
        <f>IFERROR(INDEX('11'!C$300:C$400,MATCH("*"&amp;F10&amp;"*",'11'!B$300:B$400,0)),"  ")</f>
        <v>24</v>
      </c>
      <c r="AA10" s="1353">
        <f t="shared" ca="1" si="10"/>
        <v>8</v>
      </c>
      <c r="AB10" s="1353">
        <f t="shared" ca="1" si="11"/>
        <v>5</v>
      </c>
      <c r="AC10" s="1353">
        <f t="shared" ca="1" si="12"/>
        <v>3</v>
      </c>
      <c r="AH10" s="1345"/>
      <c r="AS10" s="689">
        <f t="shared" ca="1" si="13"/>
        <v>6.9999999999999999E-4</v>
      </c>
      <c r="AT10" s="690">
        <f t="shared" si="14"/>
        <v>40.000100000000003</v>
      </c>
      <c r="AU10" s="690">
        <f t="shared" si="15"/>
        <v>26.0002</v>
      </c>
      <c r="AV10" s="690">
        <f t="shared" si="16"/>
        <v>2.9999999999999997E-4</v>
      </c>
      <c r="AW10" s="690">
        <f t="shared" si="17"/>
        <v>40.000399999999999</v>
      </c>
      <c r="AX10" s="690">
        <f t="shared" si="18"/>
        <v>5.0000000000000001E-4</v>
      </c>
      <c r="AY10" s="690">
        <f t="shared" si="19"/>
        <v>22.000599999999999</v>
      </c>
      <c r="AZ10" s="690">
        <f t="shared" ca="1" si="20"/>
        <v>6.9999999999999999E-4</v>
      </c>
      <c r="BA10" s="690">
        <f t="shared" si="21"/>
        <v>40.000799999999998</v>
      </c>
      <c r="BB10" s="690">
        <f t="shared" si="22"/>
        <v>34.000900000000001</v>
      </c>
      <c r="BC10" s="690">
        <f t="shared" si="23"/>
        <v>30.001000000000001</v>
      </c>
      <c r="BD10" s="690">
        <f t="shared" si="24"/>
        <v>24.001100000000001</v>
      </c>
    </row>
    <row r="11" spans="1:56" x14ac:dyDescent="0.2">
      <c r="A11" s="1378" t="str">
        <f t="shared" si="0"/>
        <v/>
      </c>
      <c r="B11" s="1392" t="str">
        <f t="shared" si="1"/>
        <v/>
      </c>
      <c r="C11" s="1380" t="str">
        <f t="shared" si="2"/>
        <v/>
      </c>
      <c r="D11" s="1393" t="str">
        <f t="shared" si="3"/>
        <v/>
      </c>
      <c r="E11" s="1394">
        <f t="shared" ca="1" si="4"/>
        <v>4</v>
      </c>
      <c r="F11" s="1395" t="s">
        <v>471</v>
      </c>
      <c r="G11" s="1379"/>
      <c r="H11" s="1384"/>
      <c r="I11" s="1385">
        <f t="array" aca="1" ref="I11" ca="1">(IF(COUNT(P11:Z11)&lt;8,SUM(P11:Z11),SUM(LARGE((P11:Z11),{1;2;3;4;5;6;7;8}))))</f>
        <v>242</v>
      </c>
      <c r="J11" s="1388" t="str">
        <f ca="1">INDEX(ETAPP!B$1:B$32,MATCH(COUNTIF(P11:Z11,PIV!A$1),ETAPP!A$1:A$32,0))&amp;INDEX(ETAPP!B$1:B$32,MATCH(COUNTIF(P11:Z11,PIV!A$2),ETAPP!A$1:A$32,0))&amp;INDEX(ETAPP!B$1:B$32,MATCH(COUNTIF(P11:Z11,PIV!A$3),ETAPP!A$1:A$32,0))&amp;INDEX(ETAPP!B$1:B$32,MATCH(COUNTIF(P11:Z11,PIV!A$4),ETAPP!A$1:A$32,0))&amp;INDEX(ETAPP!B$1:B$32,MATCH(COUNTIF(P11:Z11,PIV!A$5),ETAPP!A$1:A$32,0))&amp;INDEX(ETAPP!B$1:B$32,MATCH(COUNTIF(P11:Z11,PIV!A$6),ETAPP!A$1:A$32,0))&amp;INDEX(ETAPP!B$1:B$32,MATCH(COUNTIF(P11:Z11,PIV!A$7),ETAPP!A$1:A$32,0))&amp;INDEX(ETAPP!B$1:B$32,MATCH(COUNTIF(P11:Z11,PIV!A$8),ETAPP!A$1:A$32,0))&amp;INDEX(ETAPP!B$1:B$32,MATCH(COUNTIF(P11:Z11,PIV!A$9),ETAPP!A$1:A$32,0))&amp;INDEX(ETAPP!B$1:B$32,MATCH(COUNTIF(P11:Z11,PIV!A$10),ETAPP!A$1:A$32,0))&amp;INDEX(ETAPP!B$1:B$32,MATCH(COUNTIF(P11:Z11,PIV!A$11),ETAPP!A$1:A$32,0))&amp;INDEX(ETAPP!B$1:B$32,MATCH(COUNTIF(P11:Z11,PIV!A$12),ETAPP!A$1:A$32,0))&amp;INDEX(ETAPP!B$1:B$32,MATCH(COUNTIF(P11:Z11,PIV!A$13),ETAPP!A$1:A$32,0))&amp;INDEX(ETAPP!B$1:B$32,MATCH(COUNTIF(P11:Z11,PIV!A$14),ETAPP!A$1:A$32,0))&amp;INDEX(ETAPP!B$1:B$32,MATCH(COUNTIF(P11:Z11,PIV!A$15),ETAPP!A$1:A$32,0))&amp;INDEX(ETAPP!B$1:B$32,MATCH(COUNTIF(P11:Z11,PIV!A$16),ETAPP!A$1:A$32,0))&amp;INDEX(ETAPP!B$1:B$32,MATCH(COUNTIF(P11:Z11,PIV!A$17),ETAPP!A$1:A$32,0))&amp;INDEX(ETAPP!B$1:B$32,MATCH(COUNTIF(P11:Z11,PIV!A$18),ETAPP!A$1:A$32,0))&amp;INDEX(ETAPP!B$1:B$32,MATCH(COUNTIF(P11:Z11,PIV!A$19),ETAPP!A$1:A$32,0))</f>
        <v>C0AAAAA00000000000C</v>
      </c>
      <c r="K11" s="1388" t="str">
        <f t="shared" ca="1" si="5"/>
        <v>242,0-C0AAAAA00000000000C</v>
      </c>
      <c r="L11" s="1387">
        <f t="shared" ca="1" si="6"/>
        <v>4</v>
      </c>
      <c r="M11" s="1387">
        <f t="shared" si="7"/>
        <v>41</v>
      </c>
      <c r="N11" s="1388" t="str">
        <f t="shared" ca="1" si="8"/>
        <v>242,0-C0AAAAA00000000000C-041</v>
      </c>
      <c r="O11" s="1396">
        <f t="shared" ca="1" si="9"/>
        <v>105</v>
      </c>
      <c r="P11" s="1397">
        <f>IFERROR(INDEX('1'!C$300:C$400,MATCH("*"&amp;F11&amp;"*",'1'!B$300:B$400,0)),"  ")</f>
        <v>40</v>
      </c>
      <c r="Q11" s="1398">
        <f>IFERROR(INDEX('2'!C$300:C$400,MATCH("*"&amp;F11&amp;"*",'2'!B$300:B$400,0)),"  ")</f>
        <v>20</v>
      </c>
      <c r="R11" s="1398">
        <f>IFERROR(INDEX('3'!C$300:C$400,MATCH("*"&amp;F11&amp;"*",'3'!B$300:B$400,0)),"  ")</f>
        <v>30</v>
      </c>
      <c r="S11" s="1398">
        <f>IFERROR(INDEX('4'!C$300:C$400,MATCH("*"&amp;F11&amp;"*",'4'!B$300:B$400,0)),"  ")</f>
        <v>22</v>
      </c>
      <c r="T11" s="1398">
        <f>IFERROR(INDEX('5'!C$300:C$400,MATCH("*"&amp;F11&amp;"*",'5'!B$300:B$400,0)),"  ")</f>
        <v>40</v>
      </c>
      <c r="U11" s="1398">
        <f>IFERROR(INDEX('6'!C$300:C$400,MATCH("*"&amp;F11&amp;"*",'6'!B$300:B$400,0)),"  ")</f>
        <v>24</v>
      </c>
      <c r="V11" s="1398" t="str">
        <f ca="1">IFERROR(INDEX('7'!C$300:C$400,MATCH("*"&amp;F11&amp;"*",'7'!B$300:B$400,0)),"  ")</f>
        <v xml:space="preserve">  </v>
      </c>
      <c r="W11" s="1398" t="str">
        <f>IFERROR(INDEX('8'!C$300:C$400,MATCH("*"&amp;F11&amp;"*",'8'!B$300:B$400,0)),"  ")</f>
        <v xml:space="preserve">  </v>
      </c>
      <c r="X11" s="1398" t="str">
        <f>IFERROR(INDEX('9'!C$300:C$400,MATCH("*"&amp;F11&amp;"*",'9'!B$300:B$400,0)),"  ")</f>
        <v xml:space="preserve">  </v>
      </c>
      <c r="Y11" s="1398">
        <f>IFERROR(INDEX('10'!C$300:C$400,MATCH("*"&amp;F11&amp;"*",'10'!B$300:B$400,0)),"  ")</f>
        <v>26</v>
      </c>
      <c r="Z11" s="1398">
        <f>IFERROR(INDEX('11'!C$300:C$400,MATCH("*"&amp;F11&amp;"*",'11'!B$300:B$400,0)),"  ")</f>
        <v>40</v>
      </c>
      <c r="AA11" s="1353">
        <f t="shared" ca="1" si="10"/>
        <v>8</v>
      </c>
      <c r="AB11" s="1353">
        <f t="shared" ca="1" si="11"/>
        <v>4</v>
      </c>
      <c r="AC11" s="1353">
        <f t="shared" ca="1" si="12"/>
        <v>3</v>
      </c>
      <c r="AH11" s="1345"/>
      <c r="AS11" s="689">
        <f t="shared" ca="1" si="13"/>
        <v>8.9999999999999998E-4</v>
      </c>
      <c r="AT11" s="690">
        <f t="shared" si="14"/>
        <v>40.000100000000003</v>
      </c>
      <c r="AU11" s="690">
        <f t="shared" si="15"/>
        <v>20.0002</v>
      </c>
      <c r="AV11" s="690">
        <f t="shared" si="16"/>
        <v>30.000299999999999</v>
      </c>
      <c r="AW11" s="690">
        <f t="shared" si="17"/>
        <v>22.000399999999999</v>
      </c>
      <c r="AX11" s="690">
        <f t="shared" si="18"/>
        <v>40.000500000000002</v>
      </c>
      <c r="AY11" s="690">
        <f t="shared" si="19"/>
        <v>24.000599999999999</v>
      </c>
      <c r="AZ11" s="690">
        <f t="shared" ca="1" si="20"/>
        <v>6.9999999999999999E-4</v>
      </c>
      <c r="BA11" s="690">
        <f t="shared" si="21"/>
        <v>8.0000000000000004E-4</v>
      </c>
      <c r="BB11" s="690">
        <f t="shared" si="22"/>
        <v>8.9999999999999998E-4</v>
      </c>
      <c r="BC11" s="690">
        <f t="shared" si="23"/>
        <v>26.001000000000001</v>
      </c>
      <c r="BD11" s="690">
        <f t="shared" si="24"/>
        <v>40.001100000000001</v>
      </c>
    </row>
    <row r="12" spans="1:56" x14ac:dyDescent="0.2">
      <c r="A12" s="1378" t="str">
        <f t="shared" si="0"/>
        <v/>
      </c>
      <c r="B12" s="1392" t="str">
        <f t="shared" si="1"/>
        <v/>
      </c>
      <c r="C12" s="1380" t="str">
        <f t="shared" si="2"/>
        <v/>
      </c>
      <c r="D12" s="1393" t="str">
        <f t="shared" si="3"/>
        <v/>
      </c>
      <c r="E12" s="1394">
        <f t="shared" ca="1" si="4"/>
        <v>5</v>
      </c>
      <c r="F12" s="1401" t="s">
        <v>88</v>
      </c>
      <c r="G12" s="1379"/>
      <c r="H12" s="1384"/>
      <c r="I12" s="1385">
        <f t="array" aca="1" ref="I12" ca="1">(IF(COUNT(P12:Z12)&lt;8,SUM(P12:Z12),SUM(LARGE((P12:Z12),{1;2;3;4;5;6;7;8}))))</f>
        <v>232</v>
      </c>
      <c r="J12" s="1388" t="str">
        <f ca="1">INDEX(ETAPP!B$1:B$32,MATCH(COUNTIF(P12:Z12,PIV!A$1),ETAPP!A$1:A$32,0))&amp;INDEX(ETAPP!B$1:B$32,MATCH(COUNTIF(P12:Z12,PIV!A$2),ETAPP!A$1:A$32,0))&amp;INDEX(ETAPP!B$1:B$32,MATCH(COUNTIF(P12:Z12,PIV!A$3),ETAPP!A$1:A$32,0))&amp;INDEX(ETAPP!B$1:B$32,MATCH(COUNTIF(P12:Z12,PIV!A$4),ETAPP!A$1:A$32,0))&amp;INDEX(ETAPP!B$1:B$32,MATCH(COUNTIF(P12:Z12,PIV!A$5),ETAPP!A$1:A$32,0))&amp;INDEX(ETAPP!B$1:B$32,MATCH(COUNTIF(P12:Z12,PIV!A$6),ETAPP!A$1:A$32,0))&amp;INDEX(ETAPP!B$1:B$32,MATCH(COUNTIF(P12:Z12,PIV!A$7),ETAPP!A$1:A$32,0))&amp;INDEX(ETAPP!B$1:B$32,MATCH(COUNTIF(P12:Z12,PIV!A$8),ETAPP!A$1:A$32,0))&amp;INDEX(ETAPP!B$1:B$32,MATCH(COUNTIF(P12:Z12,PIV!A$9),ETAPP!A$1:A$32,0))&amp;INDEX(ETAPP!B$1:B$32,MATCH(COUNTIF(P12:Z12,PIV!A$10),ETAPP!A$1:A$32,0))&amp;INDEX(ETAPP!B$1:B$32,MATCH(COUNTIF(P12:Z12,PIV!A$11),ETAPP!A$1:A$32,0))&amp;INDEX(ETAPP!B$1:B$32,MATCH(COUNTIF(P12:Z12,PIV!A$12),ETAPP!A$1:A$32,0))&amp;INDEX(ETAPP!B$1:B$32,MATCH(COUNTIF(P12:Z12,PIV!A$13),ETAPP!A$1:A$32,0))&amp;INDEX(ETAPP!B$1:B$32,MATCH(COUNTIF(P12:Z12,PIV!A$14),ETAPP!A$1:A$32,0))&amp;INDEX(ETAPP!B$1:B$32,MATCH(COUNTIF(P12:Z12,PIV!A$15),ETAPP!A$1:A$32,0))&amp;INDEX(ETAPP!B$1:B$32,MATCH(COUNTIF(P12:Z12,PIV!A$16),ETAPP!A$1:A$32,0))&amp;INDEX(ETAPP!B$1:B$32,MATCH(COUNTIF(P12:Z12,PIV!A$17),ETAPP!A$1:A$32,0))&amp;INDEX(ETAPP!B$1:B$32,MATCH(COUNTIF(P12:Z12,PIV!A$18),ETAPP!A$1:A$32,0))&amp;INDEX(ETAPP!B$1:B$32,MATCH(COUNTIF(P12:Z12,PIV!A$19),ETAPP!A$1:A$32,0))</f>
        <v>AC0AAA0AA0000000A0A</v>
      </c>
      <c r="K12" s="1388" t="str">
        <f t="shared" ca="1" si="5"/>
        <v>232,0-AC0AAA0AA0000000A0A</v>
      </c>
      <c r="L12" s="1387">
        <f t="shared" ca="1" si="6"/>
        <v>5</v>
      </c>
      <c r="M12" s="1387">
        <f t="shared" si="7"/>
        <v>40</v>
      </c>
      <c r="N12" s="1388" t="str">
        <f t="shared" ca="1" si="8"/>
        <v>232,0-AC0AAA0AA0000000A0A-040</v>
      </c>
      <c r="O12" s="1396">
        <f t="shared" ca="1" si="9"/>
        <v>104</v>
      </c>
      <c r="P12" s="1397">
        <f>IFERROR(INDEX('1'!C$300:C$400,MATCH("*"&amp;F12&amp;"*",'1'!B$300:B$400,0)),"  ")</f>
        <v>18</v>
      </c>
      <c r="Q12" s="1398">
        <f>IFERROR(INDEX('2'!C$300:C$400,MATCH("*"&amp;F12&amp;"*",'2'!B$300:B$400,0)),"  ")</f>
        <v>1</v>
      </c>
      <c r="R12" s="1398" t="str">
        <f>IFERROR(INDEX('3'!C$300:C$400,MATCH("*"&amp;F12&amp;"*",'3'!B$300:B$400,0)),"  ")</f>
        <v xml:space="preserve">  </v>
      </c>
      <c r="S12" s="1398">
        <f>IFERROR(INDEX('4'!C$300:C$400,MATCH("*"&amp;F12&amp;"*",'4'!B$300:B$400,0)),"  ")</f>
        <v>34</v>
      </c>
      <c r="T12" s="1398">
        <f>IFERROR(INDEX('5'!C$300:C$400,MATCH("*"&amp;F12&amp;"*",'5'!B$300:B$400,0)),"  ")</f>
        <v>34</v>
      </c>
      <c r="U12" s="1398">
        <f>IFERROR(INDEX('6'!C$300:C$400,MATCH("*"&amp;F12&amp;"*",'6'!B$300:B$400,0)),"  ")</f>
        <v>26</v>
      </c>
      <c r="V12" s="1398">
        <f ca="1">IFERROR(INDEX('7'!C$300:C$400,MATCH("*"&amp;F12&amp;"*",'7'!B$300:B$400,0)),"  ")</f>
        <v>24</v>
      </c>
      <c r="W12" s="1398">
        <f>IFERROR(INDEX('8'!C$300:C$400,MATCH("*"&amp;F12&amp;"*",'8'!B$300:B$400,0)),"  ")</f>
        <v>34</v>
      </c>
      <c r="X12" s="1398">
        <f>IFERROR(INDEX('9'!C$300:C$400,MATCH("*"&amp;F12&amp;"*",'9'!B$300:B$400,0)),"  ")</f>
        <v>22</v>
      </c>
      <c r="Y12" s="1398">
        <f>IFERROR(INDEX('10'!C$300:C$400,MATCH("*"&amp;F12&amp;"*",'10'!B$300:B$400,0)),"  ")</f>
        <v>40</v>
      </c>
      <c r="Z12" s="1398">
        <f>IFERROR(INDEX('11'!C$300:C$400,MATCH("*"&amp;F12&amp;"*",'11'!B$300:B$400,0)),"  ")</f>
        <v>16</v>
      </c>
      <c r="AA12" s="1353">
        <f t="shared" ca="1" si="10"/>
        <v>10</v>
      </c>
      <c r="AB12" s="1353">
        <f t="shared" ca="1" si="11"/>
        <v>4</v>
      </c>
      <c r="AC12" s="1353">
        <f t="shared" ca="1" si="12"/>
        <v>1</v>
      </c>
      <c r="AH12" s="1345"/>
      <c r="AS12" s="689">
        <f t="shared" ca="1" si="13"/>
        <v>16.001100000000001</v>
      </c>
      <c r="AT12" s="690">
        <f t="shared" si="14"/>
        <v>18.0001</v>
      </c>
      <c r="AU12" s="690">
        <f t="shared" si="15"/>
        <v>1.0002</v>
      </c>
      <c r="AV12" s="690">
        <f t="shared" si="16"/>
        <v>2.9999999999999997E-4</v>
      </c>
      <c r="AW12" s="690">
        <f t="shared" si="17"/>
        <v>34.000399999999999</v>
      </c>
      <c r="AX12" s="690">
        <f t="shared" si="18"/>
        <v>34.000500000000002</v>
      </c>
      <c r="AY12" s="690">
        <f t="shared" si="19"/>
        <v>26.000599999999999</v>
      </c>
      <c r="AZ12" s="690">
        <f t="shared" ca="1" si="20"/>
        <v>24.000699999999998</v>
      </c>
      <c r="BA12" s="690">
        <f t="shared" si="21"/>
        <v>34.000799999999998</v>
      </c>
      <c r="BB12" s="690">
        <f t="shared" si="22"/>
        <v>22.000900000000001</v>
      </c>
      <c r="BC12" s="690">
        <f t="shared" si="23"/>
        <v>40.000999999999998</v>
      </c>
      <c r="BD12" s="690">
        <f t="shared" si="24"/>
        <v>16.001100000000001</v>
      </c>
    </row>
    <row r="13" spans="1:56" x14ac:dyDescent="0.2">
      <c r="A13" s="1378" t="str">
        <f t="shared" si="0"/>
        <v/>
      </c>
      <c r="B13" s="1392" t="str">
        <f t="shared" si="1"/>
        <v/>
      </c>
      <c r="C13" s="1380" t="str">
        <f t="shared" si="2"/>
        <v/>
      </c>
      <c r="D13" s="1393" t="str">
        <f t="shared" si="3"/>
        <v/>
      </c>
      <c r="E13" s="1394">
        <f t="shared" ca="1" si="4"/>
        <v>6</v>
      </c>
      <c r="F13" s="1395" t="s">
        <v>116</v>
      </c>
      <c r="G13" s="1379"/>
      <c r="H13" s="1402"/>
      <c r="I13" s="1385">
        <f t="array" aca="1" ref="I13" ca="1">(IF(COUNT(P13:Z13)&lt;8,SUM(P13:Z13),SUM(LARGE((P13:Z13),{1;2;3;4;5;6;7;8}))))</f>
        <v>228</v>
      </c>
      <c r="J13" s="1388" t="str">
        <f ca="1">INDEX(ETAPP!B$1:B$32,MATCH(COUNTIF(P13:Z13,PIV!A$1),ETAPP!A$1:A$32,0))&amp;INDEX(ETAPP!B$1:B$32,MATCH(COUNTIF(P13:Z13,PIV!A$2),ETAPP!A$1:A$32,0))&amp;INDEX(ETAPP!B$1:B$32,MATCH(COUNTIF(P13:Z13,PIV!A$3),ETAPP!A$1:A$32,0))&amp;INDEX(ETAPP!B$1:B$32,MATCH(COUNTIF(P13:Z13,PIV!A$4),ETAPP!A$1:A$32,0))&amp;INDEX(ETAPP!B$1:B$32,MATCH(COUNTIF(P13:Z13,PIV!A$5),ETAPP!A$1:A$32,0))&amp;INDEX(ETAPP!B$1:B$32,MATCH(COUNTIF(P13:Z13,PIV!A$6),ETAPP!A$1:A$32,0))&amp;INDEX(ETAPP!B$1:B$32,MATCH(COUNTIF(P13:Z13,PIV!A$7),ETAPP!A$1:A$32,0))&amp;INDEX(ETAPP!B$1:B$32,MATCH(COUNTIF(P13:Z13,PIV!A$8),ETAPP!A$1:A$32,0))&amp;INDEX(ETAPP!B$1:B$32,MATCH(COUNTIF(P13:Z13,PIV!A$9),ETAPP!A$1:A$32,0))&amp;INDEX(ETAPP!B$1:B$32,MATCH(COUNTIF(P13:Z13,PIV!A$10),ETAPP!A$1:A$32,0))&amp;INDEX(ETAPP!B$1:B$32,MATCH(COUNTIF(P13:Z13,PIV!A$11),ETAPP!A$1:A$32,0))&amp;INDEX(ETAPP!B$1:B$32,MATCH(COUNTIF(P13:Z13,PIV!A$12),ETAPP!A$1:A$32,0))&amp;INDEX(ETAPP!B$1:B$32,MATCH(COUNTIF(P13:Z13,PIV!A$13),ETAPP!A$1:A$32,0))&amp;INDEX(ETAPP!B$1:B$32,MATCH(COUNTIF(P13:Z13,PIV!A$14),ETAPP!A$1:A$32,0))&amp;INDEX(ETAPP!B$1:B$32,MATCH(COUNTIF(P13:Z13,PIV!A$15),ETAPP!A$1:A$32,0))&amp;INDEX(ETAPP!B$1:B$32,MATCH(COUNTIF(P13:Z13,PIV!A$16),ETAPP!A$1:A$32,0))&amp;INDEX(ETAPP!B$1:B$32,MATCH(COUNTIF(P13:Z13,PIV!A$17),ETAPP!A$1:A$32,0))&amp;INDEX(ETAPP!B$1:B$32,MATCH(COUNTIF(P13:Z13,PIV!A$18),ETAPP!A$1:A$32,0))&amp;INDEX(ETAPP!B$1:B$32,MATCH(COUNTIF(P13:Z13,PIV!A$19),ETAPP!A$1:A$32,0))</f>
        <v>DA0000A00A00000000D</v>
      </c>
      <c r="K13" s="1388" t="str">
        <f t="shared" ca="1" si="5"/>
        <v>228,0-DA0000A00A00000000D</v>
      </c>
      <c r="L13" s="1387">
        <f t="shared" ca="1" si="6"/>
        <v>6</v>
      </c>
      <c r="M13" s="1387">
        <f t="shared" si="7"/>
        <v>64</v>
      </c>
      <c r="N13" s="1388" t="str">
        <f t="shared" ca="1" si="8"/>
        <v>228,0-DA0000A00A00000000D-064</v>
      </c>
      <c r="O13" s="1396">
        <f t="shared" ca="1" si="9"/>
        <v>103</v>
      </c>
      <c r="P13" s="1397">
        <f>IFERROR(INDEX('1'!C$300:C$400,MATCH("*"&amp;F13&amp;"*",'1'!B$300:B$400,0)),"  ")</f>
        <v>40</v>
      </c>
      <c r="Q13" s="1398" t="str">
        <f>IFERROR(INDEX('2'!C$300:C$400,MATCH("*"&amp;F13&amp;"*",'2'!B$300:B$400,0)),"  ")</f>
        <v xml:space="preserve">  </v>
      </c>
      <c r="R13" s="1398" t="str">
        <f>IFERROR(INDEX('3'!C$300:C$400,MATCH("*"&amp;F13&amp;"*",'3'!B$300:B$400,0)),"  ")</f>
        <v xml:space="preserve">  </v>
      </c>
      <c r="S13" s="1398">
        <f>IFERROR(INDEX('4'!C$300:C$400,MATCH("*"&amp;F13&amp;"*",'4'!B$300:B$400,0)),"  ")</f>
        <v>40</v>
      </c>
      <c r="T13" s="1398" t="str">
        <f>IFERROR(INDEX('5'!C$300:C$400,MATCH("*"&amp;F13&amp;"*",'5'!B$300:B$400,0)),"  ")</f>
        <v xml:space="preserve">  </v>
      </c>
      <c r="U13" s="1398">
        <f>IFERROR(INDEX('6'!C$300:C$400,MATCH("*"&amp;F13&amp;"*",'6'!B$300:B$400,0)),"  ")</f>
        <v>40</v>
      </c>
      <c r="V13" s="1398">
        <f ca="1">IFERROR(INDEX('7'!C$300:C$400,MATCH("*"&amp;F13&amp;"*",'7'!B$300:B$400,0)),"  ")</f>
        <v>20</v>
      </c>
      <c r="W13" s="1398">
        <f>IFERROR(INDEX('8'!C$300:C$400,MATCH("*"&amp;F13&amp;"*",'8'!B$300:B$400,0)),"  ")</f>
        <v>40</v>
      </c>
      <c r="X13" s="1398" t="str">
        <f>IFERROR(INDEX('9'!C$300:C$400,MATCH("*"&amp;F13&amp;"*",'9'!B$300:B$400,0)),"  ")</f>
        <v xml:space="preserve">  </v>
      </c>
      <c r="Y13" s="1398">
        <f>IFERROR(INDEX('10'!C$300:C$400,MATCH("*"&amp;F13&amp;"*",'10'!B$300:B$400,0)),"  ")</f>
        <v>34</v>
      </c>
      <c r="Z13" s="1398">
        <f>IFERROR(INDEX('11'!C$300:C$400,MATCH("*"&amp;F13&amp;"*",'11'!B$300:B$400,0)),"  ")</f>
        <v>14</v>
      </c>
      <c r="AA13" s="1353">
        <f t="shared" ca="1" si="10"/>
        <v>7</v>
      </c>
      <c r="AB13" s="1353">
        <f t="shared" ca="1" si="11"/>
        <v>5</v>
      </c>
      <c r="AC13" s="1353">
        <f t="shared" ca="1" si="12"/>
        <v>4</v>
      </c>
      <c r="AH13" s="1345"/>
      <c r="AS13" s="689">
        <f t="shared" ca="1" si="13"/>
        <v>5.0000000000000001E-4</v>
      </c>
      <c r="AT13" s="690">
        <f t="shared" si="14"/>
        <v>40.000100000000003</v>
      </c>
      <c r="AU13" s="690">
        <f t="shared" si="15"/>
        <v>2.0000000000000001E-4</v>
      </c>
      <c r="AV13" s="690">
        <f t="shared" si="16"/>
        <v>2.9999999999999997E-4</v>
      </c>
      <c r="AW13" s="690">
        <f t="shared" si="17"/>
        <v>40.000399999999999</v>
      </c>
      <c r="AX13" s="690">
        <f t="shared" si="18"/>
        <v>5.0000000000000001E-4</v>
      </c>
      <c r="AY13" s="690">
        <f t="shared" si="19"/>
        <v>40.000599999999999</v>
      </c>
      <c r="AZ13" s="690">
        <f t="shared" ca="1" si="20"/>
        <v>20.000699999999998</v>
      </c>
      <c r="BA13" s="690">
        <f t="shared" si="21"/>
        <v>40.000799999999998</v>
      </c>
      <c r="BB13" s="690">
        <f t="shared" si="22"/>
        <v>8.9999999999999998E-4</v>
      </c>
      <c r="BC13" s="690">
        <f t="shared" si="23"/>
        <v>34.000999999999998</v>
      </c>
      <c r="BD13" s="690">
        <f t="shared" si="24"/>
        <v>14.001099999999999</v>
      </c>
    </row>
    <row r="14" spans="1:56" x14ac:dyDescent="0.2">
      <c r="A14" s="1378" t="str">
        <f t="shared" si="0"/>
        <v/>
      </c>
      <c r="B14" s="1392" t="str">
        <f t="shared" si="1"/>
        <v/>
      </c>
      <c r="C14" s="1380" t="str">
        <f t="shared" si="2"/>
        <v/>
      </c>
      <c r="D14" s="1393" t="str">
        <f t="shared" si="3"/>
        <v/>
      </c>
      <c r="E14" s="1394">
        <f t="shared" ca="1" si="4"/>
        <v>7</v>
      </c>
      <c r="F14" s="1395" t="s">
        <v>139</v>
      </c>
      <c r="G14" s="1386"/>
      <c r="H14" s="1402"/>
      <c r="I14" s="1385">
        <f t="array" aca="1" ref="I14" ca="1">(IF(COUNT(P14:Z14)&lt;8,SUM(P14:Z14),SUM(LARGE((P14:Z14),{1;2;3;4;5;6;7;8}))))</f>
        <v>187</v>
      </c>
      <c r="J14" s="1388" t="str">
        <f ca="1">INDEX(ETAPP!B$1:B$32,MATCH(COUNTIF(P14:Z14,PIV!A$1),ETAPP!A$1:A$32,0))&amp;INDEX(ETAPP!B$1:B$32,MATCH(COUNTIF(P14:Z14,PIV!A$2),ETAPP!A$1:A$32,0))&amp;INDEX(ETAPP!B$1:B$32,MATCH(COUNTIF(P14:Z14,PIV!A$3),ETAPP!A$1:A$32,0))&amp;INDEX(ETAPP!B$1:B$32,MATCH(COUNTIF(P14:Z14,PIV!A$4),ETAPP!A$1:A$32,0))&amp;INDEX(ETAPP!B$1:B$32,MATCH(COUNTIF(P14:Z14,PIV!A$5),ETAPP!A$1:A$32,0))&amp;INDEX(ETAPP!B$1:B$32,MATCH(COUNTIF(P14:Z14,PIV!A$6),ETAPP!A$1:A$32,0))&amp;INDEX(ETAPP!B$1:B$32,MATCH(COUNTIF(P14:Z14,PIV!A$7),ETAPP!A$1:A$32,0))&amp;INDEX(ETAPP!B$1:B$32,MATCH(COUNTIF(P14:Z14,PIV!A$8),ETAPP!A$1:A$32,0))&amp;INDEX(ETAPP!B$1:B$32,MATCH(COUNTIF(P14:Z14,PIV!A$9),ETAPP!A$1:A$32,0))&amp;INDEX(ETAPP!B$1:B$32,MATCH(COUNTIF(P14:Z14,PIV!A$10),ETAPP!A$1:A$32,0))&amp;INDEX(ETAPP!B$1:B$32,MATCH(COUNTIF(P14:Z14,PIV!A$11),ETAPP!A$1:A$32,0))&amp;INDEX(ETAPP!B$1:B$32,MATCH(COUNTIF(P14:Z14,PIV!A$12),ETAPP!A$1:A$32,0))&amp;INDEX(ETAPP!B$1:B$32,MATCH(COUNTIF(P14:Z14,PIV!A$13),ETAPP!A$1:A$32,0))&amp;INDEX(ETAPP!B$1:B$32,MATCH(COUNTIF(P14:Z14,PIV!A$14),ETAPP!A$1:A$32,0))&amp;INDEX(ETAPP!B$1:B$32,MATCH(COUNTIF(P14:Z14,PIV!A$15),ETAPP!A$1:A$32,0))&amp;INDEX(ETAPP!B$1:B$32,MATCH(COUNTIF(P14:Z14,PIV!A$16),ETAPP!A$1:A$32,0))&amp;INDEX(ETAPP!B$1:B$32,MATCH(COUNTIF(P14:Z14,PIV!A$17),ETAPP!A$1:A$32,0))&amp;INDEX(ETAPP!B$1:B$32,MATCH(COUNTIF(P14:Z14,PIV!A$18),ETAPP!A$1:A$32,0))&amp;INDEX(ETAPP!B$1:B$32,MATCH(COUNTIF(P14:Z14,PIV!A$19),ETAPP!A$1:A$32,0))</f>
        <v>AA0C000AA0000000A0C</v>
      </c>
      <c r="K14" s="1388" t="str">
        <f t="shared" ca="1" si="5"/>
        <v>187,0-AA0C000AA0000000A0C</v>
      </c>
      <c r="L14" s="1387">
        <f t="shared" ca="1" si="6"/>
        <v>7</v>
      </c>
      <c r="M14" s="1387">
        <f t="shared" si="7"/>
        <v>32</v>
      </c>
      <c r="N14" s="1388" t="str">
        <f t="shared" ca="1" si="8"/>
        <v>187,0-AA0C000AA0000000A0C-032</v>
      </c>
      <c r="O14" s="1396">
        <f t="shared" ca="1" si="9"/>
        <v>102</v>
      </c>
      <c r="P14" s="1397">
        <f>IFERROR(INDEX('1'!C$300:C$400,MATCH("*"&amp;F14&amp;"*",'1'!B$300:B$400,0)),"  ")</f>
        <v>26</v>
      </c>
      <c r="Q14" s="1398">
        <f>IFERROR(INDEX('2'!C$300:C$400,MATCH("*"&amp;F14&amp;"*",'2'!B$300:B$400,0)),"  ")</f>
        <v>18</v>
      </c>
      <c r="R14" s="1398">
        <f>IFERROR(INDEX('3'!C$300:C$400,MATCH("*"&amp;F14&amp;"*",'3'!B$300:B$400,0)),"  ")</f>
        <v>16</v>
      </c>
      <c r="S14" s="1398" t="str">
        <f>IFERROR(INDEX('4'!C$300:C$400,MATCH("*"&amp;F14&amp;"*",'4'!B$300:B$400,0)),"  ")</f>
        <v xml:space="preserve">  </v>
      </c>
      <c r="T14" s="1398" t="str">
        <f>IFERROR(INDEX('5'!C$300:C$400,MATCH("*"&amp;F14&amp;"*",'5'!B$300:B$400,0)),"  ")</f>
        <v xml:space="preserve">  </v>
      </c>
      <c r="U14" s="1398">
        <f>IFERROR(INDEX('6'!C$300:C$400,MATCH("*"&amp;F14&amp;"*",'6'!B$300:B$400,0)),"  ")</f>
        <v>1</v>
      </c>
      <c r="V14" s="1398" t="str">
        <f ca="1">IFERROR(INDEX('7'!C$300:C$400,MATCH("*"&amp;F14&amp;"*",'7'!B$300:B$400,0)),"  ")</f>
        <v xml:space="preserve">  </v>
      </c>
      <c r="W14" s="1398">
        <f>IFERROR(INDEX('8'!C$300:C$400,MATCH("*"&amp;F14&amp;"*",'8'!B$300:B$400,0)),"  ")</f>
        <v>26</v>
      </c>
      <c r="X14" s="1398">
        <f>IFERROR(INDEX('9'!C$300:C$400,MATCH("*"&amp;F14&amp;"*",'9'!B$300:B$400,0)),"  ")</f>
        <v>40</v>
      </c>
      <c r="Y14" s="1398">
        <f>IFERROR(INDEX('10'!C$300:C$400,MATCH("*"&amp;F14&amp;"*",'10'!B$300:B$400,0)),"  ")</f>
        <v>34</v>
      </c>
      <c r="Z14" s="1398">
        <f>IFERROR(INDEX('11'!C$300:C$400,MATCH("*"&amp;F14&amp;"*",'11'!B$300:B$400,0)),"  ")</f>
        <v>26</v>
      </c>
      <c r="AA14" s="1353">
        <f t="shared" ca="1" si="10"/>
        <v>8</v>
      </c>
      <c r="AB14" s="1353">
        <f t="shared" ca="1" si="11"/>
        <v>2</v>
      </c>
      <c r="AC14" s="1353">
        <f t="shared" ca="1" si="12"/>
        <v>1</v>
      </c>
      <c r="AH14" s="1345"/>
      <c r="AS14" s="689">
        <f t="shared" ca="1" si="13"/>
        <v>6.9999999999999999E-4</v>
      </c>
      <c r="AT14" s="690">
        <f t="shared" si="14"/>
        <v>26.0001</v>
      </c>
      <c r="AU14" s="690">
        <f t="shared" si="15"/>
        <v>18.0002</v>
      </c>
      <c r="AV14" s="690">
        <f t="shared" si="16"/>
        <v>16.000299999999999</v>
      </c>
      <c r="AW14" s="690">
        <f t="shared" si="17"/>
        <v>4.0000000000000002E-4</v>
      </c>
      <c r="AX14" s="690">
        <f t="shared" si="18"/>
        <v>5.0000000000000001E-4</v>
      </c>
      <c r="AY14" s="690">
        <f t="shared" si="19"/>
        <v>1.0005999999999999</v>
      </c>
      <c r="AZ14" s="690">
        <f t="shared" ca="1" si="20"/>
        <v>6.9999999999999999E-4</v>
      </c>
      <c r="BA14" s="690">
        <f t="shared" si="21"/>
        <v>26.000800000000002</v>
      </c>
      <c r="BB14" s="690">
        <f t="shared" si="22"/>
        <v>40.000900000000001</v>
      </c>
      <c r="BC14" s="690">
        <f t="shared" si="23"/>
        <v>34.000999999999998</v>
      </c>
      <c r="BD14" s="690">
        <f t="shared" si="24"/>
        <v>26.001100000000001</v>
      </c>
    </row>
    <row r="15" spans="1:56" x14ac:dyDescent="0.2">
      <c r="A15" s="1378" t="str">
        <f t="shared" si="0"/>
        <v/>
      </c>
      <c r="B15" s="1392" t="str">
        <f t="shared" si="1"/>
        <v/>
      </c>
      <c r="C15" s="1380" t="str">
        <f t="shared" si="2"/>
        <v/>
      </c>
      <c r="D15" s="1393" t="str">
        <f t="shared" si="3"/>
        <v/>
      </c>
      <c r="E15" s="1394">
        <f t="shared" ca="1" si="4"/>
        <v>8</v>
      </c>
      <c r="F15" s="1395" t="s">
        <v>86</v>
      </c>
      <c r="G15" s="1379"/>
      <c r="H15" s="1384"/>
      <c r="I15" s="1385">
        <f t="array" aca="1" ref="I15" ca="1">(IF(COUNT(P15:Z15)&lt;8,SUM(P15:Z15),SUM(LARGE((P15:Z15),{1;2;3;4;5;6;7;8}))))</f>
        <v>179</v>
      </c>
      <c r="J15" s="1388" t="str">
        <f ca="1">INDEX(ETAPP!B$1:B$32,MATCH(COUNTIF(P15:Z15,PIV!A$1),ETAPP!A$1:A$32,0))&amp;INDEX(ETAPP!B$1:B$32,MATCH(COUNTIF(P15:Z15,PIV!A$2),ETAPP!A$1:A$32,0))&amp;INDEX(ETAPP!B$1:B$32,MATCH(COUNTIF(P15:Z15,PIV!A$3),ETAPP!A$1:A$32,0))&amp;INDEX(ETAPP!B$1:B$32,MATCH(COUNTIF(P15:Z15,PIV!A$4),ETAPP!A$1:A$32,0))&amp;INDEX(ETAPP!B$1:B$32,MATCH(COUNTIF(P15:Z15,PIV!A$5),ETAPP!A$1:A$32,0))&amp;INDEX(ETAPP!B$1:B$32,MATCH(COUNTIF(P15:Z15,PIV!A$6),ETAPP!A$1:A$32,0))&amp;INDEX(ETAPP!B$1:B$32,MATCH(COUNTIF(P15:Z15,PIV!A$7),ETAPP!A$1:A$32,0))&amp;INDEX(ETAPP!B$1:B$32,MATCH(COUNTIF(P15:Z15,PIV!A$8),ETAPP!A$1:A$32,0))&amp;INDEX(ETAPP!B$1:B$32,MATCH(COUNTIF(P15:Z15,PIV!A$9),ETAPP!A$1:A$32,0))&amp;INDEX(ETAPP!B$1:B$32,MATCH(COUNTIF(P15:Z15,PIV!A$10),ETAPP!A$1:A$32,0))&amp;INDEX(ETAPP!B$1:B$32,MATCH(COUNTIF(P15:Z15,PIV!A$11),ETAPP!A$1:A$32,0))&amp;INDEX(ETAPP!B$1:B$32,MATCH(COUNTIF(P15:Z15,PIV!A$12),ETAPP!A$1:A$32,0))&amp;INDEX(ETAPP!B$1:B$32,MATCH(COUNTIF(P15:Z15,PIV!A$13),ETAPP!A$1:A$32,0))&amp;INDEX(ETAPP!B$1:B$32,MATCH(COUNTIF(P15:Z15,PIV!A$14),ETAPP!A$1:A$32,0))&amp;INDEX(ETAPP!B$1:B$32,MATCH(COUNTIF(P15:Z15,PIV!A$15),ETAPP!A$1:A$32,0))&amp;INDEX(ETAPP!B$1:B$32,MATCH(COUNTIF(P15:Z15,PIV!A$16),ETAPP!A$1:A$32,0))&amp;INDEX(ETAPP!B$1:B$32,MATCH(COUNTIF(P15:Z15,PIV!A$17),ETAPP!A$1:A$32,0))&amp;INDEX(ETAPP!B$1:B$32,MATCH(COUNTIF(P15:Z15,PIV!A$18),ETAPP!A$1:A$32,0))&amp;INDEX(ETAPP!B$1:B$32,MATCH(COUNTIF(P15:Z15,PIV!A$19),ETAPP!A$1:A$32,0))</f>
        <v>0ABA0AA0A0000000A0C</v>
      </c>
      <c r="K15" s="1388" t="str">
        <f t="shared" ca="1" si="5"/>
        <v>179,0-0ABA0AA0A0000000A0C</v>
      </c>
      <c r="L15" s="1387">
        <f t="shared" ca="1" si="6"/>
        <v>8</v>
      </c>
      <c r="M15" s="1387">
        <f t="shared" si="7"/>
        <v>75</v>
      </c>
      <c r="N15" s="1388" t="str">
        <f t="shared" ca="1" si="8"/>
        <v>179,0-0ABA0AA0A0000000A0C-075</v>
      </c>
      <c r="O15" s="1396">
        <f t="shared" ca="1" si="9"/>
        <v>101</v>
      </c>
      <c r="P15" s="1397">
        <f>IFERROR(INDEX('1'!C$300:C$400,MATCH("*"&amp;F15&amp;"*",'1'!B$300:B$400,0)),"  ")</f>
        <v>26</v>
      </c>
      <c r="Q15" s="1398">
        <f>IFERROR(INDEX('2'!C$300:C$400,MATCH("*"&amp;F15&amp;"*",'2'!B$300:B$400,0)),"  ")</f>
        <v>22</v>
      </c>
      <c r="R15" s="1398">
        <f>IFERROR(INDEX('3'!C$300:C$400,MATCH("*"&amp;F15&amp;"*",'3'!B$300:B$400,0)),"  ")</f>
        <v>16</v>
      </c>
      <c r="S15" s="1398">
        <f>IFERROR(INDEX('4'!C$300:C$400,MATCH("*"&amp;F15&amp;"*",'4'!B$300:B$400,0)),"  ")</f>
        <v>20</v>
      </c>
      <c r="T15" s="1398" t="str">
        <f>IFERROR(INDEX('5'!C$300:C$400,MATCH("*"&amp;F15&amp;"*",'5'!B$300:B$400,0)),"  ")</f>
        <v xml:space="preserve">  </v>
      </c>
      <c r="U15" s="1398">
        <f>IFERROR(INDEX('6'!C$300:C$400,MATCH("*"&amp;F15&amp;"*",'6'!B$300:B$400,0)),"  ")</f>
        <v>1</v>
      </c>
      <c r="V15" s="1398" t="str">
        <f ca="1">IFERROR(INDEX('7'!C$300:C$400,MATCH("*"&amp;F15&amp;"*",'7'!B$300:B$400,0)),"  ")</f>
        <v xml:space="preserve">  </v>
      </c>
      <c r="W15" s="1398">
        <f>IFERROR(INDEX('8'!C$300:C$400,MATCH("*"&amp;F15&amp;"*",'8'!B$300:B$400,0)),"  ")</f>
        <v>30</v>
      </c>
      <c r="X15" s="1398">
        <f>IFERROR(INDEX('9'!C$300:C$400,MATCH("*"&amp;F15&amp;"*",'9'!B$300:B$400,0)),"  ")</f>
        <v>34</v>
      </c>
      <c r="Y15" s="1398">
        <f>IFERROR(INDEX('10'!C$300:C$400,MATCH("*"&amp;F15&amp;"*",'10'!B$300:B$400,0)),"  ")</f>
        <v>30</v>
      </c>
      <c r="Z15" s="1398" t="str">
        <f>IFERROR(INDEX('11'!C$300:C$400,MATCH("*"&amp;F15&amp;"*",'11'!B$300:B$400,0)),"  ")</f>
        <v xml:space="preserve">  </v>
      </c>
      <c r="AA15" s="1353">
        <f t="shared" ca="1" si="10"/>
        <v>8</v>
      </c>
      <c r="AB15" s="1353">
        <f t="shared" ca="1" si="11"/>
        <v>3</v>
      </c>
      <c r="AC15" s="1353">
        <f t="shared" ca="1" si="12"/>
        <v>0</v>
      </c>
      <c r="AH15" s="1345"/>
      <c r="AS15" s="689">
        <f t="shared" ca="1" si="13"/>
        <v>1.1000000000000001E-3</v>
      </c>
      <c r="AT15" s="690">
        <f t="shared" si="14"/>
        <v>26.0001</v>
      </c>
      <c r="AU15" s="690">
        <f t="shared" si="15"/>
        <v>22.0002</v>
      </c>
      <c r="AV15" s="690">
        <f t="shared" si="16"/>
        <v>16.000299999999999</v>
      </c>
      <c r="AW15" s="690">
        <f t="shared" si="17"/>
        <v>20.000399999999999</v>
      </c>
      <c r="AX15" s="690">
        <f t="shared" si="18"/>
        <v>5.0000000000000001E-4</v>
      </c>
      <c r="AY15" s="690">
        <f t="shared" si="19"/>
        <v>1.0005999999999999</v>
      </c>
      <c r="AZ15" s="690">
        <f t="shared" ca="1" si="20"/>
        <v>6.9999999999999999E-4</v>
      </c>
      <c r="BA15" s="690">
        <f t="shared" si="21"/>
        <v>30.000800000000002</v>
      </c>
      <c r="BB15" s="690">
        <f t="shared" si="22"/>
        <v>34.000900000000001</v>
      </c>
      <c r="BC15" s="690">
        <f t="shared" si="23"/>
        <v>30.001000000000001</v>
      </c>
      <c r="BD15" s="690">
        <f t="shared" si="24"/>
        <v>1.1000000000000001E-3</v>
      </c>
    </row>
    <row r="16" spans="1:56" x14ac:dyDescent="0.2">
      <c r="A16" s="1378">
        <f t="shared" ca="1" si="0"/>
        <v>1</v>
      </c>
      <c r="B16" s="1392">
        <f t="shared" ca="1" si="1"/>
        <v>9</v>
      </c>
      <c r="C16" s="1380" t="str">
        <f t="shared" si="2"/>
        <v/>
      </c>
      <c r="D16" s="1393" t="str">
        <f t="shared" si="3"/>
        <v/>
      </c>
      <c r="E16" s="1394">
        <f t="shared" ca="1" si="4"/>
        <v>9</v>
      </c>
      <c r="F16" s="1395" t="s">
        <v>496</v>
      </c>
      <c r="G16" s="1379" t="s">
        <v>99</v>
      </c>
      <c r="H16" s="1402"/>
      <c r="I16" s="1385">
        <f t="array" aca="1" ref="I16" ca="1">(IF(COUNT(P16:Z16)&lt;8,SUM(P16:Z16),SUM(LARGE((P16:Z16),{1;2;3;4;5;6;7;8}))))</f>
        <v>168</v>
      </c>
      <c r="J16" s="1388" t="str">
        <f ca="1">INDEX(ETAPP!B$1:B$32,MATCH(COUNTIF(P16:Z16,PIV!A$1),ETAPP!A$1:A$32,0))&amp;INDEX(ETAPP!B$1:B$32,MATCH(COUNTIF(P16:Z16,PIV!A$2),ETAPP!A$1:A$32,0))&amp;INDEX(ETAPP!B$1:B$32,MATCH(COUNTIF(P16:Z16,PIV!A$3),ETAPP!A$1:A$32,0))&amp;INDEX(ETAPP!B$1:B$32,MATCH(COUNTIF(P16:Z16,PIV!A$4),ETAPP!A$1:A$32,0))&amp;INDEX(ETAPP!B$1:B$32,MATCH(COUNTIF(P16:Z16,PIV!A$5),ETAPP!A$1:A$32,0))&amp;INDEX(ETAPP!B$1:B$32,MATCH(COUNTIF(P16:Z16,PIV!A$6),ETAPP!A$1:A$32,0))&amp;INDEX(ETAPP!B$1:B$32,MATCH(COUNTIF(P16:Z16,PIV!A$7),ETAPP!A$1:A$32,0))&amp;INDEX(ETAPP!B$1:B$32,MATCH(COUNTIF(P16:Z16,PIV!A$8),ETAPP!A$1:A$32,0))&amp;INDEX(ETAPP!B$1:B$32,MATCH(COUNTIF(P16:Z16,PIV!A$9),ETAPP!A$1:A$32,0))&amp;INDEX(ETAPP!B$1:B$32,MATCH(COUNTIF(P16:Z16,PIV!A$10),ETAPP!A$1:A$32,0))&amp;INDEX(ETAPP!B$1:B$32,MATCH(COUNTIF(P16:Z16,PIV!A$11),ETAPP!A$1:A$32,0))&amp;INDEX(ETAPP!B$1:B$32,MATCH(COUNTIF(P16:Z16,PIV!A$12),ETAPP!A$1:A$32,0))&amp;INDEX(ETAPP!B$1:B$32,MATCH(COUNTIF(P16:Z16,PIV!A$13),ETAPP!A$1:A$32,0))&amp;INDEX(ETAPP!B$1:B$32,MATCH(COUNTIF(P16:Z16,PIV!A$14),ETAPP!A$1:A$32,0))&amp;INDEX(ETAPP!B$1:B$32,MATCH(COUNTIF(P16:Z16,PIV!A$15),ETAPP!A$1:A$32,0))&amp;INDEX(ETAPP!B$1:B$32,MATCH(COUNTIF(P16:Z16,PIV!A$16),ETAPP!A$1:A$32,0))&amp;INDEX(ETAPP!B$1:B$32,MATCH(COUNTIF(P16:Z16,PIV!A$17),ETAPP!A$1:A$32,0))&amp;INDEX(ETAPP!B$1:B$32,MATCH(COUNTIF(P16:Z16,PIV!A$18),ETAPP!A$1:A$32,0))&amp;INDEX(ETAPP!B$1:B$32,MATCH(COUNTIF(P16:Z16,PIV!A$19),ETAPP!A$1:A$32,0))</f>
        <v>A0A00AA0ABA0A00000B</v>
      </c>
      <c r="K16" s="1388" t="str">
        <f t="shared" ca="1" si="5"/>
        <v>168,0-A0A00AA0ABA0A00000B</v>
      </c>
      <c r="L16" s="1387">
        <f t="shared" ca="1" si="6"/>
        <v>9</v>
      </c>
      <c r="M16" s="1387">
        <f t="shared" si="7"/>
        <v>28</v>
      </c>
      <c r="N16" s="1388" t="str">
        <f t="shared" ca="1" si="8"/>
        <v>168,0-A0A00AA0ABA0A00000B-028</v>
      </c>
      <c r="O16" s="1396">
        <f t="shared" ca="1" si="9"/>
        <v>100</v>
      </c>
      <c r="P16" s="1397" t="str">
        <f>IFERROR(INDEX('1'!C$300:C$400,MATCH("*"&amp;F16&amp;"*",'1'!B$300:B$400,0)),"  ")</f>
        <v xml:space="preserve">  </v>
      </c>
      <c r="Q16" s="1398">
        <f>IFERROR(INDEX('2'!C$300:C$400,MATCH("*"&amp;F16&amp;"*",'2'!B$300:B$400,0)),"  ")</f>
        <v>16</v>
      </c>
      <c r="R16" s="1398">
        <f>IFERROR(INDEX('3'!C$300:C$400,MATCH("*"&amp;F16&amp;"*",'3'!B$300:B$400,0)),"  ")</f>
        <v>30</v>
      </c>
      <c r="S16" s="1398">
        <f>IFERROR(INDEX('4'!C$300:C$400,MATCH("*"&amp;F16&amp;"*",'4'!B$300:B$400,0)),"  ")</f>
        <v>22</v>
      </c>
      <c r="T16" s="1398">
        <f>IFERROR(INDEX('5'!C$300:C$400,MATCH("*"&amp;F16&amp;"*",'5'!B$300:B$400,0)),"  ")</f>
        <v>40</v>
      </c>
      <c r="U16" s="1398">
        <f>IFERROR(INDEX('6'!C$300:C$400,MATCH("*"&amp;F16&amp;"*",'6'!B$300:B$400,0)),"  ")</f>
        <v>8</v>
      </c>
      <c r="V16" s="1398" t="str">
        <f ca="1">IFERROR(INDEX('7'!C$300:C$400,MATCH("*"&amp;F16&amp;"*",'7'!B$300:B$400,0)),"  ")</f>
        <v xml:space="preserve">  </v>
      </c>
      <c r="W16" s="1398">
        <f>IFERROR(INDEX('8'!C$300:C$400,MATCH("*"&amp;F16&amp;"*",'8'!B$300:B$400,0)),"  ")</f>
        <v>14</v>
      </c>
      <c r="X16" s="1398">
        <f>IFERROR(INDEX('9'!C$300:C$400,MATCH("*"&amp;F16&amp;"*",'9'!B$300:B$400,0)),"  ")</f>
        <v>14</v>
      </c>
      <c r="Y16" s="1398">
        <f>IFERROR(INDEX('10'!C$300:C$400,MATCH("*"&amp;F16&amp;"*",'10'!B$300:B$400,0)),"  ")</f>
        <v>20</v>
      </c>
      <c r="Z16" s="1398">
        <f>IFERROR(INDEX('11'!C$300:C$400,MATCH("*"&amp;F16&amp;"*",'11'!B$300:B$400,0)),"  ")</f>
        <v>12</v>
      </c>
      <c r="AA16" s="1353">
        <f t="shared" ca="1" si="10"/>
        <v>9</v>
      </c>
      <c r="AB16" s="1353">
        <f t="shared" ca="1" si="11"/>
        <v>2</v>
      </c>
      <c r="AC16" s="1353">
        <f t="shared" ca="1" si="12"/>
        <v>1</v>
      </c>
      <c r="AH16" s="1345"/>
      <c r="AS16" s="689">
        <f t="shared" ca="1" si="13"/>
        <v>8.0006000000000004</v>
      </c>
      <c r="AT16" s="690">
        <f t="shared" si="14"/>
        <v>1E-4</v>
      </c>
      <c r="AU16" s="690">
        <f t="shared" si="15"/>
        <v>16.0002</v>
      </c>
      <c r="AV16" s="690">
        <f t="shared" si="16"/>
        <v>30.000299999999999</v>
      </c>
      <c r="AW16" s="690">
        <f t="shared" si="17"/>
        <v>22.000399999999999</v>
      </c>
      <c r="AX16" s="690">
        <f t="shared" si="18"/>
        <v>40.000500000000002</v>
      </c>
      <c r="AY16" s="690">
        <f t="shared" si="19"/>
        <v>8.0006000000000004</v>
      </c>
      <c r="AZ16" s="690">
        <f t="shared" ca="1" si="20"/>
        <v>6.9999999999999999E-4</v>
      </c>
      <c r="BA16" s="690">
        <f t="shared" si="21"/>
        <v>14.0008</v>
      </c>
      <c r="BB16" s="690">
        <f t="shared" si="22"/>
        <v>14.0009</v>
      </c>
      <c r="BC16" s="690">
        <f t="shared" si="23"/>
        <v>20.001000000000001</v>
      </c>
      <c r="BD16" s="690">
        <f t="shared" si="24"/>
        <v>12.001099999999999</v>
      </c>
    </row>
    <row r="17" spans="1:56" x14ac:dyDescent="0.2">
      <c r="A17" s="1378" t="str">
        <f t="shared" si="0"/>
        <v/>
      </c>
      <c r="B17" s="1392" t="str">
        <f t="shared" si="1"/>
        <v/>
      </c>
      <c r="C17" s="1380" t="str">
        <f t="shared" si="2"/>
        <v/>
      </c>
      <c r="D17" s="1393" t="str">
        <f t="shared" si="3"/>
        <v/>
      </c>
      <c r="E17" s="1394">
        <f t="shared" ca="1" si="4"/>
        <v>10</v>
      </c>
      <c r="F17" s="1360" t="s">
        <v>119</v>
      </c>
      <c r="G17" s="1379"/>
      <c r="H17" s="1384"/>
      <c r="I17" s="1385">
        <f t="array" aca="1" ref="I17" ca="1">(IF(COUNT(P17:Z17)&lt;8,SUM(P17:Z17),SUM(LARGE((P17:Z17),{1;2;3;4;5;6;7;8}))))</f>
        <v>166</v>
      </c>
      <c r="J17" s="1388" t="str">
        <f ca="1">INDEX(ETAPP!B$1:B$32,MATCH(COUNTIF(P17:Z17,PIV!A$1),ETAPP!A$1:A$32,0))&amp;INDEX(ETAPP!B$1:B$32,MATCH(COUNTIF(P17:Z17,PIV!A$2),ETAPP!A$1:A$32,0))&amp;INDEX(ETAPP!B$1:B$32,MATCH(COUNTIF(P17:Z17,PIV!A$3),ETAPP!A$1:A$32,0))&amp;INDEX(ETAPP!B$1:B$32,MATCH(COUNTIF(P17:Z17,PIV!A$4),ETAPP!A$1:A$32,0))&amp;INDEX(ETAPP!B$1:B$32,MATCH(COUNTIF(P17:Z17,PIV!A$5),ETAPP!A$1:A$32,0))&amp;INDEX(ETAPP!B$1:B$32,MATCH(COUNTIF(P17:Z17,PIV!A$6),ETAPP!A$1:A$32,0))&amp;INDEX(ETAPP!B$1:B$32,MATCH(COUNTIF(P17:Z17,PIV!A$7),ETAPP!A$1:A$32,0))&amp;INDEX(ETAPP!B$1:B$32,MATCH(COUNTIF(P17:Z17,PIV!A$8),ETAPP!A$1:A$32,0))&amp;INDEX(ETAPP!B$1:B$32,MATCH(COUNTIF(P17:Z17,PIV!A$9),ETAPP!A$1:A$32,0))&amp;INDEX(ETAPP!B$1:B$32,MATCH(COUNTIF(P17:Z17,PIV!A$10),ETAPP!A$1:A$32,0))&amp;INDEX(ETAPP!B$1:B$32,MATCH(COUNTIF(P17:Z17,PIV!A$11),ETAPP!A$1:A$32,0))&amp;INDEX(ETAPP!B$1:B$32,MATCH(COUNTIF(P17:Z17,PIV!A$12),ETAPP!A$1:A$32,0))&amp;INDEX(ETAPP!B$1:B$32,MATCH(COUNTIF(P17:Z17,PIV!A$13),ETAPP!A$1:A$32,0))&amp;INDEX(ETAPP!B$1:B$32,MATCH(COUNTIF(P17:Z17,PIV!A$14),ETAPP!A$1:A$32,0))&amp;INDEX(ETAPP!B$1:B$32,MATCH(COUNTIF(P17:Z17,PIV!A$15),ETAPP!A$1:A$32,0))&amp;INDEX(ETAPP!B$1:B$32,MATCH(COUNTIF(P17:Z17,PIV!A$16),ETAPP!A$1:A$32,0))&amp;INDEX(ETAPP!B$1:B$32,MATCH(COUNTIF(P17:Z17,PIV!A$17),ETAPP!A$1:A$32,0))&amp;INDEX(ETAPP!B$1:B$32,MATCH(COUNTIF(P17:Z17,PIV!A$18),ETAPP!A$1:A$32,0))&amp;INDEX(ETAPP!B$1:B$32,MATCH(COUNTIF(P17:Z17,PIV!A$19),ETAPP!A$1:A$32,0))</f>
        <v>A0A00AA0AB0AA00000B</v>
      </c>
      <c r="K17" s="1388" t="str">
        <f t="shared" ca="1" si="5"/>
        <v>166,0-A0A00AA0AB0AA00000B</v>
      </c>
      <c r="L17" s="1387">
        <f t="shared" ca="1" si="6"/>
        <v>10</v>
      </c>
      <c r="M17" s="1387">
        <f t="shared" si="7"/>
        <v>7</v>
      </c>
      <c r="N17" s="1388" t="str">
        <f t="shared" ca="1" si="8"/>
        <v>166,0-A0A00AA0AB0AA00000B-007</v>
      </c>
      <c r="O17" s="1396">
        <f t="shared" ca="1" si="9"/>
        <v>99</v>
      </c>
      <c r="P17" s="1397">
        <f>IFERROR(INDEX('1'!C$300:C$400,MATCH("*"&amp;F17&amp;"*",'1'!B$300:B$400,0)),"  ")</f>
        <v>14</v>
      </c>
      <c r="Q17" s="1398">
        <f>IFERROR(INDEX('2'!C$300:C$400,MATCH("*"&amp;F17&amp;"*",'2'!B$300:B$400,0)),"  ")</f>
        <v>8</v>
      </c>
      <c r="R17" s="1398">
        <f>IFERROR(INDEX('3'!C$300:C$400,MATCH("*"&amp;F17&amp;"*",'3'!B$300:B$400,0)),"  ")</f>
        <v>40</v>
      </c>
      <c r="S17" s="1398">
        <f>IFERROR(INDEX('4'!C$300:C$400,MATCH("*"&amp;F17&amp;"*",'4'!B$300:B$400,0)),"  ")</f>
        <v>16</v>
      </c>
      <c r="T17" s="1398">
        <f>IFERROR(INDEX('5'!C$300:C$400,MATCH("*"&amp;F17&amp;"*",'5'!B$300:B$400,0)),"  ")</f>
        <v>20</v>
      </c>
      <c r="U17" s="1398">
        <f>IFERROR(INDEX('6'!C$300:C$400,MATCH("*"&amp;F17&amp;"*",'6'!B$300:B$400,0)),"  ")</f>
        <v>14</v>
      </c>
      <c r="V17" s="1398">
        <f ca="1">IFERROR(INDEX('7'!C$300:C$400,MATCH("*"&amp;F17&amp;"*",'7'!B$300:B$400,0)),"  ")</f>
        <v>22</v>
      </c>
      <c r="W17" s="1398">
        <f>IFERROR(INDEX('8'!C$300:C$400,MATCH("*"&amp;F17&amp;"*",'8'!B$300:B$400,0)),"  ")</f>
        <v>10</v>
      </c>
      <c r="X17" s="1398">
        <f>IFERROR(INDEX('9'!C$300:C$400,MATCH("*"&amp;F17&amp;"*",'9'!B$300:B$400,0)),"  ")</f>
        <v>30</v>
      </c>
      <c r="Y17" s="1398" t="str">
        <f>IFERROR(INDEX('10'!C$300:C$400,MATCH("*"&amp;F17&amp;"*",'10'!B$300:B$400,0)),"  ")</f>
        <v xml:space="preserve">  </v>
      </c>
      <c r="Z17" s="1398" t="str">
        <f>IFERROR(INDEX('11'!C$300:C$400,MATCH("*"&amp;F17&amp;"*",'11'!B$300:B$400,0)),"  ")</f>
        <v xml:space="preserve">  </v>
      </c>
      <c r="AA17" s="1353">
        <f t="shared" ca="1" si="10"/>
        <v>9</v>
      </c>
      <c r="AB17" s="1353">
        <f t="shared" ca="1" si="11"/>
        <v>2</v>
      </c>
      <c r="AC17" s="1353">
        <f t="shared" ca="1" si="12"/>
        <v>1</v>
      </c>
      <c r="AH17" s="1345"/>
      <c r="AS17" s="689">
        <f t="shared" ca="1" si="13"/>
        <v>8.0001999999999995</v>
      </c>
      <c r="AT17" s="690">
        <f t="shared" si="14"/>
        <v>14.0001</v>
      </c>
      <c r="AU17" s="690">
        <f t="shared" si="15"/>
        <v>8.0001999999999995</v>
      </c>
      <c r="AV17" s="690">
        <f t="shared" si="16"/>
        <v>40.000300000000003</v>
      </c>
      <c r="AW17" s="690">
        <f t="shared" si="17"/>
        <v>16.000399999999999</v>
      </c>
      <c r="AX17" s="690">
        <f t="shared" si="18"/>
        <v>20.000499999999999</v>
      </c>
      <c r="AY17" s="690">
        <f t="shared" si="19"/>
        <v>14.0006</v>
      </c>
      <c r="AZ17" s="690">
        <f t="shared" ca="1" si="20"/>
        <v>22.000699999999998</v>
      </c>
      <c r="BA17" s="690">
        <f t="shared" si="21"/>
        <v>10.0008</v>
      </c>
      <c r="BB17" s="690">
        <f t="shared" si="22"/>
        <v>30.000900000000001</v>
      </c>
      <c r="BC17" s="690">
        <f t="shared" si="23"/>
        <v>1E-3</v>
      </c>
      <c r="BD17" s="690">
        <f t="shared" si="24"/>
        <v>1.1000000000000001E-3</v>
      </c>
    </row>
    <row r="18" spans="1:56" x14ac:dyDescent="0.2">
      <c r="A18" s="1378">
        <f t="shared" ca="1" si="0"/>
        <v>2</v>
      </c>
      <c r="B18" s="1392">
        <f t="shared" ca="1" si="1"/>
        <v>11</v>
      </c>
      <c r="C18" s="1380" t="str">
        <f t="shared" si="2"/>
        <v/>
      </c>
      <c r="D18" s="1393" t="str">
        <f t="shared" si="3"/>
        <v/>
      </c>
      <c r="E18" s="1394">
        <f t="shared" ca="1" si="4"/>
        <v>11</v>
      </c>
      <c r="F18" s="1360" t="s">
        <v>118</v>
      </c>
      <c r="G18" s="1379" t="s">
        <v>99</v>
      </c>
      <c r="H18" s="1384"/>
      <c r="I18" s="1385">
        <f t="array" aca="1" ref="I18" ca="1">(IF(COUNT(P18:Z18)&lt;8,SUM(P18:Z18),SUM(LARGE((P18:Z18),{1;2;3;4;5;6;7;8}))))</f>
        <v>150</v>
      </c>
      <c r="J18" s="1388" t="str">
        <f ca="1">INDEX(ETAPP!B$1:B$32,MATCH(COUNTIF(P18:Z18,PIV!A$1),ETAPP!A$1:A$32,0))&amp;INDEX(ETAPP!B$1:B$32,MATCH(COUNTIF(P18:Z18,PIV!A$2),ETAPP!A$1:A$32,0))&amp;INDEX(ETAPP!B$1:B$32,MATCH(COUNTIF(P18:Z18,PIV!A$3),ETAPP!A$1:A$32,0))&amp;INDEX(ETAPP!B$1:B$32,MATCH(COUNTIF(P18:Z18,PIV!A$4),ETAPP!A$1:A$32,0))&amp;INDEX(ETAPP!B$1:B$32,MATCH(COUNTIF(P18:Z18,PIV!A$5),ETAPP!A$1:A$32,0))&amp;INDEX(ETAPP!B$1:B$32,MATCH(COUNTIF(P18:Z18,PIV!A$6),ETAPP!A$1:A$32,0))&amp;INDEX(ETAPP!B$1:B$32,MATCH(COUNTIF(P18:Z18,PIV!A$7),ETAPP!A$1:A$32,0))&amp;INDEX(ETAPP!B$1:B$32,MATCH(COUNTIF(P18:Z18,PIV!A$8),ETAPP!A$1:A$32,0))&amp;INDEX(ETAPP!B$1:B$32,MATCH(COUNTIF(P18:Z18,PIV!A$9),ETAPP!A$1:A$32,0))&amp;INDEX(ETAPP!B$1:B$32,MATCH(COUNTIF(P18:Z18,PIV!A$10),ETAPP!A$1:A$32,0))&amp;INDEX(ETAPP!B$1:B$32,MATCH(COUNTIF(P18:Z18,PIV!A$11),ETAPP!A$1:A$32,0))&amp;INDEX(ETAPP!B$1:B$32,MATCH(COUNTIF(P18:Z18,PIV!A$12),ETAPP!A$1:A$32,0))&amp;INDEX(ETAPP!B$1:B$32,MATCH(COUNTIF(P18:Z18,PIV!A$13),ETAPP!A$1:A$32,0))&amp;INDEX(ETAPP!B$1:B$32,MATCH(COUNTIF(P18:Z18,PIV!A$14),ETAPP!A$1:A$32,0))&amp;INDEX(ETAPP!B$1:B$32,MATCH(COUNTIF(P18:Z18,PIV!A$15),ETAPP!A$1:A$32,0))&amp;INDEX(ETAPP!B$1:B$32,MATCH(COUNTIF(P18:Z18,PIV!A$16),ETAPP!A$1:A$32,0))&amp;INDEX(ETAPP!B$1:B$32,MATCH(COUNTIF(P18:Z18,PIV!A$17),ETAPP!A$1:A$32,0))&amp;INDEX(ETAPP!B$1:B$32,MATCH(COUNTIF(P18:Z18,PIV!A$18),ETAPP!A$1:A$32,0))&amp;INDEX(ETAPP!B$1:B$32,MATCH(COUNTIF(P18:Z18,PIV!A$19),ETAPP!A$1:A$32,0))</f>
        <v>A0A000A0BA0A00A000C</v>
      </c>
      <c r="K18" s="1388" t="str">
        <f t="shared" ca="1" si="5"/>
        <v>150,0-A0A000A0BA0A00A000C</v>
      </c>
      <c r="L18" s="1387">
        <f t="shared" ca="1" si="6"/>
        <v>11</v>
      </c>
      <c r="M18" s="1387">
        <f t="shared" si="7"/>
        <v>55</v>
      </c>
      <c r="N18" s="1388" t="str">
        <f t="shared" ca="1" si="8"/>
        <v>150,0-A0A000A0BA0A00A000C-055</v>
      </c>
      <c r="O18" s="1396">
        <f t="shared" ca="1" si="9"/>
        <v>98</v>
      </c>
      <c r="P18" s="1397">
        <f>IFERROR(INDEX('1'!C$300:C$400,MATCH("*"&amp;F18&amp;"*",'1'!B$300:B$400,0)),"  ")</f>
        <v>14</v>
      </c>
      <c r="Q18" s="1398">
        <f>IFERROR(INDEX('2'!C$300:C$400,MATCH("*"&amp;F18&amp;"*",'2'!B$300:B$400,0)),"  ")</f>
        <v>4</v>
      </c>
      <c r="R18" s="1398">
        <f>IFERROR(INDEX('3'!C$300:C$400,MATCH("*"&amp;F18&amp;"*",'3'!B$300:B$400,0)),"  ")</f>
        <v>40</v>
      </c>
      <c r="S18" s="1398">
        <f>IFERROR(INDEX('4'!C$300:C$400,MATCH("*"&amp;F18&amp;"*",'4'!B$300:B$400,0)),"  ")</f>
        <v>16</v>
      </c>
      <c r="T18" s="1398">
        <f>IFERROR(INDEX('5'!C$300:C$400,MATCH("*"&amp;F18&amp;"*",'5'!B$300:B$400,0)),"  ")</f>
        <v>20</v>
      </c>
      <c r="U18" s="1398">
        <f>IFERROR(INDEX('6'!C$300:C$400,MATCH("*"&amp;F18&amp;"*",'6'!B$300:B$400,0)),"  ")</f>
        <v>16</v>
      </c>
      <c r="V18" s="1398" t="str">
        <f ca="1">IFERROR(INDEX('7'!C$300:C$400,MATCH("*"&amp;F18&amp;"*",'7'!B$300:B$400,0)),"  ")</f>
        <v xml:space="preserve">  </v>
      </c>
      <c r="W18" s="1398">
        <f>IFERROR(INDEX('8'!C$300:C$400,MATCH("*"&amp;F18&amp;"*",'8'!B$300:B$400,0)),"  ")</f>
        <v>10</v>
      </c>
      <c r="X18" s="1398">
        <f>IFERROR(INDEX('9'!C$300:C$400,MATCH("*"&amp;F18&amp;"*",'9'!B$300:B$400,0)),"  ")</f>
        <v>30</v>
      </c>
      <c r="Y18" s="1398" t="str">
        <f>IFERROR(INDEX('10'!C$300:C$400,MATCH("*"&amp;F18&amp;"*",'10'!B$300:B$400,0)),"  ")</f>
        <v xml:space="preserve">  </v>
      </c>
      <c r="Z18" s="1398" t="str">
        <f>IFERROR(INDEX('11'!C$300:C$400,MATCH("*"&amp;F18&amp;"*",'11'!B$300:B$400,0)),"  ")</f>
        <v xml:space="preserve">  </v>
      </c>
      <c r="AA18" s="1353">
        <f t="shared" ca="1" si="10"/>
        <v>8</v>
      </c>
      <c r="AB18" s="1353">
        <f t="shared" ca="1" si="11"/>
        <v>2</v>
      </c>
      <c r="AC18" s="1353">
        <f t="shared" ca="1" si="12"/>
        <v>1</v>
      </c>
      <c r="AH18" s="1345"/>
      <c r="AS18" s="689">
        <f t="shared" ca="1" si="13"/>
        <v>1.1000000000000001E-3</v>
      </c>
      <c r="AT18" s="690">
        <f t="shared" si="14"/>
        <v>14.0001</v>
      </c>
      <c r="AU18" s="690">
        <f t="shared" si="15"/>
        <v>4.0002000000000004</v>
      </c>
      <c r="AV18" s="690">
        <f t="shared" si="16"/>
        <v>40.000300000000003</v>
      </c>
      <c r="AW18" s="690">
        <f t="shared" si="17"/>
        <v>16.000399999999999</v>
      </c>
      <c r="AX18" s="690">
        <f t="shared" si="18"/>
        <v>20.000499999999999</v>
      </c>
      <c r="AY18" s="690">
        <f t="shared" si="19"/>
        <v>16.000599999999999</v>
      </c>
      <c r="AZ18" s="690">
        <f t="shared" ca="1" si="20"/>
        <v>6.9999999999999999E-4</v>
      </c>
      <c r="BA18" s="690">
        <f t="shared" si="21"/>
        <v>10.0008</v>
      </c>
      <c r="BB18" s="690">
        <f t="shared" si="22"/>
        <v>30.000900000000001</v>
      </c>
      <c r="BC18" s="690">
        <f t="shared" si="23"/>
        <v>1E-3</v>
      </c>
      <c r="BD18" s="690">
        <f t="shared" si="24"/>
        <v>1.1000000000000001E-3</v>
      </c>
    </row>
    <row r="19" spans="1:56" x14ac:dyDescent="0.2">
      <c r="A19" s="1378" t="str">
        <f t="shared" si="0"/>
        <v/>
      </c>
      <c r="B19" s="1392" t="str">
        <f t="shared" si="1"/>
        <v/>
      </c>
      <c r="C19" s="1380" t="str">
        <f t="shared" si="2"/>
        <v/>
      </c>
      <c r="D19" s="1393" t="str">
        <f t="shared" si="3"/>
        <v/>
      </c>
      <c r="E19" s="1394">
        <f t="shared" ca="1" si="4"/>
        <v>12</v>
      </c>
      <c r="F19" s="1403" t="s">
        <v>129</v>
      </c>
      <c r="G19" s="1379"/>
      <c r="H19" s="1384"/>
      <c r="I19" s="1385">
        <f t="array" aca="1" ref="I19" ca="1">(IF(COUNT(P19:Z19)&lt;8,SUM(P19:Z19),SUM(LARGE((P19:Z19),{1;2;3;4;5;6;7;8}))))</f>
        <v>144</v>
      </c>
      <c r="J19" s="1388" t="str">
        <f ca="1">INDEX(ETAPP!B$1:B$32,MATCH(COUNTIF(P19:Z19,PIV!A$1),ETAPP!A$1:A$32,0))&amp;INDEX(ETAPP!B$1:B$32,MATCH(COUNTIF(P19:Z19,PIV!A$2),ETAPP!A$1:A$32,0))&amp;INDEX(ETAPP!B$1:B$32,MATCH(COUNTIF(P19:Z19,PIV!A$3),ETAPP!A$1:A$32,0))&amp;INDEX(ETAPP!B$1:B$32,MATCH(COUNTIF(P19:Z19,PIV!A$4),ETAPP!A$1:A$32,0))&amp;INDEX(ETAPP!B$1:B$32,MATCH(COUNTIF(P19:Z19,PIV!A$5),ETAPP!A$1:A$32,0))&amp;INDEX(ETAPP!B$1:B$32,MATCH(COUNTIF(P19:Z19,PIV!A$6),ETAPP!A$1:A$32,0))&amp;INDEX(ETAPP!B$1:B$32,MATCH(COUNTIF(P19:Z19,PIV!A$7),ETAPP!A$1:A$32,0))&amp;INDEX(ETAPP!B$1:B$32,MATCH(COUNTIF(P19:Z19,PIV!A$8),ETAPP!A$1:A$32,0))&amp;INDEX(ETAPP!B$1:B$32,MATCH(COUNTIF(P19:Z19,PIV!A$9),ETAPP!A$1:A$32,0))&amp;INDEX(ETAPP!B$1:B$32,MATCH(COUNTIF(P19:Z19,PIV!A$10),ETAPP!A$1:A$32,0))&amp;INDEX(ETAPP!B$1:B$32,MATCH(COUNTIF(P19:Z19,PIV!A$11),ETAPP!A$1:A$32,0))&amp;INDEX(ETAPP!B$1:B$32,MATCH(COUNTIF(P19:Z19,PIV!A$12),ETAPP!A$1:A$32,0))&amp;INDEX(ETAPP!B$1:B$32,MATCH(COUNTIF(P19:Z19,PIV!A$13),ETAPP!A$1:A$32,0))&amp;INDEX(ETAPP!B$1:B$32,MATCH(COUNTIF(P19:Z19,PIV!A$14),ETAPP!A$1:A$32,0))&amp;INDEX(ETAPP!B$1:B$32,MATCH(COUNTIF(P19:Z19,PIV!A$15),ETAPP!A$1:A$32,0))&amp;INDEX(ETAPP!B$1:B$32,MATCH(COUNTIF(P19:Z19,PIV!A$16),ETAPP!A$1:A$32,0))&amp;INDEX(ETAPP!B$1:B$32,MATCH(COUNTIF(P19:Z19,PIV!A$17),ETAPP!A$1:A$32,0))&amp;INDEX(ETAPP!B$1:B$32,MATCH(COUNTIF(P19:Z19,PIV!A$18),ETAPP!A$1:A$32,0))&amp;INDEX(ETAPP!B$1:B$32,MATCH(COUNTIF(P19:Z19,PIV!A$19),ETAPP!A$1:A$32,0))</f>
        <v>000B0B00B0000000A0C</v>
      </c>
      <c r="K19" s="1388" t="str">
        <f t="shared" ca="1" si="5"/>
        <v>144,0-000B0B00B0000000A0C</v>
      </c>
      <c r="L19" s="1387">
        <f t="shared" ca="1" si="6"/>
        <v>12</v>
      </c>
      <c r="M19" s="1387">
        <f t="shared" si="7"/>
        <v>15</v>
      </c>
      <c r="N19" s="1388" t="str">
        <f t="shared" ca="1" si="8"/>
        <v>144,0-000B0B00B0000000A0C-015</v>
      </c>
      <c r="O19" s="1396">
        <f t="shared" ca="1" si="9"/>
        <v>97</v>
      </c>
      <c r="P19" s="1397" t="str">
        <f>IFERROR(INDEX('1'!C$300:C$400,MATCH("*"&amp;F19&amp;"*",'1'!B$300:B$400,0)),"  ")</f>
        <v xml:space="preserve">  </v>
      </c>
      <c r="Q19" s="1398" t="str">
        <f>IFERROR(INDEX('2'!C$300:C$400,MATCH("*"&amp;F19&amp;"*",'2'!B$300:B$400,0)),"  ")</f>
        <v xml:space="preserve">  </v>
      </c>
      <c r="R19" s="1398" t="str">
        <f>IFERROR(INDEX('3'!C$300:C$400,MATCH("*"&amp;F19&amp;"*",'3'!B$300:B$400,0)),"  ")</f>
        <v xml:space="preserve">  </v>
      </c>
      <c r="S19" s="1398">
        <f>IFERROR(INDEX('4'!C$300:C$400,MATCH("*"&amp;F19&amp;"*",'4'!B$300:B$400,0)),"  ")</f>
        <v>26</v>
      </c>
      <c r="T19" s="1398">
        <f>IFERROR(INDEX('5'!C$300:C$400,MATCH("*"&amp;F19&amp;"*",'5'!B$300:B$400,0)),"  ")</f>
        <v>26</v>
      </c>
      <c r="U19" s="1398">
        <f>IFERROR(INDEX('6'!C$300:C$400,MATCH("*"&amp;F19&amp;"*",'6'!B$300:B$400,0)),"  ")</f>
        <v>1</v>
      </c>
      <c r="V19" s="1398">
        <f ca="1">IFERROR(INDEX('7'!C$300:C$400,MATCH("*"&amp;F19&amp;"*",'7'!B$300:B$400,0)),"  ")</f>
        <v>15</v>
      </c>
      <c r="W19" s="1398">
        <f>IFERROR(INDEX('8'!C$300:C$400,MATCH("*"&amp;F19&amp;"*",'8'!B$300:B$400,0)),"  ")</f>
        <v>16</v>
      </c>
      <c r="X19" s="1398">
        <f>IFERROR(INDEX('9'!C$300:C$400,MATCH("*"&amp;F19&amp;"*",'9'!B$300:B$400,0)),"  ")</f>
        <v>16</v>
      </c>
      <c r="Y19" s="1398">
        <f>IFERROR(INDEX('10'!C$300:C$400,MATCH("*"&amp;F19&amp;"*",'10'!B$300:B$400,0)),"  ")</f>
        <v>22</v>
      </c>
      <c r="Z19" s="1398">
        <f>IFERROR(INDEX('11'!C$300:C$400,MATCH("*"&amp;F19&amp;"*",'11'!B$300:B$400,0)),"  ")</f>
        <v>22</v>
      </c>
      <c r="AA19" s="1353">
        <f t="shared" ca="1" si="10"/>
        <v>8</v>
      </c>
      <c r="AB19" s="1353">
        <f t="shared" ca="1" si="11"/>
        <v>0</v>
      </c>
      <c r="AC19" s="1353">
        <f t="shared" ca="1" si="12"/>
        <v>0</v>
      </c>
      <c r="AH19" s="1345"/>
      <c r="AS19" s="689">
        <f t="shared" ca="1" si="13"/>
        <v>2.9999999999999997E-4</v>
      </c>
      <c r="AT19" s="690">
        <f t="shared" si="14"/>
        <v>1E-4</v>
      </c>
      <c r="AU19" s="690">
        <f t="shared" si="15"/>
        <v>2.0000000000000001E-4</v>
      </c>
      <c r="AV19" s="690">
        <f t="shared" si="16"/>
        <v>2.9999999999999997E-4</v>
      </c>
      <c r="AW19" s="690">
        <f t="shared" si="17"/>
        <v>26.000399999999999</v>
      </c>
      <c r="AX19" s="690">
        <f t="shared" si="18"/>
        <v>26.000499999999999</v>
      </c>
      <c r="AY19" s="690">
        <f t="shared" si="19"/>
        <v>1.0005999999999999</v>
      </c>
      <c r="AZ19" s="690">
        <f t="shared" ca="1" si="20"/>
        <v>15.0007</v>
      </c>
      <c r="BA19" s="690">
        <f t="shared" si="21"/>
        <v>16.000800000000002</v>
      </c>
      <c r="BB19" s="690">
        <f t="shared" si="22"/>
        <v>16.000900000000001</v>
      </c>
      <c r="BC19" s="690">
        <f t="shared" si="23"/>
        <v>22.001000000000001</v>
      </c>
      <c r="BD19" s="690">
        <f t="shared" si="24"/>
        <v>22.001100000000001</v>
      </c>
    </row>
    <row r="20" spans="1:56" x14ac:dyDescent="0.2">
      <c r="A20" s="1378" t="str">
        <f t="shared" si="0"/>
        <v/>
      </c>
      <c r="B20" s="1392" t="str">
        <f t="shared" si="1"/>
        <v/>
      </c>
      <c r="C20" s="1380" t="str">
        <f t="shared" si="2"/>
        <v/>
      </c>
      <c r="D20" s="1393" t="str">
        <f t="shared" si="3"/>
        <v/>
      </c>
      <c r="E20" s="1394">
        <f t="shared" ca="1" si="4"/>
        <v>13</v>
      </c>
      <c r="F20" s="1360" t="s">
        <v>109</v>
      </c>
      <c r="G20" s="1379"/>
      <c r="H20" s="1384"/>
      <c r="I20" s="1385">
        <f t="array" aca="1" ref="I20" ca="1">(IF(COUNT(P20:Z20)&lt;8,SUM(P20:Z20),SUM(LARGE((P20:Z20),{1;2;3;4;5;6;7;8}))))</f>
        <v>139</v>
      </c>
      <c r="J20" s="1388" t="str">
        <f ca="1">INDEX(ETAPP!B$1:B$32,MATCH(COUNTIF(P20:Z20,PIV!A$1),ETAPP!A$1:A$32,0))&amp;INDEX(ETAPP!B$1:B$32,MATCH(COUNTIF(P20:Z20,PIV!A$2),ETAPP!A$1:A$32,0))&amp;INDEX(ETAPP!B$1:B$32,MATCH(COUNTIF(P20:Z20,PIV!A$3),ETAPP!A$1:A$32,0))&amp;INDEX(ETAPP!B$1:B$32,MATCH(COUNTIF(P20:Z20,PIV!A$4),ETAPP!A$1:A$32,0))&amp;INDEX(ETAPP!B$1:B$32,MATCH(COUNTIF(P20:Z20,PIV!A$5),ETAPP!A$1:A$32,0))&amp;INDEX(ETAPP!B$1:B$32,MATCH(COUNTIF(P20:Z20,PIV!A$6),ETAPP!A$1:A$32,0))&amp;INDEX(ETAPP!B$1:B$32,MATCH(COUNTIF(P20:Z20,PIV!A$7),ETAPP!A$1:A$32,0))&amp;INDEX(ETAPP!B$1:B$32,MATCH(COUNTIF(P20:Z20,PIV!A$8),ETAPP!A$1:A$32,0))&amp;INDEX(ETAPP!B$1:B$32,MATCH(COUNTIF(P20:Z20,PIV!A$9),ETAPP!A$1:A$32,0))&amp;INDEX(ETAPP!B$1:B$32,MATCH(COUNTIF(P20:Z20,PIV!A$10),ETAPP!A$1:A$32,0))&amp;INDEX(ETAPP!B$1:B$32,MATCH(COUNTIF(P20:Z20,PIV!A$11),ETAPP!A$1:A$32,0))&amp;INDEX(ETAPP!B$1:B$32,MATCH(COUNTIF(P20:Z20,PIV!A$12),ETAPP!A$1:A$32,0))&amp;INDEX(ETAPP!B$1:B$32,MATCH(COUNTIF(P20:Z20,PIV!A$13),ETAPP!A$1:A$32,0))&amp;INDEX(ETAPP!B$1:B$32,MATCH(COUNTIF(P20:Z20,PIV!A$14),ETAPP!A$1:A$32,0))&amp;INDEX(ETAPP!B$1:B$32,MATCH(COUNTIF(P20:Z20,PIV!A$15),ETAPP!A$1:A$32,0))&amp;INDEX(ETAPP!B$1:B$32,MATCH(COUNTIF(P20:Z20,PIV!A$16),ETAPP!A$1:A$32,0))&amp;INDEX(ETAPP!B$1:B$32,MATCH(COUNTIF(P20:Z20,PIV!A$17),ETAPP!A$1:A$32,0))&amp;INDEX(ETAPP!B$1:B$32,MATCH(COUNTIF(P20:Z20,PIV!A$18),ETAPP!A$1:A$32,0))&amp;INDEX(ETAPP!B$1:B$32,MATCH(COUNTIF(P20:Z20,PIV!A$19),ETAPP!A$1:A$32,0))</f>
        <v>0A00A0AB0A0A0000A0C</v>
      </c>
      <c r="K20" s="1388" t="str">
        <f t="shared" ca="1" si="5"/>
        <v>139,0-0A00A0AB0A0A0000A0C</v>
      </c>
      <c r="L20" s="1387">
        <f t="shared" ca="1" si="6"/>
        <v>13</v>
      </c>
      <c r="M20" s="1387">
        <f t="shared" si="7"/>
        <v>87</v>
      </c>
      <c r="N20" s="1388" t="str">
        <f t="shared" ca="1" si="8"/>
        <v>139,0-0A00A0AB0A0A0000A0C-087</v>
      </c>
      <c r="O20" s="1396">
        <f t="shared" ca="1" si="9"/>
        <v>96</v>
      </c>
      <c r="P20" s="1397">
        <f>IFERROR(INDEX('1'!C$300:C$400,MATCH("*"&amp;F20&amp;"*",'1'!B$300:B$400,0)),"  ")</f>
        <v>34</v>
      </c>
      <c r="Q20" s="1398">
        <f>IFERROR(INDEX('2'!C$300:C$400,MATCH("*"&amp;F20&amp;"*",'2'!B$300:B$400,0)),"  ")</f>
        <v>14</v>
      </c>
      <c r="R20" s="1398">
        <f>IFERROR(INDEX('3'!C$300:C$400,MATCH("*"&amp;F20&amp;"*",'3'!B$300:B$400,0)),"  ")</f>
        <v>24</v>
      </c>
      <c r="S20" s="1398" t="str">
        <f>IFERROR(INDEX('4'!C$300:C$400,MATCH("*"&amp;F20&amp;"*",'4'!B$300:B$400,0)),"  ")</f>
        <v xml:space="preserve">  </v>
      </c>
      <c r="T20" s="1398">
        <f>IFERROR(INDEX('5'!C$300:C$400,MATCH("*"&amp;F20&amp;"*",'5'!B$300:B$400,0)),"  ")</f>
        <v>18</v>
      </c>
      <c r="U20" s="1398">
        <f>IFERROR(INDEX('6'!C$300:C$400,MATCH("*"&amp;F20&amp;"*",'6'!B$300:B$400,0)),"  ")</f>
        <v>1</v>
      </c>
      <c r="V20" s="1398" t="str">
        <f ca="1">IFERROR(INDEX('7'!C$300:C$400,MATCH("*"&amp;F20&amp;"*",'7'!B$300:B$400,0)),"  ")</f>
        <v xml:space="preserve">  </v>
      </c>
      <c r="W20" s="1398" t="str">
        <f>IFERROR(INDEX('8'!C$300:C$400,MATCH("*"&amp;F20&amp;"*",'8'!B$300:B$400,0)),"  ")</f>
        <v xml:space="preserve">  </v>
      </c>
      <c r="X20" s="1398">
        <f>IFERROR(INDEX('9'!C$300:C$400,MATCH("*"&amp;F20&amp;"*",'9'!B$300:B$400,0)),"  ")</f>
        <v>18</v>
      </c>
      <c r="Y20" s="1398">
        <f>IFERROR(INDEX('10'!C$300:C$400,MATCH("*"&amp;F20&amp;"*",'10'!B$300:B$400,0)),"  ")</f>
        <v>20</v>
      </c>
      <c r="Z20" s="1398">
        <f>IFERROR(INDEX('11'!C$300:C$400,MATCH("*"&amp;F20&amp;"*",'11'!B$300:B$400,0)),"  ")</f>
        <v>10</v>
      </c>
      <c r="AA20" s="1353">
        <f t="shared" ca="1" si="10"/>
        <v>8</v>
      </c>
      <c r="AB20" s="1353">
        <f t="shared" ca="1" si="11"/>
        <v>1</v>
      </c>
      <c r="AC20" s="1353">
        <f t="shared" ca="1" si="12"/>
        <v>0</v>
      </c>
      <c r="AH20" s="1404"/>
      <c r="AS20" s="689">
        <f t="shared" ca="1" si="13"/>
        <v>8.0000000000000004E-4</v>
      </c>
      <c r="AT20" s="690">
        <f t="shared" si="14"/>
        <v>34.000100000000003</v>
      </c>
      <c r="AU20" s="690">
        <f t="shared" si="15"/>
        <v>14.0002</v>
      </c>
      <c r="AV20" s="690">
        <f t="shared" si="16"/>
        <v>24.000299999999999</v>
      </c>
      <c r="AW20" s="690">
        <f t="shared" si="17"/>
        <v>4.0000000000000002E-4</v>
      </c>
      <c r="AX20" s="690">
        <f t="shared" si="18"/>
        <v>18.000499999999999</v>
      </c>
      <c r="AY20" s="690">
        <f t="shared" si="19"/>
        <v>1.0005999999999999</v>
      </c>
      <c r="AZ20" s="690">
        <f t="shared" ca="1" si="20"/>
        <v>6.9999999999999999E-4</v>
      </c>
      <c r="BA20" s="690">
        <f t="shared" si="21"/>
        <v>8.0000000000000004E-4</v>
      </c>
      <c r="BB20" s="690">
        <f t="shared" si="22"/>
        <v>18.000900000000001</v>
      </c>
      <c r="BC20" s="690">
        <f t="shared" si="23"/>
        <v>20.001000000000001</v>
      </c>
      <c r="BD20" s="690">
        <f t="shared" si="24"/>
        <v>10.001099999999999</v>
      </c>
    </row>
    <row r="21" spans="1:56" x14ac:dyDescent="0.2">
      <c r="A21" s="1378" t="str">
        <f t="shared" si="0"/>
        <v/>
      </c>
      <c r="B21" s="1392" t="str">
        <f t="shared" si="1"/>
        <v/>
      </c>
      <c r="C21" s="1380" t="str">
        <f t="shared" si="2"/>
        <v/>
      </c>
      <c r="D21" s="1393" t="str">
        <f t="shared" si="3"/>
        <v/>
      </c>
      <c r="E21" s="1394">
        <f t="shared" ca="1" si="4"/>
        <v>14</v>
      </c>
      <c r="F21" s="1360" t="s">
        <v>123</v>
      </c>
      <c r="G21" s="1379"/>
      <c r="H21" s="1384"/>
      <c r="I21" s="1385">
        <f t="array" aca="1" ref="I21" ca="1">(IF(COUNT(P21:Z21)&lt;8,SUM(P21:Z21),SUM(LARGE((P21:Z21),{1;2;3;4;5;6;7;8}))))</f>
        <v>138</v>
      </c>
      <c r="J21" s="1388" t="str">
        <f ca="1">INDEX(ETAPP!B$1:B$32,MATCH(COUNTIF(P21:Z21,PIV!A$1),ETAPP!A$1:A$32,0))&amp;INDEX(ETAPP!B$1:B$32,MATCH(COUNTIF(P21:Z21,PIV!A$2),ETAPP!A$1:A$32,0))&amp;INDEX(ETAPP!B$1:B$32,MATCH(COUNTIF(P21:Z21,PIV!A$3),ETAPP!A$1:A$32,0))&amp;INDEX(ETAPP!B$1:B$32,MATCH(COUNTIF(P21:Z21,PIV!A$4),ETAPP!A$1:A$32,0))&amp;INDEX(ETAPP!B$1:B$32,MATCH(COUNTIF(P21:Z21,PIV!A$5),ETAPP!A$1:A$32,0))&amp;INDEX(ETAPP!B$1:B$32,MATCH(COUNTIF(P21:Z21,PIV!A$6),ETAPP!A$1:A$32,0))&amp;INDEX(ETAPP!B$1:B$32,MATCH(COUNTIF(P21:Z21,PIV!A$7),ETAPP!A$1:A$32,0))&amp;INDEX(ETAPP!B$1:B$32,MATCH(COUNTIF(P21:Z21,PIV!A$8),ETAPP!A$1:A$32,0))&amp;INDEX(ETAPP!B$1:B$32,MATCH(COUNTIF(P21:Z21,PIV!A$9),ETAPP!A$1:A$32,0))&amp;INDEX(ETAPP!B$1:B$32,MATCH(COUNTIF(P21:Z21,PIV!A$10),ETAPP!A$1:A$32,0))&amp;INDEX(ETAPP!B$1:B$32,MATCH(COUNTIF(P21:Z21,PIV!A$11),ETAPP!A$1:A$32,0))&amp;INDEX(ETAPP!B$1:B$32,MATCH(COUNTIF(P21:Z21,PIV!A$12),ETAPP!A$1:A$32,0))&amp;INDEX(ETAPP!B$1:B$32,MATCH(COUNTIF(P21:Z21,PIV!A$13),ETAPP!A$1:A$32,0))&amp;INDEX(ETAPP!B$1:B$32,MATCH(COUNTIF(P21:Z21,PIV!A$14),ETAPP!A$1:A$32,0))&amp;INDEX(ETAPP!B$1:B$32,MATCH(COUNTIF(P21:Z21,PIV!A$15),ETAPP!A$1:A$32,0))&amp;INDEX(ETAPP!B$1:B$32,MATCH(COUNTIF(P21:Z21,PIV!A$16),ETAPP!A$1:A$32,0))&amp;INDEX(ETAPP!B$1:B$32,MATCH(COUNTIF(P21:Z21,PIV!A$17),ETAPP!A$1:A$32,0))&amp;INDEX(ETAPP!B$1:B$32,MATCH(COUNTIF(P21:Z21,PIV!A$18),ETAPP!A$1:A$32,0))&amp;INDEX(ETAPP!B$1:B$32,MATCH(COUNTIF(P21:Z21,PIV!A$19),ETAPP!A$1:A$32,0))</f>
        <v>00B0B0A0000A000000E</v>
      </c>
      <c r="K21" s="1388" t="str">
        <f t="shared" ca="1" si="5"/>
        <v>138,0-00B0B0A0000A000000E</v>
      </c>
      <c r="L21" s="1387">
        <f t="shared" ca="1" si="6"/>
        <v>14</v>
      </c>
      <c r="M21" s="1387">
        <f t="shared" si="7"/>
        <v>47</v>
      </c>
      <c r="N21" s="1388" t="str">
        <f t="shared" ca="1" si="8"/>
        <v>138,0-00B0B0A0000A000000E-047</v>
      </c>
      <c r="O21" s="1396">
        <f t="shared" ca="1" si="9"/>
        <v>95</v>
      </c>
      <c r="P21" s="1397">
        <f>IFERROR(INDEX('1'!C$300:C$400,MATCH("*"&amp;F21&amp;"*",'1'!B$300:B$400,0)),"  ")</f>
        <v>30</v>
      </c>
      <c r="Q21" s="1398">
        <f>IFERROR(INDEX('2'!C$300:C$400,MATCH("*"&amp;F21&amp;"*",'2'!B$300:B$400,0)),"  ")</f>
        <v>30</v>
      </c>
      <c r="R21" s="1398" t="str">
        <f>IFERROR(INDEX('3'!C$300:C$400,MATCH("*"&amp;F21&amp;"*",'3'!B$300:B$400,0)),"  ")</f>
        <v xml:space="preserve">  </v>
      </c>
      <c r="S21" s="1398">
        <f>IFERROR(INDEX('4'!C$300:C$400,MATCH("*"&amp;F21&amp;"*",'4'!B$300:B$400,0)),"  ")</f>
        <v>20</v>
      </c>
      <c r="T21" s="1398" t="str">
        <f>IFERROR(INDEX('5'!C$300:C$400,MATCH("*"&amp;F21&amp;"*",'5'!B$300:B$400,0)),"  ")</f>
        <v xml:space="preserve">  </v>
      </c>
      <c r="U21" s="1398">
        <f>IFERROR(INDEX('6'!C$300:C$400,MATCH("*"&amp;F21&amp;"*",'6'!B$300:B$400,0)),"  ")</f>
        <v>10</v>
      </c>
      <c r="V21" s="1398" t="str">
        <f ca="1">IFERROR(INDEX('7'!C$300:C$400,MATCH("*"&amp;F21&amp;"*",'7'!B$300:B$400,0)),"  ")</f>
        <v xml:space="preserve">  </v>
      </c>
      <c r="W21" s="1398">
        <f>IFERROR(INDEX('8'!C$300:C$400,MATCH("*"&amp;F21&amp;"*",'8'!B$300:B$400,0)),"  ")</f>
        <v>24</v>
      </c>
      <c r="X21" s="1398">
        <f>IFERROR(INDEX('9'!C$300:C$400,MATCH("*"&amp;F21&amp;"*",'9'!B$300:B$400,0)),"  ")</f>
        <v>24</v>
      </c>
      <c r="Y21" s="1398" t="str">
        <f>IFERROR(INDEX('10'!C$300:C$400,MATCH("*"&amp;F21&amp;"*",'10'!B$300:B$400,0)),"  ")</f>
        <v xml:space="preserve">  </v>
      </c>
      <c r="Z21" s="1398" t="str">
        <f>IFERROR(INDEX('11'!C$300:C$400,MATCH("*"&amp;F21&amp;"*",'11'!B$300:B$400,0)),"  ")</f>
        <v xml:space="preserve">  </v>
      </c>
      <c r="AA21" s="1353">
        <f t="shared" ca="1" si="10"/>
        <v>6</v>
      </c>
      <c r="AB21" s="1353">
        <f t="shared" ca="1" si="11"/>
        <v>2</v>
      </c>
      <c r="AC21" s="1353">
        <f t="shared" ca="1" si="12"/>
        <v>0</v>
      </c>
      <c r="AH21" s="1345"/>
      <c r="AS21" s="689">
        <f t="shared" ca="1" si="13"/>
        <v>6.9999999999999999E-4</v>
      </c>
      <c r="AT21" s="690">
        <f t="shared" si="14"/>
        <v>30.0001</v>
      </c>
      <c r="AU21" s="690">
        <f t="shared" si="15"/>
        <v>30.0002</v>
      </c>
      <c r="AV21" s="690">
        <f t="shared" si="16"/>
        <v>2.9999999999999997E-4</v>
      </c>
      <c r="AW21" s="690">
        <f t="shared" si="17"/>
        <v>20.000399999999999</v>
      </c>
      <c r="AX21" s="690">
        <f t="shared" si="18"/>
        <v>5.0000000000000001E-4</v>
      </c>
      <c r="AY21" s="690">
        <f t="shared" si="19"/>
        <v>10.0006</v>
      </c>
      <c r="AZ21" s="690">
        <f t="shared" ca="1" si="20"/>
        <v>6.9999999999999999E-4</v>
      </c>
      <c r="BA21" s="690">
        <f t="shared" si="21"/>
        <v>24.000800000000002</v>
      </c>
      <c r="BB21" s="690">
        <f t="shared" si="22"/>
        <v>24.000900000000001</v>
      </c>
      <c r="BC21" s="690">
        <f t="shared" si="23"/>
        <v>1E-3</v>
      </c>
      <c r="BD21" s="690">
        <f t="shared" si="24"/>
        <v>1.1000000000000001E-3</v>
      </c>
    </row>
    <row r="22" spans="1:56" x14ac:dyDescent="0.2">
      <c r="A22" s="1378" t="str">
        <f t="shared" si="0"/>
        <v/>
      </c>
      <c r="B22" s="1392" t="str">
        <f t="shared" si="1"/>
        <v/>
      </c>
      <c r="C22" s="1380" t="str">
        <f t="shared" si="2"/>
        <v/>
      </c>
      <c r="D22" s="1393" t="str">
        <f t="shared" si="3"/>
        <v/>
      </c>
      <c r="E22" s="1394">
        <f t="shared" ca="1" si="4"/>
        <v>15</v>
      </c>
      <c r="F22" s="1395" t="s">
        <v>120</v>
      </c>
      <c r="G22" s="1379"/>
      <c r="H22" s="1384"/>
      <c r="I22" s="1385">
        <f t="array" aca="1" ref="I22" ca="1">(IF(COUNT(P22:Z22)&lt;8,SUM(P22:Z22),SUM(LARGE((P22:Z22),{1;2;3;4;5;6;7;8}))))</f>
        <v>136</v>
      </c>
      <c r="J22" s="1388" t="str">
        <f ca="1">INDEX(ETAPP!B$1:B$32,MATCH(COUNTIF(P22:Z22,PIV!A$1),ETAPP!A$1:A$32,0))&amp;INDEX(ETAPP!B$1:B$32,MATCH(COUNTIF(P22:Z22,PIV!A$2),ETAPP!A$1:A$32,0))&amp;INDEX(ETAPP!B$1:B$32,MATCH(COUNTIF(P22:Z22,PIV!A$3),ETAPP!A$1:A$32,0))&amp;INDEX(ETAPP!B$1:B$32,MATCH(COUNTIF(P22:Z22,PIV!A$4),ETAPP!A$1:A$32,0))&amp;INDEX(ETAPP!B$1:B$32,MATCH(COUNTIF(P22:Z22,PIV!A$5),ETAPP!A$1:A$32,0))&amp;INDEX(ETAPP!B$1:B$32,MATCH(COUNTIF(P22:Z22,PIV!A$6),ETAPP!A$1:A$32,0))&amp;INDEX(ETAPP!B$1:B$32,MATCH(COUNTIF(P22:Z22,PIV!A$7),ETAPP!A$1:A$32,0))&amp;INDEX(ETAPP!B$1:B$32,MATCH(COUNTIF(P22:Z22,PIV!A$8),ETAPP!A$1:A$32,0))&amp;INDEX(ETAPP!B$1:B$32,MATCH(COUNTIF(P22:Z22,PIV!A$9),ETAPP!A$1:A$32,0))&amp;INDEX(ETAPP!B$1:B$32,MATCH(COUNTIF(P22:Z22,PIV!A$10),ETAPP!A$1:A$32,0))&amp;INDEX(ETAPP!B$1:B$32,MATCH(COUNTIF(P22:Z22,PIV!A$11),ETAPP!A$1:A$32,0))&amp;INDEX(ETAPP!B$1:B$32,MATCH(COUNTIF(P22:Z22,PIV!A$12),ETAPP!A$1:A$32,0))&amp;INDEX(ETAPP!B$1:B$32,MATCH(COUNTIF(P22:Z22,PIV!A$13),ETAPP!A$1:A$32,0))&amp;INDEX(ETAPP!B$1:B$32,MATCH(COUNTIF(P22:Z22,PIV!A$14),ETAPP!A$1:A$32,0))&amp;INDEX(ETAPP!B$1:B$32,MATCH(COUNTIF(P22:Z22,PIV!A$15),ETAPP!A$1:A$32,0))&amp;INDEX(ETAPP!B$1:B$32,MATCH(COUNTIF(P22:Z22,PIV!A$16),ETAPP!A$1:A$32,0))&amp;INDEX(ETAPP!B$1:B$32,MATCH(COUNTIF(P22:Z22,PIV!A$17),ETAPP!A$1:A$32,0))&amp;INDEX(ETAPP!B$1:B$32,MATCH(COUNTIF(P22:Z22,PIV!A$18),ETAPP!A$1:A$32,0))&amp;INDEX(ETAPP!B$1:B$32,MATCH(COUNTIF(P22:Z22,PIV!A$19),ETAPP!A$1:A$32,0))</f>
        <v>0000B0BAAA00000000D</v>
      </c>
      <c r="K22" s="1388" t="str">
        <f t="shared" ca="1" si="5"/>
        <v>136,0-0000B0BAAA00000000D</v>
      </c>
      <c r="L22" s="1387">
        <f t="shared" ca="1" si="6"/>
        <v>15</v>
      </c>
      <c r="M22" s="1387">
        <f t="shared" si="7"/>
        <v>76</v>
      </c>
      <c r="N22" s="1388" t="str">
        <f t="shared" ca="1" si="8"/>
        <v>136,0-0000B0BAAA00000000D-076</v>
      </c>
      <c r="O22" s="1396">
        <f t="shared" ca="1" si="9"/>
        <v>94</v>
      </c>
      <c r="P22" s="1397">
        <f>IFERROR(INDEX('1'!C$300:C$400,MATCH("*"&amp;F22&amp;"*",'1'!B$300:B$400,0)),"  ")</f>
        <v>24</v>
      </c>
      <c r="Q22" s="1398" t="str">
        <f>IFERROR(INDEX('2'!C$300:C$400,MATCH("*"&amp;F22&amp;"*",'2'!B$300:B$400,0)),"  ")</f>
        <v xml:space="preserve">  </v>
      </c>
      <c r="R22" s="1398">
        <f>IFERROR(INDEX('3'!C$300:C$400,MATCH("*"&amp;F22&amp;"*",'3'!B$300:B$400,0)),"  ")</f>
        <v>24</v>
      </c>
      <c r="S22" s="1398" t="str">
        <f>IFERROR(INDEX('4'!C$300:C$400,MATCH("*"&amp;F22&amp;"*",'4'!B$300:B$400,0)),"  ")</f>
        <v xml:space="preserve">  </v>
      </c>
      <c r="T22" s="1398">
        <f>IFERROR(INDEX('5'!C$300:C$400,MATCH("*"&amp;F22&amp;"*",'5'!B$300:B$400,0)),"  ")</f>
        <v>16</v>
      </c>
      <c r="U22" s="1398">
        <f>IFERROR(INDEX('6'!C$300:C$400,MATCH("*"&amp;F22&amp;"*",'6'!B$300:B$400,0)),"  ")</f>
        <v>18</v>
      </c>
      <c r="V22" s="1398" t="str">
        <f ca="1">IFERROR(INDEX('7'!C$300:C$400,MATCH("*"&amp;F22&amp;"*",'7'!B$300:B$400,0)),"  ")</f>
        <v xml:space="preserve">  </v>
      </c>
      <c r="W22" s="1398">
        <f>IFERROR(INDEX('8'!C$300:C$400,MATCH("*"&amp;F22&amp;"*",'8'!B$300:B$400,0)),"  ")</f>
        <v>14</v>
      </c>
      <c r="X22" s="1398" t="str">
        <f>IFERROR(INDEX('9'!C$300:C$400,MATCH("*"&amp;F22&amp;"*",'9'!B$300:B$400,0)),"  ")</f>
        <v xml:space="preserve">  </v>
      </c>
      <c r="Y22" s="1398">
        <f>IFERROR(INDEX('10'!C$300:C$400,MATCH("*"&amp;F22&amp;"*",'10'!B$300:B$400,0)),"  ")</f>
        <v>20</v>
      </c>
      <c r="Z22" s="1398">
        <f>IFERROR(INDEX('11'!C$300:C$400,MATCH("*"&amp;F22&amp;"*",'11'!B$300:B$400,0)),"  ")</f>
        <v>20</v>
      </c>
      <c r="AA22" s="1353">
        <f t="shared" ca="1" si="10"/>
        <v>7</v>
      </c>
      <c r="AB22" s="1353">
        <f t="shared" ca="1" si="11"/>
        <v>0</v>
      </c>
      <c r="AC22" s="1353">
        <f t="shared" ca="1" si="12"/>
        <v>0</v>
      </c>
      <c r="AH22" s="1345"/>
      <c r="AS22" s="689">
        <f t="shared" ca="1" si="13"/>
        <v>6.9999999999999999E-4</v>
      </c>
      <c r="AT22" s="690">
        <f t="shared" si="14"/>
        <v>24.0001</v>
      </c>
      <c r="AU22" s="690">
        <f t="shared" si="15"/>
        <v>2.0000000000000001E-4</v>
      </c>
      <c r="AV22" s="690">
        <f t="shared" si="16"/>
        <v>24.000299999999999</v>
      </c>
      <c r="AW22" s="690">
        <f t="shared" si="17"/>
        <v>4.0000000000000002E-4</v>
      </c>
      <c r="AX22" s="690">
        <f t="shared" si="18"/>
        <v>16.000499999999999</v>
      </c>
      <c r="AY22" s="690">
        <f t="shared" si="19"/>
        <v>18.000599999999999</v>
      </c>
      <c r="AZ22" s="690">
        <f t="shared" ca="1" si="20"/>
        <v>6.9999999999999999E-4</v>
      </c>
      <c r="BA22" s="690">
        <f t="shared" si="21"/>
        <v>14.0008</v>
      </c>
      <c r="BB22" s="690">
        <f t="shared" si="22"/>
        <v>8.9999999999999998E-4</v>
      </c>
      <c r="BC22" s="690">
        <f t="shared" si="23"/>
        <v>20.001000000000001</v>
      </c>
      <c r="BD22" s="690">
        <f t="shared" si="24"/>
        <v>20.001100000000001</v>
      </c>
    </row>
    <row r="23" spans="1:56" x14ac:dyDescent="0.2">
      <c r="A23" s="1378" t="str">
        <f t="shared" si="0"/>
        <v/>
      </c>
      <c r="B23" s="1392" t="str">
        <f t="shared" si="1"/>
        <v/>
      </c>
      <c r="C23" s="1380" t="str">
        <f t="shared" si="2"/>
        <v/>
      </c>
      <c r="D23" s="1393" t="str">
        <f t="shared" si="3"/>
        <v/>
      </c>
      <c r="E23" s="1394">
        <f t="shared" ca="1" si="4"/>
        <v>16</v>
      </c>
      <c r="F23" s="1360" t="s">
        <v>92</v>
      </c>
      <c r="G23" s="1379"/>
      <c r="H23" s="1384"/>
      <c r="I23" s="1385">
        <f t="array" aca="1" ref="I23" ca="1">(IF(COUNT(P23:Z23)&lt;8,SUM(P23:Z23),SUM(LARGE((P23:Z23),{1;2;3;4;5;6;7;8}))))</f>
        <v>133</v>
      </c>
      <c r="J23" s="1388" t="str">
        <f ca="1">INDEX(ETAPP!B$1:B$32,MATCH(COUNTIF(P23:Z23,PIV!A$1),ETAPP!A$1:A$32,0))&amp;INDEX(ETAPP!B$1:B$32,MATCH(COUNTIF(P23:Z23,PIV!A$2),ETAPP!A$1:A$32,0))&amp;INDEX(ETAPP!B$1:B$32,MATCH(COUNTIF(P23:Z23,PIV!A$3),ETAPP!A$1:A$32,0))&amp;INDEX(ETAPP!B$1:B$32,MATCH(COUNTIF(P23:Z23,PIV!A$4),ETAPP!A$1:A$32,0))&amp;INDEX(ETAPP!B$1:B$32,MATCH(COUNTIF(P23:Z23,PIV!A$5),ETAPP!A$1:A$32,0))&amp;INDEX(ETAPP!B$1:B$32,MATCH(COUNTIF(P23:Z23,PIV!A$6),ETAPP!A$1:A$32,0))&amp;INDEX(ETAPP!B$1:B$32,MATCH(COUNTIF(P23:Z23,PIV!A$7),ETAPP!A$1:A$32,0))&amp;INDEX(ETAPP!B$1:B$32,MATCH(COUNTIF(P23:Z23,PIV!A$8),ETAPP!A$1:A$32,0))&amp;INDEX(ETAPP!B$1:B$32,MATCH(COUNTIF(P23:Z23,PIV!A$9),ETAPP!A$1:A$32,0))&amp;INDEX(ETAPP!B$1:B$32,MATCH(COUNTIF(P23:Z23,PIV!A$10),ETAPP!A$1:A$32,0))&amp;INDEX(ETAPP!B$1:B$32,MATCH(COUNTIF(P23:Z23,PIV!A$11),ETAPP!A$1:A$32,0))&amp;INDEX(ETAPP!B$1:B$32,MATCH(COUNTIF(P23:Z23,PIV!A$12),ETAPP!A$1:A$32,0))&amp;INDEX(ETAPP!B$1:B$32,MATCH(COUNTIF(P23:Z23,PIV!A$13),ETAPP!A$1:A$32,0))&amp;INDEX(ETAPP!B$1:B$32,MATCH(COUNTIF(P23:Z23,PIV!A$14),ETAPP!A$1:A$32,0))&amp;INDEX(ETAPP!B$1:B$32,MATCH(COUNTIF(P23:Z23,PIV!A$15),ETAPP!A$1:A$32,0))&amp;INDEX(ETAPP!B$1:B$32,MATCH(COUNTIF(P23:Z23,PIV!A$16),ETAPP!A$1:A$32,0))&amp;INDEX(ETAPP!B$1:B$32,MATCH(COUNTIF(P23:Z23,PIV!A$17),ETAPP!A$1:A$32,0))&amp;INDEX(ETAPP!B$1:B$32,MATCH(COUNTIF(P23:Z23,PIV!A$18),ETAPP!A$1:A$32,0))&amp;INDEX(ETAPP!B$1:B$32,MATCH(COUNTIF(P23:Z23,PIV!A$19),ETAPP!A$1:A$32,0))</f>
        <v>000AA0AB0AA00000A0C</v>
      </c>
      <c r="K23" s="1388" t="str">
        <f t="shared" ca="1" si="5"/>
        <v>133,0-000AA0AB0AA00000A0C</v>
      </c>
      <c r="L23" s="1387">
        <f t="shared" ca="1" si="6"/>
        <v>16</v>
      </c>
      <c r="M23" s="1387">
        <f t="shared" si="7"/>
        <v>101</v>
      </c>
      <c r="N23" s="1388" t="str">
        <f t="shared" ca="1" si="8"/>
        <v>133,0-000AA0AB0AA00000A0C-101</v>
      </c>
      <c r="O23" s="1396">
        <f t="shared" ca="1" si="9"/>
        <v>93</v>
      </c>
      <c r="P23" s="1397" t="str">
        <f>IFERROR(INDEX('1'!C$300:C$400,MATCH("*"&amp;F23&amp;"*",'1'!B$300:B$400,0)),"  ")</f>
        <v xml:space="preserve">  </v>
      </c>
      <c r="Q23" s="1398">
        <f>IFERROR(INDEX('2'!C$300:C$400,MATCH("*"&amp;F23&amp;"*",'2'!B$300:B$400,0)),"  ")</f>
        <v>12</v>
      </c>
      <c r="R23" s="1398">
        <f>IFERROR(INDEX('3'!C$300:C$400,MATCH("*"&amp;F23&amp;"*",'3'!B$300:B$400,0)),"  ")</f>
        <v>14</v>
      </c>
      <c r="S23" s="1398" t="str">
        <f>IFERROR(INDEX('4'!C$300:C$400,MATCH("*"&amp;F23&amp;"*",'4'!B$300:B$400,0)),"  ")</f>
        <v xml:space="preserve">  </v>
      </c>
      <c r="T23" s="1398" t="str">
        <f>IFERROR(INDEX('5'!C$300:C$400,MATCH("*"&amp;F23&amp;"*",'5'!B$300:B$400,0)),"  ")</f>
        <v xml:space="preserve">  </v>
      </c>
      <c r="U23" s="1398">
        <f>IFERROR(INDEX('6'!C$300:C$400,MATCH("*"&amp;F23&amp;"*",'6'!B$300:B$400,0)),"  ")</f>
        <v>1</v>
      </c>
      <c r="V23" s="1398">
        <f ca="1">IFERROR(INDEX('7'!C$300:C$400,MATCH("*"&amp;F23&amp;"*",'7'!B$300:B$400,0)),"  ")</f>
        <v>26</v>
      </c>
      <c r="W23" s="1398">
        <f>IFERROR(INDEX('8'!C$300:C$400,MATCH("*"&amp;F23&amp;"*",'8'!B$300:B$400,0)),"  ")</f>
        <v>18</v>
      </c>
      <c r="X23" s="1398">
        <f>IFERROR(INDEX('9'!C$300:C$400,MATCH("*"&amp;F23&amp;"*",'9'!B$300:B$400,0)),"  ")</f>
        <v>20</v>
      </c>
      <c r="Y23" s="1398">
        <f>IFERROR(INDEX('10'!C$300:C$400,MATCH("*"&amp;F23&amp;"*",'10'!B$300:B$400,0)),"  ")</f>
        <v>24</v>
      </c>
      <c r="Z23" s="1398">
        <f>IFERROR(INDEX('11'!C$300:C$400,MATCH("*"&amp;F23&amp;"*",'11'!B$300:B$400,0)),"  ")</f>
        <v>18</v>
      </c>
      <c r="AA23" s="1353">
        <f t="shared" ca="1" si="10"/>
        <v>8</v>
      </c>
      <c r="AB23" s="1353">
        <f t="shared" ca="1" si="11"/>
        <v>0</v>
      </c>
      <c r="AC23" s="1353">
        <f t="shared" ca="1" si="12"/>
        <v>0</v>
      </c>
      <c r="AH23" s="1345"/>
      <c r="AS23" s="689">
        <f t="shared" ca="1" si="13"/>
        <v>5.0000000000000001E-4</v>
      </c>
      <c r="AT23" s="690">
        <f t="shared" si="14"/>
        <v>1E-4</v>
      </c>
      <c r="AU23" s="690">
        <f t="shared" si="15"/>
        <v>12.0002</v>
      </c>
      <c r="AV23" s="690">
        <f t="shared" si="16"/>
        <v>14.000299999999999</v>
      </c>
      <c r="AW23" s="690">
        <f t="shared" si="17"/>
        <v>4.0000000000000002E-4</v>
      </c>
      <c r="AX23" s="690">
        <f t="shared" si="18"/>
        <v>5.0000000000000001E-4</v>
      </c>
      <c r="AY23" s="690">
        <f t="shared" si="19"/>
        <v>1.0005999999999999</v>
      </c>
      <c r="AZ23" s="690">
        <f t="shared" ca="1" si="20"/>
        <v>26.000699999999998</v>
      </c>
      <c r="BA23" s="690">
        <f t="shared" si="21"/>
        <v>18.000800000000002</v>
      </c>
      <c r="BB23" s="690">
        <f t="shared" si="22"/>
        <v>20.000900000000001</v>
      </c>
      <c r="BC23" s="690">
        <f t="shared" si="23"/>
        <v>24.001000000000001</v>
      </c>
      <c r="BD23" s="690">
        <f t="shared" si="24"/>
        <v>18.001100000000001</v>
      </c>
    </row>
    <row r="24" spans="1:56" x14ac:dyDescent="0.2">
      <c r="A24" s="1378">
        <f t="shared" ca="1" si="0"/>
        <v>3</v>
      </c>
      <c r="B24" s="1392">
        <f t="shared" ca="1" si="1"/>
        <v>17</v>
      </c>
      <c r="C24" s="1380" t="str">
        <f t="shared" si="2"/>
        <v/>
      </c>
      <c r="D24" s="1393" t="str">
        <f t="shared" si="3"/>
        <v/>
      </c>
      <c r="E24" s="1394">
        <f t="shared" ca="1" si="4"/>
        <v>17</v>
      </c>
      <c r="F24" s="1405" t="s">
        <v>107</v>
      </c>
      <c r="G24" s="1379" t="s">
        <v>99</v>
      </c>
      <c r="H24" s="1384"/>
      <c r="I24" s="1385">
        <f t="array" aca="1" ref="I24" ca="1">(IF(COUNT(P24:Z24)&lt;8,SUM(P24:Z24),SUM(LARGE((P24:Z24),{1;2;3;4;5;6;7;8}))))</f>
        <v>131</v>
      </c>
      <c r="J24" s="1388" t="str">
        <f ca="1">INDEX(ETAPP!B$1:B$32,MATCH(COUNTIF(P24:Z24,PIV!A$1),ETAPP!A$1:A$32,0))&amp;INDEX(ETAPP!B$1:B$32,MATCH(COUNTIF(P24:Z24,PIV!A$2),ETAPP!A$1:A$32,0))&amp;INDEX(ETAPP!B$1:B$32,MATCH(COUNTIF(P24:Z24,PIV!A$3),ETAPP!A$1:A$32,0))&amp;INDEX(ETAPP!B$1:B$32,MATCH(COUNTIF(P24:Z24,PIV!A$4),ETAPP!A$1:A$32,0))&amp;INDEX(ETAPP!B$1:B$32,MATCH(COUNTIF(P24:Z24,PIV!A$5),ETAPP!A$1:A$32,0))&amp;INDEX(ETAPP!B$1:B$32,MATCH(COUNTIF(P24:Z24,PIV!A$6),ETAPP!A$1:A$32,0))&amp;INDEX(ETAPP!B$1:B$32,MATCH(COUNTIF(P24:Z24,PIV!A$7),ETAPP!A$1:A$32,0))&amp;INDEX(ETAPP!B$1:B$32,MATCH(COUNTIF(P24:Z24,PIV!A$8),ETAPP!A$1:A$32,0))&amp;INDEX(ETAPP!B$1:B$32,MATCH(COUNTIF(P24:Z24,PIV!A$9),ETAPP!A$1:A$32,0))&amp;INDEX(ETAPP!B$1:B$32,MATCH(COUNTIF(P24:Z24,PIV!A$10),ETAPP!A$1:A$32,0))&amp;INDEX(ETAPP!B$1:B$32,MATCH(COUNTIF(P24:Z24,PIV!A$11),ETAPP!A$1:A$32,0))&amp;INDEX(ETAPP!B$1:B$32,MATCH(COUNTIF(P24:Z24,PIV!A$12),ETAPP!A$1:A$32,0))&amp;INDEX(ETAPP!B$1:B$32,MATCH(COUNTIF(P24:Z24,PIV!A$13),ETAPP!A$1:A$32,0))&amp;INDEX(ETAPP!B$1:B$32,MATCH(COUNTIF(P24:Z24,PIV!A$14),ETAPP!A$1:A$32,0))&amp;INDEX(ETAPP!B$1:B$32,MATCH(COUNTIF(P24:Z24,PIV!A$15),ETAPP!A$1:A$32,0))&amp;INDEX(ETAPP!B$1:B$32,MATCH(COUNTIF(P24:Z24,PIV!A$16),ETAPP!A$1:A$32,0))&amp;INDEX(ETAPP!B$1:B$32,MATCH(COUNTIF(P24:Z24,PIV!A$17),ETAPP!A$1:A$32,0))&amp;INDEX(ETAPP!B$1:B$32,MATCH(COUNTIF(P24:Z24,PIV!A$18),ETAPP!A$1:A$32,0))&amp;INDEX(ETAPP!B$1:B$32,MATCH(COUNTIF(P24:Z24,PIV!A$19),ETAPP!A$1:A$32,0))</f>
        <v>AB000A0000000000A0F</v>
      </c>
      <c r="K24" s="1388" t="str">
        <f t="shared" ca="1" si="5"/>
        <v>131,0-AB000A0000000000A0F</v>
      </c>
      <c r="L24" s="1387">
        <f t="shared" ca="1" si="6"/>
        <v>17</v>
      </c>
      <c r="M24" s="1387">
        <f t="shared" si="7"/>
        <v>42</v>
      </c>
      <c r="N24" s="1388" t="str">
        <f t="shared" ca="1" si="8"/>
        <v>131,0-AB000A0000000000A0F-042</v>
      </c>
      <c r="O24" s="1396">
        <f t="shared" ca="1" si="9"/>
        <v>92</v>
      </c>
      <c r="P24" s="1397" t="str">
        <f>IFERROR(INDEX('1'!C$300:C$400,MATCH("*"&amp;F24&amp;"*",'1'!B$300:B$400,0)),"  ")</f>
        <v xml:space="preserve">  </v>
      </c>
      <c r="Q24" s="1398">
        <f>IFERROR(INDEX('2'!C$300:C$400,MATCH("*"&amp;F24&amp;"*",'2'!B$300:B$400,0)),"  ")</f>
        <v>1</v>
      </c>
      <c r="R24" s="1398" t="str">
        <f>IFERROR(INDEX('3'!C$300:C$400,MATCH("*"&amp;F24&amp;"*",'3'!B$300:B$400,0)),"  ")</f>
        <v xml:space="preserve">  </v>
      </c>
      <c r="S24" s="1398" t="str">
        <f>IFERROR(INDEX('4'!C$300:C$400,MATCH("*"&amp;F24&amp;"*",'4'!B$300:B$400,0)),"  ")</f>
        <v xml:space="preserve">  </v>
      </c>
      <c r="T24" s="1398">
        <f>IFERROR(INDEX('5'!C$300:C$400,MATCH("*"&amp;F24&amp;"*",'5'!B$300:B$400,0)),"  ")</f>
        <v>34</v>
      </c>
      <c r="U24" s="1398" t="str">
        <f>IFERROR(INDEX('6'!C$300:C$400,MATCH("*"&amp;F24&amp;"*",'6'!B$300:B$400,0)),"  ")</f>
        <v xml:space="preserve">  </v>
      </c>
      <c r="V24" s="1398" t="str">
        <f ca="1">IFERROR(INDEX('7'!C$300:C$400,MATCH("*"&amp;F24&amp;"*",'7'!B$300:B$400,0)),"  ")</f>
        <v xml:space="preserve">  </v>
      </c>
      <c r="W24" s="1398">
        <f>IFERROR(INDEX('8'!C$300:C$400,MATCH("*"&amp;F24&amp;"*",'8'!B$300:B$400,0)),"  ")</f>
        <v>34</v>
      </c>
      <c r="X24" s="1398">
        <f>IFERROR(INDEX('9'!C$300:C$400,MATCH("*"&amp;F24&amp;"*",'9'!B$300:B$400,0)),"  ")</f>
        <v>22</v>
      </c>
      <c r="Y24" s="1398">
        <f>IFERROR(INDEX('10'!C$300:C$400,MATCH("*"&amp;F24&amp;"*",'10'!B$300:B$400,0)),"  ")</f>
        <v>40</v>
      </c>
      <c r="Z24" s="1398" t="str">
        <f>IFERROR(INDEX('11'!C$300:C$400,MATCH("*"&amp;F24&amp;"*",'11'!B$300:B$400,0)),"  ")</f>
        <v xml:space="preserve">  </v>
      </c>
      <c r="AA24" s="1353">
        <f t="shared" ca="1" si="10"/>
        <v>5</v>
      </c>
      <c r="AB24" s="1353">
        <f t="shared" ca="1" si="11"/>
        <v>3</v>
      </c>
      <c r="AC24" s="1353">
        <f t="shared" ca="1" si="12"/>
        <v>1</v>
      </c>
      <c r="AH24" s="1345"/>
      <c r="AS24" s="689">
        <f t="shared" ca="1" si="13"/>
        <v>4.0000000000000002E-4</v>
      </c>
      <c r="AT24" s="690">
        <f t="shared" si="14"/>
        <v>1E-4</v>
      </c>
      <c r="AU24" s="690">
        <f t="shared" si="15"/>
        <v>1.0002</v>
      </c>
      <c r="AV24" s="690">
        <f t="shared" si="16"/>
        <v>2.9999999999999997E-4</v>
      </c>
      <c r="AW24" s="690">
        <f t="shared" si="17"/>
        <v>4.0000000000000002E-4</v>
      </c>
      <c r="AX24" s="690">
        <f t="shared" si="18"/>
        <v>34.000500000000002</v>
      </c>
      <c r="AY24" s="690">
        <f t="shared" si="19"/>
        <v>5.9999999999999995E-4</v>
      </c>
      <c r="AZ24" s="690">
        <f t="shared" ca="1" si="20"/>
        <v>6.9999999999999999E-4</v>
      </c>
      <c r="BA24" s="690">
        <f t="shared" si="21"/>
        <v>34.000799999999998</v>
      </c>
      <c r="BB24" s="690">
        <f t="shared" si="22"/>
        <v>22.000900000000001</v>
      </c>
      <c r="BC24" s="690">
        <f t="shared" si="23"/>
        <v>40.000999999999998</v>
      </c>
      <c r="BD24" s="690">
        <f t="shared" si="24"/>
        <v>1.1000000000000001E-3</v>
      </c>
    </row>
    <row r="25" spans="1:56" x14ac:dyDescent="0.2">
      <c r="A25" s="1378" t="str">
        <f t="shared" si="0"/>
        <v/>
      </c>
      <c r="B25" s="1392" t="str">
        <f t="shared" si="1"/>
        <v/>
      </c>
      <c r="C25" s="1380" t="str">
        <f t="shared" si="2"/>
        <v/>
      </c>
      <c r="D25" s="1393" t="str">
        <f t="shared" si="3"/>
        <v/>
      </c>
      <c r="E25" s="1394">
        <f t="shared" ca="1" si="4"/>
        <v>18</v>
      </c>
      <c r="F25" s="1360" t="s">
        <v>97</v>
      </c>
      <c r="G25" s="1379"/>
      <c r="H25" s="1384"/>
      <c r="I25" s="1385">
        <f t="array" aca="1" ref="I25" ca="1">(IF(COUNT(P25:Z25)&lt;8,SUM(P25:Z25),SUM(LARGE((P25:Z25),{1;2;3;4;5;6;7;8}))))</f>
        <v>124</v>
      </c>
      <c r="J25" s="1388" t="str">
        <f ca="1">INDEX(ETAPP!B$1:B$32,MATCH(COUNTIF(P25:Z25,PIV!A$1),ETAPP!A$1:A$32,0))&amp;INDEX(ETAPP!B$1:B$32,MATCH(COUNTIF(P25:Z25,PIV!A$2),ETAPP!A$1:A$32,0))&amp;INDEX(ETAPP!B$1:B$32,MATCH(COUNTIF(P25:Z25,PIV!A$3),ETAPP!A$1:A$32,0))&amp;INDEX(ETAPP!B$1:B$32,MATCH(COUNTIF(P25:Z25,PIV!A$4),ETAPP!A$1:A$32,0))&amp;INDEX(ETAPP!B$1:B$32,MATCH(COUNTIF(P25:Z25,PIV!A$5),ETAPP!A$1:A$32,0))&amp;INDEX(ETAPP!B$1:B$32,MATCH(COUNTIF(P25:Z25,PIV!A$6),ETAPP!A$1:A$32,0))&amp;INDEX(ETAPP!B$1:B$32,MATCH(COUNTIF(P25:Z25,PIV!A$7),ETAPP!A$1:A$32,0))&amp;INDEX(ETAPP!B$1:B$32,MATCH(COUNTIF(P25:Z25,PIV!A$8),ETAPP!A$1:A$32,0))&amp;INDEX(ETAPP!B$1:B$32,MATCH(COUNTIF(P25:Z25,PIV!A$9),ETAPP!A$1:A$32,0))&amp;INDEX(ETAPP!B$1:B$32,MATCH(COUNTIF(P25:Z25,PIV!A$10),ETAPP!A$1:A$32,0))&amp;INDEX(ETAPP!B$1:B$32,MATCH(COUNTIF(P25:Z25,PIV!A$11),ETAPP!A$1:A$32,0))&amp;INDEX(ETAPP!B$1:B$32,MATCH(COUNTIF(P25:Z25,PIV!A$12),ETAPP!A$1:A$32,0))&amp;INDEX(ETAPP!B$1:B$32,MATCH(COUNTIF(P25:Z25,PIV!A$13),ETAPP!A$1:A$32,0))&amp;INDEX(ETAPP!B$1:B$32,MATCH(COUNTIF(P25:Z25,PIV!A$14),ETAPP!A$1:A$32,0))&amp;INDEX(ETAPP!B$1:B$32,MATCH(COUNTIF(P25:Z25,PIV!A$15),ETAPP!A$1:A$32,0))&amp;INDEX(ETAPP!B$1:B$32,MATCH(COUNTIF(P25:Z25,PIV!A$16),ETAPP!A$1:A$32,0))&amp;INDEX(ETAPP!B$1:B$32,MATCH(COUNTIF(P25:Z25,PIV!A$17),ETAPP!A$1:A$32,0))&amp;INDEX(ETAPP!B$1:B$32,MATCH(COUNTIF(P25:Z25,PIV!A$18),ETAPP!A$1:A$32,0))&amp;INDEX(ETAPP!B$1:B$32,MATCH(COUNTIF(P25:Z25,PIV!A$19),ETAPP!A$1:A$32,0))</f>
        <v>AA000A000A00AA0000E</v>
      </c>
      <c r="K25" s="1388" t="str">
        <f t="shared" ca="1" si="5"/>
        <v>124,0-AA000A000A00AA0000E</v>
      </c>
      <c r="L25" s="1387">
        <f t="shared" ca="1" si="6"/>
        <v>18</v>
      </c>
      <c r="M25" s="1387">
        <f t="shared" si="7"/>
        <v>102</v>
      </c>
      <c r="N25" s="1388" t="str">
        <f t="shared" ca="1" si="8"/>
        <v>124,0-AA000A000A00AA0000E-102</v>
      </c>
      <c r="O25" s="1396">
        <f t="shared" ca="1" si="9"/>
        <v>91</v>
      </c>
      <c r="P25" s="1397">
        <f>IFERROR(INDEX('1'!C$300:C$400,MATCH("*"&amp;F25&amp;"*",'1'!B$300:B$400,0)),"  ")</f>
        <v>14</v>
      </c>
      <c r="Q25" s="1398">
        <f>IFERROR(INDEX('2'!C$300:C$400,MATCH("*"&amp;F25&amp;"*",'2'!B$300:B$400,0)),"  ")</f>
        <v>6</v>
      </c>
      <c r="R25" s="1398">
        <f>IFERROR(INDEX('3'!C$300:C$400,MATCH("*"&amp;F25&amp;"*",'3'!B$300:B$400,0)),"  ")</f>
        <v>40</v>
      </c>
      <c r="S25" s="1398">
        <f>IFERROR(INDEX('4'!C$300:C$400,MATCH("*"&amp;F25&amp;"*",'4'!B$300:B$400,0)),"  ")</f>
        <v>34</v>
      </c>
      <c r="T25" s="1398" t="str">
        <f>IFERROR(INDEX('5'!C$300:C$400,MATCH("*"&amp;F25&amp;"*",'5'!B$300:B$400,0)),"  ")</f>
        <v xml:space="preserve">  </v>
      </c>
      <c r="U25" s="1398" t="str">
        <f>IFERROR(INDEX('6'!C$300:C$400,MATCH("*"&amp;F25&amp;"*",'6'!B$300:B$400,0)),"  ")</f>
        <v xml:space="preserve">  </v>
      </c>
      <c r="V25" s="1398">
        <f ca="1">IFERROR(INDEX('7'!C$300:C$400,MATCH("*"&amp;F25&amp;"*",'7'!B$300:B$400,0)),"  ")</f>
        <v>8</v>
      </c>
      <c r="W25" s="1398" t="str">
        <f>IFERROR(INDEX('8'!C$300:C$400,MATCH("*"&amp;F25&amp;"*",'8'!B$300:B$400,0)),"  ")</f>
        <v xml:space="preserve">  </v>
      </c>
      <c r="X25" s="1398" t="str">
        <f>IFERROR(INDEX('9'!C$300:C$400,MATCH("*"&amp;F25&amp;"*",'9'!B$300:B$400,0)),"  ")</f>
        <v xml:space="preserve">  </v>
      </c>
      <c r="Y25" s="1398">
        <f>IFERROR(INDEX('10'!C$300:C$400,MATCH("*"&amp;F25&amp;"*",'10'!B$300:B$400,0)),"  ")</f>
        <v>22</v>
      </c>
      <c r="Z25" s="1398" t="str">
        <f>IFERROR(INDEX('11'!C$300:C$400,MATCH("*"&amp;F25&amp;"*",'11'!B$300:B$400,0)),"  ")</f>
        <v xml:space="preserve">  </v>
      </c>
      <c r="AA25" s="1353">
        <f t="shared" ca="1" si="10"/>
        <v>6</v>
      </c>
      <c r="AB25" s="1353">
        <f t="shared" ca="1" si="11"/>
        <v>2</v>
      </c>
      <c r="AC25" s="1353">
        <f t="shared" ca="1" si="12"/>
        <v>1</v>
      </c>
      <c r="AH25" s="1345"/>
      <c r="AS25" s="689">
        <f t="shared" ca="1" si="13"/>
        <v>8.0000000000000004E-4</v>
      </c>
      <c r="AT25" s="690">
        <f t="shared" si="14"/>
        <v>14.0001</v>
      </c>
      <c r="AU25" s="690">
        <f t="shared" si="15"/>
        <v>6.0002000000000004</v>
      </c>
      <c r="AV25" s="690">
        <f t="shared" si="16"/>
        <v>40.000300000000003</v>
      </c>
      <c r="AW25" s="690">
        <f t="shared" si="17"/>
        <v>34.000399999999999</v>
      </c>
      <c r="AX25" s="690">
        <f t="shared" si="18"/>
        <v>5.0000000000000001E-4</v>
      </c>
      <c r="AY25" s="690">
        <f t="shared" si="19"/>
        <v>5.9999999999999995E-4</v>
      </c>
      <c r="AZ25" s="690">
        <f t="shared" ca="1" si="20"/>
        <v>8.0007000000000001</v>
      </c>
      <c r="BA25" s="690">
        <f t="shared" si="21"/>
        <v>8.0000000000000004E-4</v>
      </c>
      <c r="BB25" s="690">
        <f t="shared" si="22"/>
        <v>8.9999999999999998E-4</v>
      </c>
      <c r="BC25" s="690">
        <f t="shared" si="23"/>
        <v>22.001000000000001</v>
      </c>
      <c r="BD25" s="690">
        <f t="shared" si="24"/>
        <v>1.1000000000000001E-3</v>
      </c>
    </row>
    <row r="26" spans="1:56" x14ac:dyDescent="0.2">
      <c r="A26" s="1378" t="str">
        <f t="shared" si="0"/>
        <v/>
      </c>
      <c r="B26" s="1392" t="str">
        <f t="shared" si="1"/>
        <v/>
      </c>
      <c r="C26" s="1380" t="str">
        <f t="shared" si="2"/>
        <v/>
      </c>
      <c r="D26" s="1393" t="str">
        <f t="shared" si="3"/>
        <v/>
      </c>
      <c r="E26" s="1394">
        <f t="shared" ca="1" si="4"/>
        <v>19</v>
      </c>
      <c r="F26" s="1406" t="s">
        <v>94</v>
      </c>
      <c r="G26" s="1379"/>
      <c r="H26" s="1384"/>
      <c r="I26" s="1385">
        <f t="array" aca="1" ref="I26" ca="1">(IF(COUNT(P26:Z26)&lt;8,SUM(P26:Z26),SUM(LARGE((P26:Z26),{1;2;3;4;5;6;7;8}))))</f>
        <v>113</v>
      </c>
      <c r="J26" s="1388" t="str">
        <f ca="1">INDEX(ETAPP!B$1:B$32,MATCH(COUNTIF(P26:Z26,PIV!A$1),ETAPP!A$1:A$32,0))&amp;INDEX(ETAPP!B$1:B$32,MATCH(COUNTIF(P26:Z26,PIV!A$2),ETAPP!A$1:A$32,0))&amp;INDEX(ETAPP!B$1:B$32,MATCH(COUNTIF(P26:Z26,PIV!A$3),ETAPP!A$1:A$32,0))&amp;INDEX(ETAPP!B$1:B$32,MATCH(COUNTIF(P26:Z26,PIV!A$4),ETAPP!A$1:A$32,0))&amp;INDEX(ETAPP!B$1:B$32,MATCH(COUNTIF(P26:Z26,PIV!A$5),ETAPP!A$1:A$32,0))&amp;INDEX(ETAPP!B$1:B$32,MATCH(COUNTIF(P26:Z26,PIV!A$6),ETAPP!A$1:A$32,0))&amp;INDEX(ETAPP!B$1:B$32,MATCH(COUNTIF(P26:Z26,PIV!A$7),ETAPP!A$1:A$32,0))&amp;INDEX(ETAPP!B$1:B$32,MATCH(COUNTIF(P26:Z26,PIV!A$8),ETAPP!A$1:A$32,0))&amp;INDEX(ETAPP!B$1:B$32,MATCH(COUNTIF(P26:Z26,PIV!A$9),ETAPP!A$1:A$32,0))&amp;INDEX(ETAPP!B$1:B$32,MATCH(COUNTIF(P26:Z26,PIV!A$10),ETAPP!A$1:A$32,0))&amp;INDEX(ETAPP!B$1:B$32,MATCH(COUNTIF(P26:Z26,PIV!A$11),ETAPP!A$1:A$32,0))&amp;INDEX(ETAPP!B$1:B$32,MATCH(COUNTIF(P26:Z26,PIV!A$12),ETAPP!A$1:A$32,0))&amp;INDEX(ETAPP!B$1:B$32,MATCH(COUNTIF(P26:Z26,PIV!A$13),ETAPP!A$1:A$32,0))&amp;INDEX(ETAPP!B$1:B$32,MATCH(COUNTIF(P26:Z26,PIV!A$14),ETAPP!A$1:A$32,0))&amp;INDEX(ETAPP!B$1:B$32,MATCH(COUNTIF(P26:Z26,PIV!A$15),ETAPP!A$1:A$32,0))&amp;INDEX(ETAPP!B$1:B$32,MATCH(COUNTIF(P26:Z26,PIV!A$16),ETAPP!A$1:A$32,0))&amp;INDEX(ETAPP!B$1:B$32,MATCH(COUNTIF(P26:Z26,PIV!A$17),ETAPP!A$1:A$32,0))&amp;INDEX(ETAPP!B$1:B$32,MATCH(COUNTIF(P26:Z26,PIV!A$18),ETAPP!A$1:A$32,0))&amp;INDEX(ETAPP!B$1:B$32,MATCH(COUNTIF(P26:Z26,PIV!A$19),ETAPP!A$1:A$32,0))</f>
        <v>0AA000A00A00000000F</v>
      </c>
      <c r="K26" s="1388" t="str">
        <f t="shared" ca="1" si="5"/>
        <v>113,0-0AA000A00A00000000F</v>
      </c>
      <c r="L26" s="1387">
        <f t="shared" ca="1" si="6"/>
        <v>19</v>
      </c>
      <c r="M26" s="1387">
        <f t="shared" si="7"/>
        <v>73</v>
      </c>
      <c r="N26" s="1388" t="str">
        <f t="shared" ca="1" si="8"/>
        <v>113,0-0AA000A00A00000000F-073</v>
      </c>
      <c r="O26" s="1396">
        <f t="shared" ca="1" si="9"/>
        <v>90</v>
      </c>
      <c r="P26" s="1397">
        <f>IFERROR(INDEX('1'!C$300:C$400,MATCH("*"&amp;F26&amp;"*",'1'!B$300:B$400,0)),"  ")</f>
        <v>30</v>
      </c>
      <c r="Q26" s="1398">
        <f>IFERROR(INDEX('2'!C$300:C$400,MATCH("*"&amp;F26&amp;"*",'2'!B$300:B$400,0)),"  ")</f>
        <v>34</v>
      </c>
      <c r="R26" s="1398" t="str">
        <f>IFERROR(INDEX('3'!C$300:C$400,MATCH("*"&amp;F26&amp;"*",'3'!B$300:B$400,0)),"  ")</f>
        <v xml:space="preserve">  </v>
      </c>
      <c r="S26" s="1398">
        <f>IFERROR(INDEX('4'!C$300:C$400,MATCH("*"&amp;F26&amp;"*",'4'!B$300:B$400,0)),"  ")</f>
        <v>14</v>
      </c>
      <c r="T26" s="1398" t="str">
        <f>IFERROR(INDEX('5'!C$300:C$400,MATCH("*"&amp;F26&amp;"*",'5'!B$300:B$400,0)),"  ")</f>
        <v xml:space="preserve">  </v>
      </c>
      <c r="U26" s="1398">
        <f>IFERROR(INDEX('6'!C$300:C$400,MATCH("*"&amp;F26&amp;"*",'6'!B$300:B$400,0)),"  ")</f>
        <v>20</v>
      </c>
      <c r="V26" s="1398">
        <f ca="1">IFERROR(INDEX('7'!C$300:C$400,MATCH("*"&amp;F26&amp;"*",'7'!B$300:B$400,0)),"  ")</f>
        <v>15</v>
      </c>
      <c r="W26" s="1398" t="str">
        <f>IFERROR(INDEX('8'!C$300:C$400,MATCH("*"&amp;F26&amp;"*",'8'!B$300:B$400,0)),"  ")</f>
        <v xml:space="preserve">  </v>
      </c>
      <c r="X26" s="1398" t="str">
        <f>IFERROR(INDEX('9'!C$300:C$400,MATCH("*"&amp;F26&amp;"*",'9'!B$300:B$400,0)),"  ")</f>
        <v xml:space="preserve">  </v>
      </c>
      <c r="Y26" s="1398" t="str">
        <f>IFERROR(INDEX('10'!C$300:C$400,MATCH("*"&amp;F26&amp;"*",'10'!B$300:B$400,0)),"  ")</f>
        <v xml:space="preserve">  </v>
      </c>
      <c r="Z26" s="1398" t="str">
        <f>IFERROR(INDEX('11'!C$300:C$400,MATCH("*"&amp;F26&amp;"*",'11'!B$300:B$400,0)),"  ")</f>
        <v xml:space="preserve">  </v>
      </c>
      <c r="AA26" s="1353">
        <f t="shared" ca="1" si="10"/>
        <v>5</v>
      </c>
      <c r="AB26" s="1353">
        <f t="shared" ca="1" si="11"/>
        <v>2</v>
      </c>
      <c r="AC26" s="1353">
        <f t="shared" ca="1" si="12"/>
        <v>0</v>
      </c>
      <c r="AH26" s="1345"/>
      <c r="AS26" s="689">
        <f t="shared" ca="1" si="13"/>
        <v>8.0000000000000004E-4</v>
      </c>
      <c r="AT26" s="690">
        <f t="shared" si="14"/>
        <v>30.0001</v>
      </c>
      <c r="AU26" s="690">
        <f t="shared" si="15"/>
        <v>34.0002</v>
      </c>
      <c r="AV26" s="690">
        <f t="shared" si="16"/>
        <v>2.9999999999999997E-4</v>
      </c>
      <c r="AW26" s="690">
        <f t="shared" si="17"/>
        <v>14.000400000000001</v>
      </c>
      <c r="AX26" s="690">
        <f t="shared" si="18"/>
        <v>5.0000000000000001E-4</v>
      </c>
      <c r="AY26" s="690">
        <f t="shared" si="19"/>
        <v>20.000599999999999</v>
      </c>
      <c r="AZ26" s="690">
        <f t="shared" ca="1" si="20"/>
        <v>15.0007</v>
      </c>
      <c r="BA26" s="690">
        <f t="shared" si="21"/>
        <v>8.0000000000000004E-4</v>
      </c>
      <c r="BB26" s="690">
        <f t="shared" si="22"/>
        <v>8.9999999999999998E-4</v>
      </c>
      <c r="BC26" s="690">
        <f t="shared" si="23"/>
        <v>1E-3</v>
      </c>
      <c r="BD26" s="690">
        <f t="shared" si="24"/>
        <v>1.1000000000000001E-3</v>
      </c>
    </row>
    <row r="27" spans="1:56" x14ac:dyDescent="0.2">
      <c r="A27" s="1378" t="str">
        <f t="shared" si="0"/>
        <v/>
      </c>
      <c r="B27" s="1392" t="str">
        <f t="shared" si="1"/>
        <v/>
      </c>
      <c r="C27" s="1380" t="str">
        <f t="shared" si="2"/>
        <v/>
      </c>
      <c r="D27" s="1393" t="str">
        <f t="shared" si="3"/>
        <v/>
      </c>
      <c r="E27" s="1407">
        <f t="shared" ca="1" si="4"/>
        <v>20</v>
      </c>
      <c r="F27" s="1395" t="s">
        <v>125</v>
      </c>
      <c r="G27" s="1408"/>
      <c r="H27" s="1384"/>
      <c r="I27" s="1385">
        <f t="array" aca="1" ref="I27" ca="1">(IF(COUNT(P27:Z27)&lt;8,SUM(P27:Z27),SUM(LARGE((P27:Z27),{1;2;3;4;5;6;7;8}))))</f>
        <v>113</v>
      </c>
      <c r="J27" s="1388" t="str">
        <f ca="1">INDEX(ETAPP!B$1:B$32,MATCH(COUNTIF(P27:Z27,PIV!A$1),ETAPP!A$1:A$32,0))&amp;INDEX(ETAPP!B$1:B$32,MATCH(COUNTIF(P27:Z27,PIV!A$2),ETAPP!A$1:A$32,0))&amp;INDEX(ETAPP!B$1:B$32,MATCH(COUNTIF(P27:Z27,PIV!A$3),ETAPP!A$1:A$32,0))&amp;INDEX(ETAPP!B$1:B$32,MATCH(COUNTIF(P27:Z27,PIV!A$4),ETAPP!A$1:A$32,0))&amp;INDEX(ETAPP!B$1:B$32,MATCH(COUNTIF(P27:Z27,PIV!A$5),ETAPP!A$1:A$32,0))&amp;INDEX(ETAPP!B$1:B$32,MATCH(COUNTIF(P27:Z27,PIV!A$6),ETAPP!A$1:A$32,0))&amp;INDEX(ETAPP!B$1:B$32,MATCH(COUNTIF(P27:Z27,PIV!A$7),ETAPP!A$1:A$32,0))&amp;INDEX(ETAPP!B$1:B$32,MATCH(COUNTIF(P27:Z27,PIV!A$8),ETAPP!A$1:A$32,0))&amp;INDEX(ETAPP!B$1:B$32,MATCH(COUNTIF(P27:Z27,PIV!A$9),ETAPP!A$1:A$32,0))&amp;INDEX(ETAPP!B$1:B$32,MATCH(COUNTIF(P27:Z27,PIV!A$10),ETAPP!A$1:A$32,0))&amp;INDEX(ETAPP!B$1:B$32,MATCH(COUNTIF(P27:Z27,PIV!A$11),ETAPP!A$1:A$32,0))&amp;INDEX(ETAPP!B$1:B$32,MATCH(COUNTIF(P27:Z27,PIV!A$12),ETAPP!A$1:A$32,0))&amp;INDEX(ETAPP!B$1:B$32,MATCH(COUNTIF(P27:Z27,PIV!A$13),ETAPP!A$1:A$32,0))&amp;INDEX(ETAPP!B$1:B$32,MATCH(COUNTIF(P27:Z27,PIV!A$14),ETAPP!A$1:A$32,0))&amp;INDEX(ETAPP!B$1:B$32,MATCH(COUNTIF(P27:Z27,PIV!A$15),ETAPP!A$1:A$32,0))&amp;INDEX(ETAPP!B$1:B$32,MATCH(COUNTIF(P27:Z27,PIV!A$16),ETAPP!A$1:A$32,0))&amp;INDEX(ETAPP!B$1:B$32,MATCH(COUNTIF(P27:Z27,PIV!A$17),ETAPP!A$1:A$32,0))&amp;INDEX(ETAPP!B$1:B$32,MATCH(COUNTIF(P27:Z27,PIV!A$18),ETAPP!A$1:A$32,0))&amp;INDEX(ETAPP!B$1:B$32,MATCH(COUNTIF(P27:Z27,PIV!A$19),ETAPP!A$1:A$32,0))</f>
        <v>00A0C000000A0000A0E</v>
      </c>
      <c r="K27" s="1388" t="str">
        <f t="shared" ca="1" si="5"/>
        <v>113,0-00A0C000000A0000A0E</v>
      </c>
      <c r="L27" s="1387">
        <f t="shared" ca="1" si="6"/>
        <v>20</v>
      </c>
      <c r="M27" s="1387">
        <f t="shared" si="7"/>
        <v>17</v>
      </c>
      <c r="N27" s="1388" t="str">
        <f t="shared" ca="1" si="8"/>
        <v>113,0-00A0C000000A0000A0E-017</v>
      </c>
      <c r="O27" s="1396">
        <f t="shared" ca="1" si="9"/>
        <v>89</v>
      </c>
      <c r="P27" s="1397" t="str">
        <f>IFERROR(INDEX('1'!C$300:C$400,MATCH("*"&amp;F27&amp;"*",'1'!B$300:B$400,0)),"  ")</f>
        <v xml:space="preserve">  </v>
      </c>
      <c r="Q27" s="1398" t="str">
        <f>IFERROR(INDEX('2'!C$300:C$400,MATCH("*"&amp;F27&amp;"*",'2'!B$300:B$400,0)),"  ")</f>
        <v xml:space="preserve">  </v>
      </c>
      <c r="R27" s="1398">
        <f>IFERROR(INDEX('3'!C$300:C$400,MATCH("*"&amp;F27&amp;"*",'3'!B$300:B$400,0)),"  ")</f>
        <v>30</v>
      </c>
      <c r="S27" s="1398" t="str">
        <f>IFERROR(INDEX('4'!C$300:C$400,MATCH("*"&amp;F27&amp;"*",'4'!B$300:B$400,0)),"  ")</f>
        <v xml:space="preserve">  </v>
      </c>
      <c r="T27" s="1398">
        <f>IFERROR(INDEX('5'!C$300:C$400,MATCH("*"&amp;F27&amp;"*",'5'!B$300:B$400,0)),"  ")</f>
        <v>24</v>
      </c>
      <c r="U27" s="1398">
        <f>IFERROR(INDEX('6'!C$300:C$400,MATCH("*"&amp;F27&amp;"*",'6'!B$300:B$400,0)),"  ")</f>
        <v>1</v>
      </c>
      <c r="V27" s="1398">
        <f ca="1">IFERROR(INDEX('7'!C$300:C$400,MATCH("*"&amp;F27&amp;"*",'7'!B$300:B$400,0)),"  ")</f>
        <v>10</v>
      </c>
      <c r="W27" s="1398">
        <f>IFERROR(INDEX('8'!C$300:C$400,MATCH("*"&amp;F27&amp;"*",'8'!B$300:B$400,0)),"  ")</f>
        <v>24</v>
      </c>
      <c r="X27" s="1398">
        <f>IFERROR(INDEX('9'!C$300:C$400,MATCH("*"&amp;F27&amp;"*",'9'!B$300:B$400,0)),"  ")</f>
        <v>24</v>
      </c>
      <c r="Y27" s="1398" t="str">
        <f>IFERROR(INDEX('10'!C$300:C$400,MATCH("*"&amp;F27&amp;"*",'10'!B$300:B$400,0)),"  ")</f>
        <v xml:space="preserve">  </v>
      </c>
      <c r="Z27" s="1398" t="str">
        <f>IFERROR(INDEX('11'!C$300:C$400,MATCH("*"&amp;F27&amp;"*",'11'!B$300:B$400,0)),"  ")</f>
        <v xml:space="preserve">  </v>
      </c>
      <c r="AA27" s="1353">
        <f t="shared" ca="1" si="10"/>
        <v>6</v>
      </c>
      <c r="AB27" s="1353">
        <f t="shared" ca="1" si="11"/>
        <v>1</v>
      </c>
      <c r="AC27" s="1353">
        <f t="shared" ca="1" si="12"/>
        <v>0</v>
      </c>
      <c r="AH27" s="1404"/>
      <c r="AS27" s="689">
        <f t="shared" ca="1" si="13"/>
        <v>4.0000000000000002E-4</v>
      </c>
      <c r="AT27" s="690">
        <f t="shared" si="14"/>
        <v>1E-4</v>
      </c>
      <c r="AU27" s="690">
        <f t="shared" si="15"/>
        <v>2.0000000000000001E-4</v>
      </c>
      <c r="AV27" s="690">
        <f t="shared" si="16"/>
        <v>30.000299999999999</v>
      </c>
      <c r="AW27" s="690">
        <f t="shared" si="17"/>
        <v>4.0000000000000002E-4</v>
      </c>
      <c r="AX27" s="690">
        <f t="shared" si="18"/>
        <v>24.000499999999999</v>
      </c>
      <c r="AY27" s="690">
        <f t="shared" si="19"/>
        <v>1.0005999999999999</v>
      </c>
      <c r="AZ27" s="690">
        <f t="shared" ca="1" si="20"/>
        <v>10.0007</v>
      </c>
      <c r="BA27" s="690">
        <f t="shared" si="21"/>
        <v>24.000800000000002</v>
      </c>
      <c r="BB27" s="690">
        <f t="shared" si="22"/>
        <v>24.000900000000001</v>
      </c>
      <c r="BC27" s="690">
        <f t="shared" si="23"/>
        <v>1E-3</v>
      </c>
      <c r="BD27" s="690">
        <f t="shared" si="24"/>
        <v>1.1000000000000001E-3</v>
      </c>
    </row>
    <row r="28" spans="1:56" x14ac:dyDescent="0.2">
      <c r="A28" s="1378" t="str">
        <f t="shared" si="0"/>
        <v/>
      </c>
      <c r="B28" s="1392" t="str">
        <f t="shared" si="1"/>
        <v/>
      </c>
      <c r="C28" s="1380" t="str">
        <f t="shared" si="2"/>
        <v/>
      </c>
      <c r="D28" s="1393" t="str">
        <f t="shared" si="3"/>
        <v/>
      </c>
      <c r="E28" s="1394">
        <f t="shared" ca="1" si="4"/>
        <v>21</v>
      </c>
      <c r="F28" s="1409" t="s">
        <v>104</v>
      </c>
      <c r="G28" s="1379"/>
      <c r="H28" s="1402"/>
      <c r="I28" s="1385">
        <f t="array" aca="1" ref="I28" ca="1">(IF(COUNT(P28:Z28)&lt;8,SUM(P28:Z28),SUM(LARGE((P28:Z28),{1;2;3;4;5;6;7;8}))))</f>
        <v>110</v>
      </c>
      <c r="J28" s="1388" t="str">
        <f ca="1">INDEX(ETAPP!B$1:B$32,MATCH(COUNTIF(P28:Z28,PIV!A$1),ETAPP!A$1:A$32,0))&amp;INDEX(ETAPP!B$1:B$32,MATCH(COUNTIF(P28:Z28,PIV!A$2),ETAPP!A$1:A$32,0))&amp;INDEX(ETAPP!B$1:B$32,MATCH(COUNTIF(P28:Z28,PIV!A$3),ETAPP!A$1:A$32,0))&amp;INDEX(ETAPP!B$1:B$32,MATCH(COUNTIF(P28:Z28,PIV!A$4),ETAPP!A$1:A$32,0))&amp;INDEX(ETAPP!B$1:B$32,MATCH(COUNTIF(P28:Z28,PIV!A$5),ETAPP!A$1:A$32,0))&amp;INDEX(ETAPP!B$1:B$32,MATCH(COUNTIF(P28:Z28,PIV!A$6),ETAPP!A$1:A$32,0))&amp;INDEX(ETAPP!B$1:B$32,MATCH(COUNTIF(P28:Z28,PIV!A$7),ETAPP!A$1:A$32,0))&amp;INDEX(ETAPP!B$1:B$32,MATCH(COUNTIF(P28:Z28,PIV!A$8),ETAPP!A$1:A$32,0))&amp;INDEX(ETAPP!B$1:B$32,MATCH(COUNTIF(P28:Z28,PIV!A$9),ETAPP!A$1:A$32,0))&amp;INDEX(ETAPP!B$1:B$32,MATCH(COUNTIF(P28:Z28,PIV!A$10),ETAPP!A$1:A$32,0))&amp;INDEX(ETAPP!B$1:B$32,MATCH(COUNTIF(P28:Z28,PIV!A$11),ETAPP!A$1:A$32,0))&amp;INDEX(ETAPP!B$1:B$32,MATCH(COUNTIF(P28:Z28,PIV!A$12),ETAPP!A$1:A$32,0))&amp;INDEX(ETAPP!B$1:B$32,MATCH(COUNTIF(P28:Z28,PIV!A$13),ETAPP!A$1:A$32,0))&amp;INDEX(ETAPP!B$1:B$32,MATCH(COUNTIF(P28:Z28,PIV!A$14),ETAPP!A$1:A$32,0))&amp;INDEX(ETAPP!B$1:B$32,MATCH(COUNTIF(P28:Z28,PIV!A$15),ETAPP!A$1:A$32,0))&amp;INDEX(ETAPP!B$1:B$32,MATCH(COUNTIF(P28:Z28,PIV!A$16),ETAPP!A$1:A$32,0))&amp;INDEX(ETAPP!B$1:B$32,MATCH(COUNTIF(P28:Z28,PIV!A$17),ETAPP!A$1:A$32,0))&amp;INDEX(ETAPP!B$1:B$32,MATCH(COUNTIF(P28:Z28,PIV!A$18),ETAPP!A$1:A$32,0))&amp;INDEX(ETAPP!B$1:B$32,MATCH(COUNTIF(P28:Z28,PIV!A$19),ETAPP!A$1:A$32,0))</f>
        <v>AA000000A0A0A00000F</v>
      </c>
      <c r="K28" s="1388" t="str">
        <f t="shared" ca="1" si="5"/>
        <v>110,0-AA000000A0A0A00000F</v>
      </c>
      <c r="L28" s="1387">
        <f t="shared" ca="1" si="6"/>
        <v>21</v>
      </c>
      <c r="M28" s="1387">
        <f t="shared" si="7"/>
        <v>81</v>
      </c>
      <c r="N28" s="1388" t="str">
        <f t="shared" ca="1" si="8"/>
        <v>110,0-AA000000A0A0A00000F-081</v>
      </c>
      <c r="O28" s="1396">
        <f t="shared" ca="1" si="9"/>
        <v>88</v>
      </c>
      <c r="P28" s="1397">
        <f>IFERROR(INDEX('1'!C$300:C$400,MATCH("*"&amp;F28&amp;"*",'1'!B$300:B$400,0)),"  ")</f>
        <v>16</v>
      </c>
      <c r="Q28" s="1398" t="str">
        <f>IFERROR(INDEX('2'!C$300:C$400,MATCH("*"&amp;F28&amp;"*",'2'!B$300:B$400,0)),"  ")</f>
        <v xml:space="preserve">  </v>
      </c>
      <c r="R28" s="1398" t="str">
        <f>IFERROR(INDEX('3'!C$300:C$400,MATCH("*"&amp;F28&amp;"*",'3'!B$300:B$400,0)),"  ")</f>
        <v xml:space="preserve">  </v>
      </c>
      <c r="S28" s="1398" t="str">
        <f>IFERROR(INDEX('4'!C$300:C$400,MATCH("*"&amp;F28&amp;"*",'4'!B$300:B$400,0)),"  ")</f>
        <v xml:space="preserve">  </v>
      </c>
      <c r="T28" s="1398" t="str">
        <f>IFERROR(INDEX('5'!C$300:C$400,MATCH("*"&amp;F28&amp;"*",'5'!B$300:B$400,0)),"  ")</f>
        <v xml:space="preserve">  </v>
      </c>
      <c r="U28" s="1398">
        <f>IFERROR(INDEX('6'!C$300:C$400,MATCH("*"&amp;F28&amp;"*",'6'!B$300:B$400,0)),"  ")</f>
        <v>12</v>
      </c>
      <c r="V28" s="1398">
        <f ca="1">IFERROR(INDEX('7'!C$300:C$400,MATCH("*"&amp;F28&amp;"*",'7'!B$300:B$400,0)),"  ")</f>
        <v>34</v>
      </c>
      <c r="W28" s="1398">
        <f>IFERROR(INDEX('8'!C$300:C$400,MATCH("*"&amp;F28&amp;"*",'8'!B$300:B$400,0)),"  ")</f>
        <v>8</v>
      </c>
      <c r="X28" s="1398" t="str">
        <f>IFERROR(INDEX('9'!C$300:C$400,MATCH("*"&amp;F28&amp;"*",'9'!B$300:B$400,0)),"  ")</f>
        <v xml:space="preserve">  </v>
      </c>
      <c r="Y28" s="1398">
        <f>IFERROR(INDEX('10'!C$300:C$400,MATCH("*"&amp;F28&amp;"*",'10'!B$300:B$400,0)),"  ")</f>
        <v>40</v>
      </c>
      <c r="Z28" s="1398" t="str">
        <f>IFERROR(INDEX('11'!C$300:C$400,MATCH("*"&amp;F28&amp;"*",'11'!B$300:B$400,0)),"  ")</f>
        <v xml:space="preserve">  </v>
      </c>
      <c r="AA28" s="1353">
        <f t="shared" ca="1" si="10"/>
        <v>5</v>
      </c>
      <c r="AB28" s="1353">
        <f t="shared" ca="1" si="11"/>
        <v>2</v>
      </c>
      <c r="AC28" s="1353">
        <f t="shared" ca="1" si="12"/>
        <v>1</v>
      </c>
      <c r="AH28" s="1404"/>
      <c r="AS28" s="689">
        <f t="shared" ca="1" si="13"/>
        <v>4.0000000000000002E-4</v>
      </c>
      <c r="AT28" s="690">
        <f t="shared" si="14"/>
        <v>16.0001</v>
      </c>
      <c r="AU28" s="690">
        <f t="shared" si="15"/>
        <v>2.0000000000000001E-4</v>
      </c>
      <c r="AV28" s="690">
        <f t="shared" si="16"/>
        <v>2.9999999999999997E-4</v>
      </c>
      <c r="AW28" s="690">
        <f t="shared" si="17"/>
        <v>4.0000000000000002E-4</v>
      </c>
      <c r="AX28" s="690">
        <f t="shared" si="18"/>
        <v>5.0000000000000001E-4</v>
      </c>
      <c r="AY28" s="690">
        <f t="shared" si="19"/>
        <v>12.0006</v>
      </c>
      <c r="AZ28" s="690">
        <f t="shared" ca="1" si="20"/>
        <v>34.000700000000002</v>
      </c>
      <c r="BA28" s="690">
        <f t="shared" si="21"/>
        <v>8.0007999999999999</v>
      </c>
      <c r="BB28" s="690">
        <f t="shared" si="22"/>
        <v>8.9999999999999998E-4</v>
      </c>
      <c r="BC28" s="690">
        <f t="shared" si="23"/>
        <v>40.000999999999998</v>
      </c>
      <c r="BD28" s="690">
        <f t="shared" si="24"/>
        <v>1.1000000000000001E-3</v>
      </c>
    </row>
    <row r="29" spans="1:56" x14ac:dyDescent="0.2">
      <c r="A29" s="1378">
        <f t="shared" ca="1" si="0"/>
        <v>4</v>
      </c>
      <c r="B29" s="1392">
        <f t="shared" ca="1" si="1"/>
        <v>22</v>
      </c>
      <c r="C29" s="1380" t="str">
        <f t="shared" si="2"/>
        <v/>
      </c>
      <c r="D29" s="1393" t="str">
        <f t="shared" si="3"/>
        <v/>
      </c>
      <c r="E29" s="1394">
        <f t="shared" ca="1" si="4"/>
        <v>22</v>
      </c>
      <c r="F29" s="1405" t="s">
        <v>528</v>
      </c>
      <c r="G29" s="1379" t="s">
        <v>99</v>
      </c>
      <c r="H29" s="1384"/>
      <c r="I29" s="1385">
        <f t="array" aca="1" ref="I29" ca="1">(IF(COUNT(P29:Z29)&lt;8,SUM(P29:Z29),SUM(LARGE((P29:Z29),{1;2;3;4;5;6;7;8}))))</f>
        <v>108</v>
      </c>
      <c r="J29" s="1388" t="str">
        <f ca="1">INDEX(ETAPP!B$1:B$32,MATCH(COUNTIF(P29:Z29,PIV!A$1),ETAPP!A$1:A$32,0))&amp;INDEX(ETAPP!B$1:B$32,MATCH(COUNTIF(P29:Z29,PIV!A$2),ETAPP!A$1:A$32,0))&amp;INDEX(ETAPP!B$1:B$32,MATCH(COUNTIF(P29:Z29,PIV!A$3),ETAPP!A$1:A$32,0))&amp;INDEX(ETAPP!B$1:B$32,MATCH(COUNTIF(P29:Z29,PIV!A$4),ETAPP!A$1:A$32,0))&amp;INDEX(ETAPP!B$1:B$32,MATCH(COUNTIF(P29:Z29,PIV!A$5),ETAPP!A$1:A$32,0))&amp;INDEX(ETAPP!B$1:B$32,MATCH(COUNTIF(P29:Z29,PIV!A$6),ETAPP!A$1:A$32,0))&amp;INDEX(ETAPP!B$1:B$32,MATCH(COUNTIF(P29:Z29,PIV!A$7),ETAPP!A$1:A$32,0))&amp;INDEX(ETAPP!B$1:B$32,MATCH(COUNTIF(P29:Z29,PIV!A$8),ETAPP!A$1:A$32,0))&amp;INDEX(ETAPP!B$1:B$32,MATCH(COUNTIF(P29:Z29,PIV!A$9),ETAPP!A$1:A$32,0))&amp;INDEX(ETAPP!B$1:B$32,MATCH(COUNTIF(P29:Z29,PIV!A$10),ETAPP!A$1:A$32,0))&amp;INDEX(ETAPP!B$1:B$32,MATCH(COUNTIF(P29:Z29,PIV!A$11),ETAPP!A$1:A$32,0))&amp;INDEX(ETAPP!B$1:B$32,MATCH(COUNTIF(P29:Z29,PIV!A$12),ETAPP!A$1:A$32,0))&amp;INDEX(ETAPP!B$1:B$32,MATCH(COUNTIF(P29:Z29,PIV!A$13),ETAPP!A$1:A$32,0))&amp;INDEX(ETAPP!B$1:B$32,MATCH(COUNTIF(P29:Z29,PIV!A$14),ETAPP!A$1:A$32,0))&amp;INDEX(ETAPP!B$1:B$32,MATCH(COUNTIF(P29:Z29,PIV!A$15),ETAPP!A$1:A$32,0))&amp;INDEX(ETAPP!B$1:B$32,MATCH(COUNTIF(P29:Z29,PIV!A$16),ETAPP!A$1:A$32,0))&amp;INDEX(ETAPP!B$1:B$32,MATCH(COUNTIF(P29:Z29,PIV!A$17),ETAPP!A$1:A$32,0))&amp;INDEX(ETAPP!B$1:B$32,MATCH(COUNTIF(P29:Z29,PIV!A$18),ETAPP!A$1:A$32,0))&amp;INDEX(ETAPP!B$1:B$32,MATCH(COUNTIF(P29:Z29,PIV!A$19),ETAPP!A$1:A$32,0))</f>
        <v>000B0A00B000000A00E</v>
      </c>
      <c r="K29" s="1388" t="str">
        <f t="shared" ca="1" si="5"/>
        <v>108,0-000B0A00B000000A00E</v>
      </c>
      <c r="L29" s="1387">
        <f t="shared" ca="1" si="6"/>
        <v>22</v>
      </c>
      <c r="M29" s="1387">
        <f t="shared" si="7"/>
        <v>60</v>
      </c>
      <c r="N29" s="1388" t="str">
        <f t="shared" ca="1" si="8"/>
        <v>108,0-000B0A00B000000A00E-060</v>
      </c>
      <c r="O29" s="1396">
        <f t="shared" ca="1" si="9"/>
        <v>87</v>
      </c>
      <c r="P29" s="1397" t="str">
        <f>IFERROR(INDEX('1'!C$300:C$400,MATCH("*"&amp;F29&amp;"*",'1'!B$300:B$400,0)),"  ")</f>
        <v xml:space="preserve">  </v>
      </c>
      <c r="Q29" s="1398" t="str">
        <f>IFERROR(INDEX('2'!C$300:C$400,MATCH("*"&amp;F29&amp;"*",'2'!B$300:B$400,0)),"  ")</f>
        <v xml:space="preserve">  </v>
      </c>
      <c r="R29" s="1398" t="str">
        <f>IFERROR(INDEX('3'!C$300:C$400,MATCH("*"&amp;F29&amp;"*",'3'!B$300:B$400,0)),"  ")</f>
        <v xml:space="preserve">  </v>
      </c>
      <c r="S29" s="1398">
        <f>IFERROR(INDEX('4'!C$300:C$400,MATCH("*"&amp;F29&amp;"*",'4'!B$300:B$400,0)),"  ")</f>
        <v>26</v>
      </c>
      <c r="T29" s="1398">
        <f>IFERROR(INDEX('5'!C$300:C$400,MATCH("*"&amp;F29&amp;"*",'5'!B$300:B$400,0)),"  ")</f>
        <v>26</v>
      </c>
      <c r="U29" s="1398">
        <f>IFERROR(INDEX('6'!C$300:C$400,MATCH("*"&amp;F29&amp;"*",'6'!B$300:B$400,0)),"  ")</f>
        <v>2</v>
      </c>
      <c r="V29" s="1398" t="str">
        <f ca="1">IFERROR(INDEX('7'!C$300:C$400,MATCH("*"&amp;F29&amp;"*",'7'!B$300:B$400,0)),"  ")</f>
        <v xml:space="preserve">  </v>
      </c>
      <c r="W29" s="1398">
        <f>IFERROR(INDEX('8'!C$300:C$400,MATCH("*"&amp;F29&amp;"*",'8'!B$300:B$400,0)),"  ")</f>
        <v>16</v>
      </c>
      <c r="X29" s="1398">
        <f>IFERROR(INDEX('9'!C$300:C$400,MATCH("*"&amp;F29&amp;"*",'9'!B$300:B$400,0)),"  ")</f>
        <v>16</v>
      </c>
      <c r="Y29" s="1398">
        <f>IFERROR(INDEX('10'!C$300:C$400,MATCH("*"&amp;F29&amp;"*",'10'!B$300:B$400,0)),"  ")</f>
        <v>22</v>
      </c>
      <c r="Z29" s="1398" t="str">
        <f>IFERROR(INDEX('11'!C$300:C$400,MATCH("*"&amp;F29&amp;"*",'11'!B$300:B$400,0)),"  ")</f>
        <v xml:space="preserve">  </v>
      </c>
      <c r="AA29" s="1353">
        <f t="shared" ca="1" si="10"/>
        <v>6</v>
      </c>
      <c r="AB29" s="1353">
        <f t="shared" ca="1" si="11"/>
        <v>0</v>
      </c>
      <c r="AC29" s="1353">
        <f t="shared" ca="1" si="12"/>
        <v>0</v>
      </c>
      <c r="AH29" s="1345"/>
      <c r="AS29" s="689">
        <f t="shared" ca="1" si="13"/>
        <v>2.9999999999999997E-4</v>
      </c>
      <c r="AT29" s="690">
        <f t="shared" si="14"/>
        <v>1E-4</v>
      </c>
      <c r="AU29" s="690">
        <f t="shared" si="15"/>
        <v>2.0000000000000001E-4</v>
      </c>
      <c r="AV29" s="690">
        <f t="shared" si="16"/>
        <v>2.9999999999999997E-4</v>
      </c>
      <c r="AW29" s="690">
        <f t="shared" si="17"/>
        <v>26.000399999999999</v>
      </c>
      <c r="AX29" s="690">
        <f t="shared" si="18"/>
        <v>26.000499999999999</v>
      </c>
      <c r="AY29" s="690">
        <f t="shared" si="19"/>
        <v>2.0005999999999999</v>
      </c>
      <c r="AZ29" s="690">
        <f t="shared" ca="1" si="20"/>
        <v>6.9999999999999999E-4</v>
      </c>
      <c r="BA29" s="690">
        <f t="shared" si="21"/>
        <v>16.000800000000002</v>
      </c>
      <c r="BB29" s="690">
        <f t="shared" si="22"/>
        <v>16.000900000000001</v>
      </c>
      <c r="BC29" s="690">
        <f t="shared" si="23"/>
        <v>22.001000000000001</v>
      </c>
      <c r="BD29" s="690">
        <f t="shared" si="24"/>
        <v>1.1000000000000001E-3</v>
      </c>
    </row>
    <row r="30" spans="1:56" x14ac:dyDescent="0.2">
      <c r="A30" s="1378">
        <f t="shared" ca="1" si="0"/>
        <v>5</v>
      </c>
      <c r="B30" s="1392">
        <f t="shared" ca="1" si="1"/>
        <v>23</v>
      </c>
      <c r="C30" s="1380" t="str">
        <f t="shared" si="2"/>
        <v/>
      </c>
      <c r="D30" s="1393" t="str">
        <f t="shared" si="3"/>
        <v/>
      </c>
      <c r="E30" s="1394">
        <f t="shared" ca="1" si="4"/>
        <v>23</v>
      </c>
      <c r="F30" s="1401" t="s">
        <v>98</v>
      </c>
      <c r="G30" s="1379" t="s">
        <v>99</v>
      </c>
      <c r="H30" s="1384"/>
      <c r="I30" s="1385">
        <f t="array" aca="1" ref="I30" ca="1">(IF(COUNT(P30:Z30)&lt;8,SUM(P30:Z30),SUM(LARGE((P30:Z30),{1;2;3;4;5;6;7;8}))))</f>
        <v>101</v>
      </c>
      <c r="J30" s="1388" t="str">
        <f ca="1">INDEX(ETAPP!B$1:B$32,MATCH(COUNTIF(P30:Z30,PIV!A$1),ETAPP!A$1:A$32,0))&amp;INDEX(ETAPP!B$1:B$32,MATCH(COUNTIF(P30:Z30,PIV!A$2),ETAPP!A$1:A$32,0))&amp;INDEX(ETAPP!B$1:B$32,MATCH(COUNTIF(P30:Z30,PIV!A$3),ETAPP!A$1:A$32,0))&amp;INDEX(ETAPP!B$1:B$32,MATCH(COUNTIF(P30:Z30,PIV!A$4),ETAPP!A$1:A$32,0))&amp;INDEX(ETAPP!B$1:B$32,MATCH(COUNTIF(P30:Z30,PIV!A$5),ETAPP!A$1:A$32,0))&amp;INDEX(ETAPP!B$1:B$32,MATCH(COUNTIF(P30:Z30,PIV!A$6),ETAPP!A$1:A$32,0))&amp;INDEX(ETAPP!B$1:B$32,MATCH(COUNTIF(P30:Z30,PIV!A$7),ETAPP!A$1:A$32,0))&amp;INDEX(ETAPP!B$1:B$32,MATCH(COUNTIF(P30:Z30,PIV!A$8),ETAPP!A$1:A$32,0))&amp;INDEX(ETAPP!B$1:B$32,MATCH(COUNTIF(P30:Z30,PIV!A$9),ETAPP!A$1:A$32,0))&amp;INDEX(ETAPP!B$1:B$32,MATCH(COUNTIF(P30:Z30,PIV!A$10),ETAPP!A$1:A$32,0))&amp;INDEX(ETAPP!B$1:B$32,MATCH(COUNTIF(P30:Z30,PIV!A$11),ETAPP!A$1:A$32,0))&amp;INDEX(ETAPP!B$1:B$32,MATCH(COUNTIF(P30:Z30,PIV!A$12),ETAPP!A$1:A$32,0))&amp;INDEX(ETAPP!B$1:B$32,MATCH(COUNTIF(P30:Z30,PIV!A$13),ETAPP!A$1:A$32,0))&amp;INDEX(ETAPP!B$1:B$32,MATCH(COUNTIF(P30:Z30,PIV!A$14),ETAPP!A$1:A$32,0))&amp;INDEX(ETAPP!B$1:B$32,MATCH(COUNTIF(P30:Z30,PIV!A$15),ETAPP!A$1:A$32,0))&amp;INDEX(ETAPP!B$1:B$32,MATCH(COUNTIF(P30:Z30,PIV!A$16),ETAPP!A$1:A$32,0))&amp;INDEX(ETAPP!B$1:B$32,MATCH(COUNTIF(P30:Z30,PIV!A$17),ETAPP!A$1:A$32,0))&amp;INDEX(ETAPP!B$1:B$32,MATCH(COUNTIF(P30:Z30,PIV!A$18),ETAPP!A$1:A$32,0))&amp;INDEX(ETAPP!B$1:B$32,MATCH(COUNTIF(P30:Z30,PIV!A$19),ETAPP!A$1:A$32,0))</f>
        <v>0000A0AB0A000A00A0D</v>
      </c>
      <c r="K30" s="1388" t="str">
        <f t="shared" ca="1" si="5"/>
        <v>101,0-0000A0AB0A000A00A0D</v>
      </c>
      <c r="L30" s="1387">
        <f t="shared" ca="1" si="6"/>
        <v>23</v>
      </c>
      <c r="M30" s="1387">
        <f t="shared" si="7"/>
        <v>26</v>
      </c>
      <c r="N30" s="1388" t="str">
        <f t="shared" ca="1" si="8"/>
        <v>101,0-0000A0AB0A000A00A0D-026</v>
      </c>
      <c r="O30" s="1396">
        <f t="shared" ca="1" si="9"/>
        <v>86</v>
      </c>
      <c r="P30" s="1397">
        <f>IFERROR(INDEX('1'!C$300:C$400,MATCH("*"&amp;F30&amp;"*",'1'!B$300:B$400,0)),"  ")</f>
        <v>18</v>
      </c>
      <c r="Q30" s="1398">
        <f>IFERROR(INDEX('2'!C$300:C$400,MATCH("*"&amp;F30&amp;"*",'2'!B$300:B$400,0)),"  ")</f>
        <v>1</v>
      </c>
      <c r="R30" s="1398">
        <f>IFERROR(INDEX('3'!C$300:C$400,MATCH("*"&amp;F30&amp;"*",'3'!B$300:B$400,0)),"  ")</f>
        <v>14</v>
      </c>
      <c r="S30" s="1398" t="str">
        <f>IFERROR(INDEX('4'!C$300:C$400,MATCH("*"&amp;F30&amp;"*",'4'!B$300:B$400,0)),"  ")</f>
        <v xml:space="preserve">  </v>
      </c>
      <c r="T30" s="1398" t="str">
        <f>IFERROR(INDEX('5'!C$300:C$400,MATCH("*"&amp;F30&amp;"*",'5'!B$300:B$400,0)),"  ")</f>
        <v xml:space="preserve">  </v>
      </c>
      <c r="U30" s="1398" t="str">
        <f>IFERROR(INDEX('6'!C$300:C$400,MATCH("*"&amp;F30&amp;"*",'6'!B$300:B$400,0)),"  ")</f>
        <v xml:space="preserve">  </v>
      </c>
      <c r="V30" s="1398">
        <f ca="1">IFERROR(INDEX('7'!C$300:C$400,MATCH("*"&amp;F30&amp;"*",'7'!B$300:B$400,0)),"  ")</f>
        <v>6</v>
      </c>
      <c r="W30" s="1398">
        <f>IFERROR(INDEX('8'!C$300:C$400,MATCH("*"&amp;F30&amp;"*",'8'!B$300:B$400,0)),"  ")</f>
        <v>18</v>
      </c>
      <c r="X30" s="1398">
        <f>IFERROR(INDEX('9'!C$300:C$400,MATCH("*"&amp;F30&amp;"*",'9'!B$300:B$400,0)),"  ")</f>
        <v>20</v>
      </c>
      <c r="Y30" s="1398">
        <f>IFERROR(INDEX('10'!C$300:C$400,MATCH("*"&amp;F30&amp;"*",'10'!B$300:B$400,0)),"  ")</f>
        <v>24</v>
      </c>
      <c r="Z30" s="1398" t="str">
        <f>IFERROR(INDEX('11'!C$300:C$400,MATCH("*"&amp;F30&amp;"*",'11'!B$300:B$400,0)),"  ")</f>
        <v xml:space="preserve">  </v>
      </c>
      <c r="AA30" s="1353">
        <f t="shared" ca="1" si="10"/>
        <v>7</v>
      </c>
      <c r="AB30" s="1353">
        <f t="shared" ca="1" si="11"/>
        <v>0</v>
      </c>
      <c r="AC30" s="1353">
        <f t="shared" ca="1" si="12"/>
        <v>0</v>
      </c>
      <c r="AH30" s="1345"/>
      <c r="AS30" s="689">
        <f t="shared" ca="1" si="13"/>
        <v>5.9999999999999995E-4</v>
      </c>
      <c r="AT30" s="690">
        <f t="shared" si="14"/>
        <v>18.0001</v>
      </c>
      <c r="AU30" s="690">
        <f t="shared" si="15"/>
        <v>1.0002</v>
      </c>
      <c r="AV30" s="690">
        <f t="shared" si="16"/>
        <v>14.000299999999999</v>
      </c>
      <c r="AW30" s="690">
        <f t="shared" si="17"/>
        <v>4.0000000000000002E-4</v>
      </c>
      <c r="AX30" s="690">
        <f t="shared" si="18"/>
        <v>5.0000000000000001E-4</v>
      </c>
      <c r="AY30" s="690">
        <f t="shared" si="19"/>
        <v>5.9999999999999995E-4</v>
      </c>
      <c r="AZ30" s="690">
        <f t="shared" ca="1" si="20"/>
        <v>6.0007000000000001</v>
      </c>
      <c r="BA30" s="690">
        <f t="shared" si="21"/>
        <v>18.000800000000002</v>
      </c>
      <c r="BB30" s="690">
        <f t="shared" si="22"/>
        <v>20.000900000000001</v>
      </c>
      <c r="BC30" s="690">
        <f t="shared" si="23"/>
        <v>24.001000000000001</v>
      </c>
      <c r="BD30" s="690">
        <f t="shared" si="24"/>
        <v>1.1000000000000001E-3</v>
      </c>
    </row>
    <row r="31" spans="1:56" x14ac:dyDescent="0.2">
      <c r="A31" s="1378" t="str">
        <f t="shared" si="0"/>
        <v/>
      </c>
      <c r="B31" s="1392" t="str">
        <f t="shared" si="1"/>
        <v/>
      </c>
      <c r="C31" s="1380" t="str">
        <f t="shared" si="2"/>
        <v/>
      </c>
      <c r="D31" s="1393" t="str">
        <f t="shared" si="3"/>
        <v/>
      </c>
      <c r="E31" s="1394">
        <f t="shared" ca="1" si="4"/>
        <v>24</v>
      </c>
      <c r="F31" s="1360" t="s">
        <v>102</v>
      </c>
      <c r="G31" s="1379"/>
      <c r="H31" s="1384"/>
      <c r="I31" s="1385">
        <f t="array" aca="1" ref="I31" ca="1">(IF(COUNT(P31:Z31)&lt;8,SUM(P31:Z31),SUM(LARGE((P31:Z31),{1;2;3;4;5;6;7;8}))))</f>
        <v>87</v>
      </c>
      <c r="J31" s="1388" t="str">
        <f ca="1">INDEX(ETAPP!B$1:B$32,MATCH(COUNTIF(P31:Z31,PIV!A$1),ETAPP!A$1:A$32,0))&amp;INDEX(ETAPP!B$1:B$32,MATCH(COUNTIF(P31:Z31,PIV!A$2),ETAPP!A$1:A$32,0))&amp;INDEX(ETAPP!B$1:B$32,MATCH(COUNTIF(P31:Z31,PIV!A$3),ETAPP!A$1:A$32,0))&amp;INDEX(ETAPP!B$1:B$32,MATCH(COUNTIF(P31:Z31,PIV!A$4),ETAPP!A$1:A$32,0))&amp;INDEX(ETAPP!B$1:B$32,MATCH(COUNTIF(P31:Z31,PIV!A$5),ETAPP!A$1:A$32,0))&amp;INDEX(ETAPP!B$1:B$32,MATCH(COUNTIF(P31:Z31,PIV!A$6),ETAPP!A$1:A$32,0))&amp;INDEX(ETAPP!B$1:B$32,MATCH(COUNTIF(P31:Z31,PIV!A$7),ETAPP!A$1:A$32,0))&amp;INDEX(ETAPP!B$1:B$32,MATCH(COUNTIF(P31:Z31,PIV!A$8),ETAPP!A$1:A$32,0))&amp;INDEX(ETAPP!B$1:B$32,MATCH(COUNTIF(P31:Z31,PIV!A$9),ETAPP!A$1:A$32,0))&amp;INDEX(ETAPP!B$1:B$32,MATCH(COUNTIF(P31:Z31,PIV!A$10),ETAPP!A$1:A$32,0))&amp;INDEX(ETAPP!B$1:B$32,MATCH(COUNTIF(P31:Z31,PIV!A$11),ETAPP!A$1:A$32,0))&amp;INDEX(ETAPP!B$1:B$32,MATCH(COUNTIF(P31:Z31,PIV!A$12),ETAPP!A$1:A$32,0))&amp;INDEX(ETAPP!B$1:B$32,MATCH(COUNTIF(P31:Z31,PIV!A$13),ETAPP!A$1:A$32,0))&amp;INDEX(ETAPP!B$1:B$32,MATCH(COUNTIF(P31:Z31,PIV!A$14),ETAPP!A$1:A$32,0))&amp;INDEX(ETAPP!B$1:B$32,MATCH(COUNTIF(P31:Z31,PIV!A$15),ETAPP!A$1:A$32,0))&amp;INDEX(ETAPP!B$1:B$32,MATCH(COUNTIF(P31:Z31,PIV!A$16),ETAPP!A$1:A$32,0))&amp;INDEX(ETAPP!B$1:B$32,MATCH(COUNTIF(P31:Z31,PIV!A$17),ETAPP!A$1:A$32,0))&amp;INDEX(ETAPP!B$1:B$32,MATCH(COUNTIF(P31:Z31,PIV!A$18),ETAPP!A$1:A$32,0))&amp;INDEX(ETAPP!B$1:B$32,MATCH(COUNTIF(P31:Z31,PIV!A$19),ETAPP!A$1:A$32,0))</f>
        <v>0000AB0A00000000A0F</v>
      </c>
      <c r="K31" s="1388" t="str">
        <f t="shared" ca="1" si="5"/>
        <v>087,0-0000AB0A00000000A0F</v>
      </c>
      <c r="L31" s="1387">
        <f t="shared" ca="1" si="6"/>
        <v>24</v>
      </c>
      <c r="M31" s="1387">
        <f t="shared" si="7"/>
        <v>3</v>
      </c>
      <c r="N31" s="1388" t="str">
        <f t="shared" ca="1" si="8"/>
        <v>087,0-0000AB0A00000000A0F-003</v>
      </c>
      <c r="O31" s="1396">
        <f t="shared" ca="1" si="9"/>
        <v>85</v>
      </c>
      <c r="P31" s="1397">
        <f>IFERROR(INDEX('1'!C$300:C$400,MATCH("*"&amp;F31&amp;"*",'1'!B$300:B$400,0)),"  ")</f>
        <v>22</v>
      </c>
      <c r="Q31" s="1398">
        <f>IFERROR(INDEX('2'!C$300:C$400,MATCH("*"&amp;F31&amp;"*",'2'!B$300:B$400,0)),"  ")</f>
        <v>1</v>
      </c>
      <c r="R31" s="1398" t="str">
        <f>IFERROR(INDEX('3'!C$300:C$400,MATCH("*"&amp;F31&amp;"*",'3'!B$300:B$400,0)),"  ")</f>
        <v xml:space="preserve">  </v>
      </c>
      <c r="S31" s="1398">
        <f>IFERROR(INDEX('4'!C$300:C$400,MATCH("*"&amp;F31&amp;"*",'4'!B$300:B$400,0)),"  ")</f>
        <v>24</v>
      </c>
      <c r="T31" s="1398" t="str">
        <f>IFERROR(INDEX('5'!C$300:C$400,MATCH("*"&amp;F31&amp;"*",'5'!B$300:B$400,0)),"  ")</f>
        <v xml:space="preserve">  </v>
      </c>
      <c r="U31" s="1398" t="str">
        <f>IFERROR(INDEX('6'!C$300:C$400,MATCH("*"&amp;F31&amp;"*",'6'!B$300:B$400,0)),"  ")</f>
        <v xml:space="preserve">  </v>
      </c>
      <c r="V31" s="1398">
        <f ca="1">IFERROR(INDEX('7'!C$300:C$400,MATCH("*"&amp;F31&amp;"*",'7'!B$300:B$400,0)),"  ")</f>
        <v>18</v>
      </c>
      <c r="W31" s="1398">
        <f>IFERROR(INDEX('8'!C$300:C$400,MATCH("*"&amp;F31&amp;"*",'8'!B$300:B$400,0)),"  ")</f>
        <v>22</v>
      </c>
      <c r="X31" s="1398" t="str">
        <f>IFERROR(INDEX('9'!C$300:C$400,MATCH("*"&amp;F31&amp;"*",'9'!B$300:B$400,0)),"  ")</f>
        <v xml:space="preserve">  </v>
      </c>
      <c r="Y31" s="1398" t="str">
        <f>IFERROR(INDEX('10'!C$300:C$400,MATCH("*"&amp;F31&amp;"*",'10'!B$300:B$400,0)),"  ")</f>
        <v xml:space="preserve">  </v>
      </c>
      <c r="Z31" s="1398" t="str">
        <f>IFERROR(INDEX('11'!C$300:C$400,MATCH("*"&amp;F31&amp;"*",'11'!B$300:B$400,0)),"  ")</f>
        <v xml:space="preserve">  </v>
      </c>
      <c r="AA31" s="1353">
        <f t="shared" ca="1" si="10"/>
        <v>5</v>
      </c>
      <c r="AB31" s="1353">
        <f t="shared" ca="1" si="11"/>
        <v>0</v>
      </c>
      <c r="AC31" s="1353">
        <f t="shared" ca="1" si="12"/>
        <v>0</v>
      </c>
      <c r="AH31" s="1410"/>
      <c r="AS31" s="689">
        <f t="shared" ca="1" si="13"/>
        <v>5.9999999999999995E-4</v>
      </c>
      <c r="AT31" s="690">
        <f t="shared" si="14"/>
        <v>22.0001</v>
      </c>
      <c r="AU31" s="690">
        <f t="shared" si="15"/>
        <v>1.0002</v>
      </c>
      <c r="AV31" s="690">
        <f t="shared" si="16"/>
        <v>2.9999999999999997E-4</v>
      </c>
      <c r="AW31" s="690">
        <f t="shared" si="17"/>
        <v>24.000399999999999</v>
      </c>
      <c r="AX31" s="690">
        <f t="shared" si="18"/>
        <v>5.0000000000000001E-4</v>
      </c>
      <c r="AY31" s="690">
        <f t="shared" si="19"/>
        <v>5.9999999999999995E-4</v>
      </c>
      <c r="AZ31" s="690">
        <f t="shared" ca="1" si="20"/>
        <v>18.000699999999998</v>
      </c>
      <c r="BA31" s="690">
        <f t="shared" si="21"/>
        <v>22.000800000000002</v>
      </c>
      <c r="BB31" s="690">
        <f t="shared" si="22"/>
        <v>8.9999999999999998E-4</v>
      </c>
      <c r="BC31" s="690">
        <f t="shared" si="23"/>
        <v>1E-3</v>
      </c>
      <c r="BD31" s="690">
        <f t="shared" si="24"/>
        <v>1.1000000000000001E-3</v>
      </c>
    </row>
    <row r="32" spans="1:56" x14ac:dyDescent="0.2">
      <c r="A32" s="1378">
        <f t="shared" ca="1" si="0"/>
        <v>6</v>
      </c>
      <c r="B32" s="1392">
        <f t="shared" ca="1" si="1"/>
        <v>25</v>
      </c>
      <c r="C32" s="1380" t="str">
        <f t="shared" si="2"/>
        <v/>
      </c>
      <c r="D32" s="1393" t="str">
        <f t="shared" si="3"/>
        <v/>
      </c>
      <c r="E32" s="1394">
        <f t="shared" ca="1" si="4"/>
        <v>25</v>
      </c>
      <c r="F32" s="1401" t="s">
        <v>133</v>
      </c>
      <c r="G32" s="1379" t="s">
        <v>99</v>
      </c>
      <c r="H32" s="1384"/>
      <c r="I32" s="1385">
        <f t="array" aca="1" ref="I32" ca="1">(IF(COUNT(P32:Z32)&lt;8,SUM(P32:Z32),SUM(LARGE((P32:Z32),{1;2;3;4;5;6;7;8}))))</f>
        <v>86</v>
      </c>
      <c r="J32" s="1388" t="str">
        <f ca="1">INDEX(ETAPP!B$1:B$32,MATCH(COUNTIF(P32:Z32,PIV!A$1),ETAPP!A$1:A$32,0))&amp;INDEX(ETAPP!B$1:B$32,MATCH(COUNTIF(P32:Z32,PIV!A$2),ETAPP!A$1:A$32,0))&amp;INDEX(ETAPP!B$1:B$32,MATCH(COUNTIF(P32:Z32,PIV!A$3),ETAPP!A$1:A$32,0))&amp;INDEX(ETAPP!B$1:B$32,MATCH(COUNTIF(P32:Z32,PIV!A$4),ETAPP!A$1:A$32,0))&amp;INDEX(ETAPP!B$1:B$32,MATCH(COUNTIF(P32:Z32,PIV!A$5),ETAPP!A$1:A$32,0))&amp;INDEX(ETAPP!B$1:B$32,MATCH(COUNTIF(P32:Z32,PIV!A$6),ETAPP!A$1:A$32,0))&amp;INDEX(ETAPP!B$1:B$32,MATCH(COUNTIF(P32:Z32,PIV!A$7),ETAPP!A$1:A$32,0))&amp;INDEX(ETAPP!B$1:B$32,MATCH(COUNTIF(P32:Z32,PIV!A$8),ETAPP!A$1:A$32,0))&amp;INDEX(ETAPP!B$1:B$32,MATCH(COUNTIF(P32:Z32,PIV!A$9),ETAPP!A$1:A$32,0))&amp;INDEX(ETAPP!B$1:B$32,MATCH(COUNTIF(P32:Z32,PIV!A$10),ETAPP!A$1:A$32,0))&amp;INDEX(ETAPP!B$1:B$32,MATCH(COUNTIF(P32:Z32,PIV!A$11),ETAPP!A$1:A$32,0))&amp;INDEX(ETAPP!B$1:B$32,MATCH(COUNTIF(P32:Z32,PIV!A$12),ETAPP!A$1:A$32,0))&amp;INDEX(ETAPP!B$1:B$32,MATCH(COUNTIF(P32:Z32,PIV!A$13),ETAPP!A$1:A$32,0))&amp;INDEX(ETAPP!B$1:B$32,MATCH(COUNTIF(P32:Z32,PIV!A$14),ETAPP!A$1:A$32,0))&amp;INDEX(ETAPP!B$1:B$32,MATCH(COUNTIF(P32:Z32,PIV!A$15),ETAPP!A$1:A$32,0))&amp;INDEX(ETAPP!B$1:B$32,MATCH(COUNTIF(P32:Z32,PIV!A$16),ETAPP!A$1:A$32,0))&amp;INDEX(ETAPP!B$1:B$32,MATCH(COUNTIF(P32:Z32,PIV!A$17),ETAPP!A$1:A$32,0))&amp;INDEX(ETAPP!B$1:B$32,MATCH(COUNTIF(P32:Z32,PIV!A$18),ETAPP!A$1:A$32,0))&amp;INDEX(ETAPP!B$1:B$32,MATCH(COUNTIF(P32:Z32,PIV!A$19),ETAPP!A$1:A$32,0))</f>
        <v>00BA00000000000000C</v>
      </c>
      <c r="K32" s="1388" t="str">
        <f t="shared" ca="1" si="5"/>
        <v>086,0-00BA00000000000000C</v>
      </c>
      <c r="L32" s="1387">
        <f t="shared" ca="1" si="6"/>
        <v>25</v>
      </c>
      <c r="M32" s="1387">
        <f t="shared" si="7"/>
        <v>27</v>
      </c>
      <c r="N32" s="1388" t="str">
        <f t="shared" ca="1" si="8"/>
        <v>086,0-00BA00000000000000C-027</v>
      </c>
      <c r="O32" s="1396">
        <f t="shared" ca="1" si="9"/>
        <v>84</v>
      </c>
      <c r="P32" s="1397" t="str">
        <f>IFERROR(INDEX('1'!C$300:C$400,MATCH("*"&amp;F32&amp;"*",'1'!B$300:B$400,0)),"  ")</f>
        <v xml:space="preserve">  </v>
      </c>
      <c r="Q32" s="1398" t="str">
        <f>IFERROR(INDEX('2'!C$300:C$400,MATCH("*"&amp;F32&amp;"*",'2'!B$300:B$400,0)),"  ")</f>
        <v xml:space="preserve">  </v>
      </c>
      <c r="R32" s="1398" t="str">
        <f>IFERROR(INDEX('3'!C$300:C$400,MATCH("*"&amp;F32&amp;"*",'3'!B$300:B$400,0)),"  ")</f>
        <v xml:space="preserve">  </v>
      </c>
      <c r="S32" s="1398">
        <f>IFERROR(INDEX('4'!C$300:C$400,MATCH("*"&amp;F32&amp;"*",'4'!B$300:B$400,0)),"  ")</f>
        <v>30</v>
      </c>
      <c r="T32" s="1398">
        <f>IFERROR(INDEX('5'!C$300:C$400,MATCH("*"&amp;F32&amp;"*",'5'!B$300:B$400,0)),"  ")</f>
        <v>30</v>
      </c>
      <c r="U32" s="1398" t="str">
        <f>IFERROR(INDEX('6'!C$300:C$400,MATCH("*"&amp;F32&amp;"*",'6'!B$300:B$400,0)),"  ")</f>
        <v xml:space="preserve">  </v>
      </c>
      <c r="V32" s="1398" t="str">
        <f ca="1">IFERROR(INDEX('7'!C$300:C$400,MATCH("*"&amp;F32&amp;"*",'7'!B$300:B$400,0)),"  ")</f>
        <v xml:space="preserve">  </v>
      </c>
      <c r="W32" s="1398" t="str">
        <f>IFERROR(INDEX('8'!C$300:C$400,MATCH("*"&amp;F32&amp;"*",'8'!B$300:B$400,0)),"  ")</f>
        <v xml:space="preserve">  </v>
      </c>
      <c r="X32" s="1398" t="str">
        <f>IFERROR(INDEX('9'!C$300:C$400,MATCH("*"&amp;F32&amp;"*",'9'!B$300:B$400,0)),"  ")</f>
        <v xml:space="preserve">  </v>
      </c>
      <c r="Y32" s="1398">
        <f>IFERROR(INDEX('10'!C$300:C$400,MATCH("*"&amp;F32&amp;"*",'10'!B$300:B$400,0)),"  ")</f>
        <v>26</v>
      </c>
      <c r="Z32" s="1398" t="str">
        <f>IFERROR(INDEX('11'!C$300:C$400,MATCH("*"&amp;F32&amp;"*",'11'!B$300:B$400,0)),"  ")</f>
        <v xml:space="preserve">  </v>
      </c>
      <c r="AA32" s="1399">
        <f t="shared" ca="1" si="10"/>
        <v>3</v>
      </c>
      <c r="AB32" s="1353">
        <f t="shared" ca="1" si="11"/>
        <v>2</v>
      </c>
      <c r="AC32" s="1353">
        <f t="shared" ca="1" si="12"/>
        <v>0</v>
      </c>
      <c r="AH32" s="1345"/>
      <c r="AS32" s="689">
        <f t="shared" ca="1" si="13"/>
        <v>2.9999999999999997E-4</v>
      </c>
      <c r="AT32" s="690">
        <f t="shared" si="14"/>
        <v>1E-4</v>
      </c>
      <c r="AU32" s="690">
        <f t="shared" si="15"/>
        <v>2.0000000000000001E-4</v>
      </c>
      <c r="AV32" s="690">
        <f t="shared" si="16"/>
        <v>2.9999999999999997E-4</v>
      </c>
      <c r="AW32" s="690">
        <f t="shared" si="17"/>
        <v>30.000399999999999</v>
      </c>
      <c r="AX32" s="690">
        <f t="shared" si="18"/>
        <v>30.000499999999999</v>
      </c>
      <c r="AY32" s="690">
        <f t="shared" si="19"/>
        <v>5.9999999999999995E-4</v>
      </c>
      <c r="AZ32" s="690">
        <f t="shared" ca="1" si="20"/>
        <v>6.9999999999999999E-4</v>
      </c>
      <c r="BA32" s="690">
        <f t="shared" si="21"/>
        <v>8.0000000000000004E-4</v>
      </c>
      <c r="BB32" s="690">
        <f t="shared" si="22"/>
        <v>8.9999999999999998E-4</v>
      </c>
      <c r="BC32" s="690">
        <f t="shared" si="23"/>
        <v>26.001000000000001</v>
      </c>
      <c r="BD32" s="690">
        <f t="shared" si="24"/>
        <v>1.1000000000000001E-3</v>
      </c>
    </row>
    <row r="33" spans="1:56" x14ac:dyDescent="0.2">
      <c r="A33" s="1378" t="str">
        <f t="shared" si="0"/>
        <v/>
      </c>
      <c r="B33" s="1392" t="str">
        <f t="shared" si="1"/>
        <v/>
      </c>
      <c r="C33" s="1380" t="str">
        <f t="shared" si="2"/>
        <v/>
      </c>
      <c r="D33" s="1393" t="str">
        <f t="shared" si="3"/>
        <v/>
      </c>
      <c r="E33" s="1394">
        <f t="shared" ca="1" si="4"/>
        <v>26</v>
      </c>
      <c r="F33" s="1401" t="s">
        <v>100</v>
      </c>
      <c r="G33" s="1379"/>
      <c r="H33" s="1384"/>
      <c r="I33" s="1385">
        <f t="array" aca="1" ref="I33" ca="1">(IF(COUNT(P33:Z33)&lt;8,SUM(P33:Z33),SUM(LARGE((P33:Z33),{1;2;3;4;5;6;7;8}))))</f>
        <v>84</v>
      </c>
      <c r="J33" s="1388" t="str">
        <f ca="1">INDEX(ETAPP!B$1:B$32,MATCH(COUNTIF(P33:Z33,PIV!A$1),ETAPP!A$1:A$32,0))&amp;INDEX(ETAPP!B$1:B$32,MATCH(COUNTIF(P33:Z33,PIV!A$2),ETAPP!A$1:A$32,0))&amp;INDEX(ETAPP!B$1:B$32,MATCH(COUNTIF(P33:Z33,PIV!A$3),ETAPP!A$1:A$32,0))&amp;INDEX(ETAPP!B$1:B$32,MATCH(COUNTIF(P33:Z33,PIV!A$4),ETAPP!A$1:A$32,0))&amp;INDEX(ETAPP!B$1:B$32,MATCH(COUNTIF(P33:Z33,PIV!A$5),ETAPP!A$1:A$32,0))&amp;INDEX(ETAPP!B$1:B$32,MATCH(COUNTIF(P33:Z33,PIV!A$6),ETAPP!A$1:A$32,0))&amp;INDEX(ETAPP!B$1:B$32,MATCH(COUNTIF(P33:Z33,PIV!A$7),ETAPP!A$1:A$32,0))&amp;INDEX(ETAPP!B$1:B$32,MATCH(COUNTIF(P33:Z33,PIV!A$8),ETAPP!A$1:A$32,0))&amp;INDEX(ETAPP!B$1:B$32,MATCH(COUNTIF(P33:Z33,PIV!A$9),ETAPP!A$1:A$32,0))&amp;INDEX(ETAPP!B$1:B$32,MATCH(COUNTIF(P33:Z33,PIV!A$10),ETAPP!A$1:A$32,0))&amp;INDEX(ETAPP!B$1:B$32,MATCH(COUNTIF(P33:Z33,PIV!A$11),ETAPP!A$1:A$32,0))&amp;INDEX(ETAPP!B$1:B$32,MATCH(COUNTIF(P33:Z33,PIV!A$12),ETAPP!A$1:A$32,0))&amp;INDEX(ETAPP!B$1:B$32,MATCH(COUNTIF(P33:Z33,PIV!A$13),ETAPP!A$1:A$32,0))&amp;INDEX(ETAPP!B$1:B$32,MATCH(COUNTIF(P33:Z33,PIV!A$14),ETAPP!A$1:A$32,0))&amp;INDEX(ETAPP!B$1:B$32,MATCH(COUNTIF(P33:Z33,PIV!A$15),ETAPP!A$1:A$32,0))&amp;INDEX(ETAPP!B$1:B$32,MATCH(COUNTIF(P33:Z33,PIV!A$16),ETAPP!A$1:A$32,0))&amp;INDEX(ETAPP!B$1:B$32,MATCH(COUNTIF(P33:Z33,PIV!A$17),ETAPP!A$1:A$32,0))&amp;INDEX(ETAPP!B$1:B$32,MATCH(COUNTIF(P33:Z33,PIV!A$18),ETAPP!A$1:A$32,0))&amp;INDEX(ETAPP!B$1:B$32,MATCH(COUNTIF(P33:Z33,PIV!A$19),ETAPP!A$1:A$32,0))</f>
        <v>0000AB00000A0A0000F</v>
      </c>
      <c r="K33" s="1388" t="str">
        <f t="shared" ca="1" si="5"/>
        <v>084,0-0000AB00000A0A0000F</v>
      </c>
      <c r="L33" s="1387">
        <f t="shared" ca="1" si="6"/>
        <v>26</v>
      </c>
      <c r="M33" s="1387">
        <f t="shared" si="7"/>
        <v>21</v>
      </c>
      <c r="N33" s="1388" t="str">
        <f t="shared" ca="1" si="8"/>
        <v>084,0-0000AB00000A0A0000F-021</v>
      </c>
      <c r="O33" s="1396">
        <f t="shared" ca="1" si="9"/>
        <v>83</v>
      </c>
      <c r="P33" s="1397">
        <f>IFERROR(INDEX('1'!C$300:C$400,MATCH("*"&amp;F33&amp;"*",'1'!B$300:B$400,0)),"  ")</f>
        <v>22</v>
      </c>
      <c r="Q33" s="1398">
        <f>IFERROR(INDEX('2'!C$300:C$400,MATCH("*"&amp;F33&amp;"*",'2'!B$300:B$400,0)),"  ")</f>
        <v>10</v>
      </c>
      <c r="R33" s="1398" t="str">
        <f>IFERROR(INDEX('3'!C$300:C$400,MATCH("*"&amp;F33&amp;"*",'3'!B$300:B$400,0)),"  ")</f>
        <v xml:space="preserve">  </v>
      </c>
      <c r="S33" s="1398">
        <f>IFERROR(INDEX('4'!C$300:C$400,MATCH("*"&amp;F33&amp;"*",'4'!B$300:B$400,0)),"  ")</f>
        <v>24</v>
      </c>
      <c r="T33" s="1398" t="str">
        <f>IFERROR(INDEX('5'!C$300:C$400,MATCH("*"&amp;F33&amp;"*",'5'!B$300:B$400,0)),"  ")</f>
        <v xml:space="preserve">  </v>
      </c>
      <c r="U33" s="1398">
        <f>IFERROR(INDEX('6'!C$300:C$400,MATCH("*"&amp;F33&amp;"*",'6'!B$300:B$400,0)),"  ")</f>
        <v>6</v>
      </c>
      <c r="V33" s="1398" t="str">
        <f ca="1">IFERROR(INDEX('7'!C$300:C$400,MATCH("*"&amp;F33&amp;"*",'7'!B$300:B$400,0)),"  ")</f>
        <v xml:space="preserve">  </v>
      </c>
      <c r="W33" s="1398">
        <f>IFERROR(INDEX('8'!C$300:C$400,MATCH("*"&amp;F33&amp;"*",'8'!B$300:B$400,0)),"  ")</f>
        <v>22</v>
      </c>
      <c r="X33" s="1398" t="str">
        <f>IFERROR(INDEX('9'!C$300:C$400,MATCH("*"&amp;F33&amp;"*",'9'!B$300:B$400,0)),"  ")</f>
        <v xml:space="preserve">  </v>
      </c>
      <c r="Y33" s="1398" t="str">
        <f>IFERROR(INDEX('10'!C$300:C$400,MATCH("*"&amp;F33&amp;"*",'10'!B$300:B$400,0)),"  ")</f>
        <v xml:space="preserve">  </v>
      </c>
      <c r="Z33" s="1398" t="str">
        <f>IFERROR(INDEX('11'!C$300:C$400,MATCH("*"&amp;F33&amp;"*",'11'!B$300:B$400,0)),"  ")</f>
        <v xml:space="preserve">  </v>
      </c>
      <c r="AA33" s="1353">
        <f t="shared" ca="1" si="10"/>
        <v>5</v>
      </c>
      <c r="AB33" s="1353">
        <f t="shared" ca="1" si="11"/>
        <v>0</v>
      </c>
      <c r="AC33" s="1353">
        <f t="shared" ca="1" si="12"/>
        <v>0</v>
      </c>
      <c r="AH33" s="1345"/>
      <c r="AS33" s="689">
        <f t="shared" ca="1" si="13"/>
        <v>6.9999999999999999E-4</v>
      </c>
      <c r="AT33" s="690">
        <f t="shared" si="14"/>
        <v>22.0001</v>
      </c>
      <c r="AU33" s="690">
        <f t="shared" si="15"/>
        <v>10.0002</v>
      </c>
      <c r="AV33" s="690">
        <f t="shared" si="16"/>
        <v>2.9999999999999997E-4</v>
      </c>
      <c r="AW33" s="690">
        <f t="shared" si="17"/>
        <v>24.000399999999999</v>
      </c>
      <c r="AX33" s="690">
        <f t="shared" si="18"/>
        <v>5.0000000000000001E-4</v>
      </c>
      <c r="AY33" s="690">
        <f t="shared" si="19"/>
        <v>6.0006000000000004</v>
      </c>
      <c r="AZ33" s="690">
        <f t="shared" ca="1" si="20"/>
        <v>6.9999999999999999E-4</v>
      </c>
      <c r="BA33" s="690">
        <f t="shared" si="21"/>
        <v>22.000800000000002</v>
      </c>
      <c r="BB33" s="690">
        <f t="shared" si="22"/>
        <v>8.9999999999999998E-4</v>
      </c>
      <c r="BC33" s="690">
        <f t="shared" si="23"/>
        <v>1E-3</v>
      </c>
      <c r="BD33" s="690">
        <f t="shared" si="24"/>
        <v>1.1000000000000001E-3</v>
      </c>
    </row>
    <row r="34" spans="1:56" x14ac:dyDescent="0.2">
      <c r="A34" s="1378" t="str">
        <f t="shared" si="0"/>
        <v/>
      </c>
      <c r="B34" s="1392" t="str">
        <f t="shared" si="1"/>
        <v/>
      </c>
      <c r="C34" s="1380" t="str">
        <f t="shared" si="2"/>
        <v/>
      </c>
      <c r="D34" s="1393" t="str">
        <f t="shared" si="3"/>
        <v/>
      </c>
      <c r="E34" s="1394">
        <f t="shared" ca="1" si="4"/>
        <v>27</v>
      </c>
      <c r="F34" s="1360" t="s">
        <v>85</v>
      </c>
      <c r="G34" s="1386"/>
      <c r="H34" s="1402"/>
      <c r="I34" s="1385">
        <f t="array" aca="1" ref="I34" ca="1">(IF(COUNT(P34:Z34)&lt;8,SUM(P34:Z34),SUM(LARGE((P34:Z34),{1;2;3;4;5;6;7;8}))))</f>
        <v>72</v>
      </c>
      <c r="J34" s="1388" t="str">
        <f ca="1">INDEX(ETAPP!B$1:B$32,MATCH(COUNTIF(P34:Z34,PIV!A$1),ETAPP!A$1:A$32,0))&amp;INDEX(ETAPP!B$1:B$32,MATCH(COUNTIF(P34:Z34,PIV!A$2),ETAPP!A$1:A$32,0))&amp;INDEX(ETAPP!B$1:B$32,MATCH(COUNTIF(P34:Z34,PIV!A$3),ETAPP!A$1:A$32,0))&amp;INDEX(ETAPP!B$1:B$32,MATCH(COUNTIF(P34:Z34,PIV!A$4),ETAPP!A$1:A$32,0))&amp;INDEX(ETAPP!B$1:B$32,MATCH(COUNTIF(P34:Z34,PIV!A$5),ETAPP!A$1:A$32,0))&amp;INDEX(ETAPP!B$1:B$32,MATCH(COUNTIF(P34:Z34,PIV!A$6),ETAPP!A$1:A$32,0))&amp;INDEX(ETAPP!B$1:B$32,MATCH(COUNTIF(P34:Z34,PIV!A$7),ETAPP!A$1:A$32,0))&amp;INDEX(ETAPP!B$1:B$32,MATCH(COUNTIF(P34:Z34,PIV!A$8),ETAPP!A$1:A$32,0))&amp;INDEX(ETAPP!B$1:B$32,MATCH(COUNTIF(P34:Z34,PIV!A$9),ETAPP!A$1:A$32,0))&amp;INDEX(ETAPP!B$1:B$32,MATCH(COUNTIF(P34:Z34,PIV!A$10),ETAPP!A$1:A$32,0))&amp;INDEX(ETAPP!B$1:B$32,MATCH(COUNTIF(P34:Z34,PIV!A$11),ETAPP!A$1:A$32,0))&amp;INDEX(ETAPP!B$1:B$32,MATCH(COUNTIF(P34:Z34,PIV!A$12),ETAPP!A$1:A$32,0))&amp;INDEX(ETAPP!B$1:B$32,MATCH(COUNTIF(P34:Z34,PIV!A$13),ETAPP!A$1:A$32,0))&amp;INDEX(ETAPP!B$1:B$32,MATCH(COUNTIF(P34:Z34,PIV!A$14),ETAPP!A$1:A$32,0))&amp;INDEX(ETAPP!B$1:B$32,MATCH(COUNTIF(P34:Z34,PIV!A$15),ETAPP!A$1:A$32,0))&amp;INDEX(ETAPP!B$1:B$32,MATCH(COUNTIF(P34:Z34,PIV!A$16),ETAPP!A$1:A$32,0))&amp;INDEX(ETAPP!B$1:B$32,MATCH(COUNTIF(P34:Z34,PIV!A$17),ETAPP!A$1:A$32,0))&amp;INDEX(ETAPP!B$1:B$32,MATCH(COUNTIF(P34:Z34,PIV!A$18),ETAPP!A$1:A$32,0))&amp;INDEX(ETAPP!B$1:B$32,MATCH(COUNTIF(P34:Z34,PIV!A$19),ETAPP!A$1:A$32,0))</f>
        <v>00AA0000A000000000C</v>
      </c>
      <c r="K34" s="1388" t="str">
        <f t="shared" ca="1" si="5"/>
        <v>072,0-00AA0000A000000000C</v>
      </c>
      <c r="L34" s="1387">
        <f t="shared" ca="1" si="6"/>
        <v>27</v>
      </c>
      <c r="M34" s="1387">
        <f t="shared" si="7"/>
        <v>38</v>
      </c>
      <c r="N34" s="1388" t="str">
        <f t="shared" ca="1" si="8"/>
        <v>072,0-00AA0000A000000000C-038</v>
      </c>
      <c r="O34" s="1396">
        <f t="shared" ca="1" si="9"/>
        <v>82</v>
      </c>
      <c r="P34" s="1397">
        <f>IFERROR(INDEX('1'!C$300:C$400,MATCH("*"&amp;F34&amp;"*",'1'!B$300:B$400,0)),"  ")</f>
        <v>26</v>
      </c>
      <c r="Q34" s="1398" t="str">
        <f>IFERROR(INDEX('2'!C$300:C$400,MATCH("*"&amp;F34&amp;"*",'2'!B$300:B$400,0)),"  ")</f>
        <v xml:space="preserve">  </v>
      </c>
      <c r="R34" s="1398">
        <f>IFERROR(INDEX('3'!C$300:C$400,MATCH("*"&amp;F34&amp;"*",'3'!B$300:B$400,0)),"  ")</f>
        <v>16</v>
      </c>
      <c r="S34" s="1398" t="str">
        <f>IFERROR(INDEX('4'!C$300:C$400,MATCH("*"&amp;F34&amp;"*",'4'!B$300:B$400,0)),"  ")</f>
        <v xml:space="preserve">  </v>
      </c>
      <c r="T34" s="1398" t="str">
        <f>IFERROR(INDEX('5'!C$300:C$400,MATCH("*"&amp;F34&amp;"*",'5'!B$300:B$400,0)),"  ")</f>
        <v xml:space="preserve">  </v>
      </c>
      <c r="U34" s="1398" t="str">
        <f>IFERROR(INDEX('6'!C$300:C$400,MATCH("*"&amp;F34&amp;"*",'6'!B$300:B$400,0)),"  ")</f>
        <v xml:space="preserve">  </v>
      </c>
      <c r="V34" s="1398" t="str">
        <f ca="1">IFERROR(INDEX('7'!C$300:C$400,MATCH("*"&amp;F34&amp;"*",'7'!B$300:B$400,0)),"  ")</f>
        <v xml:space="preserve">  </v>
      </c>
      <c r="W34" s="1398" t="str">
        <f>IFERROR(INDEX('8'!C$300:C$400,MATCH("*"&amp;F34&amp;"*",'8'!B$300:B$400,0)),"  ")</f>
        <v xml:space="preserve">  </v>
      </c>
      <c r="X34" s="1398" t="str">
        <f>IFERROR(INDEX('9'!C$300:C$400,MATCH("*"&amp;F34&amp;"*",'9'!B$300:B$400,0)),"  ")</f>
        <v xml:space="preserve">  </v>
      </c>
      <c r="Y34" s="1398">
        <f>IFERROR(INDEX('10'!C$300:C$400,MATCH("*"&amp;F34&amp;"*",'10'!B$300:B$400,0)),"  ")</f>
        <v>30</v>
      </c>
      <c r="Z34" s="1398" t="str">
        <f>IFERROR(INDEX('11'!C$300:C$400,MATCH("*"&amp;F34&amp;"*",'11'!B$300:B$400,0)),"  ")</f>
        <v xml:space="preserve">  </v>
      </c>
      <c r="AA34" s="1353">
        <f t="shared" ca="1" si="10"/>
        <v>3</v>
      </c>
      <c r="AB34" s="1353">
        <f t="shared" ca="1" si="11"/>
        <v>1</v>
      </c>
      <c r="AC34" s="1353">
        <f t="shared" ca="1" si="12"/>
        <v>0</v>
      </c>
      <c r="AH34" s="1345"/>
      <c r="AS34" s="689">
        <f t="shared" ca="1" si="13"/>
        <v>5.0000000000000001E-4</v>
      </c>
      <c r="AT34" s="690">
        <f t="shared" si="14"/>
        <v>26.0001</v>
      </c>
      <c r="AU34" s="690">
        <f t="shared" si="15"/>
        <v>2.0000000000000001E-4</v>
      </c>
      <c r="AV34" s="690">
        <f t="shared" si="16"/>
        <v>16.000299999999999</v>
      </c>
      <c r="AW34" s="690">
        <f t="shared" si="17"/>
        <v>4.0000000000000002E-4</v>
      </c>
      <c r="AX34" s="690">
        <f t="shared" si="18"/>
        <v>5.0000000000000001E-4</v>
      </c>
      <c r="AY34" s="690">
        <f t="shared" si="19"/>
        <v>5.9999999999999995E-4</v>
      </c>
      <c r="AZ34" s="690">
        <f t="shared" ca="1" si="20"/>
        <v>6.9999999999999999E-4</v>
      </c>
      <c r="BA34" s="690">
        <f t="shared" si="21"/>
        <v>8.0000000000000004E-4</v>
      </c>
      <c r="BB34" s="690">
        <f t="shared" si="22"/>
        <v>8.9999999999999998E-4</v>
      </c>
      <c r="BC34" s="690">
        <f t="shared" si="23"/>
        <v>30.001000000000001</v>
      </c>
      <c r="BD34" s="690">
        <f t="shared" si="24"/>
        <v>1.1000000000000001E-3</v>
      </c>
    </row>
    <row r="35" spans="1:56" x14ac:dyDescent="0.2">
      <c r="A35" s="1378" t="str">
        <f t="shared" si="0"/>
        <v/>
      </c>
      <c r="B35" s="1392" t="str">
        <f t="shared" si="1"/>
        <v/>
      </c>
      <c r="C35" s="1380" t="str">
        <f t="shared" si="2"/>
        <v/>
      </c>
      <c r="D35" s="1393" t="str">
        <f t="shared" si="3"/>
        <v/>
      </c>
      <c r="E35" s="1394">
        <f t="shared" ca="1" si="4"/>
        <v>28</v>
      </c>
      <c r="F35" s="1360" t="s">
        <v>106</v>
      </c>
      <c r="G35" s="1379"/>
      <c r="H35" s="1384"/>
      <c r="I35" s="1385">
        <f t="array" aca="1" ref="I35" ca="1">(IF(COUNT(P35:Z35)&lt;8,SUM(P35:Z35),SUM(LARGE((P35:Z35),{1;2;3;4;5;6;7;8}))))</f>
        <v>66</v>
      </c>
      <c r="J35" s="1388" t="str">
        <f ca="1">INDEX(ETAPP!B$1:B$32,MATCH(COUNTIF(P35:Z35,PIV!A$1),ETAPP!A$1:A$32,0))&amp;INDEX(ETAPP!B$1:B$32,MATCH(COUNTIF(P35:Z35,PIV!A$2),ETAPP!A$1:A$32,0))&amp;INDEX(ETAPP!B$1:B$32,MATCH(COUNTIF(P35:Z35,PIV!A$3),ETAPP!A$1:A$32,0))&amp;INDEX(ETAPP!B$1:B$32,MATCH(COUNTIF(P35:Z35,PIV!A$4),ETAPP!A$1:A$32,0))&amp;INDEX(ETAPP!B$1:B$32,MATCH(COUNTIF(P35:Z35,PIV!A$5),ETAPP!A$1:A$32,0))&amp;INDEX(ETAPP!B$1:B$32,MATCH(COUNTIF(P35:Z35,PIV!A$6),ETAPP!A$1:A$32,0))&amp;INDEX(ETAPP!B$1:B$32,MATCH(COUNTIF(P35:Z35,PIV!A$7),ETAPP!A$1:A$32,0))&amp;INDEX(ETAPP!B$1:B$32,MATCH(COUNTIF(P35:Z35,PIV!A$8),ETAPP!A$1:A$32,0))&amp;INDEX(ETAPP!B$1:B$32,MATCH(COUNTIF(P35:Z35,PIV!A$9),ETAPP!A$1:A$32,0))&amp;INDEX(ETAPP!B$1:B$32,MATCH(COUNTIF(P35:Z35,PIV!A$10),ETAPP!A$1:A$32,0))&amp;INDEX(ETAPP!B$1:B$32,MATCH(COUNTIF(P35:Z35,PIV!A$11),ETAPP!A$1:A$32,0))&amp;INDEX(ETAPP!B$1:B$32,MATCH(COUNTIF(P35:Z35,PIV!A$12),ETAPP!A$1:A$32,0))&amp;INDEX(ETAPP!B$1:B$32,MATCH(COUNTIF(P35:Z35,PIV!A$13),ETAPP!A$1:A$32,0))&amp;INDEX(ETAPP!B$1:B$32,MATCH(COUNTIF(P35:Z35,PIV!A$14),ETAPP!A$1:A$32,0))&amp;INDEX(ETAPP!B$1:B$32,MATCH(COUNTIF(P35:Z35,PIV!A$15),ETAPP!A$1:A$32,0))&amp;INDEX(ETAPP!B$1:B$32,MATCH(COUNTIF(P35:Z35,PIV!A$16),ETAPP!A$1:A$32,0))&amp;INDEX(ETAPP!B$1:B$32,MATCH(COUNTIF(P35:Z35,PIV!A$17),ETAPP!A$1:A$32,0))&amp;INDEX(ETAPP!B$1:B$32,MATCH(COUNTIF(P35:Z35,PIV!A$18),ETAPP!A$1:A$32,0))&amp;INDEX(ETAPP!B$1:B$32,MATCH(COUNTIF(P35:Z35,PIV!A$19),ETAPP!A$1:A$32,0))</f>
        <v>0A00A0000000A00000C</v>
      </c>
      <c r="K35" s="1388" t="str">
        <f t="shared" ca="1" si="5"/>
        <v>066,0-0A00A0000000A00000C</v>
      </c>
      <c r="L35" s="1387">
        <f t="shared" ca="1" si="6"/>
        <v>28</v>
      </c>
      <c r="M35" s="1387">
        <f t="shared" si="7"/>
        <v>16</v>
      </c>
      <c r="N35" s="1388" t="str">
        <f t="shared" ca="1" si="8"/>
        <v>066,0-0A00A0000000A00000C-016</v>
      </c>
      <c r="O35" s="1396">
        <f t="shared" ca="1" si="9"/>
        <v>81</v>
      </c>
      <c r="P35" s="1397">
        <f>IFERROR(INDEX('1'!C$300:C$400,MATCH("*"&amp;F35&amp;"*",'1'!B$300:B$400,0)),"  ")</f>
        <v>34</v>
      </c>
      <c r="Q35" s="1398" t="str">
        <f>IFERROR(INDEX('2'!C$300:C$400,MATCH("*"&amp;F35&amp;"*",'2'!B$300:B$400,0)),"  ")</f>
        <v xml:space="preserve">  </v>
      </c>
      <c r="R35" s="1398">
        <f>IFERROR(INDEX('3'!C$300:C$400,MATCH("*"&amp;F35&amp;"*",'3'!B$300:B$400,0)),"  ")</f>
        <v>24</v>
      </c>
      <c r="S35" s="1398" t="str">
        <f>IFERROR(INDEX('4'!C$300:C$400,MATCH("*"&amp;F35&amp;"*",'4'!B$300:B$400,0)),"  ")</f>
        <v xml:space="preserve">  </v>
      </c>
      <c r="T35" s="1398" t="str">
        <f>IFERROR(INDEX('5'!C$300:C$400,MATCH("*"&amp;F35&amp;"*",'5'!B$300:B$400,0)),"  ")</f>
        <v xml:space="preserve">  </v>
      </c>
      <c r="U35" s="1398" t="str">
        <f>IFERROR(INDEX('6'!C$300:C$400,MATCH("*"&amp;F35&amp;"*",'6'!B$300:B$400,0)),"  ")</f>
        <v xml:space="preserve">  </v>
      </c>
      <c r="V35" s="1398" t="str">
        <f ca="1">IFERROR(INDEX('7'!C$300:C$400,MATCH("*"&amp;F35&amp;"*",'7'!B$300:B$400,0)),"  ")</f>
        <v xml:space="preserve">  </v>
      </c>
      <c r="W35" s="1398">
        <f>IFERROR(INDEX('8'!C$300:C$400,MATCH("*"&amp;F35&amp;"*",'8'!B$300:B$400,0)),"  ")</f>
        <v>8</v>
      </c>
      <c r="X35" s="1398" t="str">
        <f>IFERROR(INDEX('9'!C$300:C$400,MATCH("*"&amp;F35&amp;"*",'9'!B$300:B$400,0)),"  ")</f>
        <v xml:space="preserve">  </v>
      </c>
      <c r="Y35" s="1398" t="str">
        <f>IFERROR(INDEX('10'!C$300:C$400,MATCH("*"&amp;F35&amp;"*",'10'!B$300:B$400,0)),"  ")</f>
        <v xml:space="preserve">  </v>
      </c>
      <c r="Z35" s="1398" t="str">
        <f>IFERROR(INDEX('11'!C$300:C$400,MATCH("*"&amp;F35&amp;"*",'11'!B$300:B$400,0)),"  ")</f>
        <v xml:space="preserve">  </v>
      </c>
      <c r="AA35" s="1353">
        <f t="shared" ca="1" si="10"/>
        <v>3</v>
      </c>
      <c r="AB35" s="1353">
        <f t="shared" ca="1" si="11"/>
        <v>1</v>
      </c>
      <c r="AC35" s="1353">
        <f t="shared" ca="1" si="12"/>
        <v>0</v>
      </c>
      <c r="AH35" s="1345"/>
      <c r="AS35" s="689">
        <f t="shared" ca="1" si="13"/>
        <v>5.0000000000000001E-4</v>
      </c>
      <c r="AT35" s="690">
        <f t="shared" si="14"/>
        <v>34.000100000000003</v>
      </c>
      <c r="AU35" s="690">
        <f t="shared" si="15"/>
        <v>2.0000000000000001E-4</v>
      </c>
      <c r="AV35" s="690">
        <f t="shared" si="16"/>
        <v>24.000299999999999</v>
      </c>
      <c r="AW35" s="690">
        <f t="shared" si="17"/>
        <v>4.0000000000000002E-4</v>
      </c>
      <c r="AX35" s="690">
        <f t="shared" si="18"/>
        <v>5.0000000000000001E-4</v>
      </c>
      <c r="AY35" s="690">
        <f t="shared" si="19"/>
        <v>5.9999999999999995E-4</v>
      </c>
      <c r="AZ35" s="690">
        <f t="shared" ca="1" si="20"/>
        <v>6.9999999999999999E-4</v>
      </c>
      <c r="BA35" s="690">
        <f t="shared" si="21"/>
        <v>8.0007999999999999</v>
      </c>
      <c r="BB35" s="690">
        <f t="shared" si="22"/>
        <v>8.9999999999999998E-4</v>
      </c>
      <c r="BC35" s="690">
        <f t="shared" si="23"/>
        <v>1E-3</v>
      </c>
      <c r="BD35" s="690">
        <f t="shared" si="24"/>
        <v>1.1000000000000001E-3</v>
      </c>
    </row>
    <row r="36" spans="1:56" x14ac:dyDescent="0.2">
      <c r="A36" s="1378" t="str">
        <f t="shared" si="0"/>
        <v/>
      </c>
      <c r="B36" s="1392" t="str">
        <f t="shared" si="1"/>
        <v/>
      </c>
      <c r="C36" s="1380" t="str">
        <f t="shared" si="2"/>
        <v/>
      </c>
      <c r="D36" s="1393" t="str">
        <f t="shared" si="3"/>
        <v/>
      </c>
      <c r="E36" s="1394">
        <f t="shared" ca="1" si="4"/>
        <v>29</v>
      </c>
      <c r="F36" s="1401" t="s">
        <v>135</v>
      </c>
      <c r="G36" s="1379"/>
      <c r="H36" s="1384"/>
      <c r="I36" s="1385">
        <f t="array" aca="1" ref="I36" ca="1">(IF(COUNT(P36:Z36)&lt;8,SUM(P36:Z36),SUM(LARGE((P36:Z36),{1;2;3;4;5;6;7;8}))))</f>
        <v>43</v>
      </c>
      <c r="J36" s="1388" t="str">
        <f ca="1">INDEX(ETAPP!B$1:B$32,MATCH(COUNTIF(P36:Z36,PIV!A$1),ETAPP!A$1:A$32,0))&amp;INDEX(ETAPP!B$1:B$32,MATCH(COUNTIF(P36:Z36,PIV!A$2),ETAPP!A$1:A$32,0))&amp;INDEX(ETAPP!B$1:B$32,MATCH(COUNTIF(P36:Z36,PIV!A$3),ETAPP!A$1:A$32,0))&amp;INDEX(ETAPP!B$1:B$32,MATCH(COUNTIF(P36:Z36,PIV!A$4),ETAPP!A$1:A$32,0))&amp;INDEX(ETAPP!B$1:B$32,MATCH(COUNTIF(P36:Z36,PIV!A$5),ETAPP!A$1:A$32,0))&amp;INDEX(ETAPP!B$1:B$32,MATCH(COUNTIF(P36:Z36,PIV!A$6),ETAPP!A$1:A$32,0))&amp;INDEX(ETAPP!B$1:B$32,MATCH(COUNTIF(P36:Z36,PIV!A$7),ETAPP!A$1:A$32,0))&amp;INDEX(ETAPP!B$1:B$32,MATCH(COUNTIF(P36:Z36,PIV!A$8),ETAPP!A$1:A$32,0))&amp;INDEX(ETAPP!B$1:B$32,MATCH(COUNTIF(P36:Z36,PIV!A$9),ETAPP!A$1:A$32,0))&amp;INDEX(ETAPP!B$1:B$32,MATCH(COUNTIF(P36:Z36,PIV!A$10),ETAPP!A$1:A$32,0))&amp;INDEX(ETAPP!B$1:B$32,MATCH(COUNTIF(P36:Z36,PIV!A$11),ETAPP!A$1:A$32,0))&amp;INDEX(ETAPP!B$1:B$32,MATCH(COUNTIF(P36:Z36,PIV!A$12),ETAPP!A$1:A$32,0))&amp;INDEX(ETAPP!B$1:B$32,MATCH(COUNTIF(P36:Z36,PIV!A$13),ETAPP!A$1:A$32,0))&amp;INDEX(ETAPP!B$1:B$32,MATCH(COUNTIF(P36:Z36,PIV!A$14),ETAPP!A$1:A$32,0))&amp;INDEX(ETAPP!B$1:B$32,MATCH(COUNTIF(P36:Z36,PIV!A$15),ETAPP!A$1:A$32,0))&amp;INDEX(ETAPP!B$1:B$32,MATCH(COUNTIF(P36:Z36,PIV!A$16),ETAPP!A$1:A$32,0))&amp;INDEX(ETAPP!B$1:B$32,MATCH(COUNTIF(P36:Z36,PIV!A$17),ETAPP!A$1:A$32,0))&amp;INDEX(ETAPP!B$1:B$32,MATCH(COUNTIF(P36:Z36,PIV!A$18),ETAPP!A$1:A$32,0))&amp;INDEX(ETAPP!B$1:B$32,MATCH(COUNTIF(P36:Z36,PIV!A$19),ETAPP!A$1:A$32,0))</f>
        <v>0000A00A00000000A0C</v>
      </c>
      <c r="K36" s="1388" t="str">
        <f t="shared" ca="1" si="5"/>
        <v>043,0-0000A00A00000000A0C</v>
      </c>
      <c r="L36" s="1387">
        <f t="shared" ca="1" si="6"/>
        <v>29</v>
      </c>
      <c r="M36" s="1387">
        <f t="shared" si="7"/>
        <v>11</v>
      </c>
      <c r="N36" s="1388" t="str">
        <f t="shared" ca="1" si="8"/>
        <v>043,0-0000A00A00000000A0C-011</v>
      </c>
      <c r="O36" s="1396">
        <f t="shared" ca="1" si="9"/>
        <v>80</v>
      </c>
      <c r="P36" s="1397">
        <f>IFERROR(INDEX('1'!C$300:C$400,MATCH("*"&amp;F36&amp;"*",'1'!B$300:B$400,0)),"  ")</f>
        <v>24</v>
      </c>
      <c r="Q36" s="1398" t="str">
        <f>IFERROR(INDEX('2'!C$300:C$400,MATCH("*"&amp;F36&amp;"*",'2'!B$300:B$400,0)),"  ")</f>
        <v xml:space="preserve">  </v>
      </c>
      <c r="R36" s="1398" t="str">
        <f>IFERROR(INDEX('3'!C$300:C$400,MATCH("*"&amp;F36&amp;"*",'3'!B$300:B$400,0)),"  ")</f>
        <v xml:space="preserve">  </v>
      </c>
      <c r="S36" s="1398">
        <f>IFERROR(INDEX('4'!C$300:C$400,MATCH("*"&amp;F36&amp;"*",'4'!B$300:B$400,0)),"  ")</f>
        <v>18</v>
      </c>
      <c r="T36" s="1398" t="str">
        <f>IFERROR(INDEX('5'!C$300:C$400,MATCH("*"&amp;F36&amp;"*",'5'!B$300:B$400,0)),"  ")</f>
        <v xml:space="preserve">  </v>
      </c>
      <c r="U36" s="1398">
        <f>IFERROR(INDEX('6'!C$300:C$400,MATCH("*"&amp;F36&amp;"*",'6'!B$300:B$400,0)),"  ")</f>
        <v>1</v>
      </c>
      <c r="V36" s="1398" t="str">
        <f ca="1">IFERROR(INDEX('7'!C$300:C$400,MATCH("*"&amp;F36&amp;"*",'7'!B$300:B$400,0)),"  ")</f>
        <v xml:space="preserve">  </v>
      </c>
      <c r="W36" s="1398" t="str">
        <f>IFERROR(INDEX('8'!C$300:C$400,MATCH("*"&amp;F36&amp;"*",'8'!B$300:B$400,0)),"  ")</f>
        <v xml:space="preserve">  </v>
      </c>
      <c r="X36" s="1398" t="str">
        <f>IFERROR(INDEX('9'!C$300:C$400,MATCH("*"&amp;F36&amp;"*",'9'!B$300:B$400,0)),"  ")</f>
        <v xml:space="preserve">  </v>
      </c>
      <c r="Y36" s="1398" t="str">
        <f>IFERROR(INDEX('10'!C$300:C$400,MATCH("*"&amp;F36&amp;"*",'10'!B$300:B$400,0)),"  ")</f>
        <v xml:space="preserve">  </v>
      </c>
      <c r="Z36" s="1398" t="str">
        <f>IFERROR(INDEX('11'!C$300:C$400,MATCH("*"&amp;F36&amp;"*",'11'!B$300:B$400,0)),"  ")</f>
        <v xml:space="preserve">  </v>
      </c>
      <c r="AA36" s="1353">
        <f t="shared" ca="1" si="10"/>
        <v>3</v>
      </c>
      <c r="AB36" s="1353">
        <f t="shared" ca="1" si="11"/>
        <v>0</v>
      </c>
      <c r="AC36" s="1353">
        <f t="shared" ca="1" si="12"/>
        <v>0</v>
      </c>
      <c r="AH36" s="1345"/>
      <c r="AS36" s="689">
        <f t="shared" ca="1" si="13"/>
        <v>5.0000000000000001E-4</v>
      </c>
      <c r="AT36" s="690">
        <f t="shared" si="14"/>
        <v>24.0001</v>
      </c>
      <c r="AU36" s="690">
        <f t="shared" si="15"/>
        <v>2.0000000000000001E-4</v>
      </c>
      <c r="AV36" s="690">
        <f t="shared" si="16"/>
        <v>2.9999999999999997E-4</v>
      </c>
      <c r="AW36" s="690">
        <f t="shared" si="17"/>
        <v>18.000399999999999</v>
      </c>
      <c r="AX36" s="690">
        <f t="shared" si="18"/>
        <v>5.0000000000000001E-4</v>
      </c>
      <c r="AY36" s="690">
        <f t="shared" si="19"/>
        <v>1.0005999999999999</v>
      </c>
      <c r="AZ36" s="690">
        <f t="shared" ca="1" si="20"/>
        <v>6.9999999999999999E-4</v>
      </c>
      <c r="BA36" s="690">
        <f t="shared" si="21"/>
        <v>8.0000000000000004E-4</v>
      </c>
      <c r="BB36" s="690">
        <f t="shared" si="22"/>
        <v>8.9999999999999998E-4</v>
      </c>
      <c r="BC36" s="690">
        <f t="shared" si="23"/>
        <v>1E-3</v>
      </c>
      <c r="BD36" s="690">
        <f t="shared" si="24"/>
        <v>1.1000000000000001E-3</v>
      </c>
    </row>
    <row r="37" spans="1:56" x14ac:dyDescent="0.2">
      <c r="A37" s="1378" t="str">
        <f t="shared" si="0"/>
        <v/>
      </c>
      <c r="B37" s="1392" t="str">
        <f t="shared" si="1"/>
        <v/>
      </c>
      <c r="C37" s="1380" t="str">
        <f t="shared" si="2"/>
        <v/>
      </c>
      <c r="D37" s="1393" t="str">
        <f t="shared" si="3"/>
        <v/>
      </c>
      <c r="E37" s="1394">
        <f t="shared" ca="1" si="4"/>
        <v>30</v>
      </c>
      <c r="F37" s="1395" t="s">
        <v>136</v>
      </c>
      <c r="G37" s="1379"/>
      <c r="H37" s="1384"/>
      <c r="I37" s="1385">
        <f t="array" aca="1" ref="I37" ca="1">(IF(COUNT(P37:Z37)&lt;8,SUM(P37:Z37),SUM(LARGE((P37:Z37),{1;2;3;4;5;6;7;8}))))</f>
        <v>40</v>
      </c>
      <c r="J37" s="1388" t="str">
        <f ca="1">INDEX(ETAPP!B$1:B$32,MATCH(COUNTIF(P37:Z37,PIV!A$1),ETAPP!A$1:A$32,0))&amp;INDEX(ETAPP!B$1:B$32,MATCH(COUNTIF(P37:Z37,PIV!A$2),ETAPP!A$1:A$32,0))&amp;INDEX(ETAPP!B$1:B$32,MATCH(COUNTIF(P37:Z37,PIV!A$3),ETAPP!A$1:A$32,0))&amp;INDEX(ETAPP!B$1:B$32,MATCH(COUNTIF(P37:Z37,PIV!A$4),ETAPP!A$1:A$32,0))&amp;INDEX(ETAPP!B$1:B$32,MATCH(COUNTIF(P37:Z37,PIV!A$5),ETAPP!A$1:A$32,0))&amp;INDEX(ETAPP!B$1:B$32,MATCH(COUNTIF(P37:Z37,PIV!A$6),ETAPP!A$1:A$32,0))&amp;INDEX(ETAPP!B$1:B$32,MATCH(COUNTIF(P37:Z37,PIV!A$7),ETAPP!A$1:A$32,0))&amp;INDEX(ETAPP!B$1:B$32,MATCH(COUNTIF(P37:Z37,PIV!A$8),ETAPP!A$1:A$32,0))&amp;INDEX(ETAPP!B$1:B$32,MATCH(COUNTIF(P37:Z37,PIV!A$9),ETAPP!A$1:A$32,0))&amp;INDEX(ETAPP!B$1:B$32,MATCH(COUNTIF(P37:Z37,PIV!A$10),ETAPP!A$1:A$32,0))&amp;INDEX(ETAPP!B$1:B$32,MATCH(COUNTIF(P37:Z37,PIV!A$11),ETAPP!A$1:A$32,0))&amp;INDEX(ETAPP!B$1:B$32,MATCH(COUNTIF(P37:Z37,PIV!A$12),ETAPP!A$1:A$32,0))&amp;INDEX(ETAPP!B$1:B$32,MATCH(COUNTIF(P37:Z37,PIV!A$13),ETAPP!A$1:A$32,0))&amp;INDEX(ETAPP!B$1:B$32,MATCH(COUNTIF(P37:Z37,PIV!A$14),ETAPP!A$1:A$32,0))&amp;INDEX(ETAPP!B$1:B$32,MATCH(COUNTIF(P37:Z37,PIV!A$15),ETAPP!A$1:A$32,0))&amp;INDEX(ETAPP!B$1:B$32,MATCH(COUNTIF(P37:Z37,PIV!A$16),ETAPP!A$1:A$32,0))&amp;INDEX(ETAPP!B$1:B$32,MATCH(COUNTIF(P37:Z37,PIV!A$17),ETAPP!A$1:A$32,0))&amp;INDEX(ETAPP!B$1:B$32,MATCH(COUNTIF(P37:Z37,PIV!A$18),ETAPP!A$1:A$32,0))&amp;INDEX(ETAPP!B$1:B$32,MATCH(COUNTIF(P37:Z37,PIV!A$19),ETAPP!A$1:A$32,0))</f>
        <v>00000A000A0000A000C</v>
      </c>
      <c r="K37" s="1388" t="str">
        <f t="shared" ca="1" si="5"/>
        <v>040,0-00000A000A0000A000C</v>
      </c>
      <c r="L37" s="1387">
        <f t="shared" ca="1" si="6"/>
        <v>30</v>
      </c>
      <c r="M37" s="1387">
        <f t="shared" si="7"/>
        <v>50</v>
      </c>
      <c r="N37" s="1388" t="str">
        <f t="shared" ca="1" si="8"/>
        <v>040,0-00000A000A0000A000C-050</v>
      </c>
      <c r="O37" s="1396">
        <f t="shared" ca="1" si="9"/>
        <v>79</v>
      </c>
      <c r="P37" s="1397" t="str">
        <f>IFERROR(INDEX('1'!C$300:C$400,MATCH("*"&amp;F37&amp;"*",'1'!B$300:B$400,0)),"  ")</f>
        <v xml:space="preserve">  </v>
      </c>
      <c r="Q37" s="1398" t="str">
        <f>IFERROR(INDEX('2'!C$300:C$400,MATCH("*"&amp;F37&amp;"*",'2'!B$300:B$400,0)),"  ")</f>
        <v xml:space="preserve">  </v>
      </c>
      <c r="R37" s="1398" t="str">
        <f>IFERROR(INDEX('3'!C$300:C$400,MATCH("*"&amp;F37&amp;"*",'3'!B$300:B$400,0)),"  ")</f>
        <v xml:space="preserve">  </v>
      </c>
      <c r="S37" s="1398" t="str">
        <f>IFERROR(INDEX('4'!C$300:C$400,MATCH("*"&amp;F37&amp;"*",'4'!B$300:B$400,0)),"  ")</f>
        <v xml:space="preserve">  </v>
      </c>
      <c r="T37" s="1398">
        <f>IFERROR(INDEX('5'!C$300:C$400,MATCH("*"&amp;F37&amp;"*",'5'!B$300:B$400,0)),"  ")</f>
        <v>22</v>
      </c>
      <c r="U37" s="1398" t="str">
        <f>IFERROR(INDEX('6'!C$300:C$400,MATCH("*"&amp;F37&amp;"*",'6'!B$300:B$400,0)),"  ")</f>
        <v xml:space="preserve">  </v>
      </c>
      <c r="V37" s="1398" t="str">
        <f ca="1">IFERROR(INDEX('7'!C$300:C$400,MATCH("*"&amp;F37&amp;"*",'7'!B$300:B$400,0)),"  ")</f>
        <v xml:space="preserve">  </v>
      </c>
      <c r="W37" s="1398">
        <f>IFERROR(INDEX('8'!C$300:C$400,MATCH("*"&amp;F37&amp;"*",'8'!B$300:B$400,0)),"  ")</f>
        <v>4</v>
      </c>
      <c r="X37" s="1398">
        <f>IFERROR(INDEX('9'!C$300:C$400,MATCH("*"&amp;F37&amp;"*",'9'!B$300:B$400,0)),"  ")</f>
        <v>14</v>
      </c>
      <c r="Y37" s="1398" t="str">
        <f>IFERROR(INDEX('10'!C$300:C$400,MATCH("*"&amp;F37&amp;"*",'10'!B$300:B$400,0)),"  ")</f>
        <v xml:space="preserve">  </v>
      </c>
      <c r="Z37" s="1398" t="str">
        <f>IFERROR(INDEX('11'!C$300:C$400,MATCH("*"&amp;F37&amp;"*",'11'!B$300:B$400,0)),"  ")</f>
        <v xml:space="preserve">  </v>
      </c>
      <c r="AA37" s="1353">
        <f t="shared" ca="1" si="10"/>
        <v>3</v>
      </c>
      <c r="AB37" s="1353">
        <f t="shared" ca="1" si="11"/>
        <v>0</v>
      </c>
      <c r="AC37" s="1353">
        <f t="shared" ca="1" si="12"/>
        <v>0</v>
      </c>
      <c r="AH37" s="1345"/>
      <c r="AS37" s="689">
        <f t="shared" ca="1" si="13"/>
        <v>2.9999999999999997E-4</v>
      </c>
      <c r="AT37" s="690">
        <f t="shared" si="14"/>
        <v>1E-4</v>
      </c>
      <c r="AU37" s="690">
        <f t="shared" si="15"/>
        <v>2.0000000000000001E-4</v>
      </c>
      <c r="AV37" s="690">
        <f t="shared" si="16"/>
        <v>2.9999999999999997E-4</v>
      </c>
      <c r="AW37" s="690">
        <f t="shared" si="17"/>
        <v>4.0000000000000002E-4</v>
      </c>
      <c r="AX37" s="690">
        <f t="shared" si="18"/>
        <v>22.000499999999999</v>
      </c>
      <c r="AY37" s="690">
        <f t="shared" si="19"/>
        <v>5.9999999999999995E-4</v>
      </c>
      <c r="AZ37" s="690">
        <f t="shared" ca="1" si="20"/>
        <v>6.9999999999999999E-4</v>
      </c>
      <c r="BA37" s="690">
        <f t="shared" si="21"/>
        <v>4.0007999999999999</v>
      </c>
      <c r="BB37" s="690">
        <f t="shared" si="22"/>
        <v>14.0009</v>
      </c>
      <c r="BC37" s="690">
        <f t="shared" si="23"/>
        <v>1E-3</v>
      </c>
      <c r="BD37" s="690">
        <f t="shared" si="24"/>
        <v>1.1000000000000001E-3</v>
      </c>
    </row>
    <row r="38" spans="1:56" x14ac:dyDescent="0.2">
      <c r="A38" s="1378">
        <f t="shared" ca="1" si="0"/>
        <v>7</v>
      </c>
      <c r="B38" s="1392">
        <f t="shared" ca="1" si="1"/>
        <v>31</v>
      </c>
      <c r="C38" s="1380">
        <f t="shared" ca="1" si="2"/>
        <v>1</v>
      </c>
      <c r="D38" s="1393">
        <f t="shared" ca="1" si="3"/>
        <v>31</v>
      </c>
      <c r="E38" s="1394">
        <f t="shared" ca="1" si="4"/>
        <v>31</v>
      </c>
      <c r="F38" s="1405" t="s">
        <v>486</v>
      </c>
      <c r="G38" s="1379" t="s">
        <v>99</v>
      </c>
      <c r="H38" s="1402" t="s">
        <v>105</v>
      </c>
      <c r="I38" s="1385">
        <f t="array" aca="1" ref="I38" ca="1">(IF(COUNT(P38:Z38)&lt;8,SUM(P38:Z38),SUM(LARGE((P38:Z38),{1;2;3;4;5;6;7;8}))))</f>
        <v>38</v>
      </c>
      <c r="J38" s="1388" t="str">
        <f ca="1">INDEX(ETAPP!B$1:B$32,MATCH(COUNTIF(P38:Z38,PIV!A$1),ETAPP!A$1:A$32,0))&amp;INDEX(ETAPP!B$1:B$32,MATCH(COUNTIF(P38:Z38,PIV!A$2),ETAPP!A$1:A$32,0))&amp;INDEX(ETAPP!B$1:B$32,MATCH(COUNTIF(P38:Z38,PIV!A$3),ETAPP!A$1:A$32,0))&amp;INDEX(ETAPP!B$1:B$32,MATCH(COUNTIF(P38:Z38,PIV!A$4),ETAPP!A$1:A$32,0))&amp;INDEX(ETAPP!B$1:B$32,MATCH(COUNTIF(P38:Z38,PIV!A$5),ETAPP!A$1:A$32,0))&amp;INDEX(ETAPP!B$1:B$32,MATCH(COUNTIF(P38:Z38,PIV!A$6),ETAPP!A$1:A$32,0))&amp;INDEX(ETAPP!B$1:B$32,MATCH(COUNTIF(P38:Z38,PIV!A$7),ETAPP!A$1:A$32,0))&amp;INDEX(ETAPP!B$1:B$32,MATCH(COUNTIF(P38:Z38,PIV!A$8),ETAPP!A$1:A$32,0))&amp;INDEX(ETAPP!B$1:B$32,MATCH(COUNTIF(P38:Z38,PIV!A$9),ETAPP!A$1:A$32,0))&amp;INDEX(ETAPP!B$1:B$32,MATCH(COUNTIF(P38:Z38,PIV!A$10),ETAPP!A$1:A$32,0))&amp;INDEX(ETAPP!B$1:B$32,MATCH(COUNTIF(P38:Z38,PIV!A$11),ETAPP!A$1:A$32,0))&amp;INDEX(ETAPP!B$1:B$32,MATCH(COUNTIF(P38:Z38,PIV!A$12),ETAPP!A$1:A$32,0))&amp;INDEX(ETAPP!B$1:B$32,MATCH(COUNTIF(P38:Z38,PIV!A$13),ETAPP!A$1:A$32,0))&amp;INDEX(ETAPP!B$1:B$32,MATCH(COUNTIF(P38:Z38,PIV!A$14),ETAPP!A$1:A$32,0))&amp;INDEX(ETAPP!B$1:B$32,MATCH(COUNTIF(P38:Z38,PIV!A$15),ETAPP!A$1:A$32,0))&amp;INDEX(ETAPP!B$1:B$32,MATCH(COUNTIF(P38:Z38,PIV!A$16),ETAPP!A$1:A$32,0))&amp;INDEX(ETAPP!B$1:B$32,MATCH(COUNTIF(P38:Z38,PIV!A$17),ETAPP!A$1:A$32,0))&amp;INDEX(ETAPP!B$1:B$32,MATCH(COUNTIF(P38:Z38,PIV!A$18),ETAPP!A$1:A$32,0))&amp;INDEX(ETAPP!B$1:B$32,MATCH(COUNTIF(P38:Z38,PIV!A$19),ETAPP!A$1:A$32,0))</f>
        <v>0000A0000A00000000D</v>
      </c>
      <c r="K38" s="1388" t="str">
        <f t="shared" ca="1" si="5"/>
        <v>038,0-0000A0000A00000000D</v>
      </c>
      <c r="L38" s="1387">
        <f t="shared" ca="1" si="6"/>
        <v>31</v>
      </c>
      <c r="M38" s="1387">
        <f t="shared" si="7"/>
        <v>105</v>
      </c>
      <c r="N38" s="1388" t="str">
        <f t="shared" ca="1" si="8"/>
        <v>038,0-0000A0000A00000000D-105</v>
      </c>
      <c r="O38" s="1396">
        <f t="shared" ca="1" si="9"/>
        <v>78</v>
      </c>
      <c r="P38" s="1397" t="str">
        <f>IFERROR(INDEX('1'!C$300:C$400,MATCH("*"&amp;F38&amp;"*",'1'!B$300:B$400,0)),"  ")</f>
        <v xml:space="preserve">  </v>
      </c>
      <c r="Q38" s="1398" t="str">
        <f>IFERROR(INDEX('2'!C$300:C$400,MATCH("*"&amp;F38&amp;"*",'2'!B$300:B$400,0)),"  ")</f>
        <v xml:space="preserve">  </v>
      </c>
      <c r="R38" s="1398">
        <f>IFERROR(INDEX('3'!C$300:C$400,MATCH("*"&amp;F38&amp;"*",'3'!B$300:B$400,0)),"  ")</f>
        <v>14</v>
      </c>
      <c r="S38" s="1398" t="str">
        <f>IFERROR(INDEX('4'!C$300:C$400,MATCH("*"&amp;F38&amp;"*",'4'!B$300:B$400,0)),"  ")</f>
        <v xml:space="preserve">  </v>
      </c>
      <c r="T38" s="1398" t="str">
        <f>IFERROR(INDEX('5'!C$300:C$400,MATCH("*"&amp;F38&amp;"*",'5'!B$300:B$400,0)),"  ")</f>
        <v xml:space="preserve">  </v>
      </c>
      <c r="U38" s="1398" t="str">
        <f>IFERROR(INDEX('6'!C$300:C$400,MATCH("*"&amp;F38&amp;"*",'6'!B$300:B$400,0)),"  ")</f>
        <v xml:space="preserve">  </v>
      </c>
      <c r="V38" s="1398" t="str">
        <f ca="1">IFERROR(INDEX('7'!C$300:C$400,MATCH("*"&amp;F38&amp;"*",'7'!B$300:B$400,0)),"  ")</f>
        <v xml:space="preserve">  </v>
      </c>
      <c r="W38" s="1398" t="str">
        <f>IFERROR(INDEX('8'!C$300:C$400,MATCH("*"&amp;F38&amp;"*",'8'!B$300:B$400,0)),"  ")</f>
        <v xml:space="preserve">  </v>
      </c>
      <c r="X38" s="1398" t="str">
        <f>IFERROR(INDEX('9'!C$300:C$400,MATCH("*"&amp;F38&amp;"*",'9'!B$300:B$400,0)),"  ")</f>
        <v xml:space="preserve">  </v>
      </c>
      <c r="Y38" s="1398">
        <f>IFERROR(INDEX('10'!C$300:C$400,MATCH("*"&amp;F38&amp;"*",'10'!B$300:B$400,0)),"  ")</f>
        <v>24</v>
      </c>
      <c r="Z38" s="1398" t="str">
        <f>IFERROR(INDEX('11'!C$300:C$400,MATCH("*"&amp;F38&amp;"*",'11'!B$300:B$400,0)),"  ")</f>
        <v xml:space="preserve">  </v>
      </c>
      <c r="AA38" s="1353">
        <f t="shared" ca="1" si="10"/>
        <v>2</v>
      </c>
      <c r="AB38" s="1353">
        <f t="shared" ca="1" si="11"/>
        <v>0</v>
      </c>
      <c r="AC38" s="1353">
        <f t="shared" ca="1" si="12"/>
        <v>0</v>
      </c>
      <c r="AH38" s="1345"/>
      <c r="AS38" s="689">
        <f t="shared" ca="1" si="13"/>
        <v>4.0000000000000002E-4</v>
      </c>
      <c r="AT38" s="690">
        <f t="shared" si="14"/>
        <v>1E-4</v>
      </c>
      <c r="AU38" s="690">
        <f t="shared" si="15"/>
        <v>2.0000000000000001E-4</v>
      </c>
      <c r="AV38" s="690">
        <f t="shared" si="16"/>
        <v>14.000299999999999</v>
      </c>
      <c r="AW38" s="690">
        <f t="shared" si="17"/>
        <v>4.0000000000000002E-4</v>
      </c>
      <c r="AX38" s="690">
        <f t="shared" si="18"/>
        <v>5.0000000000000001E-4</v>
      </c>
      <c r="AY38" s="690">
        <f t="shared" si="19"/>
        <v>5.9999999999999995E-4</v>
      </c>
      <c r="AZ38" s="690">
        <f t="shared" ca="1" si="20"/>
        <v>6.9999999999999999E-4</v>
      </c>
      <c r="BA38" s="690">
        <f t="shared" si="21"/>
        <v>8.0000000000000004E-4</v>
      </c>
      <c r="BB38" s="690">
        <f t="shared" si="22"/>
        <v>8.9999999999999998E-4</v>
      </c>
      <c r="BC38" s="690">
        <f t="shared" si="23"/>
        <v>24.001000000000001</v>
      </c>
      <c r="BD38" s="690">
        <f t="shared" si="24"/>
        <v>1.1000000000000001E-3</v>
      </c>
    </row>
    <row r="39" spans="1:56" x14ac:dyDescent="0.2">
      <c r="A39" s="1378" t="str">
        <f t="shared" si="0"/>
        <v/>
      </c>
      <c r="B39" s="1392" t="str">
        <f t="shared" si="1"/>
        <v/>
      </c>
      <c r="C39" s="1380">
        <f t="shared" ca="1" si="2"/>
        <v>2</v>
      </c>
      <c r="D39" s="1393">
        <f t="shared" ca="1" si="3"/>
        <v>32</v>
      </c>
      <c r="E39" s="1394">
        <f t="shared" ca="1" si="4"/>
        <v>32</v>
      </c>
      <c r="F39" s="1395" t="s">
        <v>472</v>
      </c>
      <c r="G39" s="1379"/>
      <c r="H39" s="1402" t="s">
        <v>105</v>
      </c>
      <c r="I39" s="1385">
        <f t="array" aca="1" ref="I39" ca="1">(IF(COUNT(P39:Z39)&lt;8,SUM(P39:Z39),SUM(LARGE((P39:Z39),{1;2;3;4;5;6;7;8}))))</f>
        <v>36</v>
      </c>
      <c r="J39" s="1388" t="str">
        <f ca="1">INDEX(ETAPP!B$1:B$32,MATCH(COUNTIF(P39:Z39,PIV!A$1),ETAPP!A$1:A$32,0))&amp;INDEX(ETAPP!B$1:B$32,MATCH(COUNTIF(P39:Z39,PIV!A$2),ETAPP!A$1:A$32,0))&amp;INDEX(ETAPP!B$1:B$32,MATCH(COUNTIF(P39:Z39,PIV!A$3),ETAPP!A$1:A$32,0))&amp;INDEX(ETAPP!B$1:B$32,MATCH(COUNTIF(P39:Z39,PIV!A$4),ETAPP!A$1:A$32,0))&amp;INDEX(ETAPP!B$1:B$32,MATCH(COUNTIF(P39:Z39,PIV!A$5),ETAPP!A$1:A$32,0))&amp;INDEX(ETAPP!B$1:B$32,MATCH(COUNTIF(P39:Z39,PIV!A$6),ETAPP!A$1:A$32,0))&amp;INDEX(ETAPP!B$1:B$32,MATCH(COUNTIF(P39:Z39,PIV!A$7),ETAPP!A$1:A$32,0))&amp;INDEX(ETAPP!B$1:B$32,MATCH(COUNTIF(P39:Z39,PIV!A$8),ETAPP!A$1:A$32,0))&amp;INDEX(ETAPP!B$1:B$32,MATCH(COUNTIF(P39:Z39,PIV!A$9),ETAPP!A$1:A$32,0))&amp;INDEX(ETAPP!B$1:B$32,MATCH(COUNTIF(P39:Z39,PIV!A$10),ETAPP!A$1:A$32,0))&amp;INDEX(ETAPP!B$1:B$32,MATCH(COUNTIF(P39:Z39,PIV!A$11),ETAPP!A$1:A$32,0))&amp;INDEX(ETAPP!B$1:B$32,MATCH(COUNTIF(P39:Z39,PIV!A$12),ETAPP!A$1:A$32,0))&amp;INDEX(ETAPP!B$1:B$32,MATCH(COUNTIF(P39:Z39,PIV!A$13),ETAPP!A$1:A$32,0))&amp;INDEX(ETAPP!B$1:B$32,MATCH(COUNTIF(P39:Z39,PIV!A$14),ETAPP!A$1:A$32,0))&amp;INDEX(ETAPP!B$1:B$32,MATCH(COUNTIF(P39:Z39,PIV!A$15),ETAPP!A$1:A$32,0))&amp;INDEX(ETAPP!B$1:B$32,MATCH(COUNTIF(P39:Z39,PIV!A$16),ETAPP!A$1:A$32,0))&amp;INDEX(ETAPP!B$1:B$32,MATCH(COUNTIF(P39:Z39,PIV!A$17),ETAPP!A$1:A$32,0))&amp;INDEX(ETAPP!B$1:B$32,MATCH(COUNTIF(P39:Z39,PIV!A$18),ETAPP!A$1:A$32,0))&amp;INDEX(ETAPP!B$1:B$32,MATCH(COUNTIF(P39:Z39,PIV!A$19),ETAPP!A$1:A$32,0))</f>
        <v>000000A0A000000000D</v>
      </c>
      <c r="K39" s="1388" t="str">
        <f t="shared" ca="1" si="5"/>
        <v>036,0-000000A0A000000000D</v>
      </c>
      <c r="L39" s="1387">
        <f t="shared" ca="1" si="6"/>
        <v>32</v>
      </c>
      <c r="M39" s="1387">
        <f t="shared" si="7"/>
        <v>39</v>
      </c>
      <c r="N39" s="1388" t="str">
        <f t="shared" ca="1" si="8"/>
        <v>036,0-000000A0A000000000D-039</v>
      </c>
      <c r="O39" s="1396">
        <f t="shared" ca="1" si="9"/>
        <v>77</v>
      </c>
      <c r="P39" s="1397">
        <f>IFERROR(INDEX('1'!C$300:C$400,MATCH("*"&amp;F39&amp;"*",'1'!B$300:B$400,0)),"  ")</f>
        <v>16</v>
      </c>
      <c r="Q39" s="1398" t="str">
        <f>IFERROR(INDEX('2'!C$300:C$400,MATCH("*"&amp;F39&amp;"*",'2'!B$300:B$400,0)),"  ")</f>
        <v xml:space="preserve">  </v>
      </c>
      <c r="R39" s="1398" t="str">
        <f>IFERROR(INDEX('3'!C$300:C$400,MATCH("*"&amp;F39&amp;"*",'3'!B$300:B$400,0)),"  ")</f>
        <v xml:space="preserve">  </v>
      </c>
      <c r="S39" s="1398" t="str">
        <f>IFERROR(INDEX('4'!C$300:C$400,MATCH("*"&amp;F39&amp;"*",'4'!B$300:B$400,0)),"  ")</f>
        <v xml:space="preserve">  </v>
      </c>
      <c r="T39" s="1398" t="str">
        <f>IFERROR(INDEX('5'!C$300:C$400,MATCH("*"&amp;F39&amp;"*",'5'!B$300:B$400,0)),"  ")</f>
        <v xml:space="preserve">  </v>
      </c>
      <c r="U39" s="1398" t="str">
        <f>IFERROR(INDEX('6'!C$300:C$400,MATCH("*"&amp;F39&amp;"*",'6'!B$300:B$400,0)),"  ")</f>
        <v xml:space="preserve">  </v>
      </c>
      <c r="V39" s="1398" t="str">
        <f ca="1">IFERROR(INDEX('7'!C$300:C$400,MATCH("*"&amp;F39&amp;"*",'7'!B$300:B$400,0)),"  ")</f>
        <v xml:space="preserve">  </v>
      </c>
      <c r="W39" s="1398">
        <f>IFERROR(INDEX('8'!C$300:C$400,MATCH("*"&amp;F39&amp;"*",'8'!B$300:B$400,0)),"  ")</f>
        <v>20</v>
      </c>
      <c r="X39" s="1398" t="str">
        <f>IFERROR(INDEX('9'!C$300:C$400,MATCH("*"&amp;F39&amp;"*",'9'!B$300:B$400,0)),"  ")</f>
        <v xml:space="preserve">  </v>
      </c>
      <c r="Y39" s="1398" t="str">
        <f>IFERROR(INDEX('10'!C$300:C$400,MATCH("*"&amp;F39&amp;"*",'10'!B$300:B$400,0)),"  ")</f>
        <v xml:space="preserve">  </v>
      </c>
      <c r="Z39" s="1398" t="str">
        <f>IFERROR(INDEX('11'!C$300:C$400,MATCH("*"&amp;F39&amp;"*",'11'!B$300:B$400,0)),"  ")</f>
        <v xml:space="preserve">  </v>
      </c>
      <c r="AA39" s="1353">
        <f t="shared" ca="1" si="10"/>
        <v>2</v>
      </c>
      <c r="AB39" s="1353">
        <f t="shared" ca="1" si="11"/>
        <v>0</v>
      </c>
      <c r="AC39" s="1353">
        <f t="shared" ca="1" si="12"/>
        <v>0</v>
      </c>
      <c r="AH39" s="1345"/>
      <c r="AS39" s="689">
        <f t="shared" ca="1" si="13"/>
        <v>4.0000000000000002E-4</v>
      </c>
      <c r="AT39" s="690">
        <f t="shared" si="14"/>
        <v>16.0001</v>
      </c>
      <c r="AU39" s="690">
        <f t="shared" si="15"/>
        <v>2.0000000000000001E-4</v>
      </c>
      <c r="AV39" s="690">
        <f t="shared" si="16"/>
        <v>2.9999999999999997E-4</v>
      </c>
      <c r="AW39" s="690">
        <f t="shared" si="17"/>
        <v>4.0000000000000002E-4</v>
      </c>
      <c r="AX39" s="690">
        <f t="shared" si="18"/>
        <v>5.0000000000000001E-4</v>
      </c>
      <c r="AY39" s="690">
        <f t="shared" si="19"/>
        <v>5.9999999999999995E-4</v>
      </c>
      <c r="AZ39" s="690">
        <f t="shared" ca="1" si="20"/>
        <v>6.9999999999999999E-4</v>
      </c>
      <c r="BA39" s="690">
        <f t="shared" si="21"/>
        <v>20.000800000000002</v>
      </c>
      <c r="BB39" s="690">
        <f t="shared" si="22"/>
        <v>8.9999999999999998E-4</v>
      </c>
      <c r="BC39" s="690">
        <f t="shared" si="23"/>
        <v>1E-3</v>
      </c>
      <c r="BD39" s="690">
        <f t="shared" si="24"/>
        <v>1.1000000000000001E-3</v>
      </c>
    </row>
    <row r="40" spans="1:56" x14ac:dyDescent="0.2">
      <c r="A40" s="1378">
        <f t="shared" ref="A40:A71" ca="1" si="25">IFERROR(RANK(B40,B$8:B$115,1),"")</f>
        <v>8</v>
      </c>
      <c r="B40" s="1392">
        <f t="shared" ref="B40:B71" ca="1" si="26">IF(G40="n",L40,"")</f>
        <v>33</v>
      </c>
      <c r="C40" s="1380" t="str">
        <f t="shared" ref="C40:C71" si="27">IFERROR(RANK(D40,D$8:D$115,1),"")</f>
        <v/>
      </c>
      <c r="D40" s="1393" t="str">
        <f t="shared" ref="D40:D71" si="28">IF(H40="j",L40,"")</f>
        <v/>
      </c>
      <c r="E40" s="1394">
        <f t="shared" ref="E40:E71" ca="1" si="29">RANK(L40,L$8:L$115,1)</f>
        <v>33</v>
      </c>
      <c r="F40" s="1405" t="s">
        <v>518</v>
      </c>
      <c r="G40" s="1379" t="s">
        <v>99</v>
      </c>
      <c r="H40" s="1384"/>
      <c r="I40" s="1385">
        <f t="array" aca="1" ref="I40" ca="1">(IF(COUNT(P40:Z40)&lt;8,SUM(P40:Z40),SUM(LARGE((P40:Z40),{1;2;3;4;5;6;7;8}))))</f>
        <v>34</v>
      </c>
      <c r="J40" s="1388" t="str">
        <f ca="1">INDEX(ETAPP!B$1:B$32,MATCH(COUNTIF(P40:Z40,PIV!A$1),ETAPP!A$1:A$32,0))&amp;INDEX(ETAPP!B$1:B$32,MATCH(COUNTIF(P40:Z40,PIV!A$2),ETAPP!A$1:A$32,0))&amp;INDEX(ETAPP!B$1:B$32,MATCH(COUNTIF(P40:Z40,PIV!A$3),ETAPP!A$1:A$32,0))&amp;INDEX(ETAPP!B$1:B$32,MATCH(COUNTIF(P40:Z40,PIV!A$4),ETAPP!A$1:A$32,0))&amp;INDEX(ETAPP!B$1:B$32,MATCH(COUNTIF(P40:Z40,PIV!A$5),ETAPP!A$1:A$32,0))&amp;INDEX(ETAPP!B$1:B$32,MATCH(COUNTIF(P40:Z40,PIV!A$6),ETAPP!A$1:A$32,0))&amp;INDEX(ETAPP!B$1:B$32,MATCH(COUNTIF(P40:Z40,PIV!A$7),ETAPP!A$1:A$32,0))&amp;INDEX(ETAPP!B$1:B$32,MATCH(COUNTIF(P40:Z40,PIV!A$8),ETAPP!A$1:A$32,0))&amp;INDEX(ETAPP!B$1:B$32,MATCH(COUNTIF(P40:Z40,PIV!A$9),ETAPP!A$1:A$32,0))&amp;INDEX(ETAPP!B$1:B$32,MATCH(COUNTIF(P40:Z40,PIV!A$10),ETAPP!A$1:A$32,0))&amp;INDEX(ETAPP!B$1:B$32,MATCH(COUNTIF(P40:Z40,PIV!A$11),ETAPP!A$1:A$32,0))&amp;INDEX(ETAPP!B$1:B$32,MATCH(COUNTIF(P40:Z40,PIV!A$12),ETAPP!A$1:A$32,0))&amp;INDEX(ETAPP!B$1:B$32,MATCH(COUNTIF(P40:Z40,PIV!A$13),ETAPP!A$1:A$32,0))&amp;INDEX(ETAPP!B$1:B$32,MATCH(COUNTIF(P40:Z40,PIV!A$14),ETAPP!A$1:A$32,0))&amp;INDEX(ETAPP!B$1:B$32,MATCH(COUNTIF(P40:Z40,PIV!A$15),ETAPP!A$1:A$32,0))&amp;INDEX(ETAPP!B$1:B$32,MATCH(COUNTIF(P40:Z40,PIV!A$16),ETAPP!A$1:A$32,0))&amp;INDEX(ETAPP!B$1:B$32,MATCH(COUNTIF(P40:Z40,PIV!A$17),ETAPP!A$1:A$32,0))&amp;INDEX(ETAPP!B$1:B$32,MATCH(COUNTIF(P40:Z40,PIV!A$18),ETAPP!A$1:A$32,0))&amp;INDEX(ETAPP!B$1:B$32,MATCH(COUNTIF(P40:Z40,PIV!A$19),ETAPP!A$1:A$32,0))</f>
        <v>0A0000000000000000E</v>
      </c>
      <c r="K40" s="1388" t="str">
        <f t="shared" ref="K40:K71" ca="1" si="30">TEXT(I40,"000,0")&amp;"-"&amp;J40</f>
        <v>034,0-0A0000000000000000E</v>
      </c>
      <c r="L40" s="1387">
        <f t="shared" ref="L40:L71" ca="1" si="31">COUNTIF(K$8:K$115,"&gt;="&amp;K40)</f>
        <v>33</v>
      </c>
      <c r="M40" s="1387">
        <f t="shared" ref="M40:M71" si="32">COUNTIF(F$8:F$115,"&gt;="&amp;F40)</f>
        <v>9</v>
      </c>
      <c r="N40" s="1388" t="str">
        <f t="shared" ref="N40:N71" ca="1" si="33">TEXT(I40,"000,0")&amp;"-"&amp;J40&amp;"-"&amp;TEXT(M40,"000")</f>
        <v>034,0-0A0000000000000000E-009</v>
      </c>
      <c r="O40" s="1396">
        <f t="shared" ref="O40:O71" ca="1" si="34">COUNTIF(N$8:N$115,"&lt;="&amp;N40)</f>
        <v>76</v>
      </c>
      <c r="P40" s="1397" t="str">
        <f>IFERROR(INDEX('1'!C$300:C$400,MATCH("*"&amp;F40&amp;"*",'1'!B$300:B$400,0)),"  ")</f>
        <v xml:space="preserve">  </v>
      </c>
      <c r="Q40" s="1398" t="str">
        <f>IFERROR(INDEX('2'!C$300:C$400,MATCH("*"&amp;F40&amp;"*",'2'!B$300:B$400,0)),"  ")</f>
        <v xml:space="preserve">  </v>
      </c>
      <c r="R40" s="1398">
        <f>IFERROR(INDEX('3'!C$300:C$400,MATCH("*"&amp;F40&amp;"*",'3'!B$300:B$400,0)),"  ")</f>
        <v>34</v>
      </c>
      <c r="S40" s="1398" t="str">
        <f>IFERROR(INDEX('4'!C$300:C$400,MATCH("*"&amp;F40&amp;"*",'4'!B$300:B$400,0)),"  ")</f>
        <v xml:space="preserve">  </v>
      </c>
      <c r="T40" s="1398" t="str">
        <f>IFERROR(INDEX('5'!C$300:C$400,MATCH("*"&amp;F40&amp;"*",'5'!B$300:B$400,0)),"  ")</f>
        <v xml:space="preserve">  </v>
      </c>
      <c r="U40" s="1398" t="str">
        <f>IFERROR(INDEX('6'!C$300:C$400,MATCH("*"&amp;F40&amp;"*",'6'!B$300:B$400,0)),"  ")</f>
        <v xml:space="preserve">  </v>
      </c>
      <c r="V40" s="1398" t="str">
        <f ca="1">IFERROR(INDEX('7'!C$300:C$400,MATCH("*"&amp;F40&amp;"*",'7'!B$300:B$400,0)),"  ")</f>
        <v xml:space="preserve">  </v>
      </c>
      <c r="W40" s="1398" t="str">
        <f>IFERROR(INDEX('8'!C$300:C$400,MATCH("*"&amp;F40&amp;"*",'8'!B$300:B$400,0)),"  ")</f>
        <v xml:space="preserve">  </v>
      </c>
      <c r="X40" s="1398" t="str">
        <f>IFERROR(INDEX('9'!C$300:C$400,MATCH("*"&amp;F40&amp;"*",'9'!B$300:B$400,0)),"  ")</f>
        <v xml:space="preserve">  </v>
      </c>
      <c r="Y40" s="1398" t="str">
        <f>IFERROR(INDEX('10'!C$300:C$400,MATCH("*"&amp;F40&amp;"*",'10'!B$300:B$400,0)),"  ")</f>
        <v xml:space="preserve">  </v>
      </c>
      <c r="Z40" s="1398" t="str">
        <f>IFERROR(INDEX('11'!C$300:C$400,MATCH("*"&amp;F40&amp;"*",'11'!B$300:B$400,0)),"  ")</f>
        <v xml:space="preserve">  </v>
      </c>
      <c r="AA40" s="1353">
        <f t="shared" ref="AA40:AA71" ca="1" si="35">COUNTIF(P40:Z40,"&gt;=0")</f>
        <v>1</v>
      </c>
      <c r="AB40" s="1353">
        <f t="shared" ref="AB40:AB71" ca="1" si="36">COUNTIF(P40:Z40,"&gt;=30")</f>
        <v>1</v>
      </c>
      <c r="AC40" s="1353">
        <f t="shared" ref="AC40:AC71" ca="1" si="37">COUNTIF(P40:Z40,"=40")</f>
        <v>0</v>
      </c>
      <c r="AH40" s="1345"/>
      <c r="AS40" s="689">
        <f t="shared" ref="AS40:AS71" ca="1" si="38">SMALL(AT40:BD40,AS$3)</f>
        <v>4.0000000000000002E-4</v>
      </c>
      <c r="AT40" s="690">
        <f t="shared" ref="AT40:AT71" si="39">IF(P40="  ",0+MID(P$7,FIND("R",P$7)+1,256)/10000,P40+MID(P$7,FIND("R",P$7)+1,256)/10000)</f>
        <v>1E-4</v>
      </c>
      <c r="AU40" s="690">
        <f t="shared" ref="AU40:AU71" si="40">IF(Q40="  ",0+MID(Q$7,FIND("R",Q$7)+1,256)/10000,Q40+MID(Q$7,FIND("R",Q$7)+1,256)/10000)</f>
        <v>2.0000000000000001E-4</v>
      </c>
      <c r="AV40" s="690">
        <f t="shared" ref="AV40:AV71" si="41">IF(R40="  ",0+MID(R$7,FIND("R",R$7)+1,256)/10000,R40+MID(R$7,FIND("R",R$7)+1,256)/10000)</f>
        <v>34.000300000000003</v>
      </c>
      <c r="AW40" s="690">
        <f t="shared" ref="AW40:AW71" si="42">IF(S40="  ",0+MID(S$7,FIND("R",S$7)+1,256)/10000,S40+MID(S$7,FIND("R",S$7)+1,256)/10000)</f>
        <v>4.0000000000000002E-4</v>
      </c>
      <c r="AX40" s="690">
        <f t="shared" ref="AX40:AX71" si="43">IF(T40="  ",0+MID(T$7,FIND("R",T$7)+1,256)/10000,T40+MID(T$7,FIND("R",T$7)+1,256)/10000)</f>
        <v>5.0000000000000001E-4</v>
      </c>
      <c r="AY40" s="690">
        <f t="shared" ref="AY40:AY71" si="44">IF(U40="  ",0+MID(U$7,FIND("R",U$7)+1,256)/10000,U40+MID(U$7,FIND("R",U$7)+1,256)/10000)</f>
        <v>5.9999999999999995E-4</v>
      </c>
      <c r="AZ40" s="690">
        <f t="shared" ref="AZ40:AZ71" ca="1" si="45">IF(V40="  ",0+MID(V$7,FIND("R",V$7)+1,256)/10000,V40+MID(V$7,FIND("R",V$7)+1,256)/10000)</f>
        <v>6.9999999999999999E-4</v>
      </c>
      <c r="BA40" s="690">
        <f t="shared" ref="BA40:BA71" si="46">IF(W40="  ",0+MID(W$7,FIND("R",W$7)+1,256)/10000,W40+MID(W$7,FIND("R",W$7)+1,256)/10000)</f>
        <v>8.0000000000000004E-4</v>
      </c>
      <c r="BB40" s="690">
        <f t="shared" ref="BB40:BB71" si="47">IF(X40="  ",0+MID(X$7,FIND("R",X$7)+1,256)/10000,X40+MID(X$7,FIND("R",X$7)+1,256)/10000)</f>
        <v>8.9999999999999998E-4</v>
      </c>
      <c r="BC40" s="690">
        <f t="shared" ref="BC40:BC71" si="48">IF(Y40="  ",0+MID(Y$7,FIND("R",Y$7)+1,256)/10000,Y40+MID(Y$7,FIND("R",Y$7)+1,256)/10000)</f>
        <v>1E-3</v>
      </c>
      <c r="BD40" s="690">
        <f t="shared" ref="BD40:BD71" si="49">IF(Z40="  ",0+MID(Z$7,FIND("R",Z$7)+1,256)/10000,Z40+MID(Z$7,FIND("R",Z$7)+1,256)/10000)</f>
        <v>1.1000000000000001E-3</v>
      </c>
    </row>
    <row r="41" spans="1:56" x14ac:dyDescent="0.2">
      <c r="A41" s="1378" t="str">
        <f t="shared" si="25"/>
        <v/>
      </c>
      <c r="B41" s="1392" t="str">
        <f t="shared" si="26"/>
        <v/>
      </c>
      <c r="C41" s="1380" t="str">
        <f t="shared" si="27"/>
        <v/>
      </c>
      <c r="D41" s="1393" t="str">
        <f t="shared" si="28"/>
        <v/>
      </c>
      <c r="E41" s="1394">
        <f t="shared" ca="1" si="29"/>
        <v>34</v>
      </c>
      <c r="F41" s="1360" t="s">
        <v>108</v>
      </c>
      <c r="G41" s="1379"/>
      <c r="H41" s="1384"/>
      <c r="I41" s="1385">
        <f t="array" aca="1" ref="I41" ca="1">(IF(COUNT(P41:Z41)&lt;8,SUM(P41:Z41),SUM(LARGE((P41:Z41),{1;2;3;4;5;6;7;8}))))</f>
        <v>32</v>
      </c>
      <c r="J41" s="1388" t="str">
        <f ca="1">INDEX(ETAPP!B$1:B$32,MATCH(COUNTIF(P41:Z41,PIV!A$1),ETAPP!A$1:A$32,0))&amp;INDEX(ETAPP!B$1:B$32,MATCH(COUNTIF(P41:Z41,PIV!A$2),ETAPP!A$1:A$32,0))&amp;INDEX(ETAPP!B$1:B$32,MATCH(COUNTIF(P41:Z41,PIV!A$3),ETAPP!A$1:A$32,0))&amp;INDEX(ETAPP!B$1:B$32,MATCH(COUNTIF(P41:Z41,PIV!A$4),ETAPP!A$1:A$32,0))&amp;INDEX(ETAPP!B$1:B$32,MATCH(COUNTIF(P41:Z41,PIV!A$5),ETAPP!A$1:A$32,0))&amp;INDEX(ETAPP!B$1:B$32,MATCH(COUNTIF(P41:Z41,PIV!A$6),ETAPP!A$1:A$32,0))&amp;INDEX(ETAPP!B$1:B$32,MATCH(COUNTIF(P41:Z41,PIV!A$7),ETAPP!A$1:A$32,0))&amp;INDEX(ETAPP!B$1:B$32,MATCH(COUNTIF(P41:Z41,PIV!A$8),ETAPP!A$1:A$32,0))&amp;INDEX(ETAPP!B$1:B$32,MATCH(COUNTIF(P41:Z41,PIV!A$9),ETAPP!A$1:A$32,0))&amp;INDEX(ETAPP!B$1:B$32,MATCH(COUNTIF(P41:Z41,PIV!A$10),ETAPP!A$1:A$32,0))&amp;INDEX(ETAPP!B$1:B$32,MATCH(COUNTIF(P41:Z41,PIV!A$11),ETAPP!A$1:A$32,0))&amp;INDEX(ETAPP!B$1:B$32,MATCH(COUNTIF(P41:Z41,PIV!A$12),ETAPP!A$1:A$32,0))&amp;INDEX(ETAPP!B$1:B$32,MATCH(COUNTIF(P41:Z41,PIV!A$13),ETAPP!A$1:A$32,0))&amp;INDEX(ETAPP!B$1:B$32,MATCH(COUNTIF(P41:Z41,PIV!A$14),ETAPP!A$1:A$32,0))&amp;INDEX(ETAPP!B$1:B$32,MATCH(COUNTIF(P41:Z41,PIV!A$15),ETAPP!A$1:A$32,0))&amp;INDEX(ETAPP!B$1:B$32,MATCH(COUNTIF(P41:Z41,PIV!A$16),ETAPP!A$1:A$32,0))&amp;INDEX(ETAPP!B$1:B$32,MATCH(COUNTIF(P41:Z41,PIV!A$17),ETAPP!A$1:A$32,0))&amp;INDEX(ETAPP!B$1:B$32,MATCH(COUNTIF(P41:Z41,PIV!A$18),ETAPP!A$1:A$32,0))&amp;INDEX(ETAPP!B$1:B$32,MATCH(COUNTIF(P41:Z41,PIV!A$19),ETAPP!A$1:A$32,0))</f>
        <v>000000A000A0000000D</v>
      </c>
      <c r="K41" s="1388" t="str">
        <f t="shared" ca="1" si="30"/>
        <v>032,0-000000A000A0000000D</v>
      </c>
      <c r="L41" s="1387">
        <f t="shared" ca="1" si="31"/>
        <v>34</v>
      </c>
      <c r="M41" s="1387">
        <f t="shared" si="32"/>
        <v>66</v>
      </c>
      <c r="N41" s="1388" t="str">
        <f t="shared" ca="1" si="33"/>
        <v>032,0-000000A000A0000000D-066</v>
      </c>
      <c r="O41" s="1396">
        <f t="shared" ca="1" si="34"/>
        <v>75</v>
      </c>
      <c r="P41" s="1397">
        <f>IFERROR(INDEX('1'!C$300:C$400,MATCH("*"&amp;F41&amp;"*",'1'!B$300:B$400,0)),"  ")</f>
        <v>20</v>
      </c>
      <c r="Q41" s="1398" t="str">
        <f>IFERROR(INDEX('2'!C$300:C$400,MATCH("*"&amp;F41&amp;"*",'2'!B$300:B$400,0)),"  ")</f>
        <v xml:space="preserve">  </v>
      </c>
      <c r="R41" s="1398" t="str">
        <f>IFERROR(INDEX('3'!C$300:C$400,MATCH("*"&amp;F41&amp;"*",'3'!B$300:B$400,0)),"  ")</f>
        <v xml:space="preserve">  </v>
      </c>
      <c r="S41" s="1398" t="str">
        <f>IFERROR(INDEX('4'!C$300:C$400,MATCH("*"&amp;F41&amp;"*",'4'!B$300:B$400,0)),"  ")</f>
        <v xml:space="preserve">  </v>
      </c>
      <c r="T41" s="1398" t="str">
        <f>IFERROR(INDEX('5'!C$300:C$400,MATCH("*"&amp;F41&amp;"*",'5'!B$300:B$400,0)),"  ")</f>
        <v xml:space="preserve">  </v>
      </c>
      <c r="U41" s="1398" t="str">
        <f>IFERROR(INDEX('6'!C$300:C$400,MATCH("*"&amp;F41&amp;"*",'6'!B$300:B$400,0)),"  ")</f>
        <v xml:space="preserve">  </v>
      </c>
      <c r="V41" s="1398">
        <f ca="1">IFERROR(INDEX('7'!C$300:C$400,MATCH("*"&amp;F41&amp;"*",'7'!B$300:B$400,0)),"  ")</f>
        <v>12</v>
      </c>
      <c r="W41" s="1398" t="str">
        <f>IFERROR(INDEX('8'!C$300:C$400,MATCH("*"&amp;F41&amp;"*",'8'!B$300:B$400,0)),"  ")</f>
        <v xml:space="preserve">  </v>
      </c>
      <c r="X41" s="1398" t="str">
        <f>IFERROR(INDEX('9'!C$300:C$400,MATCH("*"&amp;F41&amp;"*",'9'!B$300:B$400,0)),"  ")</f>
        <v xml:space="preserve">  </v>
      </c>
      <c r="Y41" s="1398" t="str">
        <f>IFERROR(INDEX('10'!C$300:C$400,MATCH("*"&amp;F41&amp;"*",'10'!B$300:B$400,0)),"  ")</f>
        <v xml:space="preserve">  </v>
      </c>
      <c r="Z41" s="1398" t="str">
        <f>IFERROR(INDEX('11'!C$300:C$400,MATCH("*"&amp;F41&amp;"*",'11'!B$300:B$400,0)),"  ")</f>
        <v xml:space="preserve">  </v>
      </c>
      <c r="AA41" s="1353">
        <f t="shared" ca="1" si="35"/>
        <v>2</v>
      </c>
      <c r="AB41" s="1353">
        <f t="shared" ca="1" si="36"/>
        <v>0</v>
      </c>
      <c r="AC41" s="1353">
        <f t="shared" ca="1" si="37"/>
        <v>0</v>
      </c>
      <c r="AH41" s="1345"/>
      <c r="AS41" s="689">
        <f t="shared" ca="1" si="38"/>
        <v>4.0000000000000002E-4</v>
      </c>
      <c r="AT41" s="690">
        <f t="shared" si="39"/>
        <v>20.0001</v>
      </c>
      <c r="AU41" s="690">
        <f t="shared" si="40"/>
        <v>2.0000000000000001E-4</v>
      </c>
      <c r="AV41" s="690">
        <f t="shared" si="41"/>
        <v>2.9999999999999997E-4</v>
      </c>
      <c r="AW41" s="690">
        <f t="shared" si="42"/>
        <v>4.0000000000000002E-4</v>
      </c>
      <c r="AX41" s="690">
        <f t="shared" si="43"/>
        <v>5.0000000000000001E-4</v>
      </c>
      <c r="AY41" s="690">
        <f t="shared" si="44"/>
        <v>5.9999999999999995E-4</v>
      </c>
      <c r="AZ41" s="690">
        <f t="shared" ca="1" si="45"/>
        <v>12.0007</v>
      </c>
      <c r="BA41" s="690">
        <f t="shared" si="46"/>
        <v>8.0000000000000004E-4</v>
      </c>
      <c r="BB41" s="690">
        <f t="shared" si="47"/>
        <v>8.9999999999999998E-4</v>
      </c>
      <c r="BC41" s="690">
        <f t="shared" si="48"/>
        <v>1E-3</v>
      </c>
      <c r="BD41" s="690">
        <f t="shared" si="49"/>
        <v>1.1000000000000001E-3</v>
      </c>
    </row>
    <row r="42" spans="1:56" x14ac:dyDescent="0.2">
      <c r="A42" s="1378" t="str">
        <f t="shared" si="25"/>
        <v/>
      </c>
      <c r="B42" s="1392" t="str">
        <f t="shared" si="26"/>
        <v/>
      </c>
      <c r="C42" s="1380" t="str">
        <f t="shared" si="27"/>
        <v/>
      </c>
      <c r="D42" s="1393" t="str">
        <f t="shared" si="28"/>
        <v/>
      </c>
      <c r="E42" s="1394">
        <f t="shared" ca="1" si="29"/>
        <v>35</v>
      </c>
      <c r="F42" s="1395" t="s">
        <v>201</v>
      </c>
      <c r="G42" s="1379"/>
      <c r="H42" s="1384"/>
      <c r="I42" s="1385">
        <f t="array" aca="1" ref="I42" ca="1">(IF(COUNT(P42:Z42)&lt;8,SUM(P42:Z42),SUM(LARGE((P42:Z42),{1;2;3;4;5;6;7;8}))))</f>
        <v>30</v>
      </c>
      <c r="J42" s="1388" t="str">
        <f ca="1">INDEX(ETAPP!B$1:B$32,MATCH(COUNTIF(P42:Z42,PIV!A$1),ETAPP!A$1:A$32,0))&amp;INDEX(ETAPP!B$1:B$32,MATCH(COUNTIF(P42:Z42,PIV!A$2),ETAPP!A$1:A$32,0))&amp;INDEX(ETAPP!B$1:B$32,MATCH(COUNTIF(P42:Z42,PIV!A$3),ETAPP!A$1:A$32,0))&amp;INDEX(ETAPP!B$1:B$32,MATCH(COUNTIF(P42:Z42,PIV!A$4),ETAPP!A$1:A$32,0))&amp;INDEX(ETAPP!B$1:B$32,MATCH(COUNTIF(P42:Z42,PIV!A$5),ETAPP!A$1:A$32,0))&amp;INDEX(ETAPP!B$1:B$32,MATCH(COUNTIF(P42:Z42,PIV!A$6),ETAPP!A$1:A$32,0))&amp;INDEX(ETAPP!B$1:B$32,MATCH(COUNTIF(P42:Z42,PIV!A$7),ETAPP!A$1:A$32,0))&amp;INDEX(ETAPP!B$1:B$32,MATCH(COUNTIF(P42:Z42,PIV!A$8),ETAPP!A$1:A$32,0))&amp;INDEX(ETAPP!B$1:B$32,MATCH(COUNTIF(P42:Z42,PIV!A$9),ETAPP!A$1:A$32,0))&amp;INDEX(ETAPP!B$1:B$32,MATCH(COUNTIF(P42:Z42,PIV!A$10),ETAPP!A$1:A$32,0))&amp;INDEX(ETAPP!B$1:B$32,MATCH(COUNTIF(P42:Z42,PIV!A$11),ETAPP!A$1:A$32,0))&amp;INDEX(ETAPP!B$1:B$32,MATCH(COUNTIF(P42:Z42,PIV!A$12),ETAPP!A$1:A$32,0))&amp;INDEX(ETAPP!B$1:B$32,MATCH(COUNTIF(P42:Z42,PIV!A$13),ETAPP!A$1:A$32,0))&amp;INDEX(ETAPP!B$1:B$32,MATCH(COUNTIF(P42:Z42,PIV!A$14),ETAPP!A$1:A$32,0))&amp;INDEX(ETAPP!B$1:B$32,MATCH(COUNTIF(P42:Z42,PIV!A$15),ETAPP!A$1:A$32,0))&amp;INDEX(ETAPP!B$1:B$32,MATCH(COUNTIF(P42:Z42,PIV!A$16),ETAPP!A$1:A$32,0))&amp;INDEX(ETAPP!B$1:B$32,MATCH(COUNTIF(P42:Z42,PIV!A$17),ETAPP!A$1:A$32,0))&amp;INDEX(ETAPP!B$1:B$32,MATCH(COUNTIF(P42:Z42,PIV!A$18),ETAPP!A$1:A$32,0))&amp;INDEX(ETAPP!B$1:B$32,MATCH(COUNTIF(P42:Z42,PIV!A$19),ETAPP!A$1:A$32,0))</f>
        <v>0000000A00A0000000D</v>
      </c>
      <c r="K42" s="1388" t="str">
        <f t="shared" ca="1" si="30"/>
        <v>030,0-0000000A00A0000000D</v>
      </c>
      <c r="L42" s="1387">
        <f t="shared" ca="1" si="31"/>
        <v>35</v>
      </c>
      <c r="M42" s="1387">
        <f t="shared" si="32"/>
        <v>104</v>
      </c>
      <c r="N42" s="1388" t="str">
        <f t="shared" ca="1" si="33"/>
        <v>030,0-0000000A00A0000000D-104</v>
      </c>
      <c r="O42" s="1396">
        <f t="shared" ca="1" si="34"/>
        <v>74</v>
      </c>
      <c r="P42" s="1397">
        <f>IFERROR(INDEX('1'!C$300:C$400,MATCH("*"&amp;F42&amp;"*",'1'!B$300:B$400,0)),"  ")</f>
        <v>18</v>
      </c>
      <c r="Q42" s="1398" t="str">
        <f>IFERROR(INDEX('2'!C$300:C$400,MATCH("*"&amp;F42&amp;"*",'2'!B$300:B$400,0)),"  ")</f>
        <v xml:space="preserve">  </v>
      </c>
      <c r="R42" s="1398" t="str">
        <f>IFERROR(INDEX('3'!C$300:C$400,MATCH("*"&amp;F42&amp;"*",'3'!B$300:B$400,0)),"  ")</f>
        <v xml:space="preserve">  </v>
      </c>
      <c r="S42" s="1398" t="str">
        <f>IFERROR(INDEX('4'!C$300:C$400,MATCH("*"&amp;F42&amp;"*",'4'!B$300:B$400,0)),"  ")</f>
        <v xml:space="preserve">  </v>
      </c>
      <c r="T42" s="1398" t="str">
        <f>IFERROR(INDEX('5'!C$300:C$400,MATCH("*"&amp;F42&amp;"*",'5'!B$300:B$400,0)),"  ")</f>
        <v xml:space="preserve">  </v>
      </c>
      <c r="U42" s="1398" t="str">
        <f>IFERROR(INDEX('6'!C$300:C$400,MATCH("*"&amp;F42&amp;"*",'6'!B$300:B$400,0)),"  ")</f>
        <v xml:space="preserve">  </v>
      </c>
      <c r="V42" s="1398" t="str">
        <f ca="1">IFERROR(INDEX('7'!C$300:C$400,MATCH("*"&amp;F42&amp;"*",'7'!B$300:B$400,0)),"  ")</f>
        <v xml:space="preserve">  </v>
      </c>
      <c r="W42" s="1398">
        <f>IFERROR(INDEX('8'!C$300:C$400,MATCH("*"&amp;F42&amp;"*",'8'!B$300:B$400,0)),"  ")</f>
        <v>12</v>
      </c>
      <c r="X42" s="1398" t="str">
        <f>IFERROR(INDEX('9'!C$300:C$400,MATCH("*"&amp;F42&amp;"*",'9'!B$300:B$400,0)),"  ")</f>
        <v xml:space="preserve">  </v>
      </c>
      <c r="Y42" s="1398" t="str">
        <f>IFERROR(INDEX('10'!C$300:C$400,MATCH("*"&amp;F42&amp;"*",'10'!B$300:B$400,0)),"  ")</f>
        <v xml:space="preserve">  </v>
      </c>
      <c r="Z42" s="1398" t="str">
        <f>IFERROR(INDEX('11'!C$300:C$400,MATCH("*"&amp;F42&amp;"*",'11'!B$300:B$400,0)),"  ")</f>
        <v xml:space="preserve">  </v>
      </c>
      <c r="AA42" s="1353">
        <f t="shared" ca="1" si="35"/>
        <v>2</v>
      </c>
      <c r="AB42" s="1353">
        <f t="shared" ca="1" si="36"/>
        <v>0</v>
      </c>
      <c r="AC42" s="1353">
        <f t="shared" ca="1" si="37"/>
        <v>0</v>
      </c>
      <c r="AH42" s="1345"/>
      <c r="AS42" s="689">
        <f t="shared" ca="1" si="38"/>
        <v>4.0000000000000002E-4</v>
      </c>
      <c r="AT42" s="690">
        <f t="shared" si="39"/>
        <v>18.0001</v>
      </c>
      <c r="AU42" s="690">
        <f t="shared" si="40"/>
        <v>2.0000000000000001E-4</v>
      </c>
      <c r="AV42" s="690">
        <f t="shared" si="41"/>
        <v>2.9999999999999997E-4</v>
      </c>
      <c r="AW42" s="690">
        <f t="shared" si="42"/>
        <v>4.0000000000000002E-4</v>
      </c>
      <c r="AX42" s="690">
        <f t="shared" si="43"/>
        <v>5.0000000000000001E-4</v>
      </c>
      <c r="AY42" s="690">
        <f t="shared" si="44"/>
        <v>5.9999999999999995E-4</v>
      </c>
      <c r="AZ42" s="690">
        <f t="shared" ca="1" si="45"/>
        <v>6.9999999999999999E-4</v>
      </c>
      <c r="BA42" s="690">
        <f t="shared" si="46"/>
        <v>12.0008</v>
      </c>
      <c r="BB42" s="690">
        <f t="shared" si="47"/>
        <v>8.9999999999999998E-4</v>
      </c>
      <c r="BC42" s="690">
        <f t="shared" si="48"/>
        <v>1E-3</v>
      </c>
      <c r="BD42" s="690">
        <f t="shared" si="49"/>
        <v>1.1000000000000001E-3</v>
      </c>
    </row>
    <row r="43" spans="1:56" x14ac:dyDescent="0.2">
      <c r="A43" s="1378">
        <f t="shared" ca="1" si="25"/>
        <v>9</v>
      </c>
      <c r="B43" s="1392">
        <f t="shared" ca="1" si="26"/>
        <v>39</v>
      </c>
      <c r="C43" s="1380" t="str">
        <f t="shared" si="27"/>
        <v/>
      </c>
      <c r="D43" s="1393" t="str">
        <f t="shared" si="28"/>
        <v/>
      </c>
      <c r="E43" s="1394">
        <f t="shared" ca="1" si="29"/>
        <v>36</v>
      </c>
      <c r="F43" s="1405" t="s">
        <v>508</v>
      </c>
      <c r="G43" s="1379" t="s">
        <v>99</v>
      </c>
      <c r="H43" s="1384"/>
      <c r="I43" s="1385">
        <f t="array" aca="1" ref="I43" ca="1">(IF(COUNT(P43:Z43)&lt;8,SUM(P43:Z43),SUM(LARGE((P43:Z43),{1;2;3;4;5;6;7;8}))))</f>
        <v>26</v>
      </c>
      <c r="J43" s="1388" t="str">
        <f ca="1">INDEX(ETAPP!B$1:B$32,MATCH(COUNTIF(P43:Z43,PIV!A$1),ETAPP!A$1:A$32,0))&amp;INDEX(ETAPP!B$1:B$32,MATCH(COUNTIF(P43:Z43,PIV!A$2),ETAPP!A$1:A$32,0))&amp;INDEX(ETAPP!B$1:B$32,MATCH(COUNTIF(P43:Z43,PIV!A$3),ETAPP!A$1:A$32,0))&amp;INDEX(ETAPP!B$1:B$32,MATCH(COUNTIF(P43:Z43,PIV!A$4),ETAPP!A$1:A$32,0))&amp;INDEX(ETAPP!B$1:B$32,MATCH(COUNTIF(P43:Z43,PIV!A$5),ETAPP!A$1:A$32,0))&amp;INDEX(ETAPP!B$1:B$32,MATCH(COUNTIF(P43:Z43,PIV!A$6),ETAPP!A$1:A$32,0))&amp;INDEX(ETAPP!B$1:B$32,MATCH(COUNTIF(P43:Z43,PIV!A$7),ETAPP!A$1:A$32,0))&amp;INDEX(ETAPP!B$1:B$32,MATCH(COUNTIF(P43:Z43,PIV!A$8),ETAPP!A$1:A$32,0))&amp;INDEX(ETAPP!B$1:B$32,MATCH(COUNTIF(P43:Z43,PIV!A$9),ETAPP!A$1:A$32,0))&amp;INDEX(ETAPP!B$1:B$32,MATCH(COUNTIF(P43:Z43,PIV!A$10),ETAPP!A$1:A$32,0))&amp;INDEX(ETAPP!B$1:B$32,MATCH(COUNTIF(P43:Z43,PIV!A$11),ETAPP!A$1:A$32,0))&amp;INDEX(ETAPP!B$1:B$32,MATCH(COUNTIF(P43:Z43,PIV!A$12),ETAPP!A$1:A$32,0))&amp;INDEX(ETAPP!B$1:B$32,MATCH(COUNTIF(P43:Z43,PIV!A$13),ETAPP!A$1:A$32,0))&amp;INDEX(ETAPP!B$1:B$32,MATCH(COUNTIF(P43:Z43,PIV!A$14),ETAPP!A$1:A$32,0))&amp;INDEX(ETAPP!B$1:B$32,MATCH(COUNTIF(P43:Z43,PIV!A$15),ETAPP!A$1:A$32,0))&amp;INDEX(ETAPP!B$1:B$32,MATCH(COUNTIF(P43:Z43,PIV!A$16),ETAPP!A$1:A$32,0))&amp;INDEX(ETAPP!B$1:B$32,MATCH(COUNTIF(P43:Z43,PIV!A$17),ETAPP!A$1:A$32,0))&amp;INDEX(ETAPP!B$1:B$32,MATCH(COUNTIF(P43:Z43,PIV!A$18),ETAPP!A$1:A$32,0))&amp;INDEX(ETAPP!B$1:B$32,MATCH(COUNTIF(P43:Z43,PIV!A$19),ETAPP!A$1:A$32,0))</f>
        <v>000A00000000000000E</v>
      </c>
      <c r="K43" s="1388" t="str">
        <f t="shared" ca="1" si="30"/>
        <v>026,0-000A00000000000000E</v>
      </c>
      <c r="L43" s="1387">
        <f t="shared" ca="1" si="31"/>
        <v>39</v>
      </c>
      <c r="M43" s="1387">
        <f t="shared" si="32"/>
        <v>68</v>
      </c>
      <c r="N43" s="1388" t="str">
        <f t="shared" ca="1" si="33"/>
        <v>026,0-000A00000000000000E-068</v>
      </c>
      <c r="O43" s="1396">
        <f t="shared" ca="1" si="34"/>
        <v>73</v>
      </c>
      <c r="P43" s="1397" t="str">
        <f>IFERROR(INDEX('1'!C$300:C$400,MATCH("*"&amp;F43&amp;"*",'1'!B$300:B$400,0)),"  ")</f>
        <v xml:space="preserve">  </v>
      </c>
      <c r="Q43" s="1398" t="str">
        <f>IFERROR(INDEX('2'!C$300:C$400,MATCH("*"&amp;F43&amp;"*",'2'!B$300:B$400,0)),"  ")</f>
        <v xml:space="preserve">  </v>
      </c>
      <c r="R43" s="1398">
        <f>IFERROR(INDEX('3'!C$300:C$400,MATCH("*"&amp;F43&amp;"*",'3'!B$300:B$400,0)),"  ")</f>
        <v>26</v>
      </c>
      <c r="S43" s="1398" t="str">
        <f>IFERROR(INDEX('4'!C$300:C$400,MATCH("*"&amp;F43&amp;"*",'4'!B$300:B$400,0)),"  ")</f>
        <v xml:space="preserve">  </v>
      </c>
      <c r="T43" s="1398" t="str">
        <f>IFERROR(INDEX('5'!C$300:C$400,MATCH("*"&amp;F43&amp;"*",'5'!B$300:B$400,0)),"  ")</f>
        <v xml:space="preserve">  </v>
      </c>
      <c r="U43" s="1398" t="str">
        <f>IFERROR(INDEX('6'!C$300:C$400,MATCH("*"&amp;F43&amp;"*",'6'!B$300:B$400,0)),"  ")</f>
        <v xml:space="preserve">  </v>
      </c>
      <c r="V43" s="1398" t="str">
        <f ca="1">IFERROR(INDEX('7'!C$300:C$400,MATCH("*"&amp;F43&amp;"*",'7'!B$300:B$400,0)),"  ")</f>
        <v xml:space="preserve">  </v>
      </c>
      <c r="W43" s="1398" t="str">
        <f>IFERROR(INDEX('8'!C$300:C$400,MATCH("*"&amp;F43&amp;"*",'8'!B$300:B$400,0)),"  ")</f>
        <v xml:space="preserve">  </v>
      </c>
      <c r="X43" s="1398" t="str">
        <f>IFERROR(INDEX('9'!C$300:C$400,MATCH("*"&amp;F43&amp;"*",'9'!B$300:B$400,0)),"  ")</f>
        <v xml:space="preserve">  </v>
      </c>
      <c r="Y43" s="1398" t="str">
        <f>IFERROR(INDEX('10'!C$300:C$400,MATCH("*"&amp;F43&amp;"*",'10'!B$300:B$400,0)),"  ")</f>
        <v xml:space="preserve">  </v>
      </c>
      <c r="Z43" s="1398" t="str">
        <f>IFERROR(INDEX('11'!C$300:C$400,MATCH("*"&amp;F43&amp;"*",'11'!B$300:B$400,0)),"  ")</f>
        <v xml:space="preserve">  </v>
      </c>
      <c r="AA43" s="1353">
        <f t="shared" ca="1" si="35"/>
        <v>1</v>
      </c>
      <c r="AB43" s="1353">
        <f t="shared" ca="1" si="36"/>
        <v>0</v>
      </c>
      <c r="AC43" s="1353">
        <f t="shared" ca="1" si="37"/>
        <v>0</v>
      </c>
      <c r="AH43" s="1345"/>
      <c r="AS43" s="689">
        <f t="shared" ca="1" si="38"/>
        <v>4.0000000000000002E-4</v>
      </c>
      <c r="AT43" s="690">
        <f t="shared" si="39"/>
        <v>1E-4</v>
      </c>
      <c r="AU43" s="690">
        <f t="shared" si="40"/>
        <v>2.0000000000000001E-4</v>
      </c>
      <c r="AV43" s="690">
        <f t="shared" si="41"/>
        <v>26.000299999999999</v>
      </c>
      <c r="AW43" s="690">
        <f t="shared" si="42"/>
        <v>4.0000000000000002E-4</v>
      </c>
      <c r="AX43" s="690">
        <f t="shared" si="43"/>
        <v>5.0000000000000001E-4</v>
      </c>
      <c r="AY43" s="690">
        <f t="shared" si="44"/>
        <v>5.9999999999999995E-4</v>
      </c>
      <c r="AZ43" s="690">
        <f t="shared" ca="1" si="45"/>
        <v>6.9999999999999999E-4</v>
      </c>
      <c r="BA43" s="690">
        <f t="shared" si="46"/>
        <v>8.0000000000000004E-4</v>
      </c>
      <c r="BB43" s="690">
        <f t="shared" si="47"/>
        <v>8.9999999999999998E-4</v>
      </c>
      <c r="BC43" s="690">
        <f t="shared" si="48"/>
        <v>1E-3</v>
      </c>
      <c r="BD43" s="690">
        <f t="shared" si="49"/>
        <v>1.1000000000000001E-3</v>
      </c>
    </row>
    <row r="44" spans="1:56" x14ac:dyDescent="0.2">
      <c r="A44" s="1378" t="str">
        <f t="shared" si="25"/>
        <v/>
      </c>
      <c r="B44" s="1392" t="str">
        <f t="shared" si="26"/>
        <v/>
      </c>
      <c r="C44" s="1380" t="str">
        <f t="shared" si="27"/>
        <v/>
      </c>
      <c r="D44" s="1393" t="str">
        <f t="shared" si="28"/>
        <v/>
      </c>
      <c r="E44" s="1394">
        <f t="shared" ca="1" si="29"/>
        <v>36</v>
      </c>
      <c r="F44" s="1360" t="s">
        <v>103</v>
      </c>
      <c r="G44" s="1379"/>
      <c r="H44" s="1384"/>
      <c r="I44" s="1385">
        <f t="array" aca="1" ref="I44" ca="1">(IF(COUNT(P44:Z44)&lt;8,SUM(P44:Z44),SUM(LARGE((P44:Z44),{1;2;3;4;5;6;7;8}))))</f>
        <v>26</v>
      </c>
      <c r="J44" s="1388" t="str">
        <f ca="1">INDEX(ETAPP!B$1:B$32,MATCH(COUNTIF(P44:Z44,PIV!A$1),ETAPP!A$1:A$32,0))&amp;INDEX(ETAPP!B$1:B$32,MATCH(COUNTIF(P44:Z44,PIV!A$2),ETAPP!A$1:A$32,0))&amp;INDEX(ETAPP!B$1:B$32,MATCH(COUNTIF(P44:Z44,PIV!A$3),ETAPP!A$1:A$32,0))&amp;INDEX(ETAPP!B$1:B$32,MATCH(COUNTIF(P44:Z44,PIV!A$4),ETAPP!A$1:A$32,0))&amp;INDEX(ETAPP!B$1:B$32,MATCH(COUNTIF(P44:Z44,PIV!A$5),ETAPP!A$1:A$32,0))&amp;INDEX(ETAPP!B$1:B$32,MATCH(COUNTIF(P44:Z44,PIV!A$6),ETAPP!A$1:A$32,0))&amp;INDEX(ETAPP!B$1:B$32,MATCH(COUNTIF(P44:Z44,PIV!A$7),ETAPP!A$1:A$32,0))&amp;INDEX(ETAPP!B$1:B$32,MATCH(COUNTIF(P44:Z44,PIV!A$8),ETAPP!A$1:A$32,0))&amp;INDEX(ETAPP!B$1:B$32,MATCH(COUNTIF(P44:Z44,PIV!A$9),ETAPP!A$1:A$32,0))&amp;INDEX(ETAPP!B$1:B$32,MATCH(COUNTIF(P44:Z44,PIV!A$10),ETAPP!A$1:A$32,0))&amp;INDEX(ETAPP!B$1:B$32,MATCH(COUNTIF(P44:Z44,PIV!A$11),ETAPP!A$1:A$32,0))&amp;INDEX(ETAPP!B$1:B$32,MATCH(COUNTIF(P44:Z44,PIV!A$12),ETAPP!A$1:A$32,0))&amp;INDEX(ETAPP!B$1:B$32,MATCH(COUNTIF(P44:Z44,PIV!A$13),ETAPP!A$1:A$32,0))&amp;INDEX(ETAPP!B$1:B$32,MATCH(COUNTIF(P44:Z44,PIV!A$14),ETAPP!A$1:A$32,0))&amp;INDEX(ETAPP!B$1:B$32,MATCH(COUNTIF(P44:Z44,PIV!A$15),ETAPP!A$1:A$32,0))&amp;INDEX(ETAPP!B$1:B$32,MATCH(COUNTIF(P44:Z44,PIV!A$16),ETAPP!A$1:A$32,0))&amp;INDEX(ETAPP!B$1:B$32,MATCH(COUNTIF(P44:Z44,PIV!A$17),ETAPP!A$1:A$32,0))&amp;INDEX(ETAPP!B$1:B$32,MATCH(COUNTIF(P44:Z44,PIV!A$18),ETAPP!A$1:A$32,0))&amp;INDEX(ETAPP!B$1:B$32,MATCH(COUNTIF(P44:Z44,PIV!A$19),ETAPP!A$1:A$32,0))</f>
        <v>000A00000000000000E</v>
      </c>
      <c r="K44" s="1388" t="str">
        <f t="shared" ca="1" si="30"/>
        <v>026,0-000A00000000000000E</v>
      </c>
      <c r="L44" s="1387">
        <f t="shared" ca="1" si="31"/>
        <v>39</v>
      </c>
      <c r="M44" s="1387">
        <f t="shared" si="32"/>
        <v>59</v>
      </c>
      <c r="N44" s="1388" t="str">
        <f t="shared" ca="1" si="33"/>
        <v>026,0-000A00000000000000E-059</v>
      </c>
      <c r="O44" s="1396">
        <f t="shared" ca="1" si="34"/>
        <v>72</v>
      </c>
      <c r="P44" s="1397" t="str">
        <f>IFERROR(INDEX('1'!C$300:C$400,MATCH("*"&amp;F44&amp;"*",'1'!B$300:B$400,0)),"  ")</f>
        <v xml:space="preserve">  </v>
      </c>
      <c r="Q44" s="1398" t="str">
        <f>IFERROR(INDEX('2'!C$300:C$400,MATCH("*"&amp;F44&amp;"*",'2'!B$300:B$400,0)),"  ")</f>
        <v xml:space="preserve">  </v>
      </c>
      <c r="R44" s="1398" t="str">
        <f>IFERROR(INDEX('3'!C$300:C$400,MATCH("*"&amp;F44&amp;"*",'3'!B$300:B$400,0)),"  ")</f>
        <v xml:space="preserve">  </v>
      </c>
      <c r="S44" s="1398" t="str">
        <f>IFERROR(INDEX('4'!C$300:C$400,MATCH("*"&amp;F44&amp;"*",'4'!B$300:B$400,0)),"  ")</f>
        <v xml:space="preserve">  </v>
      </c>
      <c r="T44" s="1398" t="str">
        <f>IFERROR(INDEX('5'!C$300:C$400,MATCH("*"&amp;F44&amp;"*",'5'!B$300:B$400,0)),"  ")</f>
        <v xml:space="preserve">  </v>
      </c>
      <c r="U44" s="1398" t="str">
        <f>IFERROR(INDEX('6'!C$300:C$400,MATCH("*"&amp;F44&amp;"*",'6'!B$300:B$400,0)),"  ")</f>
        <v xml:space="preserve">  </v>
      </c>
      <c r="V44" s="1398" t="str">
        <f ca="1">IFERROR(INDEX('7'!C$300:C$400,MATCH("*"&amp;F44&amp;"*",'7'!B$300:B$400,0)),"  ")</f>
        <v xml:space="preserve">  </v>
      </c>
      <c r="W44" s="1398" t="str">
        <f>IFERROR(INDEX('8'!C$300:C$400,MATCH("*"&amp;F44&amp;"*",'8'!B$300:B$400,0)),"  ")</f>
        <v xml:space="preserve">  </v>
      </c>
      <c r="X44" s="1398">
        <f>IFERROR(INDEX('9'!C$300:C$400,MATCH("*"&amp;F44&amp;"*",'9'!B$300:B$400,0)),"  ")</f>
        <v>26</v>
      </c>
      <c r="Y44" s="1398" t="str">
        <f>IFERROR(INDEX('10'!C$300:C$400,MATCH("*"&amp;F44&amp;"*",'10'!B$300:B$400,0)),"  ")</f>
        <v xml:space="preserve">  </v>
      </c>
      <c r="Z44" s="1398" t="str">
        <f>IFERROR(INDEX('11'!C$300:C$400,MATCH("*"&amp;F44&amp;"*",'11'!B$300:B$400,0)),"  ")</f>
        <v xml:space="preserve">  </v>
      </c>
      <c r="AA44" s="1353">
        <f t="shared" ca="1" si="35"/>
        <v>1</v>
      </c>
      <c r="AB44" s="1353">
        <f t="shared" ca="1" si="36"/>
        <v>0</v>
      </c>
      <c r="AC44" s="1353">
        <f t="shared" ca="1" si="37"/>
        <v>0</v>
      </c>
      <c r="AH44" s="1345"/>
      <c r="AS44" s="689">
        <f t="shared" ca="1" si="38"/>
        <v>2.9999999999999997E-4</v>
      </c>
      <c r="AT44" s="690">
        <f t="shared" si="39"/>
        <v>1E-4</v>
      </c>
      <c r="AU44" s="690">
        <f t="shared" si="40"/>
        <v>2.0000000000000001E-4</v>
      </c>
      <c r="AV44" s="690">
        <f t="shared" si="41"/>
        <v>2.9999999999999997E-4</v>
      </c>
      <c r="AW44" s="690">
        <f t="shared" si="42"/>
        <v>4.0000000000000002E-4</v>
      </c>
      <c r="AX44" s="690">
        <f t="shared" si="43"/>
        <v>5.0000000000000001E-4</v>
      </c>
      <c r="AY44" s="690">
        <f t="shared" si="44"/>
        <v>5.9999999999999995E-4</v>
      </c>
      <c r="AZ44" s="690">
        <f t="shared" ca="1" si="45"/>
        <v>6.9999999999999999E-4</v>
      </c>
      <c r="BA44" s="690">
        <f t="shared" si="46"/>
        <v>8.0000000000000004E-4</v>
      </c>
      <c r="BB44" s="690">
        <f t="shared" si="47"/>
        <v>26.000900000000001</v>
      </c>
      <c r="BC44" s="690">
        <f t="shared" si="48"/>
        <v>1E-3</v>
      </c>
      <c r="BD44" s="690">
        <f t="shared" si="49"/>
        <v>1.1000000000000001E-3</v>
      </c>
    </row>
    <row r="45" spans="1:56" x14ac:dyDescent="0.2">
      <c r="A45" s="1378" t="str">
        <f t="shared" si="25"/>
        <v/>
      </c>
      <c r="B45" s="1392" t="str">
        <f t="shared" si="26"/>
        <v/>
      </c>
      <c r="C45" s="1380" t="str">
        <f t="shared" si="27"/>
        <v/>
      </c>
      <c r="D45" s="1393" t="str">
        <f t="shared" si="28"/>
        <v/>
      </c>
      <c r="E45" s="1394">
        <f t="shared" ca="1" si="29"/>
        <v>36</v>
      </c>
      <c r="F45" s="1405" t="s">
        <v>513</v>
      </c>
      <c r="G45" s="1379"/>
      <c r="H45" s="1384"/>
      <c r="I45" s="1385">
        <f t="array" aca="1" ref="I45" ca="1">(IF(COUNT(P45:Z45)&lt;8,SUM(P45:Z45),SUM(LARGE((P45:Z45),{1;2;3;4;5;6;7;8}))))</f>
        <v>26</v>
      </c>
      <c r="J45" s="1388" t="str">
        <f ca="1">INDEX(ETAPP!B$1:B$32,MATCH(COUNTIF(P45:Z45,PIV!A$1),ETAPP!A$1:A$32,0))&amp;INDEX(ETAPP!B$1:B$32,MATCH(COUNTIF(P45:Z45,PIV!A$2),ETAPP!A$1:A$32,0))&amp;INDEX(ETAPP!B$1:B$32,MATCH(COUNTIF(P45:Z45,PIV!A$3),ETAPP!A$1:A$32,0))&amp;INDEX(ETAPP!B$1:B$32,MATCH(COUNTIF(P45:Z45,PIV!A$4),ETAPP!A$1:A$32,0))&amp;INDEX(ETAPP!B$1:B$32,MATCH(COUNTIF(P45:Z45,PIV!A$5),ETAPP!A$1:A$32,0))&amp;INDEX(ETAPP!B$1:B$32,MATCH(COUNTIF(P45:Z45,PIV!A$6),ETAPP!A$1:A$32,0))&amp;INDEX(ETAPP!B$1:B$32,MATCH(COUNTIF(P45:Z45,PIV!A$7),ETAPP!A$1:A$32,0))&amp;INDEX(ETAPP!B$1:B$32,MATCH(COUNTIF(P45:Z45,PIV!A$8),ETAPP!A$1:A$32,0))&amp;INDEX(ETAPP!B$1:B$32,MATCH(COUNTIF(P45:Z45,PIV!A$9),ETAPP!A$1:A$32,0))&amp;INDEX(ETAPP!B$1:B$32,MATCH(COUNTIF(P45:Z45,PIV!A$10),ETAPP!A$1:A$32,0))&amp;INDEX(ETAPP!B$1:B$32,MATCH(COUNTIF(P45:Z45,PIV!A$11),ETAPP!A$1:A$32,0))&amp;INDEX(ETAPP!B$1:B$32,MATCH(COUNTIF(P45:Z45,PIV!A$12),ETAPP!A$1:A$32,0))&amp;INDEX(ETAPP!B$1:B$32,MATCH(COUNTIF(P45:Z45,PIV!A$13),ETAPP!A$1:A$32,0))&amp;INDEX(ETAPP!B$1:B$32,MATCH(COUNTIF(P45:Z45,PIV!A$14),ETAPP!A$1:A$32,0))&amp;INDEX(ETAPP!B$1:B$32,MATCH(COUNTIF(P45:Z45,PIV!A$15),ETAPP!A$1:A$32,0))&amp;INDEX(ETAPP!B$1:B$32,MATCH(COUNTIF(P45:Z45,PIV!A$16),ETAPP!A$1:A$32,0))&amp;INDEX(ETAPP!B$1:B$32,MATCH(COUNTIF(P45:Z45,PIV!A$17),ETAPP!A$1:A$32,0))&amp;INDEX(ETAPP!B$1:B$32,MATCH(COUNTIF(P45:Z45,PIV!A$18),ETAPP!A$1:A$32,0))&amp;INDEX(ETAPP!B$1:B$32,MATCH(COUNTIF(P45:Z45,PIV!A$19),ETAPP!A$1:A$32,0))</f>
        <v>000A00000000000000E</v>
      </c>
      <c r="K45" s="1388" t="str">
        <f t="shared" ca="1" si="30"/>
        <v>026,0-000A00000000000000E</v>
      </c>
      <c r="L45" s="1387">
        <f t="shared" ca="1" si="31"/>
        <v>39</v>
      </c>
      <c r="M45" s="1387">
        <f t="shared" si="32"/>
        <v>33</v>
      </c>
      <c r="N45" s="1388" t="str">
        <f t="shared" ca="1" si="33"/>
        <v>026,0-000A00000000000000E-033</v>
      </c>
      <c r="O45" s="1396">
        <f t="shared" ca="1" si="34"/>
        <v>71</v>
      </c>
      <c r="P45" s="1397" t="str">
        <f>IFERROR(INDEX('1'!C$300:C$400,MATCH("*"&amp;F45&amp;"*",'1'!B$300:B$400,0)),"  ")</f>
        <v xml:space="preserve">  </v>
      </c>
      <c r="Q45" s="1398" t="str">
        <f>IFERROR(INDEX('2'!C$300:C$400,MATCH("*"&amp;F45&amp;"*",'2'!B$300:B$400,0)),"  ")</f>
        <v xml:space="preserve">  </v>
      </c>
      <c r="R45" s="1398">
        <f>IFERROR(INDEX('3'!C$300:C$400,MATCH("*"&amp;F45&amp;"*",'3'!B$300:B$400,0)),"  ")</f>
        <v>26</v>
      </c>
      <c r="S45" s="1398" t="str">
        <f>IFERROR(INDEX('4'!C$300:C$400,MATCH("*"&amp;F45&amp;"*",'4'!B$300:B$400,0)),"  ")</f>
        <v xml:space="preserve">  </v>
      </c>
      <c r="T45" s="1398" t="str">
        <f>IFERROR(INDEX('5'!C$300:C$400,MATCH("*"&amp;F45&amp;"*",'5'!B$300:B$400,0)),"  ")</f>
        <v xml:space="preserve">  </v>
      </c>
      <c r="U45" s="1398" t="str">
        <f>IFERROR(INDEX('6'!C$300:C$400,MATCH("*"&amp;F45&amp;"*",'6'!B$300:B$400,0)),"  ")</f>
        <v xml:space="preserve">  </v>
      </c>
      <c r="V45" s="1398" t="str">
        <f ca="1">IFERROR(INDEX('7'!C$300:C$400,MATCH("*"&amp;F45&amp;"*",'7'!B$300:B$400,0)),"  ")</f>
        <v xml:space="preserve">  </v>
      </c>
      <c r="W45" s="1398" t="str">
        <f>IFERROR(INDEX('8'!C$300:C$400,MATCH("*"&amp;F45&amp;"*",'8'!B$300:B$400,0)),"  ")</f>
        <v xml:space="preserve">  </v>
      </c>
      <c r="X45" s="1398" t="str">
        <f>IFERROR(INDEX('9'!C$300:C$400,MATCH("*"&amp;F45&amp;"*",'9'!B$300:B$400,0)),"  ")</f>
        <v xml:space="preserve">  </v>
      </c>
      <c r="Y45" s="1398" t="str">
        <f>IFERROR(INDEX('10'!C$300:C$400,MATCH("*"&amp;F45&amp;"*",'10'!B$300:B$400,0)),"  ")</f>
        <v xml:space="preserve">  </v>
      </c>
      <c r="Z45" s="1398" t="str">
        <f>IFERROR(INDEX('11'!C$300:C$400,MATCH("*"&amp;F45&amp;"*",'11'!B$300:B$400,0)),"  ")</f>
        <v xml:space="preserve">  </v>
      </c>
      <c r="AA45" s="1353">
        <f t="shared" ca="1" si="35"/>
        <v>1</v>
      </c>
      <c r="AB45" s="1353">
        <f t="shared" ca="1" si="36"/>
        <v>0</v>
      </c>
      <c r="AC45" s="1353">
        <f t="shared" ca="1" si="37"/>
        <v>0</v>
      </c>
      <c r="AH45" s="1345"/>
      <c r="AS45" s="689">
        <f t="shared" ca="1" si="38"/>
        <v>4.0000000000000002E-4</v>
      </c>
      <c r="AT45" s="690">
        <f t="shared" si="39"/>
        <v>1E-4</v>
      </c>
      <c r="AU45" s="690">
        <f t="shared" si="40"/>
        <v>2.0000000000000001E-4</v>
      </c>
      <c r="AV45" s="690">
        <f t="shared" si="41"/>
        <v>26.000299999999999</v>
      </c>
      <c r="AW45" s="690">
        <f t="shared" si="42"/>
        <v>4.0000000000000002E-4</v>
      </c>
      <c r="AX45" s="690">
        <f t="shared" si="43"/>
        <v>5.0000000000000001E-4</v>
      </c>
      <c r="AY45" s="690">
        <f t="shared" si="44"/>
        <v>5.9999999999999995E-4</v>
      </c>
      <c r="AZ45" s="690">
        <f t="shared" ca="1" si="45"/>
        <v>6.9999999999999999E-4</v>
      </c>
      <c r="BA45" s="690">
        <f t="shared" si="46"/>
        <v>8.0000000000000004E-4</v>
      </c>
      <c r="BB45" s="690">
        <f t="shared" si="47"/>
        <v>8.9999999999999998E-4</v>
      </c>
      <c r="BC45" s="690">
        <f t="shared" si="48"/>
        <v>1E-3</v>
      </c>
      <c r="BD45" s="690">
        <f t="shared" si="49"/>
        <v>1.1000000000000001E-3</v>
      </c>
    </row>
    <row r="46" spans="1:56" x14ac:dyDescent="0.2">
      <c r="A46" s="1378" t="str">
        <f t="shared" si="25"/>
        <v/>
      </c>
      <c r="B46" s="1392" t="str">
        <f t="shared" si="26"/>
        <v/>
      </c>
      <c r="C46" s="1380" t="str">
        <f t="shared" si="27"/>
        <v/>
      </c>
      <c r="D46" s="1393" t="str">
        <f t="shared" si="28"/>
        <v/>
      </c>
      <c r="E46" s="1394">
        <f t="shared" ca="1" si="29"/>
        <v>36</v>
      </c>
      <c r="F46" s="1405" t="s">
        <v>237</v>
      </c>
      <c r="G46" s="1379"/>
      <c r="H46" s="1384"/>
      <c r="I46" s="1385">
        <f t="array" aca="1" ref="I46" ca="1">(IF(COUNT(P46:Z46)&lt;8,SUM(P46:Z46),SUM(LARGE((P46:Z46),{1;2;3;4;5;6;7;8}))))</f>
        <v>26</v>
      </c>
      <c r="J46" s="1388" t="str">
        <f ca="1">INDEX(ETAPP!B$1:B$32,MATCH(COUNTIF(P46:Z46,PIV!A$1),ETAPP!A$1:A$32,0))&amp;INDEX(ETAPP!B$1:B$32,MATCH(COUNTIF(P46:Z46,PIV!A$2),ETAPP!A$1:A$32,0))&amp;INDEX(ETAPP!B$1:B$32,MATCH(COUNTIF(P46:Z46,PIV!A$3),ETAPP!A$1:A$32,0))&amp;INDEX(ETAPP!B$1:B$32,MATCH(COUNTIF(P46:Z46,PIV!A$4),ETAPP!A$1:A$32,0))&amp;INDEX(ETAPP!B$1:B$32,MATCH(COUNTIF(P46:Z46,PIV!A$5),ETAPP!A$1:A$32,0))&amp;INDEX(ETAPP!B$1:B$32,MATCH(COUNTIF(P46:Z46,PIV!A$6),ETAPP!A$1:A$32,0))&amp;INDEX(ETAPP!B$1:B$32,MATCH(COUNTIF(P46:Z46,PIV!A$7),ETAPP!A$1:A$32,0))&amp;INDEX(ETAPP!B$1:B$32,MATCH(COUNTIF(P46:Z46,PIV!A$8),ETAPP!A$1:A$32,0))&amp;INDEX(ETAPP!B$1:B$32,MATCH(COUNTIF(P46:Z46,PIV!A$9),ETAPP!A$1:A$32,0))&amp;INDEX(ETAPP!B$1:B$32,MATCH(COUNTIF(P46:Z46,PIV!A$10),ETAPP!A$1:A$32,0))&amp;INDEX(ETAPP!B$1:B$32,MATCH(COUNTIF(P46:Z46,PIV!A$11),ETAPP!A$1:A$32,0))&amp;INDEX(ETAPP!B$1:B$32,MATCH(COUNTIF(P46:Z46,PIV!A$12),ETAPP!A$1:A$32,0))&amp;INDEX(ETAPP!B$1:B$32,MATCH(COUNTIF(P46:Z46,PIV!A$13),ETAPP!A$1:A$32,0))&amp;INDEX(ETAPP!B$1:B$32,MATCH(COUNTIF(P46:Z46,PIV!A$14),ETAPP!A$1:A$32,0))&amp;INDEX(ETAPP!B$1:B$32,MATCH(COUNTIF(P46:Z46,PIV!A$15),ETAPP!A$1:A$32,0))&amp;INDEX(ETAPP!B$1:B$32,MATCH(COUNTIF(P46:Z46,PIV!A$16),ETAPP!A$1:A$32,0))&amp;INDEX(ETAPP!B$1:B$32,MATCH(COUNTIF(P46:Z46,PIV!A$17),ETAPP!A$1:A$32,0))&amp;INDEX(ETAPP!B$1:B$32,MATCH(COUNTIF(P46:Z46,PIV!A$18),ETAPP!A$1:A$32,0))&amp;INDEX(ETAPP!B$1:B$32,MATCH(COUNTIF(P46:Z46,PIV!A$19),ETAPP!A$1:A$32,0))</f>
        <v>000A00000000000000E</v>
      </c>
      <c r="K46" s="1388" t="str">
        <f t="shared" ca="1" si="30"/>
        <v>026,0-000A00000000000000E</v>
      </c>
      <c r="L46" s="1387">
        <f t="shared" ca="1" si="31"/>
        <v>39</v>
      </c>
      <c r="M46" s="1387">
        <f t="shared" si="32"/>
        <v>29</v>
      </c>
      <c r="N46" s="1388" t="str">
        <f t="shared" ca="1" si="33"/>
        <v>026,0-000A00000000000000E-029</v>
      </c>
      <c r="O46" s="1396">
        <f t="shared" ca="1" si="34"/>
        <v>70</v>
      </c>
      <c r="P46" s="1397" t="str">
        <f>IFERROR(INDEX('1'!C$300:C$400,MATCH("*"&amp;F46&amp;"*",'1'!B$300:B$400,0)),"  ")</f>
        <v xml:space="preserve">  </v>
      </c>
      <c r="Q46" s="1398" t="str">
        <f>IFERROR(INDEX('2'!C$300:C$400,MATCH("*"&amp;F46&amp;"*",'2'!B$300:B$400,0)),"  ")</f>
        <v xml:space="preserve">  </v>
      </c>
      <c r="R46" s="1398">
        <f>IFERROR(INDEX('3'!C$300:C$400,MATCH("*"&amp;F46&amp;"*",'3'!B$300:B$400,0)),"  ")</f>
        <v>26</v>
      </c>
      <c r="S46" s="1398" t="str">
        <f>IFERROR(INDEX('4'!C$300:C$400,MATCH("*"&amp;F46&amp;"*",'4'!B$300:B$400,0)),"  ")</f>
        <v xml:space="preserve">  </v>
      </c>
      <c r="T46" s="1398" t="str">
        <f>IFERROR(INDEX('5'!C$300:C$400,MATCH("*"&amp;F46&amp;"*",'5'!B$300:B$400,0)),"  ")</f>
        <v xml:space="preserve">  </v>
      </c>
      <c r="U46" s="1398" t="str">
        <f>IFERROR(INDEX('6'!C$300:C$400,MATCH("*"&amp;F46&amp;"*",'6'!B$300:B$400,0)),"  ")</f>
        <v xml:space="preserve">  </v>
      </c>
      <c r="V46" s="1398" t="str">
        <f ca="1">IFERROR(INDEX('7'!C$300:C$400,MATCH("*"&amp;F46&amp;"*",'7'!B$300:B$400,0)),"  ")</f>
        <v xml:space="preserve">  </v>
      </c>
      <c r="W46" s="1398" t="str">
        <f>IFERROR(INDEX('8'!C$300:C$400,MATCH("*"&amp;F46&amp;"*",'8'!B$300:B$400,0)),"  ")</f>
        <v xml:space="preserve">  </v>
      </c>
      <c r="X46" s="1398" t="str">
        <f>IFERROR(INDEX('9'!C$300:C$400,MATCH("*"&amp;F46&amp;"*",'9'!B$300:B$400,0)),"  ")</f>
        <v xml:space="preserve">  </v>
      </c>
      <c r="Y46" s="1398" t="str">
        <f>IFERROR(INDEX('10'!C$300:C$400,MATCH("*"&amp;F46&amp;"*",'10'!B$300:B$400,0)),"  ")</f>
        <v xml:space="preserve">  </v>
      </c>
      <c r="Z46" s="1398" t="str">
        <f>IFERROR(INDEX('11'!C$300:C$400,MATCH("*"&amp;F46&amp;"*",'11'!B$300:B$400,0)),"  ")</f>
        <v xml:space="preserve">  </v>
      </c>
      <c r="AA46" s="1353">
        <f t="shared" ca="1" si="35"/>
        <v>1</v>
      </c>
      <c r="AB46" s="1353">
        <f t="shared" ca="1" si="36"/>
        <v>0</v>
      </c>
      <c r="AC46" s="1353">
        <f t="shared" ca="1" si="37"/>
        <v>0</v>
      </c>
      <c r="AH46" s="1345"/>
      <c r="AS46" s="689">
        <f t="shared" ca="1" si="38"/>
        <v>4.0000000000000002E-4</v>
      </c>
      <c r="AT46" s="690">
        <f t="shared" si="39"/>
        <v>1E-4</v>
      </c>
      <c r="AU46" s="690">
        <f t="shared" si="40"/>
        <v>2.0000000000000001E-4</v>
      </c>
      <c r="AV46" s="690">
        <f t="shared" si="41"/>
        <v>26.000299999999999</v>
      </c>
      <c r="AW46" s="690">
        <f t="shared" si="42"/>
        <v>4.0000000000000002E-4</v>
      </c>
      <c r="AX46" s="690">
        <f t="shared" si="43"/>
        <v>5.0000000000000001E-4</v>
      </c>
      <c r="AY46" s="690">
        <f t="shared" si="44"/>
        <v>5.9999999999999995E-4</v>
      </c>
      <c r="AZ46" s="690">
        <f t="shared" ca="1" si="45"/>
        <v>6.9999999999999999E-4</v>
      </c>
      <c r="BA46" s="690">
        <f t="shared" si="46"/>
        <v>8.0000000000000004E-4</v>
      </c>
      <c r="BB46" s="690">
        <f t="shared" si="47"/>
        <v>8.9999999999999998E-4</v>
      </c>
      <c r="BC46" s="690">
        <f t="shared" si="48"/>
        <v>1E-3</v>
      </c>
      <c r="BD46" s="690">
        <f t="shared" si="49"/>
        <v>1.1000000000000001E-3</v>
      </c>
    </row>
    <row r="47" spans="1:56" x14ac:dyDescent="0.2">
      <c r="A47" s="1378">
        <f t="shared" ca="1" si="25"/>
        <v>10</v>
      </c>
      <c r="B47" s="1392">
        <f t="shared" ca="1" si="26"/>
        <v>40</v>
      </c>
      <c r="C47" s="1380" t="str">
        <f t="shared" si="27"/>
        <v/>
      </c>
      <c r="D47" s="1393" t="str">
        <f t="shared" si="28"/>
        <v/>
      </c>
      <c r="E47" s="1394">
        <f t="shared" ca="1" si="29"/>
        <v>40</v>
      </c>
      <c r="F47" s="1401" t="s">
        <v>539</v>
      </c>
      <c r="G47" s="1379" t="s">
        <v>99</v>
      </c>
      <c r="H47" s="1384"/>
      <c r="I47" s="1385">
        <f t="array" aca="1" ref="I47" ca="1">(IF(COUNT(P47:Z47)&lt;8,SUM(P47:Z47),SUM(LARGE((P47:Z47),{1;2;3;4;5;6;7;8}))))</f>
        <v>26</v>
      </c>
      <c r="J47" s="1388" t="str">
        <f ca="1">INDEX(ETAPP!B$1:B$32,MATCH(COUNTIF(P47:Z47,PIV!A$1),ETAPP!A$1:A$32,0))&amp;INDEX(ETAPP!B$1:B$32,MATCH(COUNTIF(P47:Z47,PIV!A$2),ETAPP!A$1:A$32,0))&amp;INDEX(ETAPP!B$1:B$32,MATCH(COUNTIF(P47:Z47,PIV!A$3),ETAPP!A$1:A$32,0))&amp;INDEX(ETAPP!B$1:B$32,MATCH(COUNTIF(P47:Z47,PIV!A$4),ETAPP!A$1:A$32,0))&amp;INDEX(ETAPP!B$1:B$32,MATCH(COUNTIF(P47:Z47,PIV!A$5),ETAPP!A$1:A$32,0))&amp;INDEX(ETAPP!B$1:B$32,MATCH(COUNTIF(P47:Z47,PIV!A$6),ETAPP!A$1:A$32,0))&amp;INDEX(ETAPP!B$1:B$32,MATCH(COUNTIF(P47:Z47,PIV!A$7),ETAPP!A$1:A$32,0))&amp;INDEX(ETAPP!B$1:B$32,MATCH(COUNTIF(P47:Z47,PIV!A$8),ETAPP!A$1:A$32,0))&amp;INDEX(ETAPP!B$1:B$32,MATCH(COUNTIF(P47:Z47,PIV!A$9),ETAPP!A$1:A$32,0))&amp;INDEX(ETAPP!B$1:B$32,MATCH(COUNTIF(P47:Z47,PIV!A$10),ETAPP!A$1:A$32,0))&amp;INDEX(ETAPP!B$1:B$32,MATCH(COUNTIF(P47:Z47,PIV!A$11),ETAPP!A$1:A$32,0))&amp;INDEX(ETAPP!B$1:B$32,MATCH(COUNTIF(P47:Z47,PIV!A$12),ETAPP!A$1:A$32,0))&amp;INDEX(ETAPP!B$1:B$32,MATCH(COUNTIF(P47:Z47,PIV!A$13),ETAPP!A$1:A$32,0))&amp;INDEX(ETAPP!B$1:B$32,MATCH(COUNTIF(P47:Z47,PIV!A$14),ETAPP!A$1:A$32,0))&amp;INDEX(ETAPP!B$1:B$32,MATCH(COUNTIF(P47:Z47,PIV!A$15),ETAPP!A$1:A$32,0))&amp;INDEX(ETAPP!B$1:B$32,MATCH(COUNTIF(P47:Z47,PIV!A$16),ETAPP!A$1:A$32,0))&amp;INDEX(ETAPP!B$1:B$32,MATCH(COUNTIF(P47:Z47,PIV!A$17),ETAPP!A$1:A$32,0))&amp;INDEX(ETAPP!B$1:B$32,MATCH(COUNTIF(P47:Z47,PIV!A$18),ETAPP!A$1:A$32,0))&amp;INDEX(ETAPP!B$1:B$32,MATCH(COUNTIF(P47:Z47,PIV!A$19),ETAPP!A$1:A$32,0))</f>
        <v>00000A00000000A000D</v>
      </c>
      <c r="K47" s="1388" t="str">
        <f t="shared" ca="1" si="30"/>
        <v>026,0-00000A00000000A000D</v>
      </c>
      <c r="L47" s="1387">
        <f t="shared" ca="1" si="31"/>
        <v>40</v>
      </c>
      <c r="M47" s="1387">
        <f t="shared" si="32"/>
        <v>56</v>
      </c>
      <c r="N47" s="1388" t="str">
        <f t="shared" ca="1" si="33"/>
        <v>026,0-00000A00000000A000D-056</v>
      </c>
      <c r="O47" s="1396">
        <f t="shared" ca="1" si="34"/>
        <v>69</v>
      </c>
      <c r="P47" s="1397" t="str">
        <f>IFERROR(INDEX('1'!C$300:C$400,MATCH("*"&amp;F47&amp;"*",'1'!B$300:B$400,0)),"  ")</f>
        <v xml:space="preserve">  </v>
      </c>
      <c r="Q47" s="1398" t="str">
        <f>IFERROR(INDEX('2'!C$300:C$400,MATCH("*"&amp;F47&amp;"*",'2'!B$300:B$400,0)),"  ")</f>
        <v xml:space="preserve">  </v>
      </c>
      <c r="R47" s="1398" t="str">
        <f>IFERROR(INDEX('3'!C$300:C$400,MATCH("*"&amp;F47&amp;"*",'3'!B$300:B$400,0)),"  ")</f>
        <v xml:space="preserve">  </v>
      </c>
      <c r="S47" s="1398" t="str">
        <f>IFERROR(INDEX('4'!C$300:C$400,MATCH("*"&amp;F47&amp;"*",'4'!B$300:B$400,0)),"  ")</f>
        <v xml:space="preserve">  </v>
      </c>
      <c r="T47" s="1398">
        <f>IFERROR(INDEX('5'!C$300:C$400,MATCH("*"&amp;F47&amp;"*",'5'!B$300:B$400,0)),"  ")</f>
        <v>22</v>
      </c>
      <c r="U47" s="1398" t="str">
        <f>IFERROR(INDEX('6'!C$300:C$400,MATCH("*"&amp;F47&amp;"*",'6'!B$300:B$400,0)),"  ")</f>
        <v xml:space="preserve">  </v>
      </c>
      <c r="V47" s="1398" t="str">
        <f ca="1">IFERROR(INDEX('7'!C$300:C$400,MATCH("*"&amp;F47&amp;"*",'7'!B$300:B$400,0)),"  ")</f>
        <v xml:space="preserve">  </v>
      </c>
      <c r="W47" s="1398">
        <f>IFERROR(INDEX('8'!C$300:C$400,MATCH("*"&amp;F47&amp;"*",'8'!B$300:B$400,0)),"  ")</f>
        <v>4</v>
      </c>
      <c r="X47" s="1398" t="str">
        <f>IFERROR(INDEX('9'!C$300:C$400,MATCH("*"&amp;F47&amp;"*",'9'!B$300:B$400,0)),"  ")</f>
        <v xml:space="preserve">  </v>
      </c>
      <c r="Y47" s="1398" t="str">
        <f>IFERROR(INDEX('10'!C$300:C$400,MATCH("*"&amp;F47&amp;"*",'10'!B$300:B$400,0)),"  ")</f>
        <v xml:space="preserve">  </v>
      </c>
      <c r="Z47" s="1398" t="str">
        <f>IFERROR(INDEX('11'!C$300:C$400,MATCH("*"&amp;F47&amp;"*",'11'!B$300:B$400,0)),"  ")</f>
        <v xml:space="preserve">  </v>
      </c>
      <c r="AA47" s="1353">
        <f t="shared" ca="1" si="35"/>
        <v>2</v>
      </c>
      <c r="AB47" s="1353">
        <f t="shared" ca="1" si="36"/>
        <v>0</v>
      </c>
      <c r="AC47" s="1353">
        <f t="shared" ca="1" si="37"/>
        <v>0</v>
      </c>
      <c r="AH47" s="1345"/>
      <c r="AS47" s="689">
        <f t="shared" ca="1" si="38"/>
        <v>2.9999999999999997E-4</v>
      </c>
      <c r="AT47" s="690">
        <f t="shared" si="39"/>
        <v>1E-4</v>
      </c>
      <c r="AU47" s="690">
        <f t="shared" si="40"/>
        <v>2.0000000000000001E-4</v>
      </c>
      <c r="AV47" s="690">
        <f t="shared" si="41"/>
        <v>2.9999999999999997E-4</v>
      </c>
      <c r="AW47" s="690">
        <f t="shared" si="42"/>
        <v>4.0000000000000002E-4</v>
      </c>
      <c r="AX47" s="690">
        <f t="shared" si="43"/>
        <v>22.000499999999999</v>
      </c>
      <c r="AY47" s="690">
        <f t="shared" si="44"/>
        <v>5.9999999999999995E-4</v>
      </c>
      <c r="AZ47" s="690">
        <f t="shared" ca="1" si="45"/>
        <v>6.9999999999999999E-4</v>
      </c>
      <c r="BA47" s="690">
        <f t="shared" si="46"/>
        <v>4.0007999999999999</v>
      </c>
      <c r="BB47" s="690">
        <f t="shared" si="47"/>
        <v>8.9999999999999998E-4</v>
      </c>
      <c r="BC47" s="690">
        <f t="shared" si="48"/>
        <v>1E-3</v>
      </c>
      <c r="BD47" s="690">
        <f t="shared" si="49"/>
        <v>1.1000000000000001E-3</v>
      </c>
    </row>
    <row r="48" spans="1:56" x14ac:dyDescent="0.2">
      <c r="A48" s="1378" t="str">
        <f t="shared" si="25"/>
        <v/>
      </c>
      <c r="B48" s="1392" t="str">
        <f t="shared" si="26"/>
        <v/>
      </c>
      <c r="C48" s="1380" t="str">
        <f t="shared" si="27"/>
        <v/>
      </c>
      <c r="D48" s="1393" t="str">
        <f t="shared" si="28"/>
        <v/>
      </c>
      <c r="E48" s="1394">
        <f t="shared" ca="1" si="29"/>
        <v>41</v>
      </c>
      <c r="F48" s="1360" t="s">
        <v>127</v>
      </c>
      <c r="G48" s="1379"/>
      <c r="H48" s="1384"/>
      <c r="I48" s="1385">
        <f t="array" aca="1" ref="I48" ca="1">(IF(COUNT(P48:Z48)&lt;8,SUM(P48:Z48),SUM(LARGE((P48:Z48),{1;2;3;4;5;6;7;8}))))</f>
        <v>26</v>
      </c>
      <c r="J48" s="1388" t="str">
        <f ca="1">INDEX(ETAPP!B$1:B$32,MATCH(COUNTIF(P48:Z48,PIV!A$1),ETAPP!A$1:A$32,0))&amp;INDEX(ETAPP!B$1:B$32,MATCH(COUNTIF(P48:Z48,PIV!A$2),ETAPP!A$1:A$32,0))&amp;INDEX(ETAPP!B$1:B$32,MATCH(COUNTIF(P48:Z48,PIV!A$3),ETAPP!A$1:A$32,0))&amp;INDEX(ETAPP!B$1:B$32,MATCH(COUNTIF(P48:Z48,PIV!A$4),ETAPP!A$1:A$32,0))&amp;INDEX(ETAPP!B$1:B$32,MATCH(COUNTIF(P48:Z48,PIV!A$5),ETAPP!A$1:A$32,0))&amp;INDEX(ETAPP!B$1:B$32,MATCH(COUNTIF(P48:Z48,PIV!A$6),ETAPP!A$1:A$32,0))&amp;INDEX(ETAPP!B$1:B$32,MATCH(COUNTIF(P48:Z48,PIV!A$7),ETAPP!A$1:A$32,0))&amp;INDEX(ETAPP!B$1:B$32,MATCH(COUNTIF(P48:Z48,PIV!A$8),ETAPP!A$1:A$32,0))&amp;INDEX(ETAPP!B$1:B$32,MATCH(COUNTIF(P48:Z48,PIV!A$9),ETAPP!A$1:A$32,0))&amp;INDEX(ETAPP!B$1:B$32,MATCH(COUNTIF(P48:Z48,PIV!A$10),ETAPP!A$1:A$32,0))&amp;INDEX(ETAPP!B$1:B$32,MATCH(COUNTIF(P48:Z48,PIV!A$11),ETAPP!A$1:A$32,0))&amp;INDEX(ETAPP!B$1:B$32,MATCH(COUNTIF(P48:Z48,PIV!A$12),ETAPP!A$1:A$32,0))&amp;INDEX(ETAPP!B$1:B$32,MATCH(COUNTIF(P48:Z48,PIV!A$13),ETAPP!A$1:A$32,0))&amp;INDEX(ETAPP!B$1:B$32,MATCH(COUNTIF(P48:Z48,PIV!A$14),ETAPP!A$1:A$32,0))&amp;INDEX(ETAPP!B$1:B$32,MATCH(COUNTIF(P48:Z48,PIV!A$15),ETAPP!A$1:A$32,0))&amp;INDEX(ETAPP!B$1:B$32,MATCH(COUNTIF(P48:Z48,PIV!A$16),ETAPP!A$1:A$32,0))&amp;INDEX(ETAPP!B$1:B$32,MATCH(COUNTIF(P48:Z48,PIV!A$17),ETAPP!A$1:A$32,0))&amp;INDEX(ETAPP!B$1:B$32,MATCH(COUNTIF(P48:Z48,PIV!A$18),ETAPP!A$1:A$32,0))&amp;INDEX(ETAPP!B$1:B$32,MATCH(COUNTIF(P48:Z48,PIV!A$19),ETAPP!A$1:A$32,0))</f>
        <v>0000000A0000A00000D</v>
      </c>
      <c r="K48" s="1388" t="str">
        <f t="shared" ca="1" si="30"/>
        <v>026,0-0000000A0000A00000D</v>
      </c>
      <c r="L48" s="1387">
        <f t="shared" ca="1" si="31"/>
        <v>41</v>
      </c>
      <c r="M48" s="1387">
        <f t="shared" si="32"/>
        <v>25</v>
      </c>
      <c r="N48" s="1388" t="str">
        <f t="shared" ca="1" si="33"/>
        <v>026,0-0000000A0000A00000D-025</v>
      </c>
      <c r="O48" s="1396">
        <f t="shared" ca="1" si="34"/>
        <v>68</v>
      </c>
      <c r="P48" s="1397" t="str">
        <f>IFERROR(INDEX('1'!C$300:C$400,MATCH("*"&amp;F48&amp;"*",'1'!B$300:B$400,0)),"  ")</f>
        <v xml:space="preserve">  </v>
      </c>
      <c r="Q48" s="1398" t="str">
        <f>IFERROR(INDEX('2'!C$300:C$400,MATCH("*"&amp;F48&amp;"*",'2'!B$300:B$400,0)),"  ")</f>
        <v xml:space="preserve">  </v>
      </c>
      <c r="R48" s="1398" t="str">
        <f>IFERROR(INDEX('3'!C$300:C$400,MATCH("*"&amp;F48&amp;"*",'3'!B$300:B$400,0)),"  ")</f>
        <v xml:space="preserve">  </v>
      </c>
      <c r="S48" s="1398" t="str">
        <f>IFERROR(INDEX('4'!C$300:C$400,MATCH("*"&amp;F48&amp;"*",'4'!B$300:B$400,0)),"  ")</f>
        <v xml:space="preserve">  </v>
      </c>
      <c r="T48" s="1398" t="str">
        <f>IFERROR(INDEX('5'!C$300:C$400,MATCH("*"&amp;F48&amp;"*",'5'!B$300:B$400,0)),"  ")</f>
        <v xml:space="preserve">  </v>
      </c>
      <c r="U48" s="1398" t="str">
        <f>IFERROR(INDEX('6'!C$300:C$400,MATCH("*"&amp;F48&amp;"*",'6'!B$300:B$400,0)),"  ")</f>
        <v xml:space="preserve">  </v>
      </c>
      <c r="V48" s="1398" t="str">
        <f ca="1">IFERROR(INDEX('7'!C$300:C$400,MATCH("*"&amp;F48&amp;"*",'7'!B$300:B$400,0)),"  ")</f>
        <v xml:space="preserve">  </v>
      </c>
      <c r="W48" s="1398" t="str">
        <f>IFERROR(INDEX('8'!C$300:C$400,MATCH("*"&amp;F48&amp;"*",'8'!B$300:B$400,0)),"  ")</f>
        <v xml:space="preserve">  </v>
      </c>
      <c r="X48" s="1398">
        <f>IFERROR(INDEX('9'!C$300:C$400,MATCH("*"&amp;F48&amp;"*",'9'!B$300:B$400,0)),"  ")</f>
        <v>18</v>
      </c>
      <c r="Y48" s="1398" t="str">
        <f>IFERROR(INDEX('10'!C$300:C$400,MATCH("*"&amp;F48&amp;"*",'10'!B$300:B$400,0)),"  ")</f>
        <v xml:space="preserve">  </v>
      </c>
      <c r="Z48" s="1398">
        <f>IFERROR(INDEX('11'!C$300:C$400,MATCH("*"&amp;F48&amp;"*",'11'!B$300:B$400,0)),"  ")</f>
        <v>8</v>
      </c>
      <c r="AA48" s="1353">
        <f t="shared" ca="1" si="35"/>
        <v>2</v>
      </c>
      <c r="AB48" s="1353">
        <f t="shared" ca="1" si="36"/>
        <v>0</v>
      </c>
      <c r="AC48" s="1353">
        <f t="shared" ca="1" si="37"/>
        <v>0</v>
      </c>
      <c r="AH48" s="1345"/>
      <c r="AS48" s="689">
        <f t="shared" ca="1" si="38"/>
        <v>2.9999999999999997E-4</v>
      </c>
      <c r="AT48" s="690">
        <f t="shared" si="39"/>
        <v>1E-4</v>
      </c>
      <c r="AU48" s="690">
        <f t="shared" si="40"/>
        <v>2.0000000000000001E-4</v>
      </c>
      <c r="AV48" s="690">
        <f t="shared" si="41"/>
        <v>2.9999999999999997E-4</v>
      </c>
      <c r="AW48" s="690">
        <f t="shared" si="42"/>
        <v>4.0000000000000002E-4</v>
      </c>
      <c r="AX48" s="690">
        <f t="shared" si="43"/>
        <v>5.0000000000000001E-4</v>
      </c>
      <c r="AY48" s="690">
        <f t="shared" si="44"/>
        <v>5.9999999999999995E-4</v>
      </c>
      <c r="AZ48" s="690">
        <f t="shared" ca="1" si="45"/>
        <v>6.9999999999999999E-4</v>
      </c>
      <c r="BA48" s="690">
        <f t="shared" si="46"/>
        <v>8.0000000000000004E-4</v>
      </c>
      <c r="BB48" s="690">
        <f t="shared" si="47"/>
        <v>18.000900000000001</v>
      </c>
      <c r="BC48" s="690">
        <f t="shared" si="48"/>
        <v>1E-3</v>
      </c>
      <c r="BD48" s="690">
        <f t="shared" si="49"/>
        <v>8.0010999999999992</v>
      </c>
    </row>
    <row r="49" spans="1:56" x14ac:dyDescent="0.2">
      <c r="A49" s="1378">
        <f t="shared" ca="1" si="25"/>
        <v>11</v>
      </c>
      <c r="B49" s="1392">
        <f t="shared" ca="1" si="26"/>
        <v>43</v>
      </c>
      <c r="C49" s="1380" t="str">
        <f t="shared" si="27"/>
        <v/>
      </c>
      <c r="D49" s="1393" t="str">
        <f t="shared" si="28"/>
        <v/>
      </c>
      <c r="E49" s="1394">
        <f t="shared" ca="1" si="29"/>
        <v>42</v>
      </c>
      <c r="F49" s="1401" t="s">
        <v>534</v>
      </c>
      <c r="G49" s="1379" t="s">
        <v>99</v>
      </c>
      <c r="H49" s="1384"/>
      <c r="I49" s="1385">
        <f t="array" aca="1" ref="I49" ca="1">(IF(COUNT(P49:Z49)&lt;8,SUM(P49:Z49),SUM(LARGE((P49:Z49),{1;2;3;4;5;6;7;8}))))</f>
        <v>24</v>
      </c>
      <c r="J49" s="1388" t="str">
        <f ca="1">INDEX(ETAPP!B$1:B$32,MATCH(COUNTIF(P49:Z49,PIV!A$1),ETAPP!A$1:A$32,0))&amp;INDEX(ETAPP!B$1:B$32,MATCH(COUNTIF(P49:Z49,PIV!A$2),ETAPP!A$1:A$32,0))&amp;INDEX(ETAPP!B$1:B$32,MATCH(COUNTIF(P49:Z49,PIV!A$3),ETAPP!A$1:A$32,0))&amp;INDEX(ETAPP!B$1:B$32,MATCH(COUNTIF(P49:Z49,PIV!A$4),ETAPP!A$1:A$32,0))&amp;INDEX(ETAPP!B$1:B$32,MATCH(COUNTIF(P49:Z49,PIV!A$5),ETAPP!A$1:A$32,0))&amp;INDEX(ETAPP!B$1:B$32,MATCH(COUNTIF(P49:Z49,PIV!A$6),ETAPP!A$1:A$32,0))&amp;INDEX(ETAPP!B$1:B$32,MATCH(COUNTIF(P49:Z49,PIV!A$7),ETAPP!A$1:A$32,0))&amp;INDEX(ETAPP!B$1:B$32,MATCH(COUNTIF(P49:Z49,PIV!A$8),ETAPP!A$1:A$32,0))&amp;INDEX(ETAPP!B$1:B$32,MATCH(COUNTIF(P49:Z49,PIV!A$9),ETAPP!A$1:A$32,0))&amp;INDEX(ETAPP!B$1:B$32,MATCH(COUNTIF(P49:Z49,PIV!A$10),ETAPP!A$1:A$32,0))&amp;INDEX(ETAPP!B$1:B$32,MATCH(COUNTIF(P49:Z49,PIV!A$11),ETAPP!A$1:A$32,0))&amp;INDEX(ETAPP!B$1:B$32,MATCH(COUNTIF(P49:Z49,PIV!A$12),ETAPP!A$1:A$32,0))&amp;INDEX(ETAPP!B$1:B$32,MATCH(COUNTIF(P49:Z49,PIV!A$13),ETAPP!A$1:A$32,0))&amp;INDEX(ETAPP!B$1:B$32,MATCH(COUNTIF(P49:Z49,PIV!A$14),ETAPP!A$1:A$32,0))&amp;INDEX(ETAPP!B$1:B$32,MATCH(COUNTIF(P49:Z49,PIV!A$15),ETAPP!A$1:A$32,0))&amp;INDEX(ETAPP!B$1:B$32,MATCH(COUNTIF(P49:Z49,PIV!A$16),ETAPP!A$1:A$32,0))&amp;INDEX(ETAPP!B$1:B$32,MATCH(COUNTIF(P49:Z49,PIV!A$17),ETAPP!A$1:A$32,0))&amp;INDEX(ETAPP!B$1:B$32,MATCH(COUNTIF(P49:Z49,PIV!A$18),ETAPP!A$1:A$32,0))&amp;INDEX(ETAPP!B$1:B$32,MATCH(COUNTIF(P49:Z49,PIV!A$19),ETAPP!A$1:A$32,0))</f>
        <v>0000A0000000000000E</v>
      </c>
      <c r="K49" s="1388" t="str">
        <f t="shared" ca="1" si="30"/>
        <v>024,0-0000A0000000000000E</v>
      </c>
      <c r="L49" s="1387">
        <f t="shared" ca="1" si="31"/>
        <v>43</v>
      </c>
      <c r="M49" s="1387">
        <f t="shared" si="32"/>
        <v>62</v>
      </c>
      <c r="N49" s="1388" t="str">
        <f t="shared" ca="1" si="33"/>
        <v>024,0-0000A0000000000000E-062</v>
      </c>
      <c r="O49" s="1396">
        <f t="shared" ca="1" si="34"/>
        <v>67</v>
      </c>
      <c r="P49" s="1397" t="str">
        <f>IFERROR(INDEX('1'!C$300:C$400,MATCH("*"&amp;F49&amp;"*",'1'!B$300:B$400,0)),"  ")</f>
        <v xml:space="preserve">  </v>
      </c>
      <c r="Q49" s="1398" t="str">
        <f>IFERROR(INDEX('2'!C$300:C$400,MATCH("*"&amp;F49&amp;"*",'2'!B$300:B$400,0)),"  ")</f>
        <v xml:space="preserve">  </v>
      </c>
      <c r="R49" s="1398" t="str">
        <f>IFERROR(INDEX('3'!C$300:C$400,MATCH("*"&amp;F49&amp;"*",'3'!B$300:B$400,0)),"  ")</f>
        <v xml:space="preserve">  </v>
      </c>
      <c r="S49" s="1398" t="str">
        <f>IFERROR(INDEX('4'!C$300:C$400,MATCH("*"&amp;F49&amp;"*",'4'!B$300:B$400,0)),"  ")</f>
        <v xml:space="preserve">  </v>
      </c>
      <c r="T49" s="1398">
        <f>IFERROR(INDEX('5'!C$300:C$400,MATCH("*"&amp;F49&amp;"*",'5'!B$300:B$400,0)),"  ")</f>
        <v>24</v>
      </c>
      <c r="U49" s="1398" t="str">
        <f>IFERROR(INDEX('6'!C$300:C$400,MATCH("*"&amp;F49&amp;"*",'6'!B$300:B$400,0)),"  ")</f>
        <v xml:space="preserve">  </v>
      </c>
      <c r="V49" s="1398" t="str">
        <f ca="1">IFERROR(INDEX('7'!C$300:C$400,MATCH("*"&amp;F49&amp;"*",'7'!B$300:B$400,0)),"  ")</f>
        <v xml:space="preserve">  </v>
      </c>
      <c r="W49" s="1398" t="str">
        <f>IFERROR(INDEX('8'!C$300:C$400,MATCH("*"&amp;F49&amp;"*",'8'!B$300:B$400,0)),"  ")</f>
        <v xml:space="preserve">  </v>
      </c>
      <c r="X49" s="1398" t="str">
        <f>IFERROR(INDEX('9'!C$300:C$400,MATCH("*"&amp;F49&amp;"*",'9'!B$300:B$400,0)),"  ")</f>
        <v xml:space="preserve">  </v>
      </c>
      <c r="Y49" s="1398" t="str">
        <f>IFERROR(INDEX('10'!C$300:C$400,MATCH("*"&amp;F49&amp;"*",'10'!B$300:B$400,0)),"  ")</f>
        <v xml:space="preserve">  </v>
      </c>
      <c r="Z49" s="1398" t="str">
        <f>IFERROR(INDEX('11'!C$300:C$400,MATCH("*"&amp;F49&amp;"*",'11'!B$300:B$400,0)),"  ")</f>
        <v xml:space="preserve">  </v>
      </c>
      <c r="AA49" s="1353">
        <f t="shared" ca="1" si="35"/>
        <v>1</v>
      </c>
      <c r="AB49" s="1353">
        <f t="shared" ca="1" si="36"/>
        <v>0</v>
      </c>
      <c r="AC49" s="1353">
        <f t="shared" ca="1" si="37"/>
        <v>0</v>
      </c>
      <c r="AH49" s="1345"/>
      <c r="AS49" s="689">
        <f t="shared" ca="1" si="38"/>
        <v>2.9999999999999997E-4</v>
      </c>
      <c r="AT49" s="690">
        <f t="shared" si="39"/>
        <v>1E-4</v>
      </c>
      <c r="AU49" s="690">
        <f t="shared" si="40"/>
        <v>2.0000000000000001E-4</v>
      </c>
      <c r="AV49" s="690">
        <f t="shared" si="41"/>
        <v>2.9999999999999997E-4</v>
      </c>
      <c r="AW49" s="690">
        <f t="shared" si="42"/>
        <v>4.0000000000000002E-4</v>
      </c>
      <c r="AX49" s="690">
        <f t="shared" si="43"/>
        <v>24.000499999999999</v>
      </c>
      <c r="AY49" s="690">
        <f t="shared" si="44"/>
        <v>5.9999999999999995E-4</v>
      </c>
      <c r="AZ49" s="690">
        <f t="shared" ca="1" si="45"/>
        <v>6.9999999999999999E-4</v>
      </c>
      <c r="BA49" s="690">
        <f t="shared" si="46"/>
        <v>8.0000000000000004E-4</v>
      </c>
      <c r="BB49" s="690">
        <f t="shared" si="47"/>
        <v>8.9999999999999998E-4</v>
      </c>
      <c r="BC49" s="690">
        <f t="shared" si="48"/>
        <v>1E-3</v>
      </c>
      <c r="BD49" s="690">
        <f t="shared" si="49"/>
        <v>1.1000000000000001E-3</v>
      </c>
    </row>
    <row r="50" spans="1:56" x14ac:dyDescent="0.2">
      <c r="A50" s="1378" t="str">
        <f t="shared" si="25"/>
        <v/>
      </c>
      <c r="B50" s="1392" t="str">
        <f t="shared" si="26"/>
        <v/>
      </c>
      <c r="C50" s="1380" t="str">
        <f t="shared" si="27"/>
        <v/>
      </c>
      <c r="D50" s="1393" t="str">
        <f t="shared" si="28"/>
        <v/>
      </c>
      <c r="E50" s="1394">
        <f t="shared" ca="1" si="29"/>
        <v>42</v>
      </c>
      <c r="F50" s="1395" t="s">
        <v>231</v>
      </c>
      <c r="G50" s="1379"/>
      <c r="H50" s="1384"/>
      <c r="I50" s="1385">
        <f t="array" aca="1" ref="I50" ca="1">(IF(COUNT(P50:Z50)&lt;8,SUM(P50:Z50),SUM(LARGE((P50:Z50),{1;2;3;4;5;6;7;8}))))</f>
        <v>24</v>
      </c>
      <c r="J50" s="1388" t="str">
        <f ca="1">INDEX(ETAPP!B$1:B$32,MATCH(COUNTIF(P50:Z50,PIV!A$1),ETAPP!A$1:A$32,0))&amp;INDEX(ETAPP!B$1:B$32,MATCH(COUNTIF(P50:Z50,PIV!A$2),ETAPP!A$1:A$32,0))&amp;INDEX(ETAPP!B$1:B$32,MATCH(COUNTIF(P50:Z50,PIV!A$3),ETAPP!A$1:A$32,0))&amp;INDEX(ETAPP!B$1:B$32,MATCH(COUNTIF(P50:Z50,PIV!A$4),ETAPP!A$1:A$32,0))&amp;INDEX(ETAPP!B$1:B$32,MATCH(COUNTIF(P50:Z50,PIV!A$5),ETAPP!A$1:A$32,0))&amp;INDEX(ETAPP!B$1:B$32,MATCH(COUNTIF(P50:Z50,PIV!A$6),ETAPP!A$1:A$32,0))&amp;INDEX(ETAPP!B$1:B$32,MATCH(COUNTIF(P50:Z50,PIV!A$7),ETAPP!A$1:A$32,0))&amp;INDEX(ETAPP!B$1:B$32,MATCH(COUNTIF(P50:Z50,PIV!A$8),ETAPP!A$1:A$32,0))&amp;INDEX(ETAPP!B$1:B$32,MATCH(COUNTIF(P50:Z50,PIV!A$9),ETAPP!A$1:A$32,0))&amp;INDEX(ETAPP!B$1:B$32,MATCH(COUNTIF(P50:Z50,PIV!A$10),ETAPP!A$1:A$32,0))&amp;INDEX(ETAPP!B$1:B$32,MATCH(COUNTIF(P50:Z50,PIV!A$11),ETAPP!A$1:A$32,0))&amp;INDEX(ETAPP!B$1:B$32,MATCH(COUNTIF(P50:Z50,PIV!A$12),ETAPP!A$1:A$32,0))&amp;INDEX(ETAPP!B$1:B$32,MATCH(COUNTIF(P50:Z50,PIV!A$13),ETAPP!A$1:A$32,0))&amp;INDEX(ETAPP!B$1:B$32,MATCH(COUNTIF(P50:Z50,PIV!A$14),ETAPP!A$1:A$32,0))&amp;INDEX(ETAPP!B$1:B$32,MATCH(COUNTIF(P50:Z50,PIV!A$15),ETAPP!A$1:A$32,0))&amp;INDEX(ETAPP!B$1:B$32,MATCH(COUNTIF(P50:Z50,PIV!A$16),ETAPP!A$1:A$32,0))&amp;INDEX(ETAPP!B$1:B$32,MATCH(COUNTIF(P50:Z50,PIV!A$17),ETAPP!A$1:A$32,0))&amp;INDEX(ETAPP!B$1:B$32,MATCH(COUNTIF(P50:Z50,PIV!A$18),ETAPP!A$1:A$32,0))&amp;INDEX(ETAPP!B$1:B$32,MATCH(COUNTIF(P50:Z50,PIV!A$19),ETAPP!A$1:A$32,0))</f>
        <v>0000A0000000000000E</v>
      </c>
      <c r="K50" s="1388" t="str">
        <f t="shared" ca="1" si="30"/>
        <v>024,0-0000A0000000000000E</v>
      </c>
      <c r="L50" s="1387">
        <f t="shared" ca="1" si="31"/>
        <v>43</v>
      </c>
      <c r="M50" s="1387">
        <f t="shared" si="32"/>
        <v>35</v>
      </c>
      <c r="N50" s="1388" t="str">
        <f t="shared" ca="1" si="33"/>
        <v>024,0-0000A0000000000000E-035</v>
      </c>
      <c r="O50" s="1396">
        <f t="shared" ca="1" si="34"/>
        <v>66</v>
      </c>
      <c r="P50" s="1397">
        <f>IFERROR(INDEX('1'!C$300:C$400,MATCH("*"&amp;F50&amp;"*",'1'!B$300:B$400,0)),"  ")</f>
        <v>24</v>
      </c>
      <c r="Q50" s="1398" t="str">
        <f>IFERROR(INDEX('2'!C$300:C$400,MATCH("*"&amp;F50&amp;"*",'2'!B$300:B$400,0)),"  ")</f>
        <v xml:space="preserve">  </v>
      </c>
      <c r="R50" s="1398" t="str">
        <f>IFERROR(INDEX('3'!C$300:C$400,MATCH("*"&amp;F50&amp;"*",'3'!B$300:B$400,0)),"  ")</f>
        <v xml:space="preserve">  </v>
      </c>
      <c r="S50" s="1398" t="str">
        <f>IFERROR(INDEX('4'!C$300:C$400,MATCH("*"&amp;F50&amp;"*",'4'!B$300:B$400,0)),"  ")</f>
        <v xml:space="preserve">  </v>
      </c>
      <c r="T50" s="1398" t="str">
        <f>IFERROR(INDEX('5'!C$300:C$400,MATCH("*"&amp;F50&amp;"*",'5'!B$300:B$400,0)),"  ")</f>
        <v xml:space="preserve">  </v>
      </c>
      <c r="U50" s="1398" t="str">
        <f>IFERROR(INDEX('6'!C$300:C$400,MATCH("*"&amp;F50&amp;"*",'6'!B$300:B$400,0)),"  ")</f>
        <v xml:space="preserve">  </v>
      </c>
      <c r="V50" s="1398" t="str">
        <f ca="1">IFERROR(INDEX('7'!C$300:C$400,MATCH("*"&amp;F50&amp;"*",'7'!B$300:B$400,0)),"  ")</f>
        <v xml:space="preserve">  </v>
      </c>
      <c r="W50" s="1398" t="str">
        <f>IFERROR(INDEX('8'!C$300:C$400,MATCH("*"&amp;F50&amp;"*",'8'!B$300:B$400,0)),"  ")</f>
        <v xml:space="preserve">  </v>
      </c>
      <c r="X50" s="1398" t="str">
        <f>IFERROR(INDEX('9'!C$300:C$400,MATCH("*"&amp;F50&amp;"*",'9'!B$300:B$400,0)),"  ")</f>
        <v xml:space="preserve">  </v>
      </c>
      <c r="Y50" s="1398" t="str">
        <f>IFERROR(INDEX('10'!C$300:C$400,MATCH("*"&amp;F50&amp;"*",'10'!B$300:B$400,0)),"  ")</f>
        <v xml:space="preserve">  </v>
      </c>
      <c r="Z50" s="1398" t="str">
        <f>IFERROR(INDEX('11'!C$300:C$400,MATCH("*"&amp;F50&amp;"*",'11'!B$300:B$400,0)),"  ")</f>
        <v xml:space="preserve">  </v>
      </c>
      <c r="AA50" s="1353">
        <f t="shared" ca="1" si="35"/>
        <v>1</v>
      </c>
      <c r="AB50" s="1353">
        <f t="shared" ca="1" si="36"/>
        <v>0</v>
      </c>
      <c r="AC50" s="1353">
        <f t="shared" ca="1" si="37"/>
        <v>0</v>
      </c>
      <c r="AH50" s="1345"/>
      <c r="AS50" s="689">
        <f t="shared" ca="1" si="38"/>
        <v>4.0000000000000002E-4</v>
      </c>
      <c r="AT50" s="690">
        <f t="shared" si="39"/>
        <v>24.0001</v>
      </c>
      <c r="AU50" s="690">
        <f t="shared" si="40"/>
        <v>2.0000000000000001E-4</v>
      </c>
      <c r="AV50" s="690">
        <f t="shared" si="41"/>
        <v>2.9999999999999997E-4</v>
      </c>
      <c r="AW50" s="690">
        <f t="shared" si="42"/>
        <v>4.0000000000000002E-4</v>
      </c>
      <c r="AX50" s="690">
        <f t="shared" si="43"/>
        <v>5.0000000000000001E-4</v>
      </c>
      <c r="AY50" s="690">
        <f t="shared" si="44"/>
        <v>5.9999999999999995E-4</v>
      </c>
      <c r="AZ50" s="690">
        <f t="shared" ca="1" si="45"/>
        <v>6.9999999999999999E-4</v>
      </c>
      <c r="BA50" s="690">
        <f t="shared" si="46"/>
        <v>8.0000000000000004E-4</v>
      </c>
      <c r="BB50" s="690">
        <f t="shared" si="47"/>
        <v>8.9999999999999998E-4</v>
      </c>
      <c r="BC50" s="690">
        <f t="shared" si="48"/>
        <v>1E-3</v>
      </c>
      <c r="BD50" s="690">
        <f t="shared" si="49"/>
        <v>1.1000000000000001E-3</v>
      </c>
    </row>
    <row r="51" spans="1:56" x14ac:dyDescent="0.2">
      <c r="A51" s="1378" t="str">
        <f t="shared" si="25"/>
        <v/>
      </c>
      <c r="B51" s="1392" t="str">
        <f t="shared" si="26"/>
        <v/>
      </c>
      <c r="C51" s="1380" t="str">
        <f t="shared" si="27"/>
        <v/>
      </c>
      <c r="D51" s="1393" t="str">
        <f t="shared" si="28"/>
        <v/>
      </c>
      <c r="E51" s="1394">
        <f t="shared" ca="1" si="29"/>
        <v>44</v>
      </c>
      <c r="F51" s="1360" t="s">
        <v>117</v>
      </c>
      <c r="G51" s="1379"/>
      <c r="H51" s="1384"/>
      <c r="I51" s="1385">
        <f t="array" aca="1" ref="I51" ca="1">(IF(COUNT(P51:Z51)&lt;8,SUM(P51:Z51),SUM(LARGE((P51:Z51),{1;2;3;4;5;6;7;8}))))</f>
        <v>23</v>
      </c>
      <c r="J51" s="1388" t="str">
        <f ca="1">INDEX(ETAPP!B$1:B$32,MATCH(COUNTIF(P51:Z51,PIV!A$1),ETAPP!A$1:A$32,0))&amp;INDEX(ETAPP!B$1:B$32,MATCH(COUNTIF(P51:Z51,PIV!A$2),ETAPP!A$1:A$32,0))&amp;INDEX(ETAPP!B$1:B$32,MATCH(COUNTIF(P51:Z51,PIV!A$3),ETAPP!A$1:A$32,0))&amp;INDEX(ETAPP!B$1:B$32,MATCH(COUNTIF(P51:Z51,PIV!A$4),ETAPP!A$1:A$32,0))&amp;INDEX(ETAPP!B$1:B$32,MATCH(COUNTIF(P51:Z51,PIV!A$5),ETAPP!A$1:A$32,0))&amp;INDEX(ETAPP!B$1:B$32,MATCH(COUNTIF(P51:Z51,PIV!A$6),ETAPP!A$1:A$32,0))&amp;INDEX(ETAPP!B$1:B$32,MATCH(COUNTIF(P51:Z51,PIV!A$7),ETAPP!A$1:A$32,0))&amp;INDEX(ETAPP!B$1:B$32,MATCH(COUNTIF(P51:Z51,PIV!A$8),ETAPP!A$1:A$32,0))&amp;INDEX(ETAPP!B$1:B$32,MATCH(COUNTIF(P51:Z51,PIV!A$9),ETAPP!A$1:A$32,0))&amp;INDEX(ETAPP!B$1:B$32,MATCH(COUNTIF(P51:Z51,PIV!A$10),ETAPP!A$1:A$32,0))&amp;INDEX(ETAPP!B$1:B$32,MATCH(COUNTIF(P51:Z51,PIV!A$11),ETAPP!A$1:A$32,0))&amp;INDEX(ETAPP!B$1:B$32,MATCH(COUNTIF(P51:Z51,PIV!A$12),ETAPP!A$1:A$32,0))&amp;INDEX(ETAPP!B$1:B$32,MATCH(COUNTIF(P51:Z51,PIV!A$13),ETAPP!A$1:A$32,0))&amp;INDEX(ETAPP!B$1:B$32,MATCH(COUNTIF(P51:Z51,PIV!A$14),ETAPP!A$1:A$32,0))&amp;INDEX(ETAPP!B$1:B$32,MATCH(COUNTIF(P51:Z51,PIV!A$15),ETAPP!A$1:A$32,0))&amp;INDEX(ETAPP!B$1:B$32,MATCH(COUNTIF(P51:Z51,PIV!A$16),ETAPP!A$1:A$32,0))&amp;INDEX(ETAPP!B$1:B$32,MATCH(COUNTIF(P51:Z51,PIV!A$17),ETAPP!A$1:A$32,0))&amp;INDEX(ETAPP!B$1:B$32,MATCH(COUNTIF(P51:Z51,PIV!A$18),ETAPP!A$1:A$32,0))&amp;INDEX(ETAPP!B$1:B$32,MATCH(COUNTIF(P51:Z51,PIV!A$19),ETAPP!A$1:A$32,0))</f>
        <v>00000A0000000000A0D</v>
      </c>
      <c r="K51" s="1388" t="str">
        <f t="shared" ca="1" si="30"/>
        <v>023,0-00000A0000000000A0D</v>
      </c>
      <c r="L51" s="1387">
        <f t="shared" ca="1" si="31"/>
        <v>44</v>
      </c>
      <c r="M51" s="1387">
        <f t="shared" si="32"/>
        <v>58</v>
      </c>
      <c r="N51" s="1388" t="str">
        <f t="shared" ca="1" si="33"/>
        <v>023,0-00000A0000000000A0D-058</v>
      </c>
      <c r="O51" s="1396">
        <f t="shared" ca="1" si="34"/>
        <v>65</v>
      </c>
      <c r="P51" s="1397">
        <f>IFERROR(INDEX('1'!C$300:C$400,MATCH("*"&amp;F51&amp;"*",'1'!B$300:B$400,0)),"  ")</f>
        <v>22</v>
      </c>
      <c r="Q51" s="1398" t="str">
        <f>IFERROR(INDEX('2'!C$300:C$400,MATCH("*"&amp;F51&amp;"*",'2'!B$300:B$400,0)),"  ")</f>
        <v xml:space="preserve">  </v>
      </c>
      <c r="R51" s="1398" t="str">
        <f>IFERROR(INDEX('3'!C$300:C$400,MATCH("*"&amp;F51&amp;"*",'3'!B$300:B$400,0)),"  ")</f>
        <v xml:space="preserve">  </v>
      </c>
      <c r="S51" s="1398" t="str">
        <f>IFERROR(INDEX('4'!C$300:C$400,MATCH("*"&amp;F51&amp;"*",'4'!B$300:B$400,0)),"  ")</f>
        <v xml:space="preserve">  </v>
      </c>
      <c r="T51" s="1398" t="str">
        <f>IFERROR(INDEX('5'!C$300:C$400,MATCH("*"&amp;F51&amp;"*",'5'!B$300:B$400,0)),"  ")</f>
        <v xml:space="preserve">  </v>
      </c>
      <c r="U51" s="1398">
        <f>IFERROR(INDEX('6'!C$300:C$400,MATCH("*"&amp;F51&amp;"*",'6'!B$300:B$400,0)),"  ")</f>
        <v>1</v>
      </c>
      <c r="V51" s="1398" t="str">
        <f ca="1">IFERROR(INDEX('7'!C$300:C$400,MATCH("*"&amp;F51&amp;"*",'7'!B$300:B$400,0)),"  ")</f>
        <v xml:space="preserve">  </v>
      </c>
      <c r="W51" s="1398" t="str">
        <f>IFERROR(INDEX('8'!C$300:C$400,MATCH("*"&amp;F51&amp;"*",'8'!B$300:B$400,0)),"  ")</f>
        <v xml:space="preserve">  </v>
      </c>
      <c r="X51" s="1398" t="str">
        <f>IFERROR(INDEX('9'!C$300:C$400,MATCH("*"&amp;F51&amp;"*",'9'!B$300:B$400,0)),"  ")</f>
        <v xml:space="preserve">  </v>
      </c>
      <c r="Y51" s="1398" t="str">
        <f>IFERROR(INDEX('10'!C$300:C$400,MATCH("*"&amp;F51&amp;"*",'10'!B$300:B$400,0)),"  ")</f>
        <v xml:space="preserve">  </v>
      </c>
      <c r="Z51" s="1398" t="str">
        <f>IFERROR(INDEX('11'!C$300:C$400,MATCH("*"&amp;F51&amp;"*",'11'!B$300:B$400,0)),"  ")</f>
        <v xml:space="preserve">  </v>
      </c>
      <c r="AA51" s="1353">
        <f t="shared" ca="1" si="35"/>
        <v>2</v>
      </c>
      <c r="AB51" s="1353">
        <f t="shared" ca="1" si="36"/>
        <v>0</v>
      </c>
      <c r="AC51" s="1353">
        <f t="shared" ca="1" si="37"/>
        <v>0</v>
      </c>
      <c r="AH51" s="1345"/>
      <c r="AS51" s="689">
        <f t="shared" ca="1" si="38"/>
        <v>4.0000000000000002E-4</v>
      </c>
      <c r="AT51" s="690">
        <f t="shared" si="39"/>
        <v>22.0001</v>
      </c>
      <c r="AU51" s="690">
        <f t="shared" si="40"/>
        <v>2.0000000000000001E-4</v>
      </c>
      <c r="AV51" s="690">
        <f t="shared" si="41"/>
        <v>2.9999999999999997E-4</v>
      </c>
      <c r="AW51" s="690">
        <f t="shared" si="42"/>
        <v>4.0000000000000002E-4</v>
      </c>
      <c r="AX51" s="690">
        <f t="shared" si="43"/>
        <v>5.0000000000000001E-4</v>
      </c>
      <c r="AY51" s="690">
        <f t="shared" si="44"/>
        <v>1.0005999999999999</v>
      </c>
      <c r="AZ51" s="690">
        <f t="shared" ca="1" si="45"/>
        <v>6.9999999999999999E-4</v>
      </c>
      <c r="BA51" s="690">
        <f t="shared" si="46"/>
        <v>8.0000000000000004E-4</v>
      </c>
      <c r="BB51" s="690">
        <f t="shared" si="47"/>
        <v>8.9999999999999998E-4</v>
      </c>
      <c r="BC51" s="690">
        <f t="shared" si="48"/>
        <v>1E-3</v>
      </c>
      <c r="BD51" s="690">
        <f t="shared" si="49"/>
        <v>1.1000000000000001E-3</v>
      </c>
    </row>
    <row r="52" spans="1:56" x14ac:dyDescent="0.2">
      <c r="A52" s="1378" t="str">
        <f t="shared" si="25"/>
        <v/>
      </c>
      <c r="B52" s="1392" t="str">
        <f t="shared" si="26"/>
        <v/>
      </c>
      <c r="C52" s="1380" t="str">
        <f t="shared" si="27"/>
        <v/>
      </c>
      <c r="D52" s="1393" t="str">
        <f t="shared" si="28"/>
        <v/>
      </c>
      <c r="E52" s="1394">
        <f t="shared" ca="1" si="29"/>
        <v>45</v>
      </c>
      <c r="F52" s="1405" t="s">
        <v>509</v>
      </c>
      <c r="G52" s="1379"/>
      <c r="H52" s="1384"/>
      <c r="I52" s="1385">
        <f t="array" aca="1" ref="I52" ca="1">(IF(COUNT(P52:Z52)&lt;8,SUM(P52:Z52),SUM(LARGE((P52:Z52),{1;2;3;4;5;6;7;8}))))</f>
        <v>22</v>
      </c>
      <c r="J52" s="1388" t="str">
        <f ca="1">INDEX(ETAPP!B$1:B$32,MATCH(COUNTIF(P52:Z52,PIV!A$1),ETAPP!A$1:A$32,0))&amp;INDEX(ETAPP!B$1:B$32,MATCH(COUNTIF(P52:Z52,PIV!A$2),ETAPP!A$1:A$32,0))&amp;INDEX(ETAPP!B$1:B$32,MATCH(COUNTIF(P52:Z52,PIV!A$3),ETAPP!A$1:A$32,0))&amp;INDEX(ETAPP!B$1:B$32,MATCH(COUNTIF(P52:Z52,PIV!A$4),ETAPP!A$1:A$32,0))&amp;INDEX(ETAPP!B$1:B$32,MATCH(COUNTIF(P52:Z52,PIV!A$5),ETAPP!A$1:A$32,0))&amp;INDEX(ETAPP!B$1:B$32,MATCH(COUNTIF(P52:Z52,PIV!A$6),ETAPP!A$1:A$32,0))&amp;INDEX(ETAPP!B$1:B$32,MATCH(COUNTIF(P52:Z52,PIV!A$7),ETAPP!A$1:A$32,0))&amp;INDEX(ETAPP!B$1:B$32,MATCH(COUNTIF(P52:Z52,PIV!A$8),ETAPP!A$1:A$32,0))&amp;INDEX(ETAPP!B$1:B$32,MATCH(COUNTIF(P52:Z52,PIV!A$9),ETAPP!A$1:A$32,0))&amp;INDEX(ETAPP!B$1:B$32,MATCH(COUNTIF(P52:Z52,PIV!A$10),ETAPP!A$1:A$32,0))&amp;INDEX(ETAPP!B$1:B$32,MATCH(COUNTIF(P52:Z52,PIV!A$11),ETAPP!A$1:A$32,0))&amp;INDEX(ETAPP!B$1:B$32,MATCH(COUNTIF(P52:Z52,PIV!A$12),ETAPP!A$1:A$32,0))&amp;INDEX(ETAPP!B$1:B$32,MATCH(COUNTIF(P52:Z52,PIV!A$13),ETAPP!A$1:A$32,0))&amp;INDEX(ETAPP!B$1:B$32,MATCH(COUNTIF(P52:Z52,PIV!A$14),ETAPP!A$1:A$32,0))&amp;INDEX(ETAPP!B$1:B$32,MATCH(COUNTIF(P52:Z52,PIV!A$15),ETAPP!A$1:A$32,0))&amp;INDEX(ETAPP!B$1:B$32,MATCH(COUNTIF(P52:Z52,PIV!A$16),ETAPP!A$1:A$32,0))&amp;INDEX(ETAPP!B$1:B$32,MATCH(COUNTIF(P52:Z52,PIV!A$17),ETAPP!A$1:A$32,0))&amp;INDEX(ETAPP!B$1:B$32,MATCH(COUNTIF(P52:Z52,PIV!A$18),ETAPP!A$1:A$32,0))&amp;INDEX(ETAPP!B$1:B$32,MATCH(COUNTIF(P52:Z52,PIV!A$19),ETAPP!A$1:A$32,0))</f>
        <v>00000A000000000000E</v>
      </c>
      <c r="K52" s="1388" t="str">
        <f t="shared" ca="1" si="30"/>
        <v>022,0-00000A000000000000E</v>
      </c>
      <c r="L52" s="1387">
        <f t="shared" ca="1" si="31"/>
        <v>47</v>
      </c>
      <c r="M52" s="1387">
        <f t="shared" si="32"/>
        <v>53</v>
      </c>
      <c r="N52" s="1388" t="str">
        <f t="shared" ca="1" si="33"/>
        <v>022,0-00000A000000000000E-053</v>
      </c>
      <c r="O52" s="1396">
        <f t="shared" ca="1" si="34"/>
        <v>64</v>
      </c>
      <c r="P52" s="1397" t="str">
        <f>IFERROR(INDEX('1'!C$300:C$400,MATCH("*"&amp;F52&amp;"*",'1'!B$300:B$400,0)),"  ")</f>
        <v xml:space="preserve">  </v>
      </c>
      <c r="Q52" s="1398" t="str">
        <f>IFERROR(INDEX('2'!C$300:C$400,MATCH("*"&amp;F52&amp;"*",'2'!B$300:B$400,0)),"  ")</f>
        <v xml:space="preserve">  </v>
      </c>
      <c r="R52" s="1398">
        <f>IFERROR(INDEX('3'!C$300:C$400,MATCH("*"&amp;F52&amp;"*",'3'!B$300:B$400,0)),"  ")</f>
        <v>22</v>
      </c>
      <c r="S52" s="1398" t="str">
        <f>IFERROR(INDEX('4'!C$300:C$400,MATCH("*"&amp;F52&amp;"*",'4'!B$300:B$400,0)),"  ")</f>
        <v xml:space="preserve">  </v>
      </c>
      <c r="T52" s="1398" t="str">
        <f>IFERROR(INDEX('5'!C$300:C$400,MATCH("*"&amp;F52&amp;"*",'5'!B$300:B$400,0)),"  ")</f>
        <v xml:space="preserve">  </v>
      </c>
      <c r="U52" s="1398" t="str">
        <f>IFERROR(INDEX('6'!C$300:C$400,MATCH("*"&amp;F52&amp;"*",'6'!B$300:B$400,0)),"  ")</f>
        <v xml:space="preserve">  </v>
      </c>
      <c r="V52" s="1398" t="str">
        <f ca="1">IFERROR(INDEX('7'!C$300:C$400,MATCH("*"&amp;F52&amp;"*",'7'!B$300:B$400,0)),"  ")</f>
        <v xml:space="preserve">  </v>
      </c>
      <c r="W52" s="1398" t="str">
        <f>IFERROR(INDEX('8'!C$300:C$400,MATCH("*"&amp;F52&amp;"*",'8'!B$300:B$400,0)),"  ")</f>
        <v xml:space="preserve">  </v>
      </c>
      <c r="X52" s="1398" t="str">
        <f>IFERROR(INDEX('9'!C$300:C$400,MATCH("*"&amp;F52&amp;"*",'9'!B$300:B$400,0)),"  ")</f>
        <v xml:space="preserve">  </v>
      </c>
      <c r="Y52" s="1398" t="str">
        <f>IFERROR(INDEX('10'!C$300:C$400,MATCH("*"&amp;F52&amp;"*",'10'!B$300:B$400,0)),"  ")</f>
        <v xml:space="preserve">  </v>
      </c>
      <c r="Z52" s="1398" t="str">
        <f>IFERROR(INDEX('11'!C$300:C$400,MATCH("*"&amp;F52&amp;"*",'11'!B$300:B$400,0)),"  ")</f>
        <v xml:space="preserve">  </v>
      </c>
      <c r="AA52" s="1353">
        <f t="shared" ca="1" si="35"/>
        <v>1</v>
      </c>
      <c r="AB52" s="1353">
        <f t="shared" ca="1" si="36"/>
        <v>0</v>
      </c>
      <c r="AC52" s="1353">
        <f t="shared" ca="1" si="37"/>
        <v>0</v>
      </c>
      <c r="AH52" s="1345"/>
      <c r="AS52" s="689">
        <f t="shared" ca="1" si="38"/>
        <v>4.0000000000000002E-4</v>
      </c>
      <c r="AT52" s="690">
        <f t="shared" si="39"/>
        <v>1E-4</v>
      </c>
      <c r="AU52" s="690">
        <f t="shared" si="40"/>
        <v>2.0000000000000001E-4</v>
      </c>
      <c r="AV52" s="690">
        <f t="shared" si="41"/>
        <v>22.000299999999999</v>
      </c>
      <c r="AW52" s="690">
        <f t="shared" si="42"/>
        <v>4.0000000000000002E-4</v>
      </c>
      <c r="AX52" s="690">
        <f t="shared" si="43"/>
        <v>5.0000000000000001E-4</v>
      </c>
      <c r="AY52" s="690">
        <f t="shared" si="44"/>
        <v>5.9999999999999995E-4</v>
      </c>
      <c r="AZ52" s="690">
        <f t="shared" ca="1" si="45"/>
        <v>6.9999999999999999E-4</v>
      </c>
      <c r="BA52" s="690">
        <f t="shared" si="46"/>
        <v>8.0000000000000004E-4</v>
      </c>
      <c r="BB52" s="690">
        <f t="shared" si="47"/>
        <v>8.9999999999999998E-4</v>
      </c>
      <c r="BC52" s="690">
        <f t="shared" si="48"/>
        <v>1E-3</v>
      </c>
      <c r="BD52" s="690">
        <f t="shared" si="49"/>
        <v>1.1000000000000001E-3</v>
      </c>
    </row>
    <row r="53" spans="1:56" x14ac:dyDescent="0.2">
      <c r="A53" s="1378" t="str">
        <f t="shared" si="25"/>
        <v/>
      </c>
      <c r="B53" s="1392" t="str">
        <f t="shared" si="26"/>
        <v/>
      </c>
      <c r="C53" s="1380" t="str">
        <f t="shared" si="27"/>
        <v/>
      </c>
      <c r="D53" s="1393" t="str">
        <f t="shared" si="28"/>
        <v/>
      </c>
      <c r="E53" s="1394">
        <f t="shared" ca="1" si="29"/>
        <v>45</v>
      </c>
      <c r="F53" s="1405" t="s">
        <v>514</v>
      </c>
      <c r="G53" s="1379"/>
      <c r="H53" s="1384"/>
      <c r="I53" s="1385">
        <f t="array" aca="1" ref="I53" ca="1">(IF(COUNT(P53:Z53)&lt;8,SUM(P53:Z53),SUM(LARGE((P53:Z53),{1;2;3;4;5;6;7;8}))))</f>
        <v>22</v>
      </c>
      <c r="J53" s="1388" t="str">
        <f ca="1">INDEX(ETAPP!B$1:B$32,MATCH(COUNTIF(P53:Z53,PIV!A$1),ETAPP!A$1:A$32,0))&amp;INDEX(ETAPP!B$1:B$32,MATCH(COUNTIF(P53:Z53,PIV!A$2),ETAPP!A$1:A$32,0))&amp;INDEX(ETAPP!B$1:B$32,MATCH(COUNTIF(P53:Z53,PIV!A$3),ETAPP!A$1:A$32,0))&amp;INDEX(ETAPP!B$1:B$32,MATCH(COUNTIF(P53:Z53,PIV!A$4),ETAPP!A$1:A$32,0))&amp;INDEX(ETAPP!B$1:B$32,MATCH(COUNTIF(P53:Z53,PIV!A$5),ETAPP!A$1:A$32,0))&amp;INDEX(ETAPP!B$1:B$32,MATCH(COUNTIF(P53:Z53,PIV!A$6),ETAPP!A$1:A$32,0))&amp;INDEX(ETAPP!B$1:B$32,MATCH(COUNTIF(P53:Z53,PIV!A$7),ETAPP!A$1:A$32,0))&amp;INDEX(ETAPP!B$1:B$32,MATCH(COUNTIF(P53:Z53,PIV!A$8),ETAPP!A$1:A$32,0))&amp;INDEX(ETAPP!B$1:B$32,MATCH(COUNTIF(P53:Z53,PIV!A$9),ETAPP!A$1:A$32,0))&amp;INDEX(ETAPP!B$1:B$32,MATCH(COUNTIF(P53:Z53,PIV!A$10),ETAPP!A$1:A$32,0))&amp;INDEX(ETAPP!B$1:B$32,MATCH(COUNTIF(P53:Z53,PIV!A$11),ETAPP!A$1:A$32,0))&amp;INDEX(ETAPP!B$1:B$32,MATCH(COUNTIF(P53:Z53,PIV!A$12),ETAPP!A$1:A$32,0))&amp;INDEX(ETAPP!B$1:B$32,MATCH(COUNTIF(P53:Z53,PIV!A$13),ETAPP!A$1:A$32,0))&amp;INDEX(ETAPP!B$1:B$32,MATCH(COUNTIF(P53:Z53,PIV!A$14),ETAPP!A$1:A$32,0))&amp;INDEX(ETAPP!B$1:B$32,MATCH(COUNTIF(P53:Z53,PIV!A$15),ETAPP!A$1:A$32,0))&amp;INDEX(ETAPP!B$1:B$32,MATCH(COUNTIF(P53:Z53,PIV!A$16),ETAPP!A$1:A$32,0))&amp;INDEX(ETAPP!B$1:B$32,MATCH(COUNTIF(P53:Z53,PIV!A$17),ETAPP!A$1:A$32,0))&amp;INDEX(ETAPP!B$1:B$32,MATCH(COUNTIF(P53:Z53,PIV!A$18),ETAPP!A$1:A$32,0))&amp;INDEX(ETAPP!B$1:B$32,MATCH(COUNTIF(P53:Z53,PIV!A$19),ETAPP!A$1:A$32,0))</f>
        <v>00000A000000000000E</v>
      </c>
      <c r="K53" s="1388" t="str">
        <f t="shared" ca="1" si="30"/>
        <v>022,0-00000A000000000000E</v>
      </c>
      <c r="L53" s="1387">
        <f t="shared" ca="1" si="31"/>
        <v>47</v>
      </c>
      <c r="M53" s="1387">
        <f t="shared" si="32"/>
        <v>52</v>
      </c>
      <c r="N53" s="1388" t="str">
        <f t="shared" ca="1" si="33"/>
        <v>022,0-00000A000000000000E-052</v>
      </c>
      <c r="O53" s="1396">
        <f t="shared" ca="1" si="34"/>
        <v>63</v>
      </c>
      <c r="P53" s="1397" t="str">
        <f>IFERROR(INDEX('1'!C$300:C$400,MATCH("*"&amp;F53&amp;"*",'1'!B$300:B$400,0)),"  ")</f>
        <v xml:space="preserve">  </v>
      </c>
      <c r="Q53" s="1398" t="str">
        <f>IFERROR(INDEX('2'!C$300:C$400,MATCH("*"&amp;F53&amp;"*",'2'!B$300:B$400,0)),"  ")</f>
        <v xml:space="preserve">  </v>
      </c>
      <c r="R53" s="1398">
        <f>IFERROR(INDEX('3'!C$300:C$400,MATCH("*"&amp;F53&amp;"*",'3'!B$300:B$400,0)),"  ")</f>
        <v>22</v>
      </c>
      <c r="S53" s="1398" t="str">
        <f>IFERROR(INDEX('4'!C$300:C$400,MATCH("*"&amp;F53&amp;"*",'4'!B$300:B$400,0)),"  ")</f>
        <v xml:space="preserve">  </v>
      </c>
      <c r="T53" s="1398" t="str">
        <f>IFERROR(INDEX('5'!C$300:C$400,MATCH("*"&amp;F53&amp;"*",'5'!B$300:B$400,0)),"  ")</f>
        <v xml:space="preserve">  </v>
      </c>
      <c r="U53" s="1398" t="str">
        <f>IFERROR(INDEX('6'!C$300:C$400,MATCH("*"&amp;F53&amp;"*",'6'!B$300:B$400,0)),"  ")</f>
        <v xml:space="preserve">  </v>
      </c>
      <c r="V53" s="1398" t="str">
        <f ca="1">IFERROR(INDEX('7'!C$300:C$400,MATCH("*"&amp;F53&amp;"*",'7'!B$300:B$400,0)),"  ")</f>
        <v xml:space="preserve">  </v>
      </c>
      <c r="W53" s="1398" t="str">
        <f>IFERROR(INDEX('8'!C$300:C$400,MATCH("*"&amp;F53&amp;"*",'8'!B$300:B$400,0)),"  ")</f>
        <v xml:space="preserve">  </v>
      </c>
      <c r="X53" s="1398" t="str">
        <f>IFERROR(INDEX('9'!C$300:C$400,MATCH("*"&amp;F53&amp;"*",'9'!B$300:B$400,0)),"  ")</f>
        <v xml:space="preserve">  </v>
      </c>
      <c r="Y53" s="1398" t="str">
        <f>IFERROR(INDEX('10'!C$300:C$400,MATCH("*"&amp;F53&amp;"*",'10'!B$300:B$400,0)),"  ")</f>
        <v xml:space="preserve">  </v>
      </c>
      <c r="Z53" s="1398" t="str">
        <f>IFERROR(INDEX('11'!C$300:C$400,MATCH("*"&amp;F53&amp;"*",'11'!B$300:B$400,0)),"  ")</f>
        <v xml:space="preserve">  </v>
      </c>
      <c r="AA53" s="1353">
        <f t="shared" ca="1" si="35"/>
        <v>1</v>
      </c>
      <c r="AB53" s="1353">
        <f t="shared" ca="1" si="36"/>
        <v>0</v>
      </c>
      <c r="AC53" s="1353">
        <f t="shared" ca="1" si="37"/>
        <v>0</v>
      </c>
      <c r="AH53" s="1345"/>
      <c r="AS53" s="689">
        <f t="shared" ca="1" si="38"/>
        <v>4.0000000000000002E-4</v>
      </c>
      <c r="AT53" s="690">
        <f t="shared" si="39"/>
        <v>1E-4</v>
      </c>
      <c r="AU53" s="690">
        <f t="shared" si="40"/>
        <v>2.0000000000000001E-4</v>
      </c>
      <c r="AV53" s="690">
        <f t="shared" si="41"/>
        <v>22.000299999999999</v>
      </c>
      <c r="AW53" s="690">
        <f t="shared" si="42"/>
        <v>4.0000000000000002E-4</v>
      </c>
      <c r="AX53" s="690">
        <f t="shared" si="43"/>
        <v>5.0000000000000001E-4</v>
      </c>
      <c r="AY53" s="690">
        <f t="shared" si="44"/>
        <v>5.9999999999999995E-4</v>
      </c>
      <c r="AZ53" s="690">
        <f t="shared" ca="1" si="45"/>
        <v>6.9999999999999999E-4</v>
      </c>
      <c r="BA53" s="690">
        <f t="shared" si="46"/>
        <v>8.0000000000000004E-4</v>
      </c>
      <c r="BB53" s="690">
        <f t="shared" si="47"/>
        <v>8.9999999999999998E-4</v>
      </c>
      <c r="BC53" s="690">
        <f t="shared" si="48"/>
        <v>1E-3</v>
      </c>
      <c r="BD53" s="690">
        <f t="shared" si="49"/>
        <v>1.1000000000000001E-3</v>
      </c>
    </row>
    <row r="54" spans="1:56" x14ac:dyDescent="0.2">
      <c r="A54" s="1378" t="str">
        <f t="shared" si="25"/>
        <v/>
      </c>
      <c r="B54" s="1392" t="str">
        <f t="shared" si="26"/>
        <v/>
      </c>
      <c r="C54" s="1380" t="str">
        <f t="shared" si="27"/>
        <v/>
      </c>
      <c r="D54" s="1393" t="str">
        <f t="shared" si="28"/>
        <v/>
      </c>
      <c r="E54" s="1394">
        <f t="shared" ca="1" si="29"/>
        <v>45</v>
      </c>
      <c r="F54" s="1405" t="s">
        <v>519</v>
      </c>
      <c r="G54" s="1379"/>
      <c r="H54" s="1384"/>
      <c r="I54" s="1385">
        <f t="array" aca="1" ref="I54" ca="1">(IF(COUNT(P54:Z54)&lt;8,SUM(P54:Z54),SUM(LARGE((P54:Z54),{1;2;3;4;5;6;7;8}))))</f>
        <v>22</v>
      </c>
      <c r="J54" s="1388" t="str">
        <f ca="1">INDEX(ETAPP!B$1:B$32,MATCH(COUNTIF(P54:Z54,PIV!A$1),ETAPP!A$1:A$32,0))&amp;INDEX(ETAPP!B$1:B$32,MATCH(COUNTIF(P54:Z54,PIV!A$2),ETAPP!A$1:A$32,0))&amp;INDEX(ETAPP!B$1:B$32,MATCH(COUNTIF(P54:Z54,PIV!A$3),ETAPP!A$1:A$32,0))&amp;INDEX(ETAPP!B$1:B$32,MATCH(COUNTIF(P54:Z54,PIV!A$4),ETAPP!A$1:A$32,0))&amp;INDEX(ETAPP!B$1:B$32,MATCH(COUNTIF(P54:Z54,PIV!A$5),ETAPP!A$1:A$32,0))&amp;INDEX(ETAPP!B$1:B$32,MATCH(COUNTIF(P54:Z54,PIV!A$6),ETAPP!A$1:A$32,0))&amp;INDEX(ETAPP!B$1:B$32,MATCH(COUNTIF(P54:Z54,PIV!A$7),ETAPP!A$1:A$32,0))&amp;INDEX(ETAPP!B$1:B$32,MATCH(COUNTIF(P54:Z54,PIV!A$8),ETAPP!A$1:A$32,0))&amp;INDEX(ETAPP!B$1:B$32,MATCH(COUNTIF(P54:Z54,PIV!A$9),ETAPP!A$1:A$32,0))&amp;INDEX(ETAPP!B$1:B$32,MATCH(COUNTIF(P54:Z54,PIV!A$10),ETAPP!A$1:A$32,0))&amp;INDEX(ETAPP!B$1:B$32,MATCH(COUNTIF(P54:Z54,PIV!A$11),ETAPP!A$1:A$32,0))&amp;INDEX(ETAPP!B$1:B$32,MATCH(COUNTIF(P54:Z54,PIV!A$12),ETAPP!A$1:A$32,0))&amp;INDEX(ETAPP!B$1:B$32,MATCH(COUNTIF(P54:Z54,PIV!A$13),ETAPP!A$1:A$32,0))&amp;INDEX(ETAPP!B$1:B$32,MATCH(COUNTIF(P54:Z54,PIV!A$14),ETAPP!A$1:A$32,0))&amp;INDEX(ETAPP!B$1:B$32,MATCH(COUNTIF(P54:Z54,PIV!A$15),ETAPP!A$1:A$32,0))&amp;INDEX(ETAPP!B$1:B$32,MATCH(COUNTIF(P54:Z54,PIV!A$16),ETAPP!A$1:A$32,0))&amp;INDEX(ETAPP!B$1:B$32,MATCH(COUNTIF(P54:Z54,PIV!A$17),ETAPP!A$1:A$32,0))&amp;INDEX(ETAPP!B$1:B$32,MATCH(COUNTIF(P54:Z54,PIV!A$18),ETAPP!A$1:A$32,0))&amp;INDEX(ETAPP!B$1:B$32,MATCH(COUNTIF(P54:Z54,PIV!A$19),ETAPP!A$1:A$32,0))</f>
        <v>00000A000000000000E</v>
      </c>
      <c r="K54" s="1388" t="str">
        <f t="shared" ca="1" si="30"/>
        <v>022,0-00000A000000000000E</v>
      </c>
      <c r="L54" s="1387">
        <f t="shared" ca="1" si="31"/>
        <v>47</v>
      </c>
      <c r="M54" s="1387">
        <f t="shared" si="32"/>
        <v>51</v>
      </c>
      <c r="N54" s="1388" t="str">
        <f t="shared" ca="1" si="33"/>
        <v>022,0-00000A000000000000E-051</v>
      </c>
      <c r="O54" s="1396">
        <f t="shared" ca="1" si="34"/>
        <v>62</v>
      </c>
      <c r="P54" s="1397" t="str">
        <f>IFERROR(INDEX('1'!C$300:C$400,MATCH("*"&amp;F54&amp;"*",'1'!B$300:B$400,0)),"  ")</f>
        <v xml:space="preserve">  </v>
      </c>
      <c r="Q54" s="1398" t="str">
        <f>IFERROR(INDEX('2'!C$300:C$400,MATCH("*"&amp;F54&amp;"*",'2'!B$300:B$400,0)),"  ")</f>
        <v xml:space="preserve">  </v>
      </c>
      <c r="R54" s="1398">
        <f>IFERROR(INDEX('3'!C$300:C$400,MATCH("*"&amp;F54&amp;"*",'3'!B$300:B$400,0)),"  ")</f>
        <v>22</v>
      </c>
      <c r="S54" s="1398" t="str">
        <f>IFERROR(INDEX('4'!C$300:C$400,MATCH("*"&amp;F54&amp;"*",'4'!B$300:B$400,0)),"  ")</f>
        <v xml:space="preserve">  </v>
      </c>
      <c r="T54" s="1398" t="str">
        <f>IFERROR(INDEX('5'!C$300:C$400,MATCH("*"&amp;F54&amp;"*",'5'!B$300:B$400,0)),"  ")</f>
        <v xml:space="preserve">  </v>
      </c>
      <c r="U54" s="1398" t="str">
        <f>IFERROR(INDEX('6'!C$300:C$400,MATCH("*"&amp;F54&amp;"*",'6'!B$300:B$400,0)),"  ")</f>
        <v xml:space="preserve">  </v>
      </c>
      <c r="V54" s="1398" t="str">
        <f ca="1">IFERROR(INDEX('7'!C$300:C$400,MATCH("*"&amp;F54&amp;"*",'7'!B$300:B$400,0)),"  ")</f>
        <v xml:space="preserve">  </v>
      </c>
      <c r="W54" s="1398" t="str">
        <f>IFERROR(INDEX('8'!C$300:C$400,MATCH("*"&amp;F54&amp;"*",'8'!B$300:B$400,0)),"  ")</f>
        <v xml:space="preserve">  </v>
      </c>
      <c r="X54" s="1398" t="str">
        <f>IFERROR(INDEX('9'!C$300:C$400,MATCH("*"&amp;F54&amp;"*",'9'!B$300:B$400,0)),"  ")</f>
        <v xml:space="preserve">  </v>
      </c>
      <c r="Y54" s="1398" t="str">
        <f>IFERROR(INDEX('10'!C$300:C$400,MATCH("*"&amp;F54&amp;"*",'10'!B$300:B$400,0)),"  ")</f>
        <v xml:space="preserve">  </v>
      </c>
      <c r="Z54" s="1398" t="str">
        <f>IFERROR(INDEX('11'!C$300:C$400,MATCH("*"&amp;F54&amp;"*",'11'!B$300:B$400,0)),"  ")</f>
        <v xml:space="preserve">  </v>
      </c>
      <c r="AA54" s="1353">
        <f t="shared" ca="1" si="35"/>
        <v>1</v>
      </c>
      <c r="AB54" s="1353">
        <f t="shared" ca="1" si="36"/>
        <v>0</v>
      </c>
      <c r="AC54" s="1353">
        <f t="shared" ca="1" si="37"/>
        <v>0</v>
      </c>
      <c r="AH54" s="1345"/>
      <c r="AS54" s="689">
        <f t="shared" ca="1" si="38"/>
        <v>4.0000000000000002E-4</v>
      </c>
      <c r="AT54" s="690">
        <f t="shared" si="39"/>
        <v>1E-4</v>
      </c>
      <c r="AU54" s="690">
        <f t="shared" si="40"/>
        <v>2.0000000000000001E-4</v>
      </c>
      <c r="AV54" s="690">
        <f t="shared" si="41"/>
        <v>22.000299999999999</v>
      </c>
      <c r="AW54" s="690">
        <f t="shared" si="42"/>
        <v>4.0000000000000002E-4</v>
      </c>
      <c r="AX54" s="690">
        <f t="shared" si="43"/>
        <v>5.0000000000000001E-4</v>
      </c>
      <c r="AY54" s="690">
        <f t="shared" si="44"/>
        <v>5.9999999999999995E-4</v>
      </c>
      <c r="AZ54" s="690">
        <f t="shared" ca="1" si="45"/>
        <v>6.9999999999999999E-4</v>
      </c>
      <c r="BA54" s="690">
        <f t="shared" si="46"/>
        <v>8.0000000000000004E-4</v>
      </c>
      <c r="BB54" s="690">
        <f t="shared" si="47"/>
        <v>8.9999999999999998E-4</v>
      </c>
      <c r="BC54" s="690">
        <f t="shared" si="48"/>
        <v>1E-3</v>
      </c>
      <c r="BD54" s="690">
        <f t="shared" si="49"/>
        <v>1.1000000000000001E-3</v>
      </c>
    </row>
    <row r="55" spans="1:56" x14ac:dyDescent="0.2">
      <c r="A55" s="1378" t="str">
        <f t="shared" si="25"/>
        <v/>
      </c>
      <c r="B55" s="1392" t="str">
        <f t="shared" si="26"/>
        <v/>
      </c>
      <c r="C55" s="1380" t="str">
        <f t="shared" si="27"/>
        <v/>
      </c>
      <c r="D55" s="1393" t="str">
        <f t="shared" si="28"/>
        <v/>
      </c>
      <c r="E55" s="1394">
        <f t="shared" ca="1" si="29"/>
        <v>48</v>
      </c>
      <c r="F55" s="1395" t="s">
        <v>96</v>
      </c>
      <c r="G55" s="1379"/>
      <c r="H55" s="1384"/>
      <c r="I55" s="1385">
        <f t="array" aca="1" ref="I55" ca="1">(IF(COUNT(P55:Z55)&lt;8,SUM(P55:Z55),SUM(LARGE((P55:Z55),{1;2;3;4;5;6;7;8}))))</f>
        <v>22</v>
      </c>
      <c r="J55" s="1388" t="str">
        <f ca="1">INDEX(ETAPP!B$1:B$32,MATCH(COUNTIF(P55:Z55,PIV!A$1),ETAPP!A$1:A$32,0))&amp;INDEX(ETAPP!B$1:B$32,MATCH(COUNTIF(P55:Z55,PIV!A$2),ETAPP!A$1:A$32,0))&amp;INDEX(ETAPP!B$1:B$32,MATCH(COUNTIF(P55:Z55,PIV!A$3),ETAPP!A$1:A$32,0))&amp;INDEX(ETAPP!B$1:B$32,MATCH(COUNTIF(P55:Z55,PIV!A$4),ETAPP!A$1:A$32,0))&amp;INDEX(ETAPP!B$1:B$32,MATCH(COUNTIF(P55:Z55,PIV!A$5),ETAPP!A$1:A$32,0))&amp;INDEX(ETAPP!B$1:B$32,MATCH(COUNTIF(P55:Z55,PIV!A$6),ETAPP!A$1:A$32,0))&amp;INDEX(ETAPP!B$1:B$32,MATCH(COUNTIF(P55:Z55,PIV!A$7),ETAPP!A$1:A$32,0))&amp;INDEX(ETAPP!B$1:B$32,MATCH(COUNTIF(P55:Z55,PIV!A$8),ETAPP!A$1:A$32,0))&amp;INDEX(ETAPP!B$1:B$32,MATCH(COUNTIF(P55:Z55,PIV!A$9),ETAPP!A$1:A$32,0))&amp;INDEX(ETAPP!B$1:B$32,MATCH(COUNTIF(P55:Z55,PIV!A$10),ETAPP!A$1:A$32,0))&amp;INDEX(ETAPP!B$1:B$32,MATCH(COUNTIF(P55:Z55,PIV!A$11),ETAPP!A$1:A$32,0))&amp;INDEX(ETAPP!B$1:B$32,MATCH(COUNTIF(P55:Z55,PIV!A$12),ETAPP!A$1:A$32,0))&amp;INDEX(ETAPP!B$1:B$32,MATCH(COUNTIF(P55:Z55,PIV!A$13),ETAPP!A$1:A$32,0))&amp;INDEX(ETAPP!B$1:B$32,MATCH(COUNTIF(P55:Z55,PIV!A$14),ETAPP!A$1:A$32,0))&amp;INDEX(ETAPP!B$1:B$32,MATCH(COUNTIF(P55:Z55,PIV!A$15),ETAPP!A$1:A$32,0))&amp;INDEX(ETAPP!B$1:B$32,MATCH(COUNTIF(P55:Z55,PIV!A$16),ETAPP!A$1:A$32,0))&amp;INDEX(ETAPP!B$1:B$32,MATCH(COUNTIF(P55:Z55,PIV!A$17),ETAPP!A$1:A$32,0))&amp;INDEX(ETAPP!B$1:B$32,MATCH(COUNTIF(P55:Z55,PIV!A$18),ETAPP!A$1:A$32,0))&amp;INDEX(ETAPP!B$1:B$32,MATCH(COUNTIF(P55:Z55,PIV!A$19),ETAPP!A$1:A$32,0))</f>
        <v>000000A00000000A00D</v>
      </c>
      <c r="K55" s="1388" t="str">
        <f t="shared" ca="1" si="30"/>
        <v>022,0-000000A00000000A00D</v>
      </c>
      <c r="L55" s="1387">
        <f t="shared" ca="1" si="31"/>
        <v>48</v>
      </c>
      <c r="M55" s="1387">
        <f t="shared" si="32"/>
        <v>97</v>
      </c>
      <c r="N55" s="1388" t="str">
        <f t="shared" ca="1" si="33"/>
        <v>022,0-000000A00000000A00D-097</v>
      </c>
      <c r="O55" s="1396">
        <f t="shared" ca="1" si="34"/>
        <v>61</v>
      </c>
      <c r="P55" s="1397">
        <f>IFERROR(INDEX('1'!C$300:C$400,MATCH("*"&amp;F55&amp;"*",'1'!B$300:B$400,0)),"  ")</f>
        <v>20</v>
      </c>
      <c r="Q55" s="1398">
        <f>IFERROR(INDEX('2'!C$300:C$400,MATCH("*"&amp;F55&amp;"*",'2'!B$300:B$400,0)),"  ")</f>
        <v>2</v>
      </c>
      <c r="R55" s="1398" t="str">
        <f>IFERROR(INDEX('3'!C$300:C$400,MATCH("*"&amp;F55&amp;"*",'3'!B$300:B$400,0)),"  ")</f>
        <v xml:space="preserve">  </v>
      </c>
      <c r="S55" s="1398" t="str">
        <f>IFERROR(INDEX('4'!C$300:C$400,MATCH("*"&amp;F55&amp;"*",'4'!B$300:B$400,0)),"  ")</f>
        <v xml:space="preserve">  </v>
      </c>
      <c r="T55" s="1398" t="str">
        <f>IFERROR(INDEX('5'!C$300:C$400,MATCH("*"&amp;F55&amp;"*",'5'!B$300:B$400,0)),"  ")</f>
        <v xml:space="preserve">  </v>
      </c>
      <c r="U55" s="1398" t="str">
        <f>IFERROR(INDEX('6'!C$300:C$400,MATCH("*"&amp;F55&amp;"*",'6'!B$300:B$400,0)),"  ")</f>
        <v xml:space="preserve">  </v>
      </c>
      <c r="V55" s="1398" t="str">
        <f ca="1">IFERROR(INDEX('7'!C$300:C$400,MATCH("*"&amp;F55&amp;"*",'7'!B$300:B$400,0)),"  ")</f>
        <v xml:space="preserve">  </v>
      </c>
      <c r="W55" s="1398" t="str">
        <f>IFERROR(INDEX('8'!C$300:C$400,MATCH("*"&amp;F55&amp;"*",'8'!B$300:B$400,0)),"  ")</f>
        <v xml:space="preserve">  </v>
      </c>
      <c r="X55" s="1398" t="str">
        <f>IFERROR(INDEX('9'!C$300:C$400,MATCH("*"&amp;F55&amp;"*",'9'!B$300:B$400,0)),"  ")</f>
        <v xml:space="preserve">  </v>
      </c>
      <c r="Y55" s="1398" t="str">
        <f>IFERROR(INDEX('10'!C$300:C$400,MATCH("*"&amp;F55&amp;"*",'10'!B$300:B$400,0)),"  ")</f>
        <v xml:space="preserve">  </v>
      </c>
      <c r="Z55" s="1398" t="str">
        <f>IFERROR(INDEX('11'!C$300:C$400,MATCH("*"&amp;F55&amp;"*",'11'!B$300:B$400,0)),"  ")</f>
        <v xml:space="preserve">  </v>
      </c>
      <c r="AA55" s="1353">
        <f t="shared" ca="1" si="35"/>
        <v>2</v>
      </c>
      <c r="AB55" s="1353">
        <f t="shared" ca="1" si="36"/>
        <v>0</v>
      </c>
      <c r="AC55" s="1353">
        <f t="shared" ca="1" si="37"/>
        <v>0</v>
      </c>
      <c r="AH55" s="1345"/>
      <c r="AS55" s="689">
        <f t="shared" ca="1" si="38"/>
        <v>5.0000000000000001E-4</v>
      </c>
      <c r="AT55" s="690">
        <f t="shared" si="39"/>
        <v>20.0001</v>
      </c>
      <c r="AU55" s="690">
        <f t="shared" si="40"/>
        <v>2.0002</v>
      </c>
      <c r="AV55" s="690">
        <f t="shared" si="41"/>
        <v>2.9999999999999997E-4</v>
      </c>
      <c r="AW55" s="690">
        <f t="shared" si="42"/>
        <v>4.0000000000000002E-4</v>
      </c>
      <c r="AX55" s="690">
        <f t="shared" si="43"/>
        <v>5.0000000000000001E-4</v>
      </c>
      <c r="AY55" s="690">
        <f t="shared" si="44"/>
        <v>5.9999999999999995E-4</v>
      </c>
      <c r="AZ55" s="690">
        <f t="shared" ca="1" si="45"/>
        <v>6.9999999999999999E-4</v>
      </c>
      <c r="BA55" s="690">
        <f t="shared" si="46"/>
        <v>8.0000000000000004E-4</v>
      </c>
      <c r="BB55" s="690">
        <f t="shared" si="47"/>
        <v>8.9999999999999998E-4</v>
      </c>
      <c r="BC55" s="690">
        <f t="shared" si="48"/>
        <v>1E-3</v>
      </c>
      <c r="BD55" s="690">
        <f t="shared" si="49"/>
        <v>1.1000000000000001E-3</v>
      </c>
    </row>
    <row r="56" spans="1:56" x14ac:dyDescent="0.2">
      <c r="A56" s="1378" t="str">
        <f t="shared" si="25"/>
        <v/>
      </c>
      <c r="B56" s="1392" t="str">
        <f t="shared" si="26"/>
        <v/>
      </c>
      <c r="C56" s="1380" t="str">
        <f t="shared" si="27"/>
        <v/>
      </c>
      <c r="D56" s="1393" t="str">
        <f t="shared" si="28"/>
        <v/>
      </c>
      <c r="E56" s="1394">
        <f t="shared" ca="1" si="29"/>
        <v>49</v>
      </c>
      <c r="F56" s="1405" t="s">
        <v>89</v>
      </c>
      <c r="G56" s="1379"/>
      <c r="H56" s="1384"/>
      <c r="I56" s="1385">
        <f t="array" aca="1" ref="I56" ca="1">(IF(COUNT(P56:Z56)&lt;8,SUM(P56:Z56),SUM(LARGE((P56:Z56),{1;2;3;4;5;6;7;8}))))</f>
        <v>21</v>
      </c>
      <c r="J56" s="1388" t="str">
        <f ca="1">INDEX(ETAPP!B$1:B$32,MATCH(COUNTIF(P56:Z56,PIV!A$1),ETAPP!A$1:A$32,0))&amp;INDEX(ETAPP!B$1:B$32,MATCH(COUNTIF(P56:Z56,PIV!A$2),ETAPP!A$1:A$32,0))&amp;INDEX(ETAPP!B$1:B$32,MATCH(COUNTIF(P56:Z56,PIV!A$3),ETAPP!A$1:A$32,0))&amp;INDEX(ETAPP!B$1:B$32,MATCH(COUNTIF(P56:Z56,PIV!A$4),ETAPP!A$1:A$32,0))&amp;INDEX(ETAPP!B$1:B$32,MATCH(COUNTIF(P56:Z56,PIV!A$5),ETAPP!A$1:A$32,0))&amp;INDEX(ETAPP!B$1:B$32,MATCH(COUNTIF(P56:Z56,PIV!A$6),ETAPP!A$1:A$32,0))&amp;INDEX(ETAPP!B$1:B$32,MATCH(COUNTIF(P56:Z56,PIV!A$7),ETAPP!A$1:A$32,0))&amp;INDEX(ETAPP!B$1:B$32,MATCH(COUNTIF(P56:Z56,PIV!A$8),ETAPP!A$1:A$32,0))&amp;INDEX(ETAPP!B$1:B$32,MATCH(COUNTIF(P56:Z56,PIV!A$9),ETAPP!A$1:A$32,0))&amp;INDEX(ETAPP!B$1:B$32,MATCH(COUNTIF(P56:Z56,PIV!A$10),ETAPP!A$1:A$32,0))&amp;INDEX(ETAPP!B$1:B$32,MATCH(COUNTIF(P56:Z56,PIV!A$11),ETAPP!A$1:A$32,0))&amp;INDEX(ETAPP!B$1:B$32,MATCH(COUNTIF(P56:Z56,PIV!A$12),ETAPP!A$1:A$32,0))&amp;INDEX(ETAPP!B$1:B$32,MATCH(COUNTIF(P56:Z56,PIV!A$13),ETAPP!A$1:A$32,0))&amp;INDEX(ETAPP!B$1:B$32,MATCH(COUNTIF(P56:Z56,PIV!A$14),ETAPP!A$1:A$32,0))&amp;INDEX(ETAPP!B$1:B$32,MATCH(COUNTIF(P56:Z56,PIV!A$15),ETAPP!A$1:A$32,0))&amp;INDEX(ETAPP!B$1:B$32,MATCH(COUNTIF(P56:Z56,PIV!A$16),ETAPP!A$1:A$32,0))&amp;INDEX(ETAPP!B$1:B$32,MATCH(COUNTIF(P56:Z56,PIV!A$17),ETAPP!A$1:A$32,0))&amp;INDEX(ETAPP!B$1:B$32,MATCH(COUNTIF(P56:Z56,PIV!A$18),ETAPP!A$1:A$32,0))&amp;INDEX(ETAPP!B$1:B$32,MATCH(COUNTIF(P56:Z56,PIV!A$19),ETAPP!A$1:A$32,0))</f>
        <v>000000A000000000A0D</v>
      </c>
      <c r="K56" s="1388" t="str">
        <f t="shared" ca="1" si="30"/>
        <v>021,0-000000A000000000A0D</v>
      </c>
      <c r="L56" s="1387">
        <f t="shared" ca="1" si="31"/>
        <v>49</v>
      </c>
      <c r="M56" s="1387">
        <f t="shared" si="32"/>
        <v>90</v>
      </c>
      <c r="N56" s="1388" t="str">
        <f t="shared" ca="1" si="33"/>
        <v>021,0-000000A000000000A0D-090</v>
      </c>
      <c r="O56" s="1396">
        <f t="shared" ca="1" si="34"/>
        <v>60</v>
      </c>
      <c r="P56" s="1397">
        <f>IFERROR(INDEX('1'!C$300:C$400,MATCH("*"&amp;F56&amp;"*",'1'!B$300:B$400,0)),"  ")</f>
        <v>20</v>
      </c>
      <c r="Q56" s="1398">
        <f>IFERROR(INDEX('2'!C$300:C$400,MATCH("*"&amp;F56&amp;"*",'2'!B$300:B$400,0)),"  ")</f>
        <v>1</v>
      </c>
      <c r="R56" s="1398" t="str">
        <f>IFERROR(INDEX('3'!C$300:C$400,MATCH("*"&amp;F56&amp;"*",'3'!B$300:B$400,0)),"  ")</f>
        <v xml:space="preserve">  </v>
      </c>
      <c r="S56" s="1398" t="str">
        <f>IFERROR(INDEX('4'!C$300:C$400,MATCH("*"&amp;F56&amp;"*",'4'!B$300:B$400,0)),"  ")</f>
        <v xml:space="preserve">  </v>
      </c>
      <c r="T56" s="1398" t="str">
        <f>IFERROR(INDEX('5'!C$300:C$400,MATCH("*"&amp;F56&amp;"*",'5'!B$300:B$400,0)),"  ")</f>
        <v xml:space="preserve">  </v>
      </c>
      <c r="U56" s="1398" t="str">
        <f>IFERROR(INDEX('6'!C$300:C$400,MATCH("*"&amp;F56&amp;"*",'6'!B$300:B$400,0)),"  ")</f>
        <v xml:space="preserve">  </v>
      </c>
      <c r="V56" s="1398" t="str">
        <f ca="1">IFERROR(INDEX('7'!C$300:C$400,MATCH("*"&amp;F56&amp;"*",'7'!B$300:B$400,0)),"  ")</f>
        <v xml:space="preserve">  </v>
      </c>
      <c r="W56" s="1398" t="str">
        <f>IFERROR(INDEX('8'!C$300:C$400,MATCH("*"&amp;F56&amp;"*",'8'!B$300:B$400,0)),"  ")</f>
        <v xml:space="preserve">  </v>
      </c>
      <c r="X56" s="1398" t="str">
        <f>IFERROR(INDEX('9'!C$300:C$400,MATCH("*"&amp;F56&amp;"*",'9'!B$300:B$400,0)),"  ")</f>
        <v xml:space="preserve">  </v>
      </c>
      <c r="Y56" s="1398" t="str">
        <f>IFERROR(INDEX('10'!C$300:C$400,MATCH("*"&amp;F56&amp;"*",'10'!B$300:B$400,0)),"  ")</f>
        <v xml:space="preserve">  </v>
      </c>
      <c r="Z56" s="1398" t="str">
        <f>IFERROR(INDEX('11'!C$300:C$400,MATCH("*"&amp;F56&amp;"*",'11'!B$300:B$400,0)),"  ")</f>
        <v xml:space="preserve">  </v>
      </c>
      <c r="AA56" s="1353">
        <f t="shared" ca="1" si="35"/>
        <v>2</v>
      </c>
      <c r="AB56" s="1353">
        <f t="shared" ca="1" si="36"/>
        <v>0</v>
      </c>
      <c r="AC56" s="1353">
        <f t="shared" ca="1" si="37"/>
        <v>0</v>
      </c>
      <c r="AH56" s="1345"/>
      <c r="AS56" s="689">
        <f t="shared" ca="1" si="38"/>
        <v>5.0000000000000001E-4</v>
      </c>
      <c r="AT56" s="690">
        <f t="shared" si="39"/>
        <v>20.0001</v>
      </c>
      <c r="AU56" s="690">
        <f t="shared" si="40"/>
        <v>1.0002</v>
      </c>
      <c r="AV56" s="690">
        <f t="shared" si="41"/>
        <v>2.9999999999999997E-4</v>
      </c>
      <c r="AW56" s="690">
        <f t="shared" si="42"/>
        <v>4.0000000000000002E-4</v>
      </c>
      <c r="AX56" s="690">
        <f t="shared" si="43"/>
        <v>5.0000000000000001E-4</v>
      </c>
      <c r="AY56" s="690">
        <f t="shared" si="44"/>
        <v>5.9999999999999995E-4</v>
      </c>
      <c r="AZ56" s="690">
        <f t="shared" ca="1" si="45"/>
        <v>6.9999999999999999E-4</v>
      </c>
      <c r="BA56" s="690">
        <f t="shared" si="46"/>
        <v>8.0000000000000004E-4</v>
      </c>
      <c r="BB56" s="690">
        <f t="shared" si="47"/>
        <v>8.9999999999999998E-4</v>
      </c>
      <c r="BC56" s="690">
        <f t="shared" si="48"/>
        <v>1E-3</v>
      </c>
      <c r="BD56" s="690">
        <f t="shared" si="49"/>
        <v>1.1000000000000001E-3</v>
      </c>
    </row>
    <row r="57" spans="1:56" x14ac:dyDescent="0.2">
      <c r="A57" s="1378" t="str">
        <f t="shared" si="25"/>
        <v/>
      </c>
      <c r="B57" s="1392" t="str">
        <f t="shared" si="26"/>
        <v/>
      </c>
      <c r="C57" s="1380" t="str">
        <f t="shared" si="27"/>
        <v/>
      </c>
      <c r="D57" s="1393" t="str">
        <f t="shared" si="28"/>
        <v/>
      </c>
      <c r="E57" s="1394">
        <f t="shared" ca="1" si="29"/>
        <v>50</v>
      </c>
      <c r="F57" s="1405" t="s">
        <v>510</v>
      </c>
      <c r="G57" s="1379"/>
      <c r="H57" s="1384"/>
      <c r="I57" s="1385">
        <f t="array" aca="1" ref="I57" ca="1">(IF(COUNT(P57:Z57)&lt;8,SUM(P57:Z57),SUM(LARGE((P57:Z57),{1;2;3;4;5;6;7;8}))))</f>
        <v>20</v>
      </c>
      <c r="J57" s="1388" t="str">
        <f ca="1">INDEX(ETAPP!B$1:B$32,MATCH(COUNTIF(P57:Z57,PIV!A$1),ETAPP!A$1:A$32,0))&amp;INDEX(ETAPP!B$1:B$32,MATCH(COUNTIF(P57:Z57,PIV!A$2),ETAPP!A$1:A$32,0))&amp;INDEX(ETAPP!B$1:B$32,MATCH(COUNTIF(P57:Z57,PIV!A$3),ETAPP!A$1:A$32,0))&amp;INDEX(ETAPP!B$1:B$32,MATCH(COUNTIF(P57:Z57,PIV!A$4),ETAPP!A$1:A$32,0))&amp;INDEX(ETAPP!B$1:B$32,MATCH(COUNTIF(P57:Z57,PIV!A$5),ETAPP!A$1:A$32,0))&amp;INDEX(ETAPP!B$1:B$32,MATCH(COUNTIF(P57:Z57,PIV!A$6),ETAPP!A$1:A$32,0))&amp;INDEX(ETAPP!B$1:B$32,MATCH(COUNTIF(P57:Z57,PIV!A$7),ETAPP!A$1:A$32,0))&amp;INDEX(ETAPP!B$1:B$32,MATCH(COUNTIF(P57:Z57,PIV!A$8),ETAPP!A$1:A$32,0))&amp;INDEX(ETAPP!B$1:B$32,MATCH(COUNTIF(P57:Z57,PIV!A$9),ETAPP!A$1:A$32,0))&amp;INDEX(ETAPP!B$1:B$32,MATCH(COUNTIF(P57:Z57,PIV!A$10),ETAPP!A$1:A$32,0))&amp;INDEX(ETAPP!B$1:B$32,MATCH(COUNTIF(P57:Z57,PIV!A$11),ETAPP!A$1:A$32,0))&amp;INDEX(ETAPP!B$1:B$32,MATCH(COUNTIF(P57:Z57,PIV!A$12),ETAPP!A$1:A$32,0))&amp;INDEX(ETAPP!B$1:B$32,MATCH(COUNTIF(P57:Z57,PIV!A$13),ETAPP!A$1:A$32,0))&amp;INDEX(ETAPP!B$1:B$32,MATCH(COUNTIF(P57:Z57,PIV!A$14),ETAPP!A$1:A$32,0))&amp;INDEX(ETAPP!B$1:B$32,MATCH(COUNTIF(P57:Z57,PIV!A$15),ETAPP!A$1:A$32,0))&amp;INDEX(ETAPP!B$1:B$32,MATCH(COUNTIF(P57:Z57,PIV!A$16),ETAPP!A$1:A$32,0))&amp;INDEX(ETAPP!B$1:B$32,MATCH(COUNTIF(P57:Z57,PIV!A$17),ETAPP!A$1:A$32,0))&amp;INDEX(ETAPP!B$1:B$32,MATCH(COUNTIF(P57:Z57,PIV!A$18),ETAPP!A$1:A$32,0))&amp;INDEX(ETAPP!B$1:B$32,MATCH(COUNTIF(P57:Z57,PIV!A$19),ETAPP!A$1:A$32,0))</f>
        <v>000000A00000000000E</v>
      </c>
      <c r="K57" s="1388" t="str">
        <f t="shared" ca="1" si="30"/>
        <v>020,0-000000A00000000000E</v>
      </c>
      <c r="L57" s="1387">
        <f t="shared" ca="1" si="31"/>
        <v>53</v>
      </c>
      <c r="M57" s="1387">
        <f t="shared" si="32"/>
        <v>74</v>
      </c>
      <c r="N57" s="1388" t="str">
        <f t="shared" ca="1" si="33"/>
        <v>020,0-000000A00000000000E-074</v>
      </c>
      <c r="O57" s="1396">
        <f t="shared" ca="1" si="34"/>
        <v>59</v>
      </c>
      <c r="P57" s="1397" t="str">
        <f>IFERROR(INDEX('1'!C$300:C$400,MATCH("*"&amp;F57&amp;"*",'1'!B$300:B$400,0)),"  ")</f>
        <v xml:space="preserve">  </v>
      </c>
      <c r="Q57" s="1398" t="str">
        <f>IFERROR(INDEX('2'!C$300:C$400,MATCH("*"&amp;F57&amp;"*",'2'!B$300:B$400,0)),"  ")</f>
        <v xml:space="preserve">  </v>
      </c>
      <c r="R57" s="1398">
        <f>IFERROR(INDEX('3'!C$300:C$400,MATCH("*"&amp;F57&amp;"*",'3'!B$300:B$400,0)),"  ")</f>
        <v>20</v>
      </c>
      <c r="S57" s="1398" t="str">
        <f>IFERROR(INDEX('4'!C$300:C$400,MATCH("*"&amp;F57&amp;"*",'4'!B$300:B$400,0)),"  ")</f>
        <v xml:space="preserve">  </v>
      </c>
      <c r="T57" s="1398" t="str">
        <f>IFERROR(INDEX('5'!C$300:C$400,MATCH("*"&amp;F57&amp;"*",'5'!B$300:B$400,0)),"  ")</f>
        <v xml:space="preserve">  </v>
      </c>
      <c r="U57" s="1398" t="str">
        <f>IFERROR(INDEX('6'!C$300:C$400,MATCH("*"&amp;F57&amp;"*",'6'!B$300:B$400,0)),"  ")</f>
        <v xml:space="preserve">  </v>
      </c>
      <c r="V57" s="1398" t="str">
        <f ca="1">IFERROR(INDEX('7'!C$300:C$400,MATCH("*"&amp;F57&amp;"*",'7'!B$300:B$400,0)),"  ")</f>
        <v xml:space="preserve">  </v>
      </c>
      <c r="W57" s="1398" t="str">
        <f>IFERROR(INDEX('8'!C$300:C$400,MATCH("*"&amp;F57&amp;"*",'8'!B$300:B$400,0)),"  ")</f>
        <v xml:space="preserve">  </v>
      </c>
      <c r="X57" s="1398" t="str">
        <f>IFERROR(INDEX('9'!C$300:C$400,MATCH("*"&amp;F57&amp;"*",'9'!B$300:B$400,0)),"  ")</f>
        <v xml:space="preserve">  </v>
      </c>
      <c r="Y57" s="1398" t="str">
        <f>IFERROR(INDEX('10'!C$300:C$400,MATCH("*"&amp;F57&amp;"*",'10'!B$300:B$400,0)),"  ")</f>
        <v xml:space="preserve">  </v>
      </c>
      <c r="Z57" s="1398" t="str">
        <f>IFERROR(INDEX('11'!C$300:C$400,MATCH("*"&amp;F57&amp;"*",'11'!B$300:B$400,0)),"  ")</f>
        <v xml:space="preserve">  </v>
      </c>
      <c r="AA57" s="1353">
        <f t="shared" ca="1" si="35"/>
        <v>1</v>
      </c>
      <c r="AB57" s="1353">
        <f t="shared" ca="1" si="36"/>
        <v>0</v>
      </c>
      <c r="AC57" s="1353">
        <f t="shared" ca="1" si="37"/>
        <v>0</v>
      </c>
      <c r="AH57" s="1345"/>
      <c r="AS57" s="689">
        <f t="shared" ca="1" si="38"/>
        <v>4.0000000000000002E-4</v>
      </c>
      <c r="AT57" s="690">
        <f t="shared" si="39"/>
        <v>1E-4</v>
      </c>
      <c r="AU57" s="690">
        <f t="shared" si="40"/>
        <v>2.0000000000000001E-4</v>
      </c>
      <c r="AV57" s="690">
        <f t="shared" si="41"/>
        <v>20.000299999999999</v>
      </c>
      <c r="AW57" s="690">
        <f t="shared" si="42"/>
        <v>4.0000000000000002E-4</v>
      </c>
      <c r="AX57" s="690">
        <f t="shared" si="43"/>
        <v>5.0000000000000001E-4</v>
      </c>
      <c r="AY57" s="690">
        <f t="shared" si="44"/>
        <v>5.9999999999999995E-4</v>
      </c>
      <c r="AZ57" s="690">
        <f t="shared" ca="1" si="45"/>
        <v>6.9999999999999999E-4</v>
      </c>
      <c r="BA57" s="690">
        <f t="shared" si="46"/>
        <v>8.0000000000000004E-4</v>
      </c>
      <c r="BB57" s="690">
        <f t="shared" si="47"/>
        <v>8.9999999999999998E-4</v>
      </c>
      <c r="BC57" s="690">
        <f t="shared" si="48"/>
        <v>1E-3</v>
      </c>
      <c r="BD57" s="690">
        <f t="shared" si="49"/>
        <v>1.1000000000000001E-3</v>
      </c>
    </row>
    <row r="58" spans="1:56" x14ac:dyDescent="0.2">
      <c r="A58" s="1378" t="str">
        <f t="shared" si="25"/>
        <v/>
      </c>
      <c r="B58" s="1392" t="str">
        <f t="shared" si="26"/>
        <v/>
      </c>
      <c r="C58" s="1380" t="str">
        <f t="shared" si="27"/>
        <v/>
      </c>
      <c r="D58" s="1393" t="str">
        <f t="shared" si="28"/>
        <v/>
      </c>
      <c r="E58" s="1394">
        <f t="shared" ca="1" si="29"/>
        <v>50</v>
      </c>
      <c r="F58" s="1401" t="s">
        <v>9</v>
      </c>
      <c r="G58" s="1379"/>
      <c r="H58" s="1384"/>
      <c r="I58" s="1385">
        <f t="array" aca="1" ref="I58" ca="1">(IF(COUNT(P58:Z58)&lt;8,SUM(P58:Z58),SUM(LARGE((P58:Z58),{1;2;3;4;5;6;7;8}))))</f>
        <v>20</v>
      </c>
      <c r="J58" s="1388" t="str">
        <f ca="1">INDEX(ETAPP!B$1:B$32,MATCH(COUNTIF(P58:Z58,PIV!A$1),ETAPP!A$1:A$32,0))&amp;INDEX(ETAPP!B$1:B$32,MATCH(COUNTIF(P58:Z58,PIV!A$2),ETAPP!A$1:A$32,0))&amp;INDEX(ETAPP!B$1:B$32,MATCH(COUNTIF(P58:Z58,PIV!A$3),ETAPP!A$1:A$32,0))&amp;INDEX(ETAPP!B$1:B$32,MATCH(COUNTIF(P58:Z58,PIV!A$4),ETAPP!A$1:A$32,0))&amp;INDEX(ETAPP!B$1:B$32,MATCH(COUNTIF(P58:Z58,PIV!A$5),ETAPP!A$1:A$32,0))&amp;INDEX(ETAPP!B$1:B$32,MATCH(COUNTIF(P58:Z58,PIV!A$6),ETAPP!A$1:A$32,0))&amp;INDEX(ETAPP!B$1:B$32,MATCH(COUNTIF(P58:Z58,PIV!A$7),ETAPP!A$1:A$32,0))&amp;INDEX(ETAPP!B$1:B$32,MATCH(COUNTIF(P58:Z58,PIV!A$8),ETAPP!A$1:A$32,0))&amp;INDEX(ETAPP!B$1:B$32,MATCH(COUNTIF(P58:Z58,PIV!A$9),ETAPP!A$1:A$32,0))&amp;INDEX(ETAPP!B$1:B$32,MATCH(COUNTIF(P58:Z58,PIV!A$10),ETAPP!A$1:A$32,0))&amp;INDEX(ETAPP!B$1:B$32,MATCH(COUNTIF(P58:Z58,PIV!A$11),ETAPP!A$1:A$32,0))&amp;INDEX(ETAPP!B$1:B$32,MATCH(COUNTIF(P58:Z58,PIV!A$12),ETAPP!A$1:A$32,0))&amp;INDEX(ETAPP!B$1:B$32,MATCH(COUNTIF(P58:Z58,PIV!A$13),ETAPP!A$1:A$32,0))&amp;INDEX(ETAPP!B$1:B$32,MATCH(COUNTIF(P58:Z58,PIV!A$14),ETAPP!A$1:A$32,0))&amp;INDEX(ETAPP!B$1:B$32,MATCH(COUNTIF(P58:Z58,PIV!A$15),ETAPP!A$1:A$32,0))&amp;INDEX(ETAPP!B$1:B$32,MATCH(COUNTIF(P58:Z58,PIV!A$16),ETAPP!A$1:A$32,0))&amp;INDEX(ETAPP!B$1:B$32,MATCH(COUNTIF(P58:Z58,PIV!A$17),ETAPP!A$1:A$32,0))&amp;INDEX(ETAPP!B$1:B$32,MATCH(COUNTIF(P58:Z58,PIV!A$18),ETAPP!A$1:A$32,0))&amp;INDEX(ETAPP!B$1:B$32,MATCH(COUNTIF(P58:Z58,PIV!A$19),ETAPP!A$1:A$32,0))</f>
        <v>000000A00000000000E</v>
      </c>
      <c r="K58" s="1388" t="str">
        <f t="shared" ca="1" si="30"/>
        <v>020,0-000000A00000000000E</v>
      </c>
      <c r="L58" s="1387">
        <f t="shared" ca="1" si="31"/>
        <v>53</v>
      </c>
      <c r="M58" s="1387">
        <f t="shared" si="32"/>
        <v>71</v>
      </c>
      <c r="N58" s="1388" t="str">
        <f t="shared" ca="1" si="33"/>
        <v>020,0-000000A00000000000E-071</v>
      </c>
      <c r="O58" s="1396">
        <f t="shared" ca="1" si="34"/>
        <v>58</v>
      </c>
      <c r="P58" s="1397" t="str">
        <f>IFERROR(INDEX('1'!C$300:C$400,MATCH("*"&amp;F58&amp;"*",'1'!B$300:B$400,0)),"  ")</f>
        <v xml:space="preserve">  </v>
      </c>
      <c r="Q58" s="1398" t="str">
        <f>IFERROR(INDEX('2'!C$300:C$400,MATCH("*"&amp;F58&amp;"*",'2'!B$300:B$400,0)),"  ")</f>
        <v xml:space="preserve">  </v>
      </c>
      <c r="R58" s="1398" t="str">
        <f>IFERROR(INDEX('3'!C$300:C$400,MATCH("*"&amp;F58&amp;"*",'3'!B$300:B$400,0)),"  ")</f>
        <v xml:space="preserve">  </v>
      </c>
      <c r="S58" s="1398" t="str">
        <f>IFERROR(INDEX('4'!C$300:C$400,MATCH("*"&amp;F58&amp;"*",'4'!B$300:B$400,0)),"  ")</f>
        <v xml:space="preserve">  </v>
      </c>
      <c r="T58" s="1398" t="str">
        <f>IFERROR(INDEX('5'!C$300:C$400,MATCH("*"&amp;F58&amp;"*",'5'!B$300:B$400,0)),"  ")</f>
        <v xml:space="preserve">  </v>
      </c>
      <c r="U58" s="1398" t="str">
        <f>IFERROR(INDEX('6'!C$300:C$400,MATCH("*"&amp;F58&amp;"*",'6'!B$300:B$400,0)),"  ")</f>
        <v xml:space="preserve">  </v>
      </c>
      <c r="V58" s="1398" t="str">
        <f ca="1">IFERROR(INDEX('7'!C$300:C$400,MATCH("*"&amp;F58&amp;"*",'7'!B$300:B$400,0)),"  ")</f>
        <v xml:space="preserve">  </v>
      </c>
      <c r="W58" s="1398">
        <f>IFERROR(INDEX('8'!C$300:C$400,MATCH("*"&amp;F58&amp;"*",'8'!B$300:B$400,0)),"  ")</f>
        <v>20</v>
      </c>
      <c r="X58" s="1398" t="str">
        <f>IFERROR(INDEX('9'!C$300:C$400,MATCH("*"&amp;F58&amp;"*",'9'!B$300:B$400,0)),"  ")</f>
        <v xml:space="preserve">  </v>
      </c>
      <c r="Y58" s="1398" t="str">
        <f>IFERROR(INDEX('10'!C$300:C$400,MATCH("*"&amp;F58&amp;"*",'10'!B$300:B$400,0)),"  ")</f>
        <v xml:space="preserve">  </v>
      </c>
      <c r="Z58" s="1398" t="str">
        <f>IFERROR(INDEX('11'!C$300:C$400,MATCH("*"&amp;F58&amp;"*",'11'!B$300:B$400,0)),"  ")</f>
        <v xml:space="preserve">  </v>
      </c>
      <c r="AA58" s="1353">
        <f t="shared" ca="1" si="35"/>
        <v>1</v>
      </c>
      <c r="AB58" s="1353">
        <f t="shared" ca="1" si="36"/>
        <v>0</v>
      </c>
      <c r="AC58" s="1353">
        <f t="shared" ca="1" si="37"/>
        <v>0</v>
      </c>
      <c r="AH58" s="1345"/>
      <c r="AS58" s="689">
        <f t="shared" ca="1" si="38"/>
        <v>2.9999999999999997E-4</v>
      </c>
      <c r="AT58" s="690">
        <f t="shared" si="39"/>
        <v>1E-4</v>
      </c>
      <c r="AU58" s="690">
        <f t="shared" si="40"/>
        <v>2.0000000000000001E-4</v>
      </c>
      <c r="AV58" s="690">
        <f t="shared" si="41"/>
        <v>2.9999999999999997E-4</v>
      </c>
      <c r="AW58" s="690">
        <f t="shared" si="42"/>
        <v>4.0000000000000002E-4</v>
      </c>
      <c r="AX58" s="690">
        <f t="shared" si="43"/>
        <v>5.0000000000000001E-4</v>
      </c>
      <c r="AY58" s="690">
        <f t="shared" si="44"/>
        <v>5.9999999999999995E-4</v>
      </c>
      <c r="AZ58" s="690">
        <f t="shared" ca="1" si="45"/>
        <v>6.9999999999999999E-4</v>
      </c>
      <c r="BA58" s="690">
        <f t="shared" si="46"/>
        <v>20.000800000000002</v>
      </c>
      <c r="BB58" s="690">
        <f t="shared" si="47"/>
        <v>8.9999999999999998E-4</v>
      </c>
      <c r="BC58" s="690">
        <f t="shared" si="48"/>
        <v>1E-3</v>
      </c>
      <c r="BD58" s="690">
        <f t="shared" si="49"/>
        <v>1.1000000000000001E-3</v>
      </c>
    </row>
    <row r="59" spans="1:56" x14ac:dyDescent="0.2">
      <c r="A59" s="1378" t="str">
        <f t="shared" si="25"/>
        <v/>
      </c>
      <c r="B59" s="1392" t="str">
        <f t="shared" si="26"/>
        <v/>
      </c>
      <c r="C59" s="1380" t="str">
        <f t="shared" si="27"/>
        <v/>
      </c>
      <c r="D59" s="1393" t="str">
        <f t="shared" si="28"/>
        <v/>
      </c>
      <c r="E59" s="1394">
        <f t="shared" ca="1" si="29"/>
        <v>50</v>
      </c>
      <c r="F59" s="1405" t="s">
        <v>515</v>
      </c>
      <c r="G59" s="1379"/>
      <c r="H59" s="1384"/>
      <c r="I59" s="1385">
        <f t="array" aca="1" ref="I59" ca="1">(IF(COUNT(P59:Z59)&lt;8,SUM(P59:Z59),SUM(LARGE((P59:Z59),{1;2;3;4;5;6;7;8}))))</f>
        <v>20</v>
      </c>
      <c r="J59" s="1388" t="str">
        <f ca="1">INDEX(ETAPP!B$1:B$32,MATCH(COUNTIF(P59:Z59,PIV!A$1),ETAPP!A$1:A$32,0))&amp;INDEX(ETAPP!B$1:B$32,MATCH(COUNTIF(P59:Z59,PIV!A$2),ETAPP!A$1:A$32,0))&amp;INDEX(ETAPP!B$1:B$32,MATCH(COUNTIF(P59:Z59,PIV!A$3),ETAPP!A$1:A$32,0))&amp;INDEX(ETAPP!B$1:B$32,MATCH(COUNTIF(P59:Z59,PIV!A$4),ETAPP!A$1:A$32,0))&amp;INDEX(ETAPP!B$1:B$32,MATCH(COUNTIF(P59:Z59,PIV!A$5),ETAPP!A$1:A$32,0))&amp;INDEX(ETAPP!B$1:B$32,MATCH(COUNTIF(P59:Z59,PIV!A$6),ETAPP!A$1:A$32,0))&amp;INDEX(ETAPP!B$1:B$32,MATCH(COUNTIF(P59:Z59,PIV!A$7),ETAPP!A$1:A$32,0))&amp;INDEX(ETAPP!B$1:B$32,MATCH(COUNTIF(P59:Z59,PIV!A$8),ETAPP!A$1:A$32,0))&amp;INDEX(ETAPP!B$1:B$32,MATCH(COUNTIF(P59:Z59,PIV!A$9),ETAPP!A$1:A$32,0))&amp;INDEX(ETAPP!B$1:B$32,MATCH(COUNTIF(P59:Z59,PIV!A$10),ETAPP!A$1:A$32,0))&amp;INDEX(ETAPP!B$1:B$32,MATCH(COUNTIF(P59:Z59,PIV!A$11),ETAPP!A$1:A$32,0))&amp;INDEX(ETAPP!B$1:B$32,MATCH(COUNTIF(P59:Z59,PIV!A$12),ETAPP!A$1:A$32,0))&amp;INDEX(ETAPP!B$1:B$32,MATCH(COUNTIF(P59:Z59,PIV!A$13),ETAPP!A$1:A$32,0))&amp;INDEX(ETAPP!B$1:B$32,MATCH(COUNTIF(P59:Z59,PIV!A$14),ETAPP!A$1:A$32,0))&amp;INDEX(ETAPP!B$1:B$32,MATCH(COUNTIF(P59:Z59,PIV!A$15),ETAPP!A$1:A$32,0))&amp;INDEX(ETAPP!B$1:B$32,MATCH(COUNTIF(P59:Z59,PIV!A$16),ETAPP!A$1:A$32,0))&amp;INDEX(ETAPP!B$1:B$32,MATCH(COUNTIF(P59:Z59,PIV!A$17),ETAPP!A$1:A$32,0))&amp;INDEX(ETAPP!B$1:B$32,MATCH(COUNTIF(P59:Z59,PIV!A$18),ETAPP!A$1:A$32,0))&amp;INDEX(ETAPP!B$1:B$32,MATCH(COUNTIF(P59:Z59,PIV!A$19),ETAPP!A$1:A$32,0))</f>
        <v>000000A00000000000E</v>
      </c>
      <c r="K59" s="1388" t="str">
        <f t="shared" ca="1" si="30"/>
        <v>020,0-000000A00000000000E</v>
      </c>
      <c r="L59" s="1387">
        <f t="shared" ca="1" si="31"/>
        <v>53</v>
      </c>
      <c r="M59" s="1387">
        <f t="shared" si="32"/>
        <v>67</v>
      </c>
      <c r="N59" s="1388" t="str">
        <f t="shared" ca="1" si="33"/>
        <v>020,0-000000A00000000000E-067</v>
      </c>
      <c r="O59" s="1396">
        <f t="shared" ca="1" si="34"/>
        <v>57</v>
      </c>
      <c r="P59" s="1397" t="str">
        <f>IFERROR(INDEX('1'!C$300:C$400,MATCH("*"&amp;F59&amp;"*",'1'!B$300:B$400,0)),"  ")</f>
        <v xml:space="preserve">  </v>
      </c>
      <c r="Q59" s="1398" t="str">
        <f>IFERROR(INDEX('2'!C$300:C$400,MATCH("*"&amp;F59&amp;"*",'2'!B$300:B$400,0)),"  ")</f>
        <v xml:space="preserve">  </v>
      </c>
      <c r="R59" s="1398">
        <f>IFERROR(INDEX('3'!C$300:C$400,MATCH("*"&amp;F59&amp;"*",'3'!B$300:B$400,0)),"  ")</f>
        <v>20</v>
      </c>
      <c r="S59" s="1398" t="str">
        <f>IFERROR(INDEX('4'!C$300:C$400,MATCH("*"&amp;F59&amp;"*",'4'!B$300:B$400,0)),"  ")</f>
        <v xml:space="preserve">  </v>
      </c>
      <c r="T59" s="1398" t="str">
        <f>IFERROR(INDEX('5'!C$300:C$400,MATCH("*"&amp;F59&amp;"*",'5'!B$300:B$400,0)),"  ")</f>
        <v xml:space="preserve">  </v>
      </c>
      <c r="U59" s="1398" t="str">
        <f>IFERROR(INDEX('6'!C$300:C$400,MATCH("*"&amp;F59&amp;"*",'6'!B$300:B$400,0)),"  ")</f>
        <v xml:space="preserve">  </v>
      </c>
      <c r="V59" s="1398" t="str">
        <f ca="1">IFERROR(INDEX('7'!C$300:C$400,MATCH("*"&amp;F59&amp;"*",'7'!B$300:B$400,0)),"  ")</f>
        <v xml:space="preserve">  </v>
      </c>
      <c r="W59" s="1398" t="str">
        <f>IFERROR(INDEX('8'!C$300:C$400,MATCH("*"&amp;F59&amp;"*",'8'!B$300:B$400,0)),"  ")</f>
        <v xml:space="preserve">  </v>
      </c>
      <c r="X59" s="1398" t="str">
        <f>IFERROR(INDEX('9'!C$300:C$400,MATCH("*"&amp;F59&amp;"*",'9'!B$300:B$400,0)),"  ")</f>
        <v xml:space="preserve">  </v>
      </c>
      <c r="Y59" s="1398" t="str">
        <f>IFERROR(INDEX('10'!C$300:C$400,MATCH("*"&amp;F59&amp;"*",'10'!B$300:B$400,0)),"  ")</f>
        <v xml:space="preserve">  </v>
      </c>
      <c r="Z59" s="1398" t="str">
        <f>IFERROR(INDEX('11'!C$300:C$400,MATCH("*"&amp;F59&amp;"*",'11'!B$300:B$400,0)),"  ")</f>
        <v xml:space="preserve">  </v>
      </c>
      <c r="AA59" s="1353">
        <f t="shared" ca="1" si="35"/>
        <v>1</v>
      </c>
      <c r="AB59" s="1353">
        <f t="shared" ca="1" si="36"/>
        <v>0</v>
      </c>
      <c r="AC59" s="1353">
        <f t="shared" ca="1" si="37"/>
        <v>0</v>
      </c>
      <c r="AH59" s="1345"/>
      <c r="AS59" s="689">
        <f t="shared" ca="1" si="38"/>
        <v>4.0000000000000002E-4</v>
      </c>
      <c r="AT59" s="690">
        <f t="shared" si="39"/>
        <v>1E-4</v>
      </c>
      <c r="AU59" s="690">
        <f t="shared" si="40"/>
        <v>2.0000000000000001E-4</v>
      </c>
      <c r="AV59" s="690">
        <f t="shared" si="41"/>
        <v>20.000299999999999</v>
      </c>
      <c r="AW59" s="690">
        <f t="shared" si="42"/>
        <v>4.0000000000000002E-4</v>
      </c>
      <c r="AX59" s="690">
        <f t="shared" si="43"/>
        <v>5.0000000000000001E-4</v>
      </c>
      <c r="AY59" s="690">
        <f t="shared" si="44"/>
        <v>5.9999999999999995E-4</v>
      </c>
      <c r="AZ59" s="690">
        <f t="shared" ca="1" si="45"/>
        <v>6.9999999999999999E-4</v>
      </c>
      <c r="BA59" s="690">
        <f t="shared" si="46"/>
        <v>8.0000000000000004E-4</v>
      </c>
      <c r="BB59" s="690">
        <f t="shared" si="47"/>
        <v>8.9999999999999998E-4</v>
      </c>
      <c r="BC59" s="690">
        <f t="shared" si="48"/>
        <v>1E-3</v>
      </c>
      <c r="BD59" s="690">
        <f t="shared" si="49"/>
        <v>1.1000000000000001E-3</v>
      </c>
    </row>
    <row r="60" spans="1:56" x14ac:dyDescent="0.2">
      <c r="A60" s="1378">
        <f t="shared" ca="1" si="25"/>
        <v>12</v>
      </c>
      <c r="B60" s="1392">
        <f t="shared" ca="1" si="26"/>
        <v>53</v>
      </c>
      <c r="C60" s="1380" t="str">
        <f t="shared" si="27"/>
        <v/>
      </c>
      <c r="D60" s="1393" t="str">
        <f t="shared" si="28"/>
        <v/>
      </c>
      <c r="E60" s="1394">
        <f t="shared" ca="1" si="29"/>
        <v>50</v>
      </c>
      <c r="F60" s="1405" t="s">
        <v>520</v>
      </c>
      <c r="G60" s="1379" t="s">
        <v>99</v>
      </c>
      <c r="H60" s="1384"/>
      <c r="I60" s="1385">
        <f t="array" aca="1" ref="I60" ca="1">(IF(COUNT(P60:Z60)&lt;8,SUM(P60:Z60),SUM(LARGE((P60:Z60),{1;2;3;4;5;6;7;8}))))</f>
        <v>20</v>
      </c>
      <c r="J60" s="1388" t="str">
        <f ca="1">INDEX(ETAPP!B$1:B$32,MATCH(COUNTIF(P60:Z60,PIV!A$1),ETAPP!A$1:A$32,0))&amp;INDEX(ETAPP!B$1:B$32,MATCH(COUNTIF(P60:Z60,PIV!A$2),ETAPP!A$1:A$32,0))&amp;INDEX(ETAPP!B$1:B$32,MATCH(COUNTIF(P60:Z60,PIV!A$3),ETAPP!A$1:A$32,0))&amp;INDEX(ETAPP!B$1:B$32,MATCH(COUNTIF(P60:Z60,PIV!A$4),ETAPP!A$1:A$32,0))&amp;INDEX(ETAPP!B$1:B$32,MATCH(COUNTIF(P60:Z60,PIV!A$5),ETAPP!A$1:A$32,0))&amp;INDEX(ETAPP!B$1:B$32,MATCH(COUNTIF(P60:Z60,PIV!A$6),ETAPP!A$1:A$32,0))&amp;INDEX(ETAPP!B$1:B$32,MATCH(COUNTIF(P60:Z60,PIV!A$7),ETAPP!A$1:A$32,0))&amp;INDEX(ETAPP!B$1:B$32,MATCH(COUNTIF(P60:Z60,PIV!A$8),ETAPP!A$1:A$32,0))&amp;INDEX(ETAPP!B$1:B$32,MATCH(COUNTIF(P60:Z60,PIV!A$9),ETAPP!A$1:A$32,0))&amp;INDEX(ETAPP!B$1:B$32,MATCH(COUNTIF(P60:Z60,PIV!A$10),ETAPP!A$1:A$32,0))&amp;INDEX(ETAPP!B$1:B$32,MATCH(COUNTIF(P60:Z60,PIV!A$11),ETAPP!A$1:A$32,0))&amp;INDEX(ETAPP!B$1:B$32,MATCH(COUNTIF(P60:Z60,PIV!A$12),ETAPP!A$1:A$32,0))&amp;INDEX(ETAPP!B$1:B$32,MATCH(COUNTIF(P60:Z60,PIV!A$13),ETAPP!A$1:A$32,0))&amp;INDEX(ETAPP!B$1:B$32,MATCH(COUNTIF(P60:Z60,PIV!A$14),ETAPP!A$1:A$32,0))&amp;INDEX(ETAPP!B$1:B$32,MATCH(COUNTIF(P60:Z60,PIV!A$15),ETAPP!A$1:A$32,0))&amp;INDEX(ETAPP!B$1:B$32,MATCH(COUNTIF(P60:Z60,PIV!A$16),ETAPP!A$1:A$32,0))&amp;INDEX(ETAPP!B$1:B$32,MATCH(COUNTIF(P60:Z60,PIV!A$17),ETAPP!A$1:A$32,0))&amp;INDEX(ETAPP!B$1:B$32,MATCH(COUNTIF(P60:Z60,PIV!A$18),ETAPP!A$1:A$32,0))&amp;INDEX(ETAPP!B$1:B$32,MATCH(COUNTIF(P60:Z60,PIV!A$19),ETAPP!A$1:A$32,0))</f>
        <v>000000A00000000000E</v>
      </c>
      <c r="K60" s="1388" t="str">
        <f t="shared" ca="1" si="30"/>
        <v>020,0-000000A00000000000E</v>
      </c>
      <c r="L60" s="1387">
        <f t="shared" ca="1" si="31"/>
        <v>53</v>
      </c>
      <c r="M60" s="1387">
        <f t="shared" si="32"/>
        <v>18</v>
      </c>
      <c r="N60" s="1388" t="str">
        <f t="shared" ca="1" si="33"/>
        <v>020,0-000000A00000000000E-018</v>
      </c>
      <c r="O60" s="1396">
        <f t="shared" ca="1" si="34"/>
        <v>56</v>
      </c>
      <c r="P60" s="1397" t="str">
        <f>IFERROR(INDEX('1'!C$300:C$400,MATCH("*"&amp;F60&amp;"*",'1'!B$300:B$400,0)),"  ")</f>
        <v xml:space="preserve">  </v>
      </c>
      <c r="Q60" s="1398" t="str">
        <f>IFERROR(INDEX('2'!C$300:C$400,MATCH("*"&amp;F60&amp;"*",'2'!B$300:B$400,0)),"  ")</f>
        <v xml:space="preserve">  </v>
      </c>
      <c r="R60" s="1398">
        <f>IFERROR(INDEX('3'!C$300:C$400,MATCH("*"&amp;F60&amp;"*",'3'!B$300:B$400,0)),"  ")</f>
        <v>20</v>
      </c>
      <c r="S60" s="1398" t="str">
        <f>IFERROR(INDEX('4'!C$300:C$400,MATCH("*"&amp;F60&amp;"*",'4'!B$300:B$400,0)),"  ")</f>
        <v xml:space="preserve">  </v>
      </c>
      <c r="T60" s="1398" t="str">
        <f>IFERROR(INDEX('5'!C$300:C$400,MATCH("*"&amp;F60&amp;"*",'5'!B$300:B$400,0)),"  ")</f>
        <v xml:space="preserve">  </v>
      </c>
      <c r="U60" s="1398" t="str">
        <f>IFERROR(INDEX('6'!C$300:C$400,MATCH("*"&amp;F60&amp;"*",'6'!B$300:B$400,0)),"  ")</f>
        <v xml:space="preserve">  </v>
      </c>
      <c r="V60" s="1398" t="str">
        <f ca="1">IFERROR(INDEX('7'!C$300:C$400,MATCH("*"&amp;F60&amp;"*",'7'!B$300:B$400,0)),"  ")</f>
        <v xml:space="preserve">  </v>
      </c>
      <c r="W60" s="1398" t="str">
        <f>IFERROR(INDEX('8'!C$300:C$400,MATCH("*"&amp;F60&amp;"*",'8'!B$300:B$400,0)),"  ")</f>
        <v xml:space="preserve">  </v>
      </c>
      <c r="X60" s="1398" t="str">
        <f>IFERROR(INDEX('9'!C$300:C$400,MATCH("*"&amp;F60&amp;"*",'9'!B$300:B$400,0)),"  ")</f>
        <v xml:space="preserve">  </v>
      </c>
      <c r="Y60" s="1398" t="str">
        <f>IFERROR(INDEX('10'!C$300:C$400,MATCH("*"&amp;F60&amp;"*",'10'!B$300:B$400,0)),"  ")</f>
        <v xml:space="preserve">  </v>
      </c>
      <c r="Z60" s="1398" t="str">
        <f>IFERROR(INDEX('11'!C$300:C$400,MATCH("*"&amp;F60&amp;"*",'11'!B$300:B$400,0)),"  ")</f>
        <v xml:space="preserve">  </v>
      </c>
      <c r="AA60" s="1353">
        <f t="shared" ca="1" si="35"/>
        <v>1</v>
      </c>
      <c r="AB60" s="1353">
        <f t="shared" ca="1" si="36"/>
        <v>0</v>
      </c>
      <c r="AC60" s="1353">
        <f t="shared" ca="1" si="37"/>
        <v>0</v>
      </c>
      <c r="AH60" s="1345"/>
      <c r="AS60" s="689">
        <f t="shared" ca="1" si="38"/>
        <v>4.0000000000000002E-4</v>
      </c>
      <c r="AT60" s="690">
        <f t="shared" si="39"/>
        <v>1E-4</v>
      </c>
      <c r="AU60" s="690">
        <f t="shared" si="40"/>
        <v>2.0000000000000001E-4</v>
      </c>
      <c r="AV60" s="690">
        <f t="shared" si="41"/>
        <v>20.000299999999999</v>
      </c>
      <c r="AW60" s="690">
        <f t="shared" si="42"/>
        <v>4.0000000000000002E-4</v>
      </c>
      <c r="AX60" s="690">
        <f t="shared" si="43"/>
        <v>5.0000000000000001E-4</v>
      </c>
      <c r="AY60" s="690">
        <f t="shared" si="44"/>
        <v>5.9999999999999995E-4</v>
      </c>
      <c r="AZ60" s="690">
        <f t="shared" ca="1" si="45"/>
        <v>6.9999999999999999E-4</v>
      </c>
      <c r="BA60" s="690">
        <f t="shared" si="46"/>
        <v>8.0000000000000004E-4</v>
      </c>
      <c r="BB60" s="690">
        <f t="shared" si="47"/>
        <v>8.9999999999999998E-4</v>
      </c>
      <c r="BC60" s="690">
        <f t="shared" si="48"/>
        <v>1E-3</v>
      </c>
      <c r="BD60" s="690">
        <f t="shared" si="49"/>
        <v>1.1000000000000001E-3</v>
      </c>
    </row>
    <row r="61" spans="1:56" x14ac:dyDescent="0.2">
      <c r="A61" s="1378" t="str">
        <f t="shared" si="25"/>
        <v/>
      </c>
      <c r="B61" s="1392" t="str">
        <f t="shared" si="26"/>
        <v/>
      </c>
      <c r="C61" s="1380" t="str">
        <f t="shared" si="27"/>
        <v/>
      </c>
      <c r="D61" s="1393" t="str">
        <f t="shared" si="28"/>
        <v/>
      </c>
      <c r="E61" s="1394">
        <f t="shared" ca="1" si="29"/>
        <v>54</v>
      </c>
      <c r="F61" s="1405" t="s">
        <v>511</v>
      </c>
      <c r="G61" s="1379"/>
      <c r="H61" s="1384"/>
      <c r="I61" s="1385">
        <f t="array" aca="1" ref="I61" ca="1">(IF(COUNT(P61:Z61)&lt;8,SUM(P61:Z61),SUM(LARGE((P61:Z61),{1;2;3;4;5;6;7;8}))))</f>
        <v>18</v>
      </c>
      <c r="J61" s="1388" t="str">
        <f ca="1">INDEX(ETAPP!B$1:B$32,MATCH(COUNTIF(P61:Z61,PIV!A$1),ETAPP!A$1:A$32,0))&amp;INDEX(ETAPP!B$1:B$32,MATCH(COUNTIF(P61:Z61,PIV!A$2),ETAPP!A$1:A$32,0))&amp;INDEX(ETAPP!B$1:B$32,MATCH(COUNTIF(P61:Z61,PIV!A$3),ETAPP!A$1:A$32,0))&amp;INDEX(ETAPP!B$1:B$32,MATCH(COUNTIF(P61:Z61,PIV!A$4),ETAPP!A$1:A$32,0))&amp;INDEX(ETAPP!B$1:B$32,MATCH(COUNTIF(P61:Z61,PIV!A$5),ETAPP!A$1:A$32,0))&amp;INDEX(ETAPP!B$1:B$32,MATCH(COUNTIF(P61:Z61,PIV!A$6),ETAPP!A$1:A$32,0))&amp;INDEX(ETAPP!B$1:B$32,MATCH(COUNTIF(P61:Z61,PIV!A$7),ETAPP!A$1:A$32,0))&amp;INDEX(ETAPP!B$1:B$32,MATCH(COUNTIF(P61:Z61,PIV!A$8),ETAPP!A$1:A$32,0))&amp;INDEX(ETAPP!B$1:B$32,MATCH(COUNTIF(P61:Z61,PIV!A$9),ETAPP!A$1:A$32,0))&amp;INDEX(ETAPP!B$1:B$32,MATCH(COUNTIF(P61:Z61,PIV!A$10),ETAPP!A$1:A$32,0))&amp;INDEX(ETAPP!B$1:B$32,MATCH(COUNTIF(P61:Z61,PIV!A$11),ETAPP!A$1:A$32,0))&amp;INDEX(ETAPP!B$1:B$32,MATCH(COUNTIF(P61:Z61,PIV!A$12),ETAPP!A$1:A$32,0))&amp;INDEX(ETAPP!B$1:B$32,MATCH(COUNTIF(P61:Z61,PIV!A$13),ETAPP!A$1:A$32,0))&amp;INDEX(ETAPP!B$1:B$32,MATCH(COUNTIF(P61:Z61,PIV!A$14),ETAPP!A$1:A$32,0))&amp;INDEX(ETAPP!B$1:B$32,MATCH(COUNTIF(P61:Z61,PIV!A$15),ETAPP!A$1:A$32,0))&amp;INDEX(ETAPP!B$1:B$32,MATCH(COUNTIF(P61:Z61,PIV!A$16),ETAPP!A$1:A$32,0))&amp;INDEX(ETAPP!B$1:B$32,MATCH(COUNTIF(P61:Z61,PIV!A$17),ETAPP!A$1:A$32,0))&amp;INDEX(ETAPP!B$1:B$32,MATCH(COUNTIF(P61:Z61,PIV!A$18),ETAPP!A$1:A$32,0))&amp;INDEX(ETAPP!B$1:B$32,MATCH(COUNTIF(P61:Z61,PIV!A$19),ETAPP!A$1:A$32,0))</f>
        <v>0000000A0000000000E</v>
      </c>
      <c r="K61" s="1388" t="str">
        <f t="shared" ca="1" si="30"/>
        <v>018,0-0000000A0000000000E</v>
      </c>
      <c r="L61" s="1387">
        <f t="shared" ca="1" si="31"/>
        <v>58</v>
      </c>
      <c r="M61" s="1387">
        <f t="shared" si="32"/>
        <v>106</v>
      </c>
      <c r="N61" s="1388" t="str">
        <f t="shared" ca="1" si="33"/>
        <v>018,0-0000000A0000000000E-106</v>
      </c>
      <c r="O61" s="1396">
        <f t="shared" ca="1" si="34"/>
        <v>55</v>
      </c>
      <c r="P61" s="1397" t="str">
        <f>IFERROR(INDEX('1'!C$300:C$400,MATCH("*"&amp;F61&amp;"*",'1'!B$300:B$400,0)),"  ")</f>
        <v xml:space="preserve">  </v>
      </c>
      <c r="Q61" s="1398" t="str">
        <f>IFERROR(INDEX('2'!C$300:C$400,MATCH("*"&amp;F61&amp;"*",'2'!B$300:B$400,0)),"  ")</f>
        <v xml:space="preserve">  </v>
      </c>
      <c r="R61" s="1398">
        <f>IFERROR(INDEX('3'!C$300:C$400,MATCH("*"&amp;F61&amp;"*",'3'!B$300:B$400,0)),"  ")</f>
        <v>18</v>
      </c>
      <c r="S61" s="1398" t="str">
        <f>IFERROR(INDEX('4'!C$300:C$400,MATCH("*"&amp;F61&amp;"*",'4'!B$300:B$400,0)),"  ")</f>
        <v xml:space="preserve">  </v>
      </c>
      <c r="T61" s="1398" t="str">
        <f>IFERROR(INDEX('5'!C$300:C$400,MATCH("*"&amp;F61&amp;"*",'5'!B$300:B$400,0)),"  ")</f>
        <v xml:space="preserve">  </v>
      </c>
      <c r="U61" s="1398" t="str">
        <f>IFERROR(INDEX('6'!C$300:C$400,MATCH("*"&amp;F61&amp;"*",'6'!B$300:B$400,0)),"  ")</f>
        <v xml:space="preserve">  </v>
      </c>
      <c r="V61" s="1398" t="str">
        <f ca="1">IFERROR(INDEX('7'!C$300:C$400,MATCH("*"&amp;F61&amp;"*",'7'!B$300:B$400,0)),"  ")</f>
        <v xml:space="preserve">  </v>
      </c>
      <c r="W61" s="1398" t="str">
        <f>IFERROR(INDEX('8'!C$300:C$400,MATCH("*"&amp;F61&amp;"*",'8'!B$300:B$400,0)),"  ")</f>
        <v xml:space="preserve">  </v>
      </c>
      <c r="X61" s="1398" t="str">
        <f>IFERROR(INDEX('9'!C$300:C$400,MATCH("*"&amp;F61&amp;"*",'9'!B$300:B$400,0)),"  ")</f>
        <v xml:space="preserve">  </v>
      </c>
      <c r="Y61" s="1398" t="str">
        <f>IFERROR(INDEX('10'!C$300:C$400,MATCH("*"&amp;F61&amp;"*",'10'!B$300:B$400,0)),"  ")</f>
        <v xml:space="preserve">  </v>
      </c>
      <c r="Z61" s="1398" t="str">
        <f>IFERROR(INDEX('11'!C$300:C$400,MATCH("*"&amp;F61&amp;"*",'11'!B$300:B$400,0)),"  ")</f>
        <v xml:space="preserve">  </v>
      </c>
      <c r="AA61" s="1353">
        <f t="shared" ca="1" si="35"/>
        <v>1</v>
      </c>
      <c r="AB61" s="1353">
        <f t="shared" ca="1" si="36"/>
        <v>0</v>
      </c>
      <c r="AC61" s="1353">
        <f t="shared" ca="1" si="37"/>
        <v>0</v>
      </c>
      <c r="AH61" s="1345"/>
      <c r="AS61" s="689">
        <f t="shared" ca="1" si="38"/>
        <v>4.0000000000000002E-4</v>
      </c>
      <c r="AT61" s="690">
        <f t="shared" si="39"/>
        <v>1E-4</v>
      </c>
      <c r="AU61" s="690">
        <f t="shared" si="40"/>
        <v>2.0000000000000001E-4</v>
      </c>
      <c r="AV61" s="690">
        <f t="shared" si="41"/>
        <v>18.000299999999999</v>
      </c>
      <c r="AW61" s="690">
        <f t="shared" si="42"/>
        <v>4.0000000000000002E-4</v>
      </c>
      <c r="AX61" s="690">
        <f t="shared" si="43"/>
        <v>5.0000000000000001E-4</v>
      </c>
      <c r="AY61" s="690">
        <f t="shared" si="44"/>
        <v>5.9999999999999995E-4</v>
      </c>
      <c r="AZ61" s="690">
        <f t="shared" ca="1" si="45"/>
        <v>6.9999999999999999E-4</v>
      </c>
      <c r="BA61" s="690">
        <f t="shared" si="46"/>
        <v>8.0000000000000004E-4</v>
      </c>
      <c r="BB61" s="690">
        <f t="shared" si="47"/>
        <v>8.9999999999999998E-4</v>
      </c>
      <c r="BC61" s="690">
        <f t="shared" si="48"/>
        <v>1E-3</v>
      </c>
      <c r="BD61" s="690">
        <f t="shared" si="49"/>
        <v>1.1000000000000001E-3</v>
      </c>
    </row>
    <row r="62" spans="1:56" x14ac:dyDescent="0.2">
      <c r="A62" s="1378">
        <f t="shared" ca="1" si="25"/>
        <v>13</v>
      </c>
      <c r="B62" s="1392">
        <f t="shared" ca="1" si="26"/>
        <v>58</v>
      </c>
      <c r="C62" s="1380" t="str">
        <f t="shared" si="27"/>
        <v/>
      </c>
      <c r="D62" s="1393" t="str">
        <f t="shared" si="28"/>
        <v/>
      </c>
      <c r="E62" s="1394">
        <f t="shared" ca="1" si="29"/>
        <v>54</v>
      </c>
      <c r="F62" s="1405" t="s">
        <v>516</v>
      </c>
      <c r="G62" s="1379" t="s">
        <v>99</v>
      </c>
      <c r="H62" s="1384"/>
      <c r="I62" s="1385">
        <f t="array" aca="1" ref="I62" ca="1">(IF(COUNT(P62:Z62)&lt;8,SUM(P62:Z62),SUM(LARGE((P62:Z62),{1;2;3;4;5;6;7;8}))))</f>
        <v>18</v>
      </c>
      <c r="J62" s="1388" t="str">
        <f ca="1">INDEX(ETAPP!B$1:B$32,MATCH(COUNTIF(P62:Z62,PIV!A$1),ETAPP!A$1:A$32,0))&amp;INDEX(ETAPP!B$1:B$32,MATCH(COUNTIF(P62:Z62,PIV!A$2),ETAPP!A$1:A$32,0))&amp;INDEX(ETAPP!B$1:B$32,MATCH(COUNTIF(P62:Z62,PIV!A$3),ETAPP!A$1:A$32,0))&amp;INDEX(ETAPP!B$1:B$32,MATCH(COUNTIF(P62:Z62,PIV!A$4),ETAPP!A$1:A$32,0))&amp;INDEX(ETAPP!B$1:B$32,MATCH(COUNTIF(P62:Z62,PIV!A$5),ETAPP!A$1:A$32,0))&amp;INDEX(ETAPP!B$1:B$32,MATCH(COUNTIF(P62:Z62,PIV!A$6),ETAPP!A$1:A$32,0))&amp;INDEX(ETAPP!B$1:B$32,MATCH(COUNTIF(P62:Z62,PIV!A$7),ETAPP!A$1:A$32,0))&amp;INDEX(ETAPP!B$1:B$32,MATCH(COUNTIF(P62:Z62,PIV!A$8),ETAPP!A$1:A$32,0))&amp;INDEX(ETAPP!B$1:B$32,MATCH(COUNTIF(P62:Z62,PIV!A$9),ETAPP!A$1:A$32,0))&amp;INDEX(ETAPP!B$1:B$32,MATCH(COUNTIF(P62:Z62,PIV!A$10),ETAPP!A$1:A$32,0))&amp;INDEX(ETAPP!B$1:B$32,MATCH(COUNTIF(P62:Z62,PIV!A$11),ETAPP!A$1:A$32,0))&amp;INDEX(ETAPP!B$1:B$32,MATCH(COUNTIF(P62:Z62,PIV!A$12),ETAPP!A$1:A$32,0))&amp;INDEX(ETAPP!B$1:B$32,MATCH(COUNTIF(P62:Z62,PIV!A$13),ETAPP!A$1:A$32,0))&amp;INDEX(ETAPP!B$1:B$32,MATCH(COUNTIF(P62:Z62,PIV!A$14),ETAPP!A$1:A$32,0))&amp;INDEX(ETAPP!B$1:B$32,MATCH(COUNTIF(P62:Z62,PIV!A$15),ETAPP!A$1:A$32,0))&amp;INDEX(ETAPP!B$1:B$32,MATCH(COUNTIF(P62:Z62,PIV!A$16),ETAPP!A$1:A$32,0))&amp;INDEX(ETAPP!B$1:B$32,MATCH(COUNTIF(P62:Z62,PIV!A$17),ETAPP!A$1:A$32,0))&amp;INDEX(ETAPP!B$1:B$32,MATCH(COUNTIF(P62:Z62,PIV!A$18),ETAPP!A$1:A$32,0))&amp;INDEX(ETAPP!B$1:B$32,MATCH(COUNTIF(P62:Z62,PIV!A$19),ETAPP!A$1:A$32,0))</f>
        <v>0000000A0000000000E</v>
      </c>
      <c r="K62" s="1388" t="str">
        <f t="shared" ca="1" si="30"/>
        <v>018,0-0000000A0000000000E</v>
      </c>
      <c r="L62" s="1387">
        <f t="shared" ca="1" si="31"/>
        <v>58</v>
      </c>
      <c r="M62" s="1387">
        <f t="shared" si="32"/>
        <v>99</v>
      </c>
      <c r="N62" s="1388" t="str">
        <f t="shared" ca="1" si="33"/>
        <v>018,0-0000000A0000000000E-099</v>
      </c>
      <c r="O62" s="1396">
        <f t="shared" ca="1" si="34"/>
        <v>54</v>
      </c>
      <c r="P62" s="1397" t="str">
        <f>IFERROR(INDEX('1'!C$300:C$400,MATCH("*"&amp;F62&amp;"*",'1'!B$300:B$400,0)),"  ")</f>
        <v xml:space="preserve">  </v>
      </c>
      <c r="Q62" s="1398" t="str">
        <f>IFERROR(INDEX('2'!C$300:C$400,MATCH("*"&amp;F62&amp;"*",'2'!B$300:B$400,0)),"  ")</f>
        <v xml:space="preserve">  </v>
      </c>
      <c r="R62" s="1398">
        <f>IFERROR(INDEX('3'!C$300:C$400,MATCH("*"&amp;F62&amp;"*",'3'!B$300:B$400,0)),"  ")</f>
        <v>18</v>
      </c>
      <c r="S62" s="1398" t="str">
        <f>IFERROR(INDEX('4'!C$300:C$400,MATCH("*"&amp;F62&amp;"*",'4'!B$300:B$400,0)),"  ")</f>
        <v xml:space="preserve">  </v>
      </c>
      <c r="T62" s="1398" t="str">
        <f>IFERROR(INDEX('5'!C$300:C$400,MATCH("*"&amp;F62&amp;"*",'5'!B$300:B$400,0)),"  ")</f>
        <v xml:space="preserve">  </v>
      </c>
      <c r="U62" s="1398" t="str">
        <f>IFERROR(INDEX('6'!C$300:C$400,MATCH("*"&amp;F62&amp;"*",'6'!B$300:B$400,0)),"  ")</f>
        <v xml:space="preserve">  </v>
      </c>
      <c r="V62" s="1398" t="str">
        <f ca="1">IFERROR(INDEX('7'!C$300:C$400,MATCH("*"&amp;F62&amp;"*",'7'!B$300:B$400,0)),"  ")</f>
        <v xml:space="preserve">  </v>
      </c>
      <c r="W62" s="1398" t="str">
        <f>IFERROR(INDEX('8'!C$300:C$400,MATCH("*"&amp;F62&amp;"*",'8'!B$300:B$400,0)),"  ")</f>
        <v xml:space="preserve">  </v>
      </c>
      <c r="X62" s="1398" t="str">
        <f>IFERROR(INDEX('9'!C$300:C$400,MATCH("*"&amp;F62&amp;"*",'9'!B$300:B$400,0)),"  ")</f>
        <v xml:space="preserve">  </v>
      </c>
      <c r="Y62" s="1398" t="str">
        <f>IFERROR(INDEX('10'!C$300:C$400,MATCH("*"&amp;F62&amp;"*",'10'!B$300:B$400,0)),"  ")</f>
        <v xml:space="preserve">  </v>
      </c>
      <c r="Z62" s="1398" t="str">
        <f>IFERROR(INDEX('11'!C$300:C$400,MATCH("*"&amp;F62&amp;"*",'11'!B$300:B$400,0)),"  ")</f>
        <v xml:space="preserve">  </v>
      </c>
      <c r="AA62" s="1353">
        <f t="shared" ca="1" si="35"/>
        <v>1</v>
      </c>
      <c r="AB62" s="1353">
        <f t="shared" ca="1" si="36"/>
        <v>0</v>
      </c>
      <c r="AC62" s="1353">
        <f t="shared" ca="1" si="37"/>
        <v>0</v>
      </c>
      <c r="AH62" s="1345"/>
      <c r="AS62" s="689">
        <f t="shared" ca="1" si="38"/>
        <v>4.0000000000000002E-4</v>
      </c>
      <c r="AT62" s="690">
        <f t="shared" si="39"/>
        <v>1E-4</v>
      </c>
      <c r="AU62" s="690">
        <f t="shared" si="40"/>
        <v>2.0000000000000001E-4</v>
      </c>
      <c r="AV62" s="690">
        <f t="shared" si="41"/>
        <v>18.000299999999999</v>
      </c>
      <c r="AW62" s="690">
        <f t="shared" si="42"/>
        <v>4.0000000000000002E-4</v>
      </c>
      <c r="AX62" s="690">
        <f t="shared" si="43"/>
        <v>5.0000000000000001E-4</v>
      </c>
      <c r="AY62" s="690">
        <f t="shared" si="44"/>
        <v>5.9999999999999995E-4</v>
      </c>
      <c r="AZ62" s="690">
        <f t="shared" ca="1" si="45"/>
        <v>6.9999999999999999E-4</v>
      </c>
      <c r="BA62" s="690">
        <f t="shared" si="46"/>
        <v>8.0000000000000004E-4</v>
      </c>
      <c r="BB62" s="690">
        <f t="shared" si="47"/>
        <v>8.9999999999999998E-4</v>
      </c>
      <c r="BC62" s="690">
        <f t="shared" si="48"/>
        <v>1E-3</v>
      </c>
      <c r="BD62" s="690">
        <f t="shared" si="49"/>
        <v>1.1000000000000001E-3</v>
      </c>
    </row>
    <row r="63" spans="1:56" x14ac:dyDescent="0.2">
      <c r="A63" s="1378" t="str">
        <f t="shared" si="25"/>
        <v/>
      </c>
      <c r="B63" s="1392" t="str">
        <f t="shared" si="26"/>
        <v/>
      </c>
      <c r="C63" s="1380" t="str">
        <f t="shared" si="27"/>
        <v/>
      </c>
      <c r="D63" s="1393" t="str">
        <f t="shared" si="28"/>
        <v/>
      </c>
      <c r="E63" s="1394">
        <f t="shared" ca="1" si="29"/>
        <v>54</v>
      </c>
      <c r="F63" s="1405" t="s">
        <v>521</v>
      </c>
      <c r="G63" s="1379"/>
      <c r="H63" s="1384"/>
      <c r="I63" s="1385">
        <f t="array" aca="1" ref="I63" ca="1">(IF(COUNT(P63:Z63)&lt;8,SUM(P63:Z63),SUM(LARGE((P63:Z63),{1;2;3;4;5;6;7;8}))))</f>
        <v>18</v>
      </c>
      <c r="J63" s="1388" t="str">
        <f ca="1">INDEX(ETAPP!B$1:B$32,MATCH(COUNTIF(P63:Z63,PIV!A$1),ETAPP!A$1:A$32,0))&amp;INDEX(ETAPP!B$1:B$32,MATCH(COUNTIF(P63:Z63,PIV!A$2),ETAPP!A$1:A$32,0))&amp;INDEX(ETAPP!B$1:B$32,MATCH(COUNTIF(P63:Z63,PIV!A$3),ETAPP!A$1:A$32,0))&amp;INDEX(ETAPP!B$1:B$32,MATCH(COUNTIF(P63:Z63,PIV!A$4),ETAPP!A$1:A$32,0))&amp;INDEX(ETAPP!B$1:B$32,MATCH(COUNTIF(P63:Z63,PIV!A$5),ETAPP!A$1:A$32,0))&amp;INDEX(ETAPP!B$1:B$32,MATCH(COUNTIF(P63:Z63,PIV!A$6),ETAPP!A$1:A$32,0))&amp;INDEX(ETAPP!B$1:B$32,MATCH(COUNTIF(P63:Z63,PIV!A$7),ETAPP!A$1:A$32,0))&amp;INDEX(ETAPP!B$1:B$32,MATCH(COUNTIF(P63:Z63,PIV!A$8),ETAPP!A$1:A$32,0))&amp;INDEX(ETAPP!B$1:B$32,MATCH(COUNTIF(P63:Z63,PIV!A$9),ETAPP!A$1:A$32,0))&amp;INDEX(ETAPP!B$1:B$32,MATCH(COUNTIF(P63:Z63,PIV!A$10),ETAPP!A$1:A$32,0))&amp;INDEX(ETAPP!B$1:B$32,MATCH(COUNTIF(P63:Z63,PIV!A$11),ETAPP!A$1:A$32,0))&amp;INDEX(ETAPP!B$1:B$32,MATCH(COUNTIF(P63:Z63,PIV!A$12),ETAPP!A$1:A$32,0))&amp;INDEX(ETAPP!B$1:B$32,MATCH(COUNTIF(P63:Z63,PIV!A$13),ETAPP!A$1:A$32,0))&amp;INDEX(ETAPP!B$1:B$32,MATCH(COUNTIF(P63:Z63,PIV!A$14),ETAPP!A$1:A$32,0))&amp;INDEX(ETAPP!B$1:B$32,MATCH(COUNTIF(P63:Z63,PIV!A$15),ETAPP!A$1:A$32,0))&amp;INDEX(ETAPP!B$1:B$32,MATCH(COUNTIF(P63:Z63,PIV!A$16),ETAPP!A$1:A$32,0))&amp;INDEX(ETAPP!B$1:B$32,MATCH(COUNTIF(P63:Z63,PIV!A$17),ETAPP!A$1:A$32,0))&amp;INDEX(ETAPP!B$1:B$32,MATCH(COUNTIF(P63:Z63,PIV!A$18),ETAPP!A$1:A$32,0))&amp;INDEX(ETAPP!B$1:B$32,MATCH(COUNTIF(P63:Z63,PIV!A$19),ETAPP!A$1:A$32,0))</f>
        <v>0000000A0000000000E</v>
      </c>
      <c r="K63" s="1388" t="str">
        <f t="shared" ca="1" si="30"/>
        <v>018,0-0000000A0000000000E</v>
      </c>
      <c r="L63" s="1387">
        <f t="shared" ca="1" si="31"/>
        <v>58</v>
      </c>
      <c r="M63" s="1387">
        <f t="shared" si="32"/>
        <v>88</v>
      </c>
      <c r="N63" s="1388" t="str">
        <f t="shared" ca="1" si="33"/>
        <v>018,0-0000000A0000000000E-088</v>
      </c>
      <c r="O63" s="1396">
        <f t="shared" ca="1" si="34"/>
        <v>53</v>
      </c>
      <c r="P63" s="1397" t="str">
        <f>IFERROR(INDEX('1'!C$300:C$400,MATCH("*"&amp;F63&amp;"*",'1'!B$300:B$400,0)),"  ")</f>
        <v xml:space="preserve">  </v>
      </c>
      <c r="Q63" s="1398" t="str">
        <f>IFERROR(INDEX('2'!C$300:C$400,MATCH("*"&amp;F63&amp;"*",'2'!B$300:B$400,0)),"  ")</f>
        <v xml:space="preserve">  </v>
      </c>
      <c r="R63" s="1398">
        <f>IFERROR(INDEX('3'!C$300:C$400,MATCH("*"&amp;F63&amp;"*",'3'!B$300:B$400,0)),"  ")</f>
        <v>18</v>
      </c>
      <c r="S63" s="1398" t="str">
        <f>IFERROR(INDEX('4'!C$300:C$400,MATCH("*"&amp;F63&amp;"*",'4'!B$300:B$400,0)),"  ")</f>
        <v xml:space="preserve">  </v>
      </c>
      <c r="T63" s="1398" t="str">
        <f>IFERROR(INDEX('5'!C$300:C$400,MATCH("*"&amp;F63&amp;"*",'5'!B$300:B$400,0)),"  ")</f>
        <v xml:space="preserve">  </v>
      </c>
      <c r="U63" s="1398" t="str">
        <f>IFERROR(INDEX('6'!C$300:C$400,MATCH("*"&amp;F63&amp;"*",'6'!B$300:B$400,0)),"  ")</f>
        <v xml:space="preserve">  </v>
      </c>
      <c r="V63" s="1398" t="str">
        <f ca="1">IFERROR(INDEX('7'!C$300:C$400,MATCH("*"&amp;F63&amp;"*",'7'!B$300:B$400,0)),"  ")</f>
        <v xml:space="preserve">  </v>
      </c>
      <c r="W63" s="1398" t="str">
        <f>IFERROR(INDEX('8'!C$300:C$400,MATCH("*"&amp;F63&amp;"*",'8'!B$300:B$400,0)),"  ")</f>
        <v xml:space="preserve">  </v>
      </c>
      <c r="X63" s="1398" t="str">
        <f>IFERROR(INDEX('9'!C$300:C$400,MATCH("*"&amp;F63&amp;"*",'9'!B$300:B$400,0)),"  ")</f>
        <v xml:space="preserve">  </v>
      </c>
      <c r="Y63" s="1398" t="str">
        <f>IFERROR(INDEX('10'!C$300:C$400,MATCH("*"&amp;F63&amp;"*",'10'!B$300:B$400,0)),"  ")</f>
        <v xml:space="preserve">  </v>
      </c>
      <c r="Z63" s="1398" t="str">
        <f>IFERROR(INDEX('11'!C$300:C$400,MATCH("*"&amp;F63&amp;"*",'11'!B$300:B$400,0)),"  ")</f>
        <v xml:space="preserve">  </v>
      </c>
      <c r="AA63" s="1353">
        <f t="shared" ca="1" si="35"/>
        <v>1</v>
      </c>
      <c r="AB63" s="1353">
        <f t="shared" ca="1" si="36"/>
        <v>0</v>
      </c>
      <c r="AC63" s="1353">
        <f t="shared" ca="1" si="37"/>
        <v>0</v>
      </c>
      <c r="AH63" s="1345"/>
      <c r="AS63" s="689">
        <f t="shared" ca="1" si="38"/>
        <v>4.0000000000000002E-4</v>
      </c>
      <c r="AT63" s="690">
        <f t="shared" si="39"/>
        <v>1E-4</v>
      </c>
      <c r="AU63" s="690">
        <f t="shared" si="40"/>
        <v>2.0000000000000001E-4</v>
      </c>
      <c r="AV63" s="690">
        <f t="shared" si="41"/>
        <v>18.000299999999999</v>
      </c>
      <c r="AW63" s="690">
        <f t="shared" si="42"/>
        <v>4.0000000000000002E-4</v>
      </c>
      <c r="AX63" s="690">
        <f t="shared" si="43"/>
        <v>5.0000000000000001E-4</v>
      </c>
      <c r="AY63" s="690">
        <f t="shared" si="44"/>
        <v>5.9999999999999995E-4</v>
      </c>
      <c r="AZ63" s="690">
        <f t="shared" ca="1" si="45"/>
        <v>6.9999999999999999E-4</v>
      </c>
      <c r="BA63" s="690">
        <f t="shared" si="46"/>
        <v>8.0000000000000004E-4</v>
      </c>
      <c r="BB63" s="690">
        <f t="shared" si="47"/>
        <v>8.9999999999999998E-4</v>
      </c>
      <c r="BC63" s="690">
        <f t="shared" si="48"/>
        <v>1E-3</v>
      </c>
      <c r="BD63" s="690">
        <f t="shared" si="49"/>
        <v>1.1000000000000001E-3</v>
      </c>
    </row>
    <row r="64" spans="1:56" x14ac:dyDescent="0.2">
      <c r="A64" s="1378">
        <f t="shared" ca="1" si="25"/>
        <v>13</v>
      </c>
      <c r="B64" s="1392">
        <f t="shared" ca="1" si="26"/>
        <v>58</v>
      </c>
      <c r="C64" s="1380" t="str">
        <f t="shared" si="27"/>
        <v/>
      </c>
      <c r="D64" s="1393" t="str">
        <f t="shared" si="28"/>
        <v/>
      </c>
      <c r="E64" s="1394">
        <f t="shared" ca="1" si="29"/>
        <v>54</v>
      </c>
      <c r="F64" s="1360" t="s">
        <v>150</v>
      </c>
      <c r="G64" s="1379" t="s">
        <v>99</v>
      </c>
      <c r="H64" s="1384"/>
      <c r="I64" s="1385">
        <f t="array" aca="1" ref="I64" ca="1">(IF(COUNT(P64:Z64)&lt;8,SUM(P64:Z64),SUM(LARGE((P64:Z64),{1;2;3;4;5;6;7;8}))))</f>
        <v>18</v>
      </c>
      <c r="J64" s="1388" t="str">
        <f ca="1">INDEX(ETAPP!B$1:B$32,MATCH(COUNTIF(P64:Z64,PIV!A$1),ETAPP!A$1:A$32,0))&amp;INDEX(ETAPP!B$1:B$32,MATCH(COUNTIF(P64:Z64,PIV!A$2),ETAPP!A$1:A$32,0))&amp;INDEX(ETAPP!B$1:B$32,MATCH(COUNTIF(P64:Z64,PIV!A$3),ETAPP!A$1:A$32,0))&amp;INDEX(ETAPP!B$1:B$32,MATCH(COUNTIF(P64:Z64,PIV!A$4),ETAPP!A$1:A$32,0))&amp;INDEX(ETAPP!B$1:B$32,MATCH(COUNTIF(P64:Z64,PIV!A$5),ETAPP!A$1:A$32,0))&amp;INDEX(ETAPP!B$1:B$32,MATCH(COUNTIF(P64:Z64,PIV!A$6),ETAPP!A$1:A$32,0))&amp;INDEX(ETAPP!B$1:B$32,MATCH(COUNTIF(P64:Z64,PIV!A$7),ETAPP!A$1:A$32,0))&amp;INDEX(ETAPP!B$1:B$32,MATCH(COUNTIF(P64:Z64,PIV!A$8),ETAPP!A$1:A$32,0))&amp;INDEX(ETAPP!B$1:B$32,MATCH(COUNTIF(P64:Z64,PIV!A$9),ETAPP!A$1:A$32,0))&amp;INDEX(ETAPP!B$1:B$32,MATCH(COUNTIF(P64:Z64,PIV!A$10),ETAPP!A$1:A$32,0))&amp;INDEX(ETAPP!B$1:B$32,MATCH(COUNTIF(P64:Z64,PIV!A$11),ETAPP!A$1:A$32,0))&amp;INDEX(ETAPP!B$1:B$32,MATCH(COUNTIF(P64:Z64,PIV!A$12),ETAPP!A$1:A$32,0))&amp;INDEX(ETAPP!B$1:B$32,MATCH(COUNTIF(P64:Z64,PIV!A$13),ETAPP!A$1:A$32,0))&amp;INDEX(ETAPP!B$1:B$32,MATCH(COUNTIF(P64:Z64,PIV!A$14),ETAPP!A$1:A$32,0))&amp;INDEX(ETAPP!B$1:B$32,MATCH(COUNTIF(P64:Z64,PIV!A$15),ETAPP!A$1:A$32,0))&amp;INDEX(ETAPP!B$1:B$32,MATCH(COUNTIF(P64:Z64,PIV!A$16),ETAPP!A$1:A$32,0))&amp;INDEX(ETAPP!B$1:B$32,MATCH(COUNTIF(P64:Z64,PIV!A$17),ETAPP!A$1:A$32,0))&amp;INDEX(ETAPP!B$1:B$32,MATCH(COUNTIF(P64:Z64,PIV!A$18),ETAPP!A$1:A$32,0))&amp;INDEX(ETAPP!B$1:B$32,MATCH(COUNTIF(P64:Z64,PIV!A$19),ETAPP!A$1:A$32,0))</f>
        <v>0000000A0000000000E</v>
      </c>
      <c r="K64" s="1388" t="str">
        <f t="shared" ca="1" si="30"/>
        <v>018,0-0000000A0000000000E</v>
      </c>
      <c r="L64" s="1387">
        <f t="shared" ca="1" si="31"/>
        <v>58</v>
      </c>
      <c r="M64" s="1387">
        <f t="shared" si="32"/>
        <v>83</v>
      </c>
      <c r="N64" s="1388" t="str">
        <f t="shared" ca="1" si="33"/>
        <v>018,0-0000000A0000000000E-083</v>
      </c>
      <c r="O64" s="1396">
        <f t="shared" ca="1" si="34"/>
        <v>52</v>
      </c>
      <c r="P64" s="1397" t="str">
        <f>IFERROR(INDEX('1'!C$300:C$400,MATCH("*"&amp;F64&amp;"*",'1'!B$300:B$400,0)),"  ")</f>
        <v xml:space="preserve">  </v>
      </c>
      <c r="Q64" s="1398" t="str">
        <f>IFERROR(INDEX('2'!C$300:C$400,MATCH("*"&amp;F64&amp;"*",'2'!B$300:B$400,0)),"  ")</f>
        <v xml:space="preserve">  </v>
      </c>
      <c r="R64" s="1398" t="str">
        <f>IFERROR(INDEX('3'!C$300:C$400,MATCH("*"&amp;F64&amp;"*",'3'!B$300:B$400,0)),"  ")</f>
        <v xml:space="preserve">  </v>
      </c>
      <c r="S64" s="1398">
        <f>IFERROR(INDEX('4'!C$300:C$400,MATCH("*"&amp;F64&amp;"*",'4'!B$300:B$400,0)),"  ")</f>
        <v>18</v>
      </c>
      <c r="T64" s="1398" t="str">
        <f>IFERROR(INDEX('5'!C$300:C$400,MATCH("*"&amp;F64&amp;"*",'5'!B$300:B$400,0)),"  ")</f>
        <v xml:space="preserve">  </v>
      </c>
      <c r="U64" s="1398" t="str">
        <f>IFERROR(INDEX('6'!C$300:C$400,MATCH("*"&amp;F64&amp;"*",'6'!B$300:B$400,0)),"  ")</f>
        <v xml:space="preserve">  </v>
      </c>
      <c r="V64" s="1398" t="str">
        <f ca="1">IFERROR(INDEX('7'!C$300:C$400,MATCH("*"&amp;F64&amp;"*",'7'!B$300:B$400,0)),"  ")</f>
        <v xml:space="preserve">  </v>
      </c>
      <c r="W64" s="1398" t="str">
        <f>IFERROR(INDEX('8'!C$300:C$400,MATCH("*"&amp;F64&amp;"*",'8'!B$300:B$400,0)),"  ")</f>
        <v xml:space="preserve">  </v>
      </c>
      <c r="X64" s="1398" t="str">
        <f>IFERROR(INDEX('9'!C$300:C$400,MATCH("*"&amp;F64&amp;"*",'9'!B$300:B$400,0)),"  ")</f>
        <v xml:space="preserve">  </v>
      </c>
      <c r="Y64" s="1398" t="str">
        <f>IFERROR(INDEX('10'!C$300:C$400,MATCH("*"&amp;F64&amp;"*",'10'!B$300:B$400,0)),"  ")</f>
        <v xml:space="preserve">  </v>
      </c>
      <c r="Z64" s="1398" t="str">
        <f>IFERROR(INDEX('11'!C$300:C$400,MATCH("*"&amp;F64&amp;"*",'11'!B$300:B$400,0)),"  ")</f>
        <v xml:space="preserve">  </v>
      </c>
      <c r="AA64" s="1353">
        <f t="shared" ca="1" si="35"/>
        <v>1</v>
      </c>
      <c r="AB64" s="1353">
        <f t="shared" ca="1" si="36"/>
        <v>0</v>
      </c>
      <c r="AC64" s="1353">
        <f t="shared" ca="1" si="37"/>
        <v>0</v>
      </c>
      <c r="AH64" s="1345"/>
      <c r="AS64" s="689">
        <f t="shared" ca="1" si="38"/>
        <v>2.9999999999999997E-4</v>
      </c>
      <c r="AT64" s="690">
        <f t="shared" si="39"/>
        <v>1E-4</v>
      </c>
      <c r="AU64" s="690">
        <f t="shared" si="40"/>
        <v>2.0000000000000001E-4</v>
      </c>
      <c r="AV64" s="690">
        <f t="shared" si="41"/>
        <v>2.9999999999999997E-4</v>
      </c>
      <c r="AW64" s="690">
        <f t="shared" si="42"/>
        <v>18.000399999999999</v>
      </c>
      <c r="AX64" s="690">
        <f t="shared" si="43"/>
        <v>5.0000000000000001E-4</v>
      </c>
      <c r="AY64" s="690">
        <f t="shared" si="44"/>
        <v>5.9999999999999995E-4</v>
      </c>
      <c r="AZ64" s="690">
        <f t="shared" ca="1" si="45"/>
        <v>6.9999999999999999E-4</v>
      </c>
      <c r="BA64" s="690">
        <f t="shared" si="46"/>
        <v>8.0000000000000004E-4</v>
      </c>
      <c r="BB64" s="690">
        <f t="shared" si="47"/>
        <v>8.9999999999999998E-4</v>
      </c>
      <c r="BC64" s="690">
        <f t="shared" si="48"/>
        <v>1E-3</v>
      </c>
      <c r="BD64" s="690">
        <f t="shared" si="49"/>
        <v>1.1000000000000001E-3</v>
      </c>
    </row>
    <row r="65" spans="1:56" x14ac:dyDescent="0.2">
      <c r="A65" s="1378">
        <f t="shared" ca="1" si="25"/>
        <v>13</v>
      </c>
      <c r="B65" s="1392">
        <f t="shared" ca="1" si="26"/>
        <v>58</v>
      </c>
      <c r="C65" s="1380" t="str">
        <f t="shared" si="27"/>
        <v/>
      </c>
      <c r="D65" s="1393" t="str">
        <f t="shared" si="28"/>
        <v/>
      </c>
      <c r="E65" s="1394">
        <f t="shared" ca="1" si="29"/>
        <v>54</v>
      </c>
      <c r="F65" s="1401" t="s">
        <v>541</v>
      </c>
      <c r="G65" s="1379" t="s">
        <v>99</v>
      </c>
      <c r="H65" s="1384"/>
      <c r="I65" s="1385">
        <f t="array" aca="1" ref="I65" ca="1">(IF(COUNT(P65:Z65)&lt;8,SUM(P65:Z65),SUM(LARGE((P65:Z65),{1;2;3;4;5;6;7;8}))))</f>
        <v>18</v>
      </c>
      <c r="J65" s="1388" t="str">
        <f ca="1">INDEX(ETAPP!B$1:B$32,MATCH(COUNTIF(P65:Z65,PIV!A$1),ETAPP!A$1:A$32,0))&amp;INDEX(ETAPP!B$1:B$32,MATCH(COUNTIF(P65:Z65,PIV!A$2),ETAPP!A$1:A$32,0))&amp;INDEX(ETAPP!B$1:B$32,MATCH(COUNTIF(P65:Z65,PIV!A$3),ETAPP!A$1:A$32,0))&amp;INDEX(ETAPP!B$1:B$32,MATCH(COUNTIF(P65:Z65,PIV!A$4),ETAPP!A$1:A$32,0))&amp;INDEX(ETAPP!B$1:B$32,MATCH(COUNTIF(P65:Z65,PIV!A$5),ETAPP!A$1:A$32,0))&amp;INDEX(ETAPP!B$1:B$32,MATCH(COUNTIF(P65:Z65,PIV!A$6),ETAPP!A$1:A$32,0))&amp;INDEX(ETAPP!B$1:B$32,MATCH(COUNTIF(P65:Z65,PIV!A$7),ETAPP!A$1:A$32,0))&amp;INDEX(ETAPP!B$1:B$32,MATCH(COUNTIF(P65:Z65,PIV!A$8),ETAPP!A$1:A$32,0))&amp;INDEX(ETAPP!B$1:B$32,MATCH(COUNTIF(P65:Z65,PIV!A$9),ETAPP!A$1:A$32,0))&amp;INDEX(ETAPP!B$1:B$32,MATCH(COUNTIF(P65:Z65,PIV!A$10),ETAPP!A$1:A$32,0))&amp;INDEX(ETAPP!B$1:B$32,MATCH(COUNTIF(P65:Z65,PIV!A$11),ETAPP!A$1:A$32,0))&amp;INDEX(ETAPP!B$1:B$32,MATCH(COUNTIF(P65:Z65,PIV!A$12),ETAPP!A$1:A$32,0))&amp;INDEX(ETAPP!B$1:B$32,MATCH(COUNTIF(P65:Z65,PIV!A$13),ETAPP!A$1:A$32,0))&amp;INDEX(ETAPP!B$1:B$32,MATCH(COUNTIF(P65:Z65,PIV!A$14),ETAPP!A$1:A$32,0))&amp;INDEX(ETAPP!B$1:B$32,MATCH(COUNTIF(P65:Z65,PIV!A$15),ETAPP!A$1:A$32,0))&amp;INDEX(ETAPP!B$1:B$32,MATCH(COUNTIF(P65:Z65,PIV!A$16),ETAPP!A$1:A$32,0))&amp;INDEX(ETAPP!B$1:B$32,MATCH(COUNTIF(P65:Z65,PIV!A$17),ETAPP!A$1:A$32,0))&amp;INDEX(ETAPP!B$1:B$32,MATCH(COUNTIF(P65:Z65,PIV!A$18),ETAPP!A$1:A$32,0))&amp;INDEX(ETAPP!B$1:B$32,MATCH(COUNTIF(P65:Z65,PIV!A$19),ETAPP!A$1:A$32,0))</f>
        <v>0000000A0000000000E</v>
      </c>
      <c r="K65" s="1388" t="str">
        <f t="shared" ca="1" si="30"/>
        <v>018,0-0000000A0000000000E</v>
      </c>
      <c r="L65" s="1387">
        <f t="shared" ca="1" si="31"/>
        <v>58</v>
      </c>
      <c r="M65" s="1387">
        <f t="shared" si="32"/>
        <v>10</v>
      </c>
      <c r="N65" s="1388" t="str">
        <f t="shared" ca="1" si="33"/>
        <v>018,0-0000000A0000000000E-010</v>
      </c>
      <c r="O65" s="1396">
        <f t="shared" ca="1" si="34"/>
        <v>51</v>
      </c>
      <c r="P65" s="1397" t="str">
        <f>IFERROR(INDEX('1'!C$300:C$400,MATCH("*"&amp;F65&amp;"*",'1'!B$300:B$400,0)),"  ")</f>
        <v xml:space="preserve">  </v>
      </c>
      <c r="Q65" s="1398" t="str">
        <f>IFERROR(INDEX('2'!C$300:C$400,MATCH("*"&amp;F65&amp;"*",'2'!B$300:B$400,0)),"  ")</f>
        <v xml:space="preserve">  </v>
      </c>
      <c r="R65" s="1398" t="str">
        <f>IFERROR(INDEX('3'!C$300:C$400,MATCH("*"&amp;F65&amp;"*",'3'!B$300:B$400,0)),"  ")</f>
        <v xml:space="preserve">  </v>
      </c>
      <c r="S65" s="1398" t="str">
        <f>IFERROR(INDEX('4'!C$300:C$400,MATCH("*"&amp;F65&amp;"*",'4'!B$300:B$400,0)),"  ")</f>
        <v xml:space="preserve">  </v>
      </c>
      <c r="T65" s="1398">
        <f>IFERROR(INDEX('5'!C$300:C$400,MATCH("*"&amp;F65&amp;"*",'5'!B$300:B$400,0)),"  ")</f>
        <v>18</v>
      </c>
      <c r="U65" s="1398" t="str">
        <f>IFERROR(INDEX('6'!C$300:C$400,MATCH("*"&amp;F65&amp;"*",'6'!B$300:B$400,0)),"  ")</f>
        <v xml:space="preserve">  </v>
      </c>
      <c r="V65" s="1398" t="str">
        <f ca="1">IFERROR(INDEX('7'!C$300:C$400,MATCH("*"&amp;F65&amp;"*",'7'!B$300:B$400,0)),"  ")</f>
        <v xml:space="preserve">  </v>
      </c>
      <c r="W65" s="1398" t="str">
        <f>IFERROR(INDEX('8'!C$300:C$400,MATCH("*"&amp;F65&amp;"*",'8'!B$300:B$400,0)),"  ")</f>
        <v xml:space="preserve">  </v>
      </c>
      <c r="X65" s="1398" t="str">
        <f>IFERROR(INDEX('9'!C$300:C$400,MATCH("*"&amp;F65&amp;"*",'9'!B$300:B$400,0)),"  ")</f>
        <v xml:space="preserve">  </v>
      </c>
      <c r="Y65" s="1398" t="str">
        <f>IFERROR(INDEX('10'!C$300:C$400,MATCH("*"&amp;F65&amp;"*",'10'!B$300:B$400,0)),"  ")</f>
        <v xml:space="preserve">  </v>
      </c>
      <c r="Z65" s="1398" t="str">
        <f>IFERROR(INDEX('11'!C$300:C$400,MATCH("*"&amp;F65&amp;"*",'11'!B$300:B$400,0)),"  ")</f>
        <v xml:space="preserve">  </v>
      </c>
      <c r="AA65" s="1353">
        <f t="shared" ca="1" si="35"/>
        <v>1</v>
      </c>
      <c r="AB65" s="1353">
        <f t="shared" ca="1" si="36"/>
        <v>0</v>
      </c>
      <c r="AC65" s="1353">
        <f t="shared" ca="1" si="37"/>
        <v>0</v>
      </c>
      <c r="AH65" s="1345"/>
      <c r="AS65" s="689">
        <f t="shared" ca="1" si="38"/>
        <v>2.9999999999999997E-4</v>
      </c>
      <c r="AT65" s="690">
        <f t="shared" si="39"/>
        <v>1E-4</v>
      </c>
      <c r="AU65" s="690">
        <f t="shared" si="40"/>
        <v>2.0000000000000001E-4</v>
      </c>
      <c r="AV65" s="690">
        <f t="shared" si="41"/>
        <v>2.9999999999999997E-4</v>
      </c>
      <c r="AW65" s="690">
        <f t="shared" si="42"/>
        <v>4.0000000000000002E-4</v>
      </c>
      <c r="AX65" s="690">
        <f t="shared" si="43"/>
        <v>18.000499999999999</v>
      </c>
      <c r="AY65" s="690">
        <f t="shared" si="44"/>
        <v>5.9999999999999995E-4</v>
      </c>
      <c r="AZ65" s="690">
        <f t="shared" ca="1" si="45"/>
        <v>6.9999999999999999E-4</v>
      </c>
      <c r="BA65" s="690">
        <f t="shared" si="46"/>
        <v>8.0000000000000004E-4</v>
      </c>
      <c r="BB65" s="690">
        <f t="shared" si="47"/>
        <v>8.9999999999999998E-4</v>
      </c>
      <c r="BC65" s="690">
        <f t="shared" si="48"/>
        <v>1E-3</v>
      </c>
      <c r="BD65" s="690">
        <f t="shared" si="49"/>
        <v>1.1000000000000001E-3</v>
      </c>
    </row>
    <row r="66" spans="1:56" x14ac:dyDescent="0.2">
      <c r="A66" s="1378">
        <f t="shared" ca="1" si="25"/>
        <v>16</v>
      </c>
      <c r="B66" s="1392">
        <f t="shared" ca="1" si="26"/>
        <v>60</v>
      </c>
      <c r="C66" s="1380" t="str">
        <f t="shared" si="27"/>
        <v/>
      </c>
      <c r="D66" s="1393" t="str">
        <f t="shared" si="28"/>
        <v/>
      </c>
      <c r="E66" s="1394">
        <f t="shared" ca="1" si="29"/>
        <v>59</v>
      </c>
      <c r="F66" s="1401" t="s">
        <v>540</v>
      </c>
      <c r="G66" s="1379" t="s">
        <v>99</v>
      </c>
      <c r="H66" s="1384"/>
      <c r="I66" s="1385">
        <f t="array" aca="1" ref="I66" ca="1">(IF(COUNT(P66:Z66)&lt;8,SUM(P66:Z66),SUM(LARGE((P66:Z66),{1;2;3;4;5;6;7;8}))))</f>
        <v>16</v>
      </c>
      <c r="J66" s="1388" t="str">
        <f ca="1">INDEX(ETAPP!B$1:B$32,MATCH(COUNTIF(P66:Z66,PIV!A$1),ETAPP!A$1:A$32,0))&amp;INDEX(ETAPP!B$1:B$32,MATCH(COUNTIF(P66:Z66,PIV!A$2),ETAPP!A$1:A$32,0))&amp;INDEX(ETAPP!B$1:B$32,MATCH(COUNTIF(P66:Z66,PIV!A$3),ETAPP!A$1:A$32,0))&amp;INDEX(ETAPP!B$1:B$32,MATCH(COUNTIF(P66:Z66,PIV!A$4),ETAPP!A$1:A$32,0))&amp;INDEX(ETAPP!B$1:B$32,MATCH(COUNTIF(P66:Z66,PIV!A$5),ETAPP!A$1:A$32,0))&amp;INDEX(ETAPP!B$1:B$32,MATCH(COUNTIF(P66:Z66,PIV!A$6),ETAPP!A$1:A$32,0))&amp;INDEX(ETAPP!B$1:B$32,MATCH(COUNTIF(P66:Z66,PIV!A$7),ETAPP!A$1:A$32,0))&amp;INDEX(ETAPP!B$1:B$32,MATCH(COUNTIF(P66:Z66,PIV!A$8),ETAPP!A$1:A$32,0))&amp;INDEX(ETAPP!B$1:B$32,MATCH(COUNTIF(P66:Z66,PIV!A$9),ETAPP!A$1:A$32,0))&amp;INDEX(ETAPP!B$1:B$32,MATCH(COUNTIF(P66:Z66,PIV!A$10),ETAPP!A$1:A$32,0))&amp;INDEX(ETAPP!B$1:B$32,MATCH(COUNTIF(P66:Z66,PIV!A$11),ETAPP!A$1:A$32,0))&amp;INDEX(ETAPP!B$1:B$32,MATCH(COUNTIF(P66:Z66,PIV!A$12),ETAPP!A$1:A$32,0))&amp;INDEX(ETAPP!B$1:B$32,MATCH(COUNTIF(P66:Z66,PIV!A$13),ETAPP!A$1:A$32,0))&amp;INDEX(ETAPP!B$1:B$32,MATCH(COUNTIF(P66:Z66,PIV!A$14),ETAPP!A$1:A$32,0))&amp;INDEX(ETAPP!B$1:B$32,MATCH(COUNTIF(P66:Z66,PIV!A$15),ETAPP!A$1:A$32,0))&amp;INDEX(ETAPP!B$1:B$32,MATCH(COUNTIF(P66:Z66,PIV!A$16),ETAPP!A$1:A$32,0))&amp;INDEX(ETAPP!B$1:B$32,MATCH(COUNTIF(P66:Z66,PIV!A$17),ETAPP!A$1:A$32,0))&amp;INDEX(ETAPP!B$1:B$32,MATCH(COUNTIF(P66:Z66,PIV!A$18),ETAPP!A$1:A$32,0))&amp;INDEX(ETAPP!B$1:B$32,MATCH(COUNTIF(P66:Z66,PIV!A$19),ETAPP!A$1:A$32,0))</f>
        <v>00000000A000000000E</v>
      </c>
      <c r="K66" s="1388" t="str">
        <f t="shared" ca="1" si="30"/>
        <v>016,0-00000000A000000000E</v>
      </c>
      <c r="L66" s="1387">
        <f t="shared" ca="1" si="31"/>
        <v>60</v>
      </c>
      <c r="M66" s="1387">
        <f t="shared" si="32"/>
        <v>85</v>
      </c>
      <c r="N66" s="1388" t="str">
        <f t="shared" ca="1" si="33"/>
        <v>016,0-00000000A000000000E-085</v>
      </c>
      <c r="O66" s="1396">
        <f t="shared" ca="1" si="34"/>
        <v>50</v>
      </c>
      <c r="P66" s="1397" t="str">
        <f>IFERROR(INDEX('1'!C$300:C$400,MATCH("*"&amp;F66&amp;"*",'1'!B$300:B$400,0)),"  ")</f>
        <v xml:space="preserve">  </v>
      </c>
      <c r="Q66" s="1398" t="str">
        <f>IFERROR(INDEX('2'!C$300:C$400,MATCH("*"&amp;F66&amp;"*",'2'!B$300:B$400,0)),"  ")</f>
        <v xml:space="preserve">  </v>
      </c>
      <c r="R66" s="1398" t="str">
        <f>IFERROR(INDEX('3'!C$300:C$400,MATCH("*"&amp;F66&amp;"*",'3'!B$300:B$400,0)),"  ")</f>
        <v xml:space="preserve">  </v>
      </c>
      <c r="S66" s="1398" t="str">
        <f>IFERROR(INDEX('4'!C$300:C$400,MATCH("*"&amp;F66&amp;"*",'4'!B$300:B$400,0)),"  ")</f>
        <v xml:space="preserve">  </v>
      </c>
      <c r="T66" s="1398">
        <f>IFERROR(INDEX('5'!C$300:C$400,MATCH("*"&amp;F66&amp;"*",'5'!B$300:B$400,0)),"  ")</f>
        <v>16</v>
      </c>
      <c r="U66" s="1398" t="str">
        <f>IFERROR(INDEX('6'!C$300:C$400,MATCH("*"&amp;F66&amp;"*",'6'!B$300:B$400,0)),"  ")</f>
        <v xml:space="preserve">  </v>
      </c>
      <c r="V66" s="1398" t="str">
        <f ca="1">IFERROR(INDEX('7'!C$300:C$400,MATCH("*"&amp;F66&amp;"*",'7'!B$300:B$400,0)),"  ")</f>
        <v xml:space="preserve">  </v>
      </c>
      <c r="W66" s="1398" t="str">
        <f>IFERROR(INDEX('8'!C$300:C$400,MATCH("*"&amp;F66&amp;"*",'8'!B$300:B$400,0)),"  ")</f>
        <v xml:space="preserve">  </v>
      </c>
      <c r="X66" s="1398" t="str">
        <f>IFERROR(INDEX('9'!C$300:C$400,MATCH("*"&amp;F66&amp;"*",'9'!B$300:B$400,0)),"  ")</f>
        <v xml:space="preserve">  </v>
      </c>
      <c r="Y66" s="1398" t="str">
        <f>IFERROR(INDEX('10'!C$300:C$400,MATCH("*"&amp;F66&amp;"*",'10'!B$300:B$400,0)),"  ")</f>
        <v xml:space="preserve">  </v>
      </c>
      <c r="Z66" s="1398" t="str">
        <f>IFERROR(INDEX('11'!C$300:C$400,MATCH("*"&amp;F66&amp;"*",'11'!B$300:B$400,0)),"  ")</f>
        <v xml:space="preserve">  </v>
      </c>
      <c r="AA66" s="1353">
        <f t="shared" ca="1" si="35"/>
        <v>1</v>
      </c>
      <c r="AB66" s="1353">
        <f t="shared" ca="1" si="36"/>
        <v>0</v>
      </c>
      <c r="AC66" s="1353">
        <f t="shared" ca="1" si="37"/>
        <v>0</v>
      </c>
      <c r="AH66" s="1345"/>
      <c r="AS66" s="689">
        <f t="shared" ca="1" si="38"/>
        <v>2.9999999999999997E-4</v>
      </c>
      <c r="AT66" s="690">
        <f t="shared" si="39"/>
        <v>1E-4</v>
      </c>
      <c r="AU66" s="690">
        <f t="shared" si="40"/>
        <v>2.0000000000000001E-4</v>
      </c>
      <c r="AV66" s="690">
        <f t="shared" si="41"/>
        <v>2.9999999999999997E-4</v>
      </c>
      <c r="AW66" s="690">
        <f t="shared" si="42"/>
        <v>4.0000000000000002E-4</v>
      </c>
      <c r="AX66" s="690">
        <f t="shared" si="43"/>
        <v>16.000499999999999</v>
      </c>
      <c r="AY66" s="690">
        <f t="shared" si="44"/>
        <v>5.9999999999999995E-4</v>
      </c>
      <c r="AZ66" s="690">
        <f t="shared" ca="1" si="45"/>
        <v>6.9999999999999999E-4</v>
      </c>
      <c r="BA66" s="690">
        <f t="shared" si="46"/>
        <v>8.0000000000000004E-4</v>
      </c>
      <c r="BB66" s="690">
        <f t="shared" si="47"/>
        <v>8.9999999999999998E-4</v>
      </c>
      <c r="BC66" s="690">
        <f t="shared" si="48"/>
        <v>1E-3</v>
      </c>
      <c r="BD66" s="690">
        <f t="shared" si="49"/>
        <v>1.1000000000000001E-3</v>
      </c>
    </row>
    <row r="67" spans="1:56" x14ac:dyDescent="0.2">
      <c r="A67" s="1378" t="str">
        <f t="shared" si="25"/>
        <v/>
      </c>
      <c r="B67" s="1392" t="str">
        <f t="shared" si="26"/>
        <v/>
      </c>
      <c r="C67" s="1380" t="str">
        <f t="shared" si="27"/>
        <v/>
      </c>
      <c r="D67" s="1393" t="str">
        <f t="shared" si="28"/>
        <v/>
      </c>
      <c r="E67" s="1394">
        <f t="shared" ca="1" si="29"/>
        <v>59</v>
      </c>
      <c r="F67" s="1395" t="s">
        <v>128</v>
      </c>
      <c r="G67" s="1379"/>
      <c r="H67" s="1384"/>
      <c r="I67" s="1385">
        <f t="array" aca="1" ref="I67" ca="1">(IF(COUNT(P67:Z67)&lt;8,SUM(P67:Z67),SUM(LARGE((P67:Z67),{1;2;3;4;5;6;7;8}))))</f>
        <v>16</v>
      </c>
      <c r="J67" s="1388" t="str">
        <f ca="1">INDEX(ETAPP!B$1:B$32,MATCH(COUNTIF(P67:Z67,PIV!A$1),ETAPP!A$1:A$32,0))&amp;INDEX(ETAPP!B$1:B$32,MATCH(COUNTIF(P67:Z67,PIV!A$2),ETAPP!A$1:A$32,0))&amp;INDEX(ETAPP!B$1:B$32,MATCH(COUNTIF(P67:Z67,PIV!A$3),ETAPP!A$1:A$32,0))&amp;INDEX(ETAPP!B$1:B$32,MATCH(COUNTIF(P67:Z67,PIV!A$4),ETAPP!A$1:A$32,0))&amp;INDEX(ETAPP!B$1:B$32,MATCH(COUNTIF(P67:Z67,PIV!A$5),ETAPP!A$1:A$32,0))&amp;INDEX(ETAPP!B$1:B$32,MATCH(COUNTIF(P67:Z67,PIV!A$6),ETAPP!A$1:A$32,0))&amp;INDEX(ETAPP!B$1:B$32,MATCH(COUNTIF(P67:Z67,PIV!A$7),ETAPP!A$1:A$32,0))&amp;INDEX(ETAPP!B$1:B$32,MATCH(COUNTIF(P67:Z67,PIV!A$8),ETAPP!A$1:A$32,0))&amp;INDEX(ETAPP!B$1:B$32,MATCH(COUNTIF(P67:Z67,PIV!A$9),ETAPP!A$1:A$32,0))&amp;INDEX(ETAPP!B$1:B$32,MATCH(COUNTIF(P67:Z67,PIV!A$10),ETAPP!A$1:A$32,0))&amp;INDEX(ETAPP!B$1:B$32,MATCH(COUNTIF(P67:Z67,PIV!A$11),ETAPP!A$1:A$32,0))&amp;INDEX(ETAPP!B$1:B$32,MATCH(COUNTIF(P67:Z67,PIV!A$12),ETAPP!A$1:A$32,0))&amp;INDEX(ETAPP!B$1:B$32,MATCH(COUNTIF(P67:Z67,PIV!A$13),ETAPP!A$1:A$32,0))&amp;INDEX(ETAPP!B$1:B$32,MATCH(COUNTIF(P67:Z67,PIV!A$14),ETAPP!A$1:A$32,0))&amp;INDEX(ETAPP!B$1:B$32,MATCH(COUNTIF(P67:Z67,PIV!A$15),ETAPP!A$1:A$32,0))&amp;INDEX(ETAPP!B$1:B$32,MATCH(COUNTIF(P67:Z67,PIV!A$16),ETAPP!A$1:A$32,0))&amp;INDEX(ETAPP!B$1:B$32,MATCH(COUNTIF(P67:Z67,PIV!A$17),ETAPP!A$1:A$32,0))&amp;INDEX(ETAPP!B$1:B$32,MATCH(COUNTIF(P67:Z67,PIV!A$18),ETAPP!A$1:A$32,0))&amp;INDEX(ETAPP!B$1:B$32,MATCH(COUNTIF(P67:Z67,PIV!A$19),ETAPP!A$1:A$32,0))</f>
        <v>00000000A000000000E</v>
      </c>
      <c r="K67" s="1388" t="str">
        <f t="shared" ca="1" si="30"/>
        <v>016,0-00000000A000000000E</v>
      </c>
      <c r="L67" s="1387">
        <f t="shared" ca="1" si="31"/>
        <v>60</v>
      </c>
      <c r="M67" s="1387">
        <f t="shared" si="32"/>
        <v>22</v>
      </c>
      <c r="N67" s="1388" t="str">
        <f t="shared" ca="1" si="33"/>
        <v>016,0-00000000A000000000E-022</v>
      </c>
      <c r="O67" s="1396">
        <f t="shared" ca="1" si="34"/>
        <v>49</v>
      </c>
      <c r="P67" s="1397">
        <f>IFERROR(INDEX('1'!C$300:C$400,MATCH("*"&amp;F67&amp;"*",'1'!B$300:B$400,0)),"  ")</f>
        <v>16</v>
      </c>
      <c r="Q67" s="1398" t="str">
        <f>IFERROR(INDEX('2'!C$300:C$400,MATCH("*"&amp;F67&amp;"*",'2'!B$300:B$400,0)),"  ")</f>
        <v xml:space="preserve">  </v>
      </c>
      <c r="R67" s="1398" t="str">
        <f>IFERROR(INDEX('3'!C$300:C$400,MATCH("*"&amp;F67&amp;"*",'3'!B$300:B$400,0)),"  ")</f>
        <v xml:space="preserve">  </v>
      </c>
      <c r="S67" s="1398" t="str">
        <f>IFERROR(INDEX('4'!C$300:C$400,MATCH("*"&amp;F67&amp;"*",'4'!B$300:B$400,0)),"  ")</f>
        <v xml:space="preserve">  </v>
      </c>
      <c r="T67" s="1398" t="str">
        <f>IFERROR(INDEX('5'!C$300:C$400,MATCH("*"&amp;F67&amp;"*",'5'!B$300:B$400,0)),"  ")</f>
        <v xml:space="preserve">  </v>
      </c>
      <c r="U67" s="1398" t="str">
        <f>IFERROR(INDEX('6'!C$300:C$400,MATCH("*"&amp;F67&amp;"*",'6'!B$300:B$400,0)),"  ")</f>
        <v xml:space="preserve">  </v>
      </c>
      <c r="V67" s="1398" t="str">
        <f ca="1">IFERROR(INDEX('7'!C$300:C$400,MATCH("*"&amp;F67&amp;"*",'7'!B$300:B$400,0)),"  ")</f>
        <v xml:space="preserve">  </v>
      </c>
      <c r="W67" s="1398" t="str">
        <f>IFERROR(INDEX('8'!C$300:C$400,MATCH("*"&amp;F67&amp;"*",'8'!B$300:B$400,0)),"  ")</f>
        <v xml:space="preserve">  </v>
      </c>
      <c r="X67" s="1398" t="str">
        <f>IFERROR(INDEX('9'!C$300:C$400,MATCH("*"&amp;F67&amp;"*",'9'!B$300:B$400,0)),"  ")</f>
        <v xml:space="preserve">  </v>
      </c>
      <c r="Y67" s="1398" t="str">
        <f>IFERROR(INDEX('10'!C$300:C$400,MATCH("*"&amp;F67&amp;"*",'10'!B$300:B$400,0)),"  ")</f>
        <v xml:space="preserve">  </v>
      </c>
      <c r="Z67" s="1398" t="str">
        <f>IFERROR(INDEX('11'!C$300:C$400,MATCH("*"&amp;F67&amp;"*",'11'!B$300:B$400,0)),"  ")</f>
        <v xml:space="preserve">  </v>
      </c>
      <c r="AA67" s="1353">
        <f t="shared" ca="1" si="35"/>
        <v>1</v>
      </c>
      <c r="AB67" s="1353">
        <f t="shared" ca="1" si="36"/>
        <v>0</v>
      </c>
      <c r="AC67" s="1353">
        <f t="shared" ca="1" si="37"/>
        <v>0</v>
      </c>
      <c r="AH67" s="1345"/>
      <c r="AS67" s="689">
        <f t="shared" ca="1" si="38"/>
        <v>4.0000000000000002E-4</v>
      </c>
      <c r="AT67" s="690">
        <f t="shared" si="39"/>
        <v>16.0001</v>
      </c>
      <c r="AU67" s="690">
        <f t="shared" si="40"/>
        <v>2.0000000000000001E-4</v>
      </c>
      <c r="AV67" s="690">
        <f t="shared" si="41"/>
        <v>2.9999999999999997E-4</v>
      </c>
      <c r="AW67" s="690">
        <f t="shared" si="42"/>
        <v>4.0000000000000002E-4</v>
      </c>
      <c r="AX67" s="690">
        <f t="shared" si="43"/>
        <v>5.0000000000000001E-4</v>
      </c>
      <c r="AY67" s="690">
        <f t="shared" si="44"/>
        <v>5.9999999999999995E-4</v>
      </c>
      <c r="AZ67" s="690">
        <f t="shared" ca="1" si="45"/>
        <v>6.9999999999999999E-4</v>
      </c>
      <c r="BA67" s="690">
        <f t="shared" si="46"/>
        <v>8.0000000000000004E-4</v>
      </c>
      <c r="BB67" s="690">
        <f t="shared" si="47"/>
        <v>8.9999999999999998E-4</v>
      </c>
      <c r="BC67" s="690">
        <f t="shared" si="48"/>
        <v>1E-3</v>
      </c>
      <c r="BD67" s="690">
        <f t="shared" si="49"/>
        <v>1.1000000000000001E-3</v>
      </c>
    </row>
    <row r="68" spans="1:56" x14ac:dyDescent="0.2">
      <c r="A68" s="1378" t="str">
        <f t="shared" si="25"/>
        <v/>
      </c>
      <c r="B68" s="1392" t="str">
        <f t="shared" si="26"/>
        <v/>
      </c>
      <c r="C68" s="1380" t="str">
        <f t="shared" si="27"/>
        <v/>
      </c>
      <c r="D68" s="1393" t="str">
        <f t="shared" si="28"/>
        <v/>
      </c>
      <c r="E68" s="1394">
        <f t="shared" ca="1" si="29"/>
        <v>61</v>
      </c>
      <c r="F68" s="1395" t="s">
        <v>95</v>
      </c>
      <c r="G68" s="1379"/>
      <c r="H68" s="1384"/>
      <c r="I68" s="1385">
        <f t="array" aca="1" ref="I68" ca="1">(IF(COUNT(P68:Z68)&lt;8,SUM(P68:Z68),SUM(LARGE((P68:Z68),{1;2;3;4;5;6;7;8}))))</f>
        <v>14</v>
      </c>
      <c r="J68" s="1388" t="str">
        <f ca="1">INDEX(ETAPP!B$1:B$32,MATCH(COUNTIF(P68:Z68,PIV!A$1),ETAPP!A$1:A$32,0))&amp;INDEX(ETAPP!B$1:B$32,MATCH(COUNTIF(P68:Z68,PIV!A$2),ETAPP!A$1:A$32,0))&amp;INDEX(ETAPP!B$1:B$32,MATCH(COUNTIF(P68:Z68,PIV!A$3),ETAPP!A$1:A$32,0))&amp;INDEX(ETAPP!B$1:B$32,MATCH(COUNTIF(P68:Z68,PIV!A$4),ETAPP!A$1:A$32,0))&amp;INDEX(ETAPP!B$1:B$32,MATCH(COUNTIF(P68:Z68,PIV!A$5),ETAPP!A$1:A$32,0))&amp;INDEX(ETAPP!B$1:B$32,MATCH(COUNTIF(P68:Z68,PIV!A$6),ETAPP!A$1:A$32,0))&amp;INDEX(ETAPP!B$1:B$32,MATCH(COUNTIF(P68:Z68,PIV!A$7),ETAPP!A$1:A$32,0))&amp;INDEX(ETAPP!B$1:B$32,MATCH(COUNTIF(P68:Z68,PIV!A$8),ETAPP!A$1:A$32,0))&amp;INDEX(ETAPP!B$1:B$32,MATCH(COUNTIF(P68:Z68,PIV!A$9),ETAPP!A$1:A$32,0))&amp;INDEX(ETAPP!B$1:B$32,MATCH(COUNTIF(P68:Z68,PIV!A$10),ETAPP!A$1:A$32,0))&amp;INDEX(ETAPP!B$1:B$32,MATCH(COUNTIF(P68:Z68,PIV!A$11),ETAPP!A$1:A$32,0))&amp;INDEX(ETAPP!B$1:B$32,MATCH(COUNTIF(P68:Z68,PIV!A$12),ETAPP!A$1:A$32,0))&amp;INDEX(ETAPP!B$1:B$32,MATCH(COUNTIF(P68:Z68,PIV!A$13),ETAPP!A$1:A$32,0))&amp;INDEX(ETAPP!B$1:B$32,MATCH(COUNTIF(P68:Z68,PIV!A$14),ETAPP!A$1:A$32,0))&amp;INDEX(ETAPP!B$1:B$32,MATCH(COUNTIF(P68:Z68,PIV!A$15),ETAPP!A$1:A$32,0))&amp;INDEX(ETAPP!B$1:B$32,MATCH(COUNTIF(P68:Z68,PIV!A$16),ETAPP!A$1:A$32,0))&amp;INDEX(ETAPP!B$1:B$32,MATCH(COUNTIF(P68:Z68,PIV!A$17),ETAPP!A$1:A$32,0))&amp;INDEX(ETAPP!B$1:B$32,MATCH(COUNTIF(P68:Z68,PIV!A$18),ETAPP!A$1:A$32,0))&amp;INDEX(ETAPP!B$1:B$32,MATCH(COUNTIF(P68:Z68,PIV!A$19),ETAPP!A$1:A$32,0))</f>
        <v>000000000A00000000E</v>
      </c>
      <c r="K68" s="1388" t="str">
        <f t="shared" ca="1" si="30"/>
        <v>014,0-000000000A00000000E</v>
      </c>
      <c r="L68" s="1387">
        <f t="shared" ca="1" si="31"/>
        <v>61</v>
      </c>
      <c r="M68" s="1387">
        <f t="shared" si="32"/>
        <v>108</v>
      </c>
      <c r="N68" s="1388" t="str">
        <f t="shared" ca="1" si="33"/>
        <v>014,0-000000000A00000000E-108</v>
      </c>
      <c r="O68" s="1396">
        <f t="shared" ca="1" si="34"/>
        <v>48</v>
      </c>
      <c r="P68" s="1397" t="str">
        <f>IFERROR(INDEX('1'!C$300:C$400,MATCH("*"&amp;F68&amp;"*",'1'!B$300:B$400,0)),"  ")</f>
        <v xml:space="preserve">  </v>
      </c>
      <c r="Q68" s="1398" t="str">
        <f>IFERROR(INDEX('2'!C$300:C$400,MATCH("*"&amp;F68&amp;"*",'2'!B$300:B$400,0)),"  ")</f>
        <v xml:space="preserve">  </v>
      </c>
      <c r="R68" s="1398" t="str">
        <f>IFERROR(INDEX('3'!C$300:C$400,MATCH("*"&amp;F68&amp;"*",'3'!B$300:B$400,0)),"  ")</f>
        <v xml:space="preserve">  </v>
      </c>
      <c r="S68" s="1398">
        <f>IFERROR(INDEX('4'!C$300:C$400,MATCH("*"&amp;F68&amp;"*",'4'!B$300:B$400,0)),"  ")</f>
        <v>14</v>
      </c>
      <c r="T68" s="1398" t="str">
        <f>IFERROR(INDEX('5'!C$300:C$400,MATCH("*"&amp;F68&amp;"*",'5'!B$300:B$400,0)),"  ")</f>
        <v xml:space="preserve">  </v>
      </c>
      <c r="U68" s="1398" t="str">
        <f>IFERROR(INDEX('6'!C$300:C$400,MATCH("*"&amp;F68&amp;"*",'6'!B$300:B$400,0)),"  ")</f>
        <v xml:space="preserve">  </v>
      </c>
      <c r="V68" s="1398" t="str">
        <f ca="1">IFERROR(INDEX('7'!C$300:C$400,MATCH("*"&amp;F68&amp;"*",'7'!B$300:B$400,0)),"  ")</f>
        <v xml:space="preserve">  </v>
      </c>
      <c r="W68" s="1398" t="str">
        <f>IFERROR(INDEX('8'!C$300:C$400,MATCH("*"&amp;F68&amp;"*",'8'!B$300:B$400,0)),"  ")</f>
        <v xml:space="preserve">  </v>
      </c>
      <c r="X68" s="1398" t="str">
        <f>IFERROR(INDEX('9'!C$300:C$400,MATCH("*"&amp;F68&amp;"*",'9'!B$300:B$400,0)),"  ")</f>
        <v xml:space="preserve">  </v>
      </c>
      <c r="Y68" s="1398" t="str">
        <f>IFERROR(INDEX('10'!C$300:C$400,MATCH("*"&amp;F68&amp;"*",'10'!B$300:B$400,0)),"  ")</f>
        <v xml:space="preserve">  </v>
      </c>
      <c r="Z68" s="1398" t="str">
        <f>IFERROR(INDEX('11'!C$300:C$400,MATCH("*"&amp;F68&amp;"*",'11'!B$300:B$400,0)),"  ")</f>
        <v xml:space="preserve">  </v>
      </c>
      <c r="AA68" s="1353">
        <f t="shared" ca="1" si="35"/>
        <v>1</v>
      </c>
      <c r="AB68" s="1353">
        <f t="shared" ca="1" si="36"/>
        <v>0</v>
      </c>
      <c r="AC68" s="1353">
        <f t="shared" ca="1" si="37"/>
        <v>0</v>
      </c>
      <c r="AH68" s="1345"/>
      <c r="AS68" s="689">
        <f t="shared" ca="1" si="38"/>
        <v>2.9999999999999997E-4</v>
      </c>
      <c r="AT68" s="690">
        <f t="shared" si="39"/>
        <v>1E-4</v>
      </c>
      <c r="AU68" s="690">
        <f t="shared" si="40"/>
        <v>2.0000000000000001E-4</v>
      </c>
      <c r="AV68" s="690">
        <f t="shared" si="41"/>
        <v>2.9999999999999997E-4</v>
      </c>
      <c r="AW68" s="690">
        <f t="shared" si="42"/>
        <v>14.000400000000001</v>
      </c>
      <c r="AX68" s="690">
        <f t="shared" si="43"/>
        <v>5.0000000000000001E-4</v>
      </c>
      <c r="AY68" s="690">
        <f t="shared" si="44"/>
        <v>5.9999999999999995E-4</v>
      </c>
      <c r="AZ68" s="690">
        <f t="shared" ca="1" si="45"/>
        <v>6.9999999999999999E-4</v>
      </c>
      <c r="BA68" s="690">
        <f t="shared" si="46"/>
        <v>8.0000000000000004E-4</v>
      </c>
      <c r="BB68" s="690">
        <f t="shared" si="47"/>
        <v>8.9999999999999998E-4</v>
      </c>
      <c r="BC68" s="690">
        <f t="shared" si="48"/>
        <v>1E-3</v>
      </c>
      <c r="BD68" s="690">
        <f t="shared" si="49"/>
        <v>1.1000000000000001E-3</v>
      </c>
    </row>
    <row r="69" spans="1:56" x14ac:dyDescent="0.2">
      <c r="A69" s="1378" t="str">
        <f t="shared" si="25"/>
        <v/>
      </c>
      <c r="B69" s="1392" t="str">
        <f t="shared" si="26"/>
        <v/>
      </c>
      <c r="C69" s="1380" t="str">
        <f t="shared" si="27"/>
        <v/>
      </c>
      <c r="D69" s="1393" t="str">
        <f t="shared" si="28"/>
        <v/>
      </c>
      <c r="E69" s="1394">
        <f t="shared" ca="1" si="29"/>
        <v>62</v>
      </c>
      <c r="F69" s="1405" t="s">
        <v>512</v>
      </c>
      <c r="G69" s="1379"/>
      <c r="H69" s="1384"/>
      <c r="I69" s="1385">
        <f t="array" aca="1" ref="I69" ca="1">(IF(COUNT(P69:Z69)&lt;8,SUM(P69:Z69),SUM(LARGE((P69:Z69),{1;2;3;4;5;6;7;8}))))</f>
        <v>12</v>
      </c>
      <c r="J69" s="1388" t="str">
        <f ca="1">INDEX(ETAPP!B$1:B$32,MATCH(COUNTIF(P69:Z69,PIV!A$1),ETAPP!A$1:A$32,0))&amp;INDEX(ETAPP!B$1:B$32,MATCH(COUNTIF(P69:Z69,PIV!A$2),ETAPP!A$1:A$32,0))&amp;INDEX(ETAPP!B$1:B$32,MATCH(COUNTIF(P69:Z69,PIV!A$3),ETAPP!A$1:A$32,0))&amp;INDEX(ETAPP!B$1:B$32,MATCH(COUNTIF(P69:Z69,PIV!A$4),ETAPP!A$1:A$32,0))&amp;INDEX(ETAPP!B$1:B$32,MATCH(COUNTIF(P69:Z69,PIV!A$5),ETAPP!A$1:A$32,0))&amp;INDEX(ETAPP!B$1:B$32,MATCH(COUNTIF(P69:Z69,PIV!A$6),ETAPP!A$1:A$32,0))&amp;INDEX(ETAPP!B$1:B$32,MATCH(COUNTIF(P69:Z69,PIV!A$7),ETAPP!A$1:A$32,0))&amp;INDEX(ETAPP!B$1:B$32,MATCH(COUNTIF(P69:Z69,PIV!A$8),ETAPP!A$1:A$32,0))&amp;INDEX(ETAPP!B$1:B$32,MATCH(COUNTIF(P69:Z69,PIV!A$9),ETAPP!A$1:A$32,0))&amp;INDEX(ETAPP!B$1:B$32,MATCH(COUNTIF(P69:Z69,PIV!A$10),ETAPP!A$1:A$32,0))&amp;INDEX(ETAPP!B$1:B$32,MATCH(COUNTIF(P69:Z69,PIV!A$11),ETAPP!A$1:A$32,0))&amp;INDEX(ETAPP!B$1:B$32,MATCH(COUNTIF(P69:Z69,PIV!A$12),ETAPP!A$1:A$32,0))&amp;INDEX(ETAPP!B$1:B$32,MATCH(COUNTIF(P69:Z69,PIV!A$13),ETAPP!A$1:A$32,0))&amp;INDEX(ETAPP!B$1:B$32,MATCH(COUNTIF(P69:Z69,PIV!A$14),ETAPP!A$1:A$32,0))&amp;INDEX(ETAPP!B$1:B$32,MATCH(COUNTIF(P69:Z69,PIV!A$15),ETAPP!A$1:A$32,0))&amp;INDEX(ETAPP!B$1:B$32,MATCH(COUNTIF(P69:Z69,PIV!A$16),ETAPP!A$1:A$32,0))&amp;INDEX(ETAPP!B$1:B$32,MATCH(COUNTIF(P69:Z69,PIV!A$17),ETAPP!A$1:A$32,0))&amp;INDEX(ETAPP!B$1:B$32,MATCH(COUNTIF(P69:Z69,PIV!A$18),ETAPP!A$1:A$32,0))&amp;INDEX(ETAPP!B$1:B$32,MATCH(COUNTIF(P69:Z69,PIV!A$19),ETAPP!A$1:A$32,0))</f>
        <v>0000000000A0000000E</v>
      </c>
      <c r="K69" s="1388" t="str">
        <f t="shared" ca="1" si="30"/>
        <v>012,0-0000000000A0000000E</v>
      </c>
      <c r="L69" s="1387">
        <f t="shared" ca="1" si="31"/>
        <v>65</v>
      </c>
      <c r="M69" s="1387">
        <f t="shared" si="32"/>
        <v>84</v>
      </c>
      <c r="N69" s="1388" t="str">
        <f t="shared" ca="1" si="33"/>
        <v>012,0-0000000000A0000000E-084</v>
      </c>
      <c r="O69" s="1396">
        <f t="shared" ca="1" si="34"/>
        <v>47</v>
      </c>
      <c r="P69" s="1397" t="str">
        <f>IFERROR(INDEX('1'!C$300:C$400,MATCH("*"&amp;F69&amp;"*",'1'!B$300:B$400,0)),"  ")</f>
        <v xml:space="preserve">  </v>
      </c>
      <c r="Q69" s="1398" t="str">
        <f>IFERROR(INDEX('2'!C$300:C$400,MATCH("*"&amp;F69&amp;"*",'2'!B$300:B$400,0)),"  ")</f>
        <v xml:space="preserve">  </v>
      </c>
      <c r="R69" s="1398">
        <f>IFERROR(INDEX('3'!C$300:C$400,MATCH("*"&amp;F69&amp;"*",'3'!B$300:B$400,0)),"  ")</f>
        <v>12</v>
      </c>
      <c r="S69" s="1398" t="str">
        <f>IFERROR(INDEX('4'!C$300:C$400,MATCH("*"&amp;F69&amp;"*",'4'!B$300:B$400,0)),"  ")</f>
        <v xml:space="preserve">  </v>
      </c>
      <c r="T69" s="1398" t="str">
        <f>IFERROR(INDEX('5'!C$300:C$400,MATCH("*"&amp;F69&amp;"*",'5'!B$300:B$400,0)),"  ")</f>
        <v xml:space="preserve">  </v>
      </c>
      <c r="U69" s="1398" t="str">
        <f>IFERROR(INDEX('6'!C$300:C$400,MATCH("*"&amp;F69&amp;"*",'6'!B$300:B$400,0)),"  ")</f>
        <v xml:space="preserve">  </v>
      </c>
      <c r="V69" s="1398" t="str">
        <f ca="1">IFERROR(INDEX('7'!C$300:C$400,MATCH("*"&amp;F69&amp;"*",'7'!B$300:B$400,0)),"  ")</f>
        <v xml:space="preserve">  </v>
      </c>
      <c r="W69" s="1398" t="str">
        <f>IFERROR(INDEX('8'!C$300:C$400,MATCH("*"&amp;F69&amp;"*",'8'!B$300:B$400,0)),"  ")</f>
        <v xml:space="preserve">  </v>
      </c>
      <c r="X69" s="1398" t="str">
        <f>IFERROR(INDEX('9'!C$300:C$400,MATCH("*"&amp;F69&amp;"*",'9'!B$300:B$400,0)),"  ")</f>
        <v xml:space="preserve">  </v>
      </c>
      <c r="Y69" s="1398" t="str">
        <f>IFERROR(INDEX('10'!C$300:C$400,MATCH("*"&amp;F69&amp;"*",'10'!B$300:B$400,0)),"  ")</f>
        <v xml:space="preserve">  </v>
      </c>
      <c r="Z69" s="1398" t="str">
        <f>IFERROR(INDEX('11'!C$300:C$400,MATCH("*"&amp;F69&amp;"*",'11'!B$300:B$400,0)),"  ")</f>
        <v xml:space="preserve">  </v>
      </c>
      <c r="AA69" s="1353">
        <f t="shared" ca="1" si="35"/>
        <v>1</v>
      </c>
      <c r="AB69" s="1353">
        <f t="shared" ca="1" si="36"/>
        <v>0</v>
      </c>
      <c r="AC69" s="1353">
        <f t="shared" ca="1" si="37"/>
        <v>0</v>
      </c>
      <c r="AH69" s="1345"/>
      <c r="AS69" s="689">
        <f t="shared" ca="1" si="38"/>
        <v>4.0000000000000002E-4</v>
      </c>
      <c r="AT69" s="690">
        <f t="shared" si="39"/>
        <v>1E-4</v>
      </c>
      <c r="AU69" s="690">
        <f t="shared" si="40"/>
        <v>2.0000000000000001E-4</v>
      </c>
      <c r="AV69" s="690">
        <f t="shared" si="41"/>
        <v>12.000299999999999</v>
      </c>
      <c r="AW69" s="690">
        <f t="shared" si="42"/>
        <v>4.0000000000000002E-4</v>
      </c>
      <c r="AX69" s="690">
        <f t="shared" si="43"/>
        <v>5.0000000000000001E-4</v>
      </c>
      <c r="AY69" s="690">
        <f t="shared" si="44"/>
        <v>5.9999999999999995E-4</v>
      </c>
      <c r="AZ69" s="690">
        <f t="shared" ca="1" si="45"/>
        <v>6.9999999999999999E-4</v>
      </c>
      <c r="BA69" s="690">
        <f t="shared" si="46"/>
        <v>8.0000000000000004E-4</v>
      </c>
      <c r="BB69" s="690">
        <f t="shared" si="47"/>
        <v>8.9999999999999998E-4</v>
      </c>
      <c r="BC69" s="690">
        <f t="shared" si="48"/>
        <v>1E-3</v>
      </c>
      <c r="BD69" s="690">
        <f t="shared" si="49"/>
        <v>1.1000000000000001E-3</v>
      </c>
    </row>
    <row r="70" spans="1:56" x14ac:dyDescent="0.2">
      <c r="A70" s="1378">
        <f t="shared" ca="1" si="25"/>
        <v>17</v>
      </c>
      <c r="B70" s="1392">
        <f t="shared" ca="1" si="26"/>
        <v>65</v>
      </c>
      <c r="C70" s="1380" t="str">
        <f t="shared" si="27"/>
        <v/>
      </c>
      <c r="D70" s="1393" t="str">
        <f t="shared" si="28"/>
        <v/>
      </c>
      <c r="E70" s="1394">
        <f t="shared" ca="1" si="29"/>
        <v>62</v>
      </c>
      <c r="F70" s="1405" t="s">
        <v>517</v>
      </c>
      <c r="G70" s="1379" t="s">
        <v>99</v>
      </c>
      <c r="H70" s="1384"/>
      <c r="I70" s="1385">
        <f t="array" aca="1" ref="I70" ca="1">(IF(COUNT(P70:Z70)&lt;8,SUM(P70:Z70),SUM(LARGE((P70:Z70),{1;2;3;4;5;6;7;8}))))</f>
        <v>12</v>
      </c>
      <c r="J70" s="1388" t="str">
        <f ca="1">INDEX(ETAPP!B$1:B$32,MATCH(COUNTIF(P70:Z70,PIV!A$1),ETAPP!A$1:A$32,0))&amp;INDEX(ETAPP!B$1:B$32,MATCH(COUNTIF(P70:Z70,PIV!A$2),ETAPP!A$1:A$32,0))&amp;INDEX(ETAPP!B$1:B$32,MATCH(COUNTIF(P70:Z70,PIV!A$3),ETAPP!A$1:A$32,0))&amp;INDEX(ETAPP!B$1:B$32,MATCH(COUNTIF(P70:Z70,PIV!A$4),ETAPP!A$1:A$32,0))&amp;INDEX(ETAPP!B$1:B$32,MATCH(COUNTIF(P70:Z70,PIV!A$5),ETAPP!A$1:A$32,0))&amp;INDEX(ETAPP!B$1:B$32,MATCH(COUNTIF(P70:Z70,PIV!A$6),ETAPP!A$1:A$32,0))&amp;INDEX(ETAPP!B$1:B$32,MATCH(COUNTIF(P70:Z70,PIV!A$7),ETAPP!A$1:A$32,0))&amp;INDEX(ETAPP!B$1:B$32,MATCH(COUNTIF(P70:Z70,PIV!A$8),ETAPP!A$1:A$32,0))&amp;INDEX(ETAPP!B$1:B$32,MATCH(COUNTIF(P70:Z70,PIV!A$9),ETAPP!A$1:A$32,0))&amp;INDEX(ETAPP!B$1:B$32,MATCH(COUNTIF(P70:Z70,PIV!A$10),ETAPP!A$1:A$32,0))&amp;INDEX(ETAPP!B$1:B$32,MATCH(COUNTIF(P70:Z70,PIV!A$11),ETAPP!A$1:A$32,0))&amp;INDEX(ETAPP!B$1:B$32,MATCH(COUNTIF(P70:Z70,PIV!A$12),ETAPP!A$1:A$32,0))&amp;INDEX(ETAPP!B$1:B$32,MATCH(COUNTIF(P70:Z70,PIV!A$13),ETAPP!A$1:A$32,0))&amp;INDEX(ETAPP!B$1:B$32,MATCH(COUNTIF(P70:Z70,PIV!A$14),ETAPP!A$1:A$32,0))&amp;INDEX(ETAPP!B$1:B$32,MATCH(COUNTIF(P70:Z70,PIV!A$15),ETAPP!A$1:A$32,0))&amp;INDEX(ETAPP!B$1:B$32,MATCH(COUNTIF(P70:Z70,PIV!A$16),ETAPP!A$1:A$32,0))&amp;INDEX(ETAPP!B$1:B$32,MATCH(COUNTIF(P70:Z70,PIV!A$17),ETAPP!A$1:A$32,0))&amp;INDEX(ETAPP!B$1:B$32,MATCH(COUNTIF(P70:Z70,PIV!A$18),ETAPP!A$1:A$32,0))&amp;INDEX(ETAPP!B$1:B$32,MATCH(COUNTIF(P70:Z70,PIV!A$19),ETAPP!A$1:A$32,0))</f>
        <v>0000000000A0000000E</v>
      </c>
      <c r="K70" s="1388" t="str">
        <f t="shared" ca="1" si="30"/>
        <v>012,0-0000000000A0000000E</v>
      </c>
      <c r="L70" s="1387">
        <f t="shared" ca="1" si="31"/>
        <v>65</v>
      </c>
      <c r="M70" s="1387">
        <f t="shared" si="32"/>
        <v>82</v>
      </c>
      <c r="N70" s="1388" t="str">
        <f t="shared" ca="1" si="33"/>
        <v>012,0-0000000000A0000000E-082</v>
      </c>
      <c r="O70" s="1396">
        <f t="shared" ca="1" si="34"/>
        <v>46</v>
      </c>
      <c r="P70" s="1397" t="str">
        <f>IFERROR(INDEX('1'!C$300:C$400,MATCH("*"&amp;F70&amp;"*",'1'!B$300:B$400,0)),"  ")</f>
        <v xml:space="preserve">  </v>
      </c>
      <c r="Q70" s="1398" t="str">
        <f>IFERROR(INDEX('2'!C$300:C$400,MATCH("*"&amp;F70&amp;"*",'2'!B$300:B$400,0)),"  ")</f>
        <v xml:space="preserve">  </v>
      </c>
      <c r="R70" s="1398">
        <f>IFERROR(INDEX('3'!C$300:C$400,MATCH("*"&amp;F70&amp;"*",'3'!B$300:B$400,0)),"  ")</f>
        <v>12</v>
      </c>
      <c r="S70" s="1398" t="str">
        <f>IFERROR(INDEX('4'!C$300:C$400,MATCH("*"&amp;F70&amp;"*",'4'!B$300:B$400,0)),"  ")</f>
        <v xml:space="preserve">  </v>
      </c>
      <c r="T70" s="1398" t="str">
        <f>IFERROR(INDEX('5'!C$300:C$400,MATCH("*"&amp;F70&amp;"*",'5'!B$300:B$400,0)),"  ")</f>
        <v xml:space="preserve">  </v>
      </c>
      <c r="U70" s="1398" t="str">
        <f>IFERROR(INDEX('6'!C$300:C$400,MATCH("*"&amp;F70&amp;"*",'6'!B$300:B$400,0)),"  ")</f>
        <v xml:space="preserve">  </v>
      </c>
      <c r="V70" s="1398" t="str">
        <f ca="1">IFERROR(INDEX('7'!C$300:C$400,MATCH("*"&amp;F70&amp;"*",'7'!B$300:B$400,0)),"  ")</f>
        <v xml:space="preserve">  </v>
      </c>
      <c r="W70" s="1398" t="str">
        <f>IFERROR(INDEX('8'!C$300:C$400,MATCH("*"&amp;F70&amp;"*",'8'!B$300:B$400,0)),"  ")</f>
        <v xml:space="preserve">  </v>
      </c>
      <c r="X70" s="1398" t="str">
        <f>IFERROR(INDEX('9'!C$300:C$400,MATCH("*"&amp;F70&amp;"*",'9'!B$300:B$400,0)),"  ")</f>
        <v xml:space="preserve">  </v>
      </c>
      <c r="Y70" s="1398" t="str">
        <f>IFERROR(INDEX('10'!C$300:C$400,MATCH("*"&amp;F70&amp;"*",'10'!B$300:B$400,0)),"  ")</f>
        <v xml:space="preserve">  </v>
      </c>
      <c r="Z70" s="1398" t="str">
        <f>IFERROR(INDEX('11'!C$300:C$400,MATCH("*"&amp;F70&amp;"*",'11'!B$300:B$400,0)),"  ")</f>
        <v xml:space="preserve">  </v>
      </c>
      <c r="AA70" s="1353">
        <f t="shared" ca="1" si="35"/>
        <v>1</v>
      </c>
      <c r="AB70" s="1353">
        <f t="shared" ca="1" si="36"/>
        <v>0</v>
      </c>
      <c r="AC70" s="1353">
        <f t="shared" ca="1" si="37"/>
        <v>0</v>
      </c>
      <c r="AH70" s="1345"/>
      <c r="AS70" s="689">
        <f t="shared" ca="1" si="38"/>
        <v>4.0000000000000002E-4</v>
      </c>
      <c r="AT70" s="690">
        <f t="shared" si="39"/>
        <v>1E-4</v>
      </c>
      <c r="AU70" s="690">
        <f t="shared" si="40"/>
        <v>2.0000000000000001E-4</v>
      </c>
      <c r="AV70" s="690">
        <f t="shared" si="41"/>
        <v>12.000299999999999</v>
      </c>
      <c r="AW70" s="690">
        <f t="shared" si="42"/>
        <v>4.0000000000000002E-4</v>
      </c>
      <c r="AX70" s="690">
        <f t="shared" si="43"/>
        <v>5.0000000000000001E-4</v>
      </c>
      <c r="AY70" s="690">
        <f t="shared" si="44"/>
        <v>5.9999999999999995E-4</v>
      </c>
      <c r="AZ70" s="690">
        <f t="shared" ca="1" si="45"/>
        <v>6.9999999999999999E-4</v>
      </c>
      <c r="BA70" s="690">
        <f t="shared" si="46"/>
        <v>8.0000000000000004E-4</v>
      </c>
      <c r="BB70" s="690">
        <f t="shared" si="47"/>
        <v>8.9999999999999998E-4</v>
      </c>
      <c r="BC70" s="690">
        <f t="shared" si="48"/>
        <v>1E-3</v>
      </c>
      <c r="BD70" s="690">
        <f t="shared" si="49"/>
        <v>1.1000000000000001E-3</v>
      </c>
    </row>
    <row r="71" spans="1:56" x14ac:dyDescent="0.2">
      <c r="A71" s="1378" t="str">
        <f t="shared" si="25"/>
        <v/>
      </c>
      <c r="B71" s="1392" t="str">
        <f t="shared" si="26"/>
        <v/>
      </c>
      <c r="C71" s="1380" t="str">
        <f t="shared" si="27"/>
        <v/>
      </c>
      <c r="D71" s="1393" t="str">
        <f t="shared" si="28"/>
        <v/>
      </c>
      <c r="E71" s="1394">
        <f t="shared" ca="1" si="29"/>
        <v>62</v>
      </c>
      <c r="F71" s="1395" t="s">
        <v>653</v>
      </c>
      <c r="G71" s="1379"/>
      <c r="H71" s="1384"/>
      <c r="I71" s="1385">
        <f t="array" aca="1" ref="I71" ca="1">(IF(COUNT(P71:Z71)&lt;8,SUM(P71:Z71),SUM(LARGE((P71:Z71),{1;2;3;4;5;6;7;8}))))</f>
        <v>12</v>
      </c>
      <c r="J71" s="1388" t="str">
        <f ca="1">INDEX(ETAPP!B$1:B$32,MATCH(COUNTIF(P71:Z71,PIV!A$1),ETAPP!A$1:A$32,0))&amp;INDEX(ETAPP!B$1:B$32,MATCH(COUNTIF(P71:Z71,PIV!A$2),ETAPP!A$1:A$32,0))&amp;INDEX(ETAPP!B$1:B$32,MATCH(COUNTIF(P71:Z71,PIV!A$3),ETAPP!A$1:A$32,0))&amp;INDEX(ETAPP!B$1:B$32,MATCH(COUNTIF(P71:Z71,PIV!A$4),ETAPP!A$1:A$32,0))&amp;INDEX(ETAPP!B$1:B$32,MATCH(COUNTIF(P71:Z71,PIV!A$5),ETAPP!A$1:A$32,0))&amp;INDEX(ETAPP!B$1:B$32,MATCH(COUNTIF(P71:Z71,PIV!A$6),ETAPP!A$1:A$32,0))&amp;INDEX(ETAPP!B$1:B$32,MATCH(COUNTIF(P71:Z71,PIV!A$7),ETAPP!A$1:A$32,0))&amp;INDEX(ETAPP!B$1:B$32,MATCH(COUNTIF(P71:Z71,PIV!A$8),ETAPP!A$1:A$32,0))&amp;INDEX(ETAPP!B$1:B$32,MATCH(COUNTIF(P71:Z71,PIV!A$9),ETAPP!A$1:A$32,0))&amp;INDEX(ETAPP!B$1:B$32,MATCH(COUNTIF(P71:Z71,PIV!A$10),ETAPP!A$1:A$32,0))&amp;INDEX(ETAPP!B$1:B$32,MATCH(COUNTIF(P71:Z71,PIV!A$11),ETAPP!A$1:A$32,0))&amp;INDEX(ETAPP!B$1:B$32,MATCH(COUNTIF(P71:Z71,PIV!A$12),ETAPP!A$1:A$32,0))&amp;INDEX(ETAPP!B$1:B$32,MATCH(COUNTIF(P71:Z71,PIV!A$13),ETAPP!A$1:A$32,0))&amp;INDEX(ETAPP!B$1:B$32,MATCH(COUNTIF(P71:Z71,PIV!A$14),ETAPP!A$1:A$32,0))&amp;INDEX(ETAPP!B$1:B$32,MATCH(COUNTIF(P71:Z71,PIV!A$15),ETAPP!A$1:A$32,0))&amp;INDEX(ETAPP!B$1:B$32,MATCH(COUNTIF(P71:Z71,PIV!A$16),ETAPP!A$1:A$32,0))&amp;INDEX(ETAPP!B$1:B$32,MATCH(COUNTIF(P71:Z71,PIV!A$17),ETAPP!A$1:A$32,0))&amp;INDEX(ETAPP!B$1:B$32,MATCH(COUNTIF(P71:Z71,PIV!A$18),ETAPP!A$1:A$32,0))&amp;INDEX(ETAPP!B$1:B$32,MATCH(COUNTIF(P71:Z71,PIV!A$19),ETAPP!A$1:A$32,0))</f>
        <v>0000000000A0000000E</v>
      </c>
      <c r="K71" s="1388" t="str">
        <f t="shared" ca="1" si="30"/>
        <v>012,0-0000000000A0000000E</v>
      </c>
      <c r="L71" s="1387">
        <f t="shared" ca="1" si="31"/>
        <v>65</v>
      </c>
      <c r="M71" s="1387">
        <f t="shared" si="32"/>
        <v>72</v>
      </c>
      <c r="N71" s="1388" t="str">
        <f t="shared" ca="1" si="33"/>
        <v>012,0-0000000000A0000000E-072</v>
      </c>
      <c r="O71" s="1396">
        <f t="shared" ca="1" si="34"/>
        <v>45</v>
      </c>
      <c r="P71" s="1397" t="str">
        <f>IFERROR(INDEX('1'!C$300:C$400,MATCH("*"&amp;F71&amp;"*",'1'!B$300:B$400,0)),"  ")</f>
        <v xml:space="preserve">  </v>
      </c>
      <c r="Q71" s="1398" t="str">
        <f>IFERROR(INDEX('2'!C$300:C$400,MATCH("*"&amp;F71&amp;"*",'2'!B$300:B$400,0)),"  ")</f>
        <v xml:space="preserve">  </v>
      </c>
      <c r="R71" s="1398" t="str">
        <f>IFERROR(INDEX('3'!C$300:C$400,MATCH("*"&amp;F71&amp;"*",'3'!B$300:B$400,0)),"  ")</f>
        <v xml:space="preserve">  </v>
      </c>
      <c r="S71" s="1398" t="str">
        <f>IFERROR(INDEX('4'!C$300:C$400,MATCH("*"&amp;F71&amp;"*",'4'!B$300:B$400,0)),"  ")</f>
        <v xml:space="preserve">  </v>
      </c>
      <c r="T71" s="1398" t="str">
        <f>IFERROR(INDEX('5'!C$300:C$400,MATCH("*"&amp;F71&amp;"*",'5'!B$300:B$400,0)),"  ")</f>
        <v xml:space="preserve">  </v>
      </c>
      <c r="U71" s="1398" t="str">
        <f>IFERROR(INDEX('6'!C$300:C$400,MATCH("*"&amp;F71&amp;"*",'6'!B$300:B$400,0)),"  ")</f>
        <v xml:space="preserve">  </v>
      </c>
      <c r="V71" s="1398" t="str">
        <f ca="1">IFERROR(INDEX('7'!C$300:C$400,MATCH("*"&amp;F71&amp;"*",'7'!B$300:B$400,0)),"  ")</f>
        <v xml:space="preserve">  </v>
      </c>
      <c r="W71" s="1398">
        <f>IFERROR(INDEX('8'!C$300:C$400,MATCH("*"&amp;F71&amp;"*",'8'!B$300:B$400,0)),"  ")</f>
        <v>12</v>
      </c>
      <c r="X71" s="1398" t="str">
        <f>IFERROR(INDEX('9'!C$300:C$400,MATCH("*"&amp;F71&amp;"*",'9'!B$300:B$400,0)),"  ")</f>
        <v xml:space="preserve">  </v>
      </c>
      <c r="Y71" s="1398" t="str">
        <f>IFERROR(INDEX('10'!C$300:C$400,MATCH("*"&amp;F71&amp;"*",'10'!B$300:B$400,0)),"  ")</f>
        <v xml:space="preserve">  </v>
      </c>
      <c r="Z71" s="1398" t="str">
        <f>IFERROR(INDEX('11'!C$300:C$400,MATCH("*"&amp;F71&amp;"*",'11'!B$300:B$400,0)),"  ")</f>
        <v xml:space="preserve">  </v>
      </c>
      <c r="AA71" s="1353">
        <f t="shared" ca="1" si="35"/>
        <v>1</v>
      </c>
      <c r="AB71" s="1353">
        <f t="shared" ca="1" si="36"/>
        <v>0</v>
      </c>
      <c r="AC71" s="1353">
        <f t="shared" ca="1" si="37"/>
        <v>0</v>
      </c>
      <c r="AH71" s="1345"/>
      <c r="AS71" s="689">
        <f t="shared" ca="1" si="38"/>
        <v>2.9999999999999997E-4</v>
      </c>
      <c r="AT71" s="690">
        <f t="shared" si="39"/>
        <v>1E-4</v>
      </c>
      <c r="AU71" s="690">
        <f t="shared" si="40"/>
        <v>2.0000000000000001E-4</v>
      </c>
      <c r="AV71" s="690">
        <f t="shared" si="41"/>
        <v>2.9999999999999997E-4</v>
      </c>
      <c r="AW71" s="690">
        <f t="shared" si="42"/>
        <v>4.0000000000000002E-4</v>
      </c>
      <c r="AX71" s="690">
        <f t="shared" si="43"/>
        <v>5.0000000000000001E-4</v>
      </c>
      <c r="AY71" s="690">
        <f t="shared" si="44"/>
        <v>5.9999999999999995E-4</v>
      </c>
      <c r="AZ71" s="690">
        <f t="shared" ca="1" si="45"/>
        <v>6.9999999999999999E-4</v>
      </c>
      <c r="BA71" s="690">
        <f t="shared" si="46"/>
        <v>12.0008</v>
      </c>
      <c r="BB71" s="690">
        <f t="shared" si="47"/>
        <v>8.9999999999999998E-4</v>
      </c>
      <c r="BC71" s="690">
        <f t="shared" si="48"/>
        <v>1E-3</v>
      </c>
      <c r="BD71" s="690">
        <f t="shared" si="49"/>
        <v>1.1000000000000001E-3</v>
      </c>
    </row>
    <row r="72" spans="1:56" x14ac:dyDescent="0.2">
      <c r="A72" s="1378" t="str">
        <f t="shared" ref="A72:A103" si="50">IFERROR(RANK(B72,B$8:B$115,1),"")</f>
        <v/>
      </c>
      <c r="B72" s="1392" t="str">
        <f t="shared" ref="B72:B103" si="51">IF(G72="n",L72,"")</f>
        <v/>
      </c>
      <c r="C72" s="1380" t="str">
        <f t="shared" ref="C72:C103" si="52">IFERROR(RANK(D72,D$8:D$115,1),"")</f>
        <v/>
      </c>
      <c r="D72" s="1393" t="str">
        <f t="shared" ref="D72:D103" si="53">IF(H72="j",L72,"")</f>
        <v/>
      </c>
      <c r="E72" s="1394">
        <f t="shared" ref="E72:E103" ca="1" si="54">RANK(L72,L$8:L$115,1)</f>
        <v>62</v>
      </c>
      <c r="F72" s="1405" t="s">
        <v>522</v>
      </c>
      <c r="G72" s="1379"/>
      <c r="H72" s="1384"/>
      <c r="I72" s="1385">
        <f t="array" aca="1" ref="I72" ca="1">(IF(COUNT(P72:Z72)&lt;8,SUM(P72:Z72),SUM(LARGE((P72:Z72),{1;2;3;4;5;6;7;8}))))</f>
        <v>12</v>
      </c>
      <c r="J72" s="1388" t="str">
        <f ca="1">INDEX(ETAPP!B$1:B$32,MATCH(COUNTIF(P72:Z72,PIV!A$1),ETAPP!A$1:A$32,0))&amp;INDEX(ETAPP!B$1:B$32,MATCH(COUNTIF(P72:Z72,PIV!A$2),ETAPP!A$1:A$32,0))&amp;INDEX(ETAPP!B$1:B$32,MATCH(COUNTIF(P72:Z72,PIV!A$3),ETAPP!A$1:A$32,0))&amp;INDEX(ETAPP!B$1:B$32,MATCH(COUNTIF(P72:Z72,PIV!A$4),ETAPP!A$1:A$32,0))&amp;INDEX(ETAPP!B$1:B$32,MATCH(COUNTIF(P72:Z72,PIV!A$5),ETAPP!A$1:A$32,0))&amp;INDEX(ETAPP!B$1:B$32,MATCH(COUNTIF(P72:Z72,PIV!A$6),ETAPP!A$1:A$32,0))&amp;INDEX(ETAPP!B$1:B$32,MATCH(COUNTIF(P72:Z72,PIV!A$7),ETAPP!A$1:A$32,0))&amp;INDEX(ETAPP!B$1:B$32,MATCH(COUNTIF(P72:Z72,PIV!A$8),ETAPP!A$1:A$32,0))&amp;INDEX(ETAPP!B$1:B$32,MATCH(COUNTIF(P72:Z72,PIV!A$9),ETAPP!A$1:A$32,0))&amp;INDEX(ETAPP!B$1:B$32,MATCH(COUNTIF(P72:Z72,PIV!A$10),ETAPP!A$1:A$32,0))&amp;INDEX(ETAPP!B$1:B$32,MATCH(COUNTIF(P72:Z72,PIV!A$11),ETAPP!A$1:A$32,0))&amp;INDEX(ETAPP!B$1:B$32,MATCH(COUNTIF(P72:Z72,PIV!A$12),ETAPP!A$1:A$32,0))&amp;INDEX(ETAPP!B$1:B$32,MATCH(COUNTIF(P72:Z72,PIV!A$13),ETAPP!A$1:A$32,0))&amp;INDEX(ETAPP!B$1:B$32,MATCH(COUNTIF(P72:Z72,PIV!A$14),ETAPP!A$1:A$32,0))&amp;INDEX(ETAPP!B$1:B$32,MATCH(COUNTIF(P72:Z72,PIV!A$15),ETAPP!A$1:A$32,0))&amp;INDEX(ETAPP!B$1:B$32,MATCH(COUNTIF(P72:Z72,PIV!A$16),ETAPP!A$1:A$32,0))&amp;INDEX(ETAPP!B$1:B$32,MATCH(COUNTIF(P72:Z72,PIV!A$17),ETAPP!A$1:A$32,0))&amp;INDEX(ETAPP!B$1:B$32,MATCH(COUNTIF(P72:Z72,PIV!A$18),ETAPP!A$1:A$32,0))&amp;INDEX(ETAPP!B$1:B$32,MATCH(COUNTIF(P72:Z72,PIV!A$19),ETAPP!A$1:A$32,0))</f>
        <v>0000000000A0000000E</v>
      </c>
      <c r="K72" s="1388" t="str">
        <f t="shared" ref="K72:K103" ca="1" si="55">TEXT(I72,"000,0")&amp;"-"&amp;J72</f>
        <v>012,0-0000000000A0000000E</v>
      </c>
      <c r="L72" s="1387">
        <f t="shared" ref="L72:L103" ca="1" si="56">COUNTIF(K$8:K$115,"&gt;="&amp;K72)</f>
        <v>65</v>
      </c>
      <c r="M72" s="1387">
        <f t="shared" ref="M72:M103" si="57">COUNTIF(F$8:F$115,"&gt;="&amp;F72)</f>
        <v>36</v>
      </c>
      <c r="N72" s="1388" t="str">
        <f t="shared" ref="N72:N103" ca="1" si="58">TEXT(I72,"000,0")&amp;"-"&amp;J72&amp;"-"&amp;TEXT(M72,"000")</f>
        <v>012,0-0000000000A0000000E-036</v>
      </c>
      <c r="O72" s="1396">
        <f t="shared" ref="O72:O103" ca="1" si="59">COUNTIF(N$8:N$115,"&lt;="&amp;N72)</f>
        <v>44</v>
      </c>
      <c r="P72" s="1397" t="str">
        <f>IFERROR(INDEX('1'!C$300:C$400,MATCH("*"&amp;F72&amp;"*",'1'!B$300:B$400,0)),"  ")</f>
        <v xml:space="preserve">  </v>
      </c>
      <c r="Q72" s="1398" t="str">
        <f>IFERROR(INDEX('2'!C$300:C$400,MATCH("*"&amp;F72&amp;"*",'2'!B$300:B$400,0)),"  ")</f>
        <v xml:space="preserve">  </v>
      </c>
      <c r="R72" s="1398">
        <f>IFERROR(INDEX('3'!C$300:C$400,MATCH("*"&amp;F72&amp;"*",'3'!B$300:B$400,0)),"  ")</f>
        <v>12</v>
      </c>
      <c r="S72" s="1398" t="str">
        <f>IFERROR(INDEX('4'!C$300:C$400,MATCH("*"&amp;F72&amp;"*",'4'!B$300:B$400,0)),"  ")</f>
        <v xml:space="preserve">  </v>
      </c>
      <c r="T72" s="1398" t="str">
        <f>IFERROR(INDEX('5'!C$300:C$400,MATCH("*"&amp;F72&amp;"*",'5'!B$300:B$400,0)),"  ")</f>
        <v xml:space="preserve">  </v>
      </c>
      <c r="U72" s="1398" t="str">
        <f>IFERROR(INDEX('6'!C$300:C$400,MATCH("*"&amp;F72&amp;"*",'6'!B$300:B$400,0)),"  ")</f>
        <v xml:space="preserve">  </v>
      </c>
      <c r="V72" s="1398" t="str">
        <f ca="1">IFERROR(INDEX('7'!C$300:C$400,MATCH("*"&amp;F72&amp;"*",'7'!B$300:B$400,0)),"  ")</f>
        <v xml:space="preserve">  </v>
      </c>
      <c r="W72" s="1398" t="str">
        <f>IFERROR(INDEX('8'!C$300:C$400,MATCH("*"&amp;F72&amp;"*",'8'!B$300:B$400,0)),"  ")</f>
        <v xml:space="preserve">  </v>
      </c>
      <c r="X72" s="1398" t="str">
        <f>IFERROR(INDEX('9'!C$300:C$400,MATCH("*"&amp;F72&amp;"*",'9'!B$300:B$400,0)),"  ")</f>
        <v xml:space="preserve">  </v>
      </c>
      <c r="Y72" s="1398" t="str">
        <f>IFERROR(INDEX('10'!C$300:C$400,MATCH("*"&amp;F72&amp;"*",'10'!B$300:B$400,0)),"  ")</f>
        <v xml:space="preserve">  </v>
      </c>
      <c r="Z72" s="1398" t="str">
        <f>IFERROR(INDEX('11'!C$300:C$400,MATCH("*"&amp;F72&amp;"*",'11'!B$300:B$400,0)),"  ")</f>
        <v xml:space="preserve">  </v>
      </c>
      <c r="AA72" s="1353">
        <f t="shared" ref="AA72:AA103" ca="1" si="60">COUNTIF(P72:Z72,"&gt;=0")</f>
        <v>1</v>
      </c>
      <c r="AB72" s="1353">
        <f t="shared" ref="AB72:AB103" ca="1" si="61">COUNTIF(P72:Z72,"&gt;=30")</f>
        <v>0</v>
      </c>
      <c r="AC72" s="1353">
        <f t="shared" ref="AC72:AC103" ca="1" si="62">COUNTIF(P72:Z72,"=40")</f>
        <v>0</v>
      </c>
      <c r="AH72" s="1345"/>
      <c r="AS72" s="689">
        <f t="shared" ref="AS72:AS103" ca="1" si="63">SMALL(AT72:BD72,AS$3)</f>
        <v>4.0000000000000002E-4</v>
      </c>
      <c r="AT72" s="690">
        <f t="shared" ref="AT72:AT103" si="64">IF(P72="  ",0+MID(P$7,FIND("R",P$7)+1,256)/10000,P72+MID(P$7,FIND("R",P$7)+1,256)/10000)</f>
        <v>1E-4</v>
      </c>
      <c r="AU72" s="690">
        <f t="shared" ref="AU72:AU103" si="65">IF(Q72="  ",0+MID(Q$7,FIND("R",Q$7)+1,256)/10000,Q72+MID(Q$7,FIND("R",Q$7)+1,256)/10000)</f>
        <v>2.0000000000000001E-4</v>
      </c>
      <c r="AV72" s="690">
        <f t="shared" ref="AV72:AV103" si="66">IF(R72="  ",0+MID(R$7,FIND("R",R$7)+1,256)/10000,R72+MID(R$7,FIND("R",R$7)+1,256)/10000)</f>
        <v>12.000299999999999</v>
      </c>
      <c r="AW72" s="690">
        <f t="shared" ref="AW72:AW103" si="67">IF(S72="  ",0+MID(S$7,FIND("R",S$7)+1,256)/10000,S72+MID(S$7,FIND("R",S$7)+1,256)/10000)</f>
        <v>4.0000000000000002E-4</v>
      </c>
      <c r="AX72" s="690">
        <f t="shared" ref="AX72:AX103" si="68">IF(T72="  ",0+MID(T$7,FIND("R",T$7)+1,256)/10000,T72+MID(T$7,FIND("R",T$7)+1,256)/10000)</f>
        <v>5.0000000000000001E-4</v>
      </c>
      <c r="AY72" s="690">
        <f t="shared" ref="AY72:AY103" si="69">IF(U72="  ",0+MID(U$7,FIND("R",U$7)+1,256)/10000,U72+MID(U$7,FIND("R",U$7)+1,256)/10000)</f>
        <v>5.9999999999999995E-4</v>
      </c>
      <c r="AZ72" s="690">
        <f t="shared" ref="AZ72:AZ103" ca="1" si="70">IF(V72="  ",0+MID(V$7,FIND("R",V$7)+1,256)/10000,V72+MID(V$7,FIND("R",V$7)+1,256)/10000)</f>
        <v>6.9999999999999999E-4</v>
      </c>
      <c r="BA72" s="690">
        <f t="shared" ref="BA72:BA103" si="71">IF(W72="  ",0+MID(W$7,FIND("R",W$7)+1,256)/10000,W72+MID(W$7,FIND("R",W$7)+1,256)/10000)</f>
        <v>8.0000000000000004E-4</v>
      </c>
      <c r="BB72" s="690">
        <f t="shared" ref="BB72:BB103" si="72">IF(X72="  ",0+MID(X$7,FIND("R",X$7)+1,256)/10000,X72+MID(X$7,FIND("R",X$7)+1,256)/10000)</f>
        <v>8.9999999999999998E-4</v>
      </c>
      <c r="BC72" s="690">
        <f t="shared" ref="BC72:BC103" si="73">IF(Y72="  ",0+MID(Y$7,FIND("R",Y$7)+1,256)/10000,Y72+MID(Y$7,FIND("R",Y$7)+1,256)/10000)</f>
        <v>1E-3</v>
      </c>
      <c r="BD72" s="690">
        <f t="shared" ref="BD72:BD103" si="74">IF(Z72="  ",0+MID(Z$7,FIND("R",Z$7)+1,256)/10000,Z72+MID(Z$7,FIND("R",Z$7)+1,256)/10000)</f>
        <v>1.1000000000000001E-3</v>
      </c>
    </row>
    <row r="73" spans="1:56" x14ac:dyDescent="0.2">
      <c r="A73" s="1378" t="str">
        <f t="shared" si="50"/>
        <v/>
      </c>
      <c r="B73" s="1392" t="str">
        <f t="shared" si="51"/>
        <v/>
      </c>
      <c r="C73" s="1380" t="str">
        <f t="shared" si="52"/>
        <v/>
      </c>
      <c r="D73" s="1393" t="str">
        <f t="shared" si="53"/>
        <v/>
      </c>
      <c r="E73" s="1394">
        <f t="shared" ca="1" si="54"/>
        <v>66</v>
      </c>
      <c r="F73" s="1360" t="s">
        <v>124</v>
      </c>
      <c r="G73" s="1379"/>
      <c r="H73" s="1384"/>
      <c r="I73" s="1385">
        <f t="array" aca="1" ref="I73" ca="1">(IF(COUNT(P73:Z73)&lt;8,SUM(P73:Z73),SUM(LARGE((P73:Z73),{1;2;3;4;5;6;7;8}))))</f>
        <v>7</v>
      </c>
      <c r="J73" s="1388" t="str">
        <f ca="1">INDEX(ETAPP!B$1:B$32,MATCH(COUNTIF(P73:Z73,PIV!A$1),ETAPP!A$1:A$32,0))&amp;INDEX(ETAPP!B$1:B$32,MATCH(COUNTIF(P73:Z73,PIV!A$2),ETAPP!A$1:A$32,0))&amp;INDEX(ETAPP!B$1:B$32,MATCH(COUNTIF(P73:Z73,PIV!A$3),ETAPP!A$1:A$32,0))&amp;INDEX(ETAPP!B$1:B$32,MATCH(COUNTIF(P73:Z73,PIV!A$4),ETAPP!A$1:A$32,0))&amp;INDEX(ETAPP!B$1:B$32,MATCH(COUNTIF(P73:Z73,PIV!A$5),ETAPP!A$1:A$32,0))&amp;INDEX(ETAPP!B$1:B$32,MATCH(COUNTIF(P73:Z73,PIV!A$6),ETAPP!A$1:A$32,0))&amp;INDEX(ETAPP!B$1:B$32,MATCH(COUNTIF(P73:Z73,PIV!A$7),ETAPP!A$1:A$32,0))&amp;INDEX(ETAPP!B$1:B$32,MATCH(COUNTIF(P73:Z73,PIV!A$8),ETAPP!A$1:A$32,0))&amp;INDEX(ETAPP!B$1:B$32,MATCH(COUNTIF(P73:Z73,PIV!A$9),ETAPP!A$1:A$32,0))&amp;INDEX(ETAPP!B$1:B$32,MATCH(COUNTIF(P73:Z73,PIV!A$10),ETAPP!A$1:A$32,0))&amp;INDEX(ETAPP!B$1:B$32,MATCH(COUNTIF(P73:Z73,PIV!A$11),ETAPP!A$1:A$32,0))&amp;INDEX(ETAPP!B$1:B$32,MATCH(COUNTIF(P73:Z73,PIV!A$12),ETAPP!A$1:A$32,0))&amp;INDEX(ETAPP!B$1:B$32,MATCH(COUNTIF(P73:Z73,PIV!A$13),ETAPP!A$1:A$32,0))&amp;INDEX(ETAPP!B$1:B$32,MATCH(COUNTIF(P73:Z73,PIV!A$14),ETAPP!A$1:A$32,0))&amp;INDEX(ETAPP!B$1:B$32,MATCH(COUNTIF(P73:Z73,PIV!A$15),ETAPP!A$1:A$32,0))&amp;INDEX(ETAPP!B$1:B$32,MATCH(COUNTIF(P73:Z73,PIV!A$16),ETAPP!A$1:A$32,0))&amp;INDEX(ETAPP!B$1:B$32,MATCH(COUNTIF(P73:Z73,PIV!A$17),ETAPP!A$1:A$32,0))&amp;INDEX(ETAPP!B$1:B$32,MATCH(COUNTIF(P73:Z73,PIV!A$18),ETAPP!A$1:A$32,0))&amp;INDEX(ETAPP!B$1:B$32,MATCH(COUNTIF(P73:Z73,PIV!A$19),ETAPP!A$1:A$32,0))</f>
        <v>0000000000000A00A0D</v>
      </c>
      <c r="K73" s="1388" t="str">
        <f t="shared" ca="1" si="55"/>
        <v>007,0-0000000000000A00A0D</v>
      </c>
      <c r="L73" s="1387">
        <f t="shared" ca="1" si="56"/>
        <v>66</v>
      </c>
      <c r="M73" s="1387">
        <f t="shared" si="57"/>
        <v>79</v>
      </c>
      <c r="N73" s="1388" t="str">
        <f t="shared" ca="1" si="58"/>
        <v>007,0-0000000000000A00A0D-079</v>
      </c>
      <c r="O73" s="1396">
        <f t="shared" ca="1" si="59"/>
        <v>43</v>
      </c>
      <c r="P73" s="1397" t="str">
        <f>IFERROR(INDEX('1'!C$300:C$400,MATCH("*"&amp;F73&amp;"*",'1'!B$300:B$400,0)),"  ")</f>
        <v xml:space="preserve">  </v>
      </c>
      <c r="Q73" s="1398">
        <f>IFERROR(INDEX('2'!C$300:C$400,MATCH("*"&amp;F73&amp;"*",'2'!B$300:B$400,0)),"  ")</f>
        <v>1</v>
      </c>
      <c r="R73" s="1398" t="str">
        <f>IFERROR(INDEX('3'!C$300:C$400,MATCH("*"&amp;F73&amp;"*",'3'!B$300:B$400,0)),"  ")</f>
        <v xml:space="preserve">  </v>
      </c>
      <c r="S73" s="1398" t="str">
        <f>IFERROR(INDEX('4'!C$300:C$400,MATCH("*"&amp;F73&amp;"*",'4'!B$300:B$400,0)),"  ")</f>
        <v xml:space="preserve">  </v>
      </c>
      <c r="T73" s="1398" t="str">
        <f>IFERROR(INDEX('5'!C$300:C$400,MATCH("*"&amp;F73&amp;"*",'5'!B$300:B$400,0)),"  ")</f>
        <v xml:space="preserve">  </v>
      </c>
      <c r="U73" s="1398" t="str">
        <f>IFERROR(INDEX('6'!C$300:C$400,MATCH("*"&amp;F73&amp;"*",'6'!B$300:B$400,0)),"  ")</f>
        <v xml:space="preserve">  </v>
      </c>
      <c r="V73" s="1398" t="str">
        <f ca="1">IFERROR(INDEX('7'!C$300:C$400,MATCH("*"&amp;F73&amp;"*",'7'!B$300:B$400,0)),"  ")</f>
        <v xml:space="preserve">  </v>
      </c>
      <c r="W73" s="1398" t="str">
        <f>IFERROR(INDEX('8'!C$300:C$400,MATCH("*"&amp;F73&amp;"*",'8'!B$300:B$400,0)),"  ")</f>
        <v xml:space="preserve">  </v>
      </c>
      <c r="X73" s="1398" t="str">
        <f>IFERROR(INDEX('9'!C$300:C$400,MATCH("*"&amp;F73&amp;"*",'9'!B$300:B$400,0)),"  ")</f>
        <v xml:space="preserve">  </v>
      </c>
      <c r="Y73" s="1398" t="str">
        <f>IFERROR(INDEX('10'!C$300:C$400,MATCH("*"&amp;F73&amp;"*",'10'!B$300:B$400,0)),"  ")</f>
        <v xml:space="preserve">  </v>
      </c>
      <c r="Z73" s="1398">
        <f>IFERROR(INDEX('11'!C$300:C$400,MATCH("*"&amp;F73&amp;"*",'11'!B$300:B$400,0)),"  ")</f>
        <v>6</v>
      </c>
      <c r="AA73" s="1353">
        <f t="shared" ca="1" si="60"/>
        <v>2</v>
      </c>
      <c r="AB73" s="1353">
        <f t="shared" ca="1" si="61"/>
        <v>0</v>
      </c>
      <c r="AC73" s="1353">
        <f t="shared" ca="1" si="62"/>
        <v>0</v>
      </c>
      <c r="AH73" s="1345"/>
      <c r="AS73" s="689">
        <f t="shared" ca="1" si="63"/>
        <v>4.0000000000000002E-4</v>
      </c>
      <c r="AT73" s="690">
        <f t="shared" si="64"/>
        <v>1E-4</v>
      </c>
      <c r="AU73" s="690">
        <f t="shared" si="65"/>
        <v>1.0002</v>
      </c>
      <c r="AV73" s="690">
        <f t="shared" si="66"/>
        <v>2.9999999999999997E-4</v>
      </c>
      <c r="AW73" s="690">
        <f t="shared" si="67"/>
        <v>4.0000000000000002E-4</v>
      </c>
      <c r="AX73" s="690">
        <f t="shared" si="68"/>
        <v>5.0000000000000001E-4</v>
      </c>
      <c r="AY73" s="690">
        <f t="shared" si="69"/>
        <v>5.9999999999999995E-4</v>
      </c>
      <c r="AZ73" s="690">
        <f t="shared" ca="1" si="70"/>
        <v>6.9999999999999999E-4</v>
      </c>
      <c r="BA73" s="690">
        <f t="shared" si="71"/>
        <v>8.0000000000000004E-4</v>
      </c>
      <c r="BB73" s="690">
        <f t="shared" si="72"/>
        <v>8.9999999999999998E-4</v>
      </c>
      <c r="BC73" s="690">
        <f t="shared" si="73"/>
        <v>1E-3</v>
      </c>
      <c r="BD73" s="690">
        <f t="shared" si="74"/>
        <v>6.0011000000000001</v>
      </c>
    </row>
    <row r="74" spans="1:56" x14ac:dyDescent="0.2">
      <c r="A74" s="1378" t="str">
        <f t="shared" si="50"/>
        <v/>
      </c>
      <c r="B74" s="1392" t="str">
        <f t="shared" si="51"/>
        <v/>
      </c>
      <c r="C74" s="1380" t="str">
        <f t="shared" si="52"/>
        <v/>
      </c>
      <c r="D74" s="1393" t="str">
        <f t="shared" si="53"/>
        <v/>
      </c>
      <c r="E74" s="1394">
        <f t="shared" ca="1" si="54"/>
        <v>67</v>
      </c>
      <c r="F74" s="1360" t="s">
        <v>112</v>
      </c>
      <c r="G74" s="1379"/>
      <c r="H74" s="1384"/>
      <c r="I74" s="1385">
        <f t="array" aca="1" ref="I74" ca="1">(IF(COUNT(P74:Z74)&lt;8,SUM(P74:Z74),SUM(LARGE((P74:Z74),{1;2;3;4;5;6;7;8}))))</f>
        <v>6</v>
      </c>
      <c r="J74" s="1388" t="str">
        <f ca="1">INDEX(ETAPP!B$1:B$32,MATCH(COUNTIF(P74:Z74,PIV!A$1),ETAPP!A$1:A$32,0))&amp;INDEX(ETAPP!B$1:B$32,MATCH(COUNTIF(P74:Z74,PIV!A$2),ETAPP!A$1:A$32,0))&amp;INDEX(ETAPP!B$1:B$32,MATCH(COUNTIF(P74:Z74,PIV!A$3),ETAPP!A$1:A$32,0))&amp;INDEX(ETAPP!B$1:B$32,MATCH(COUNTIF(P74:Z74,PIV!A$4),ETAPP!A$1:A$32,0))&amp;INDEX(ETAPP!B$1:B$32,MATCH(COUNTIF(P74:Z74,PIV!A$5),ETAPP!A$1:A$32,0))&amp;INDEX(ETAPP!B$1:B$32,MATCH(COUNTIF(P74:Z74,PIV!A$6),ETAPP!A$1:A$32,0))&amp;INDEX(ETAPP!B$1:B$32,MATCH(COUNTIF(P74:Z74,PIV!A$7),ETAPP!A$1:A$32,0))&amp;INDEX(ETAPP!B$1:B$32,MATCH(COUNTIF(P74:Z74,PIV!A$8),ETAPP!A$1:A$32,0))&amp;INDEX(ETAPP!B$1:B$32,MATCH(COUNTIF(P74:Z74,PIV!A$9),ETAPP!A$1:A$32,0))&amp;INDEX(ETAPP!B$1:B$32,MATCH(COUNTIF(P74:Z74,PIV!A$10),ETAPP!A$1:A$32,0))&amp;INDEX(ETAPP!B$1:B$32,MATCH(COUNTIF(P74:Z74,PIV!A$11),ETAPP!A$1:A$32,0))&amp;INDEX(ETAPP!B$1:B$32,MATCH(COUNTIF(P74:Z74,PIV!A$12),ETAPP!A$1:A$32,0))&amp;INDEX(ETAPP!B$1:B$32,MATCH(COUNTIF(P74:Z74,PIV!A$13),ETAPP!A$1:A$32,0))&amp;INDEX(ETAPP!B$1:B$32,MATCH(COUNTIF(P74:Z74,PIV!A$14),ETAPP!A$1:A$32,0))&amp;INDEX(ETAPP!B$1:B$32,MATCH(COUNTIF(P74:Z74,PIV!A$15),ETAPP!A$1:A$32,0))&amp;INDEX(ETAPP!B$1:B$32,MATCH(COUNTIF(P74:Z74,PIV!A$16),ETAPP!A$1:A$32,0))&amp;INDEX(ETAPP!B$1:B$32,MATCH(COUNTIF(P74:Z74,PIV!A$17),ETAPP!A$1:A$32,0))&amp;INDEX(ETAPP!B$1:B$32,MATCH(COUNTIF(P74:Z74,PIV!A$18),ETAPP!A$1:A$32,0))&amp;INDEX(ETAPP!B$1:B$32,MATCH(COUNTIF(P74:Z74,PIV!A$19),ETAPP!A$1:A$32,0))</f>
        <v>0000000000000A0000E</v>
      </c>
      <c r="K74" s="1388" t="str">
        <f t="shared" ca="1" si="55"/>
        <v>006,0-0000000000000A0000E</v>
      </c>
      <c r="L74" s="1387">
        <f t="shared" ca="1" si="56"/>
        <v>68</v>
      </c>
      <c r="M74" s="1387">
        <f t="shared" si="57"/>
        <v>23</v>
      </c>
      <c r="N74" s="1388" t="str">
        <f t="shared" ca="1" si="58"/>
        <v>006,0-0000000000000A0000E-023</v>
      </c>
      <c r="O74" s="1396">
        <f t="shared" ca="1" si="59"/>
        <v>42</v>
      </c>
      <c r="P74" s="1397" t="str">
        <f>IFERROR(INDEX('1'!C$300:C$400,MATCH("*"&amp;F74&amp;"*",'1'!B$300:B$400,0)),"  ")</f>
        <v xml:space="preserve">  </v>
      </c>
      <c r="Q74" s="1398" t="str">
        <f>IFERROR(INDEX('2'!C$300:C$400,MATCH("*"&amp;F74&amp;"*",'2'!B$300:B$400,0)),"  ")</f>
        <v xml:space="preserve">  </v>
      </c>
      <c r="R74" s="1398" t="str">
        <f>IFERROR(INDEX('3'!C$300:C$400,MATCH("*"&amp;F74&amp;"*",'3'!B$300:B$400,0)),"  ")</f>
        <v xml:space="preserve">  </v>
      </c>
      <c r="S74" s="1398" t="str">
        <f>IFERROR(INDEX('4'!C$300:C$400,MATCH("*"&amp;F74&amp;"*",'4'!B$300:B$400,0)),"  ")</f>
        <v xml:space="preserve">  </v>
      </c>
      <c r="T74" s="1398" t="str">
        <f>IFERROR(INDEX('5'!C$300:C$400,MATCH("*"&amp;F74&amp;"*",'5'!B$300:B$400,0)),"  ")</f>
        <v xml:space="preserve">  </v>
      </c>
      <c r="U74" s="1398" t="str">
        <f>IFERROR(INDEX('6'!C$300:C$400,MATCH("*"&amp;F74&amp;"*",'6'!B$300:B$400,0)),"  ")</f>
        <v xml:space="preserve">  </v>
      </c>
      <c r="V74" s="1398" t="str">
        <f ca="1">IFERROR(INDEX('7'!C$300:C$400,MATCH("*"&amp;F74&amp;"*",'7'!B$300:B$400,0)),"  ")</f>
        <v xml:space="preserve">  </v>
      </c>
      <c r="W74" s="1398">
        <f>IFERROR(INDEX('8'!C$300:C$400,MATCH("*"&amp;F74&amp;"*",'8'!B$300:B$400,0)),"  ")</f>
        <v>6</v>
      </c>
      <c r="X74" s="1398" t="str">
        <f>IFERROR(INDEX('9'!C$300:C$400,MATCH("*"&amp;F74&amp;"*",'9'!B$300:B$400,0)),"  ")</f>
        <v xml:space="preserve">  </v>
      </c>
      <c r="Y74" s="1398" t="str">
        <f>IFERROR(INDEX('10'!C$300:C$400,MATCH("*"&amp;F74&amp;"*",'10'!B$300:B$400,0)),"  ")</f>
        <v xml:space="preserve">  </v>
      </c>
      <c r="Z74" s="1398" t="str">
        <f>IFERROR(INDEX('11'!C$300:C$400,MATCH("*"&amp;F74&amp;"*",'11'!B$300:B$400,0)),"  ")</f>
        <v xml:space="preserve">  </v>
      </c>
      <c r="AA74" s="1353">
        <f t="shared" ca="1" si="60"/>
        <v>1</v>
      </c>
      <c r="AB74" s="1353">
        <f t="shared" ca="1" si="61"/>
        <v>0</v>
      </c>
      <c r="AC74" s="1353">
        <f t="shared" ca="1" si="62"/>
        <v>0</v>
      </c>
      <c r="AH74" s="1345"/>
      <c r="AS74" s="689">
        <f t="shared" ca="1" si="63"/>
        <v>2.9999999999999997E-4</v>
      </c>
      <c r="AT74" s="690">
        <f t="shared" si="64"/>
        <v>1E-4</v>
      </c>
      <c r="AU74" s="690">
        <f t="shared" si="65"/>
        <v>2.0000000000000001E-4</v>
      </c>
      <c r="AV74" s="690">
        <f t="shared" si="66"/>
        <v>2.9999999999999997E-4</v>
      </c>
      <c r="AW74" s="690">
        <f t="shared" si="67"/>
        <v>4.0000000000000002E-4</v>
      </c>
      <c r="AX74" s="690">
        <f t="shared" si="68"/>
        <v>5.0000000000000001E-4</v>
      </c>
      <c r="AY74" s="690">
        <f t="shared" si="69"/>
        <v>5.9999999999999995E-4</v>
      </c>
      <c r="AZ74" s="690">
        <f t="shared" ca="1" si="70"/>
        <v>6.9999999999999999E-4</v>
      </c>
      <c r="BA74" s="690">
        <f t="shared" si="71"/>
        <v>6.0007999999999999</v>
      </c>
      <c r="BB74" s="690">
        <f t="shared" si="72"/>
        <v>8.9999999999999998E-4</v>
      </c>
      <c r="BC74" s="690">
        <f t="shared" si="73"/>
        <v>1E-3</v>
      </c>
      <c r="BD74" s="690">
        <f t="shared" si="74"/>
        <v>1.1000000000000001E-3</v>
      </c>
    </row>
    <row r="75" spans="1:56" x14ac:dyDescent="0.2">
      <c r="A75" s="1378" t="str">
        <f t="shared" si="50"/>
        <v/>
      </c>
      <c r="B75" s="1392" t="str">
        <f t="shared" si="51"/>
        <v/>
      </c>
      <c r="C75" s="1380" t="str">
        <f t="shared" si="52"/>
        <v/>
      </c>
      <c r="D75" s="1393" t="str">
        <f t="shared" si="53"/>
        <v/>
      </c>
      <c r="E75" s="1394">
        <f t="shared" ca="1" si="54"/>
        <v>67</v>
      </c>
      <c r="F75" s="1395" t="s">
        <v>654</v>
      </c>
      <c r="G75" s="1379"/>
      <c r="H75" s="1384"/>
      <c r="I75" s="1385">
        <f t="array" aca="1" ref="I75" ca="1">(IF(COUNT(P75:Z75)&lt;8,SUM(P75:Z75),SUM(LARGE((P75:Z75),{1;2;3;4;5;6;7;8}))))</f>
        <v>6</v>
      </c>
      <c r="J75" s="1388" t="str">
        <f ca="1">INDEX(ETAPP!B$1:B$32,MATCH(COUNTIF(P75:Z75,PIV!A$1),ETAPP!A$1:A$32,0))&amp;INDEX(ETAPP!B$1:B$32,MATCH(COUNTIF(P75:Z75,PIV!A$2),ETAPP!A$1:A$32,0))&amp;INDEX(ETAPP!B$1:B$32,MATCH(COUNTIF(P75:Z75,PIV!A$3),ETAPP!A$1:A$32,0))&amp;INDEX(ETAPP!B$1:B$32,MATCH(COUNTIF(P75:Z75,PIV!A$4),ETAPP!A$1:A$32,0))&amp;INDEX(ETAPP!B$1:B$32,MATCH(COUNTIF(P75:Z75,PIV!A$5),ETAPP!A$1:A$32,0))&amp;INDEX(ETAPP!B$1:B$32,MATCH(COUNTIF(P75:Z75,PIV!A$6),ETAPP!A$1:A$32,0))&amp;INDEX(ETAPP!B$1:B$32,MATCH(COUNTIF(P75:Z75,PIV!A$7),ETAPP!A$1:A$32,0))&amp;INDEX(ETAPP!B$1:B$32,MATCH(COUNTIF(P75:Z75,PIV!A$8),ETAPP!A$1:A$32,0))&amp;INDEX(ETAPP!B$1:B$32,MATCH(COUNTIF(P75:Z75,PIV!A$9),ETAPP!A$1:A$32,0))&amp;INDEX(ETAPP!B$1:B$32,MATCH(COUNTIF(P75:Z75,PIV!A$10),ETAPP!A$1:A$32,0))&amp;INDEX(ETAPP!B$1:B$32,MATCH(COUNTIF(P75:Z75,PIV!A$11),ETAPP!A$1:A$32,0))&amp;INDEX(ETAPP!B$1:B$32,MATCH(COUNTIF(P75:Z75,PIV!A$12),ETAPP!A$1:A$32,0))&amp;INDEX(ETAPP!B$1:B$32,MATCH(COUNTIF(P75:Z75,PIV!A$13),ETAPP!A$1:A$32,0))&amp;INDEX(ETAPP!B$1:B$32,MATCH(COUNTIF(P75:Z75,PIV!A$14),ETAPP!A$1:A$32,0))&amp;INDEX(ETAPP!B$1:B$32,MATCH(COUNTIF(P75:Z75,PIV!A$15),ETAPP!A$1:A$32,0))&amp;INDEX(ETAPP!B$1:B$32,MATCH(COUNTIF(P75:Z75,PIV!A$16),ETAPP!A$1:A$32,0))&amp;INDEX(ETAPP!B$1:B$32,MATCH(COUNTIF(P75:Z75,PIV!A$17),ETAPP!A$1:A$32,0))&amp;INDEX(ETAPP!B$1:B$32,MATCH(COUNTIF(P75:Z75,PIV!A$18),ETAPP!A$1:A$32,0))&amp;INDEX(ETAPP!B$1:B$32,MATCH(COUNTIF(P75:Z75,PIV!A$19),ETAPP!A$1:A$32,0))</f>
        <v>0000000000000A0000E</v>
      </c>
      <c r="K75" s="1388" t="str">
        <f t="shared" ca="1" si="55"/>
        <v>006,0-0000000000000A0000E</v>
      </c>
      <c r="L75" s="1387">
        <f t="shared" ca="1" si="56"/>
        <v>68</v>
      </c>
      <c r="M75" s="1387">
        <f t="shared" si="57"/>
        <v>5</v>
      </c>
      <c r="N75" s="1388" t="str">
        <f t="shared" ca="1" si="58"/>
        <v>006,0-0000000000000A0000E-005</v>
      </c>
      <c r="O75" s="1396">
        <f t="shared" ca="1" si="59"/>
        <v>41</v>
      </c>
      <c r="P75" s="1397" t="str">
        <f>IFERROR(INDEX('1'!C$300:C$400,MATCH("*"&amp;F75&amp;"*",'1'!B$300:B$400,0)),"  ")</f>
        <v xml:space="preserve">  </v>
      </c>
      <c r="Q75" s="1398" t="str">
        <f>IFERROR(INDEX('2'!C$300:C$400,MATCH("*"&amp;F75&amp;"*",'2'!B$300:B$400,0)),"  ")</f>
        <v xml:space="preserve">  </v>
      </c>
      <c r="R75" s="1398" t="str">
        <f>IFERROR(INDEX('3'!C$300:C$400,MATCH("*"&amp;F75&amp;"*",'3'!B$300:B$400,0)),"  ")</f>
        <v xml:space="preserve">  </v>
      </c>
      <c r="S75" s="1398" t="str">
        <f>IFERROR(INDEX('4'!C$300:C$400,MATCH("*"&amp;F75&amp;"*",'4'!B$300:B$400,0)),"  ")</f>
        <v xml:space="preserve">  </v>
      </c>
      <c r="T75" s="1398" t="str">
        <f>IFERROR(INDEX('5'!C$300:C$400,MATCH("*"&amp;F75&amp;"*",'5'!B$300:B$400,0)),"  ")</f>
        <v xml:space="preserve">  </v>
      </c>
      <c r="U75" s="1398" t="str">
        <f>IFERROR(INDEX('6'!C$300:C$400,MATCH("*"&amp;F75&amp;"*",'6'!B$300:B$400,0)),"  ")</f>
        <v xml:space="preserve">  </v>
      </c>
      <c r="V75" s="1398" t="str">
        <f ca="1">IFERROR(INDEX('7'!C$300:C$400,MATCH("*"&amp;F75&amp;"*",'7'!B$300:B$400,0)),"  ")</f>
        <v xml:space="preserve">  </v>
      </c>
      <c r="W75" s="1398">
        <f>IFERROR(INDEX('8'!C$300:C$400,MATCH("*"&amp;F75&amp;"*",'8'!B$300:B$400,0)),"  ")</f>
        <v>6</v>
      </c>
      <c r="X75" s="1398" t="str">
        <f>IFERROR(INDEX('9'!C$300:C$400,MATCH("*"&amp;F75&amp;"*",'9'!B$300:B$400,0)),"  ")</f>
        <v xml:space="preserve">  </v>
      </c>
      <c r="Y75" s="1398" t="str">
        <f>IFERROR(INDEX('10'!C$300:C$400,MATCH("*"&amp;F75&amp;"*",'10'!B$300:B$400,0)),"  ")</f>
        <v xml:space="preserve">  </v>
      </c>
      <c r="Z75" s="1398" t="str">
        <f>IFERROR(INDEX('11'!C$300:C$400,MATCH("*"&amp;F75&amp;"*",'11'!B$300:B$400,0)),"  ")</f>
        <v xml:space="preserve">  </v>
      </c>
      <c r="AA75" s="1353">
        <f t="shared" ca="1" si="60"/>
        <v>1</v>
      </c>
      <c r="AB75" s="1353">
        <f t="shared" ca="1" si="61"/>
        <v>0</v>
      </c>
      <c r="AC75" s="1353">
        <f t="shared" ca="1" si="62"/>
        <v>0</v>
      </c>
      <c r="AH75" s="1345"/>
      <c r="AS75" s="689">
        <f t="shared" ca="1" si="63"/>
        <v>2.9999999999999997E-4</v>
      </c>
      <c r="AT75" s="690">
        <f t="shared" si="64"/>
        <v>1E-4</v>
      </c>
      <c r="AU75" s="690">
        <f t="shared" si="65"/>
        <v>2.0000000000000001E-4</v>
      </c>
      <c r="AV75" s="690">
        <f t="shared" si="66"/>
        <v>2.9999999999999997E-4</v>
      </c>
      <c r="AW75" s="690">
        <f t="shared" si="67"/>
        <v>4.0000000000000002E-4</v>
      </c>
      <c r="AX75" s="690">
        <f t="shared" si="68"/>
        <v>5.0000000000000001E-4</v>
      </c>
      <c r="AY75" s="690">
        <f t="shared" si="69"/>
        <v>5.9999999999999995E-4</v>
      </c>
      <c r="AZ75" s="690">
        <f t="shared" ca="1" si="70"/>
        <v>6.9999999999999999E-4</v>
      </c>
      <c r="BA75" s="690">
        <f t="shared" si="71"/>
        <v>6.0007999999999999</v>
      </c>
      <c r="BB75" s="690">
        <f t="shared" si="72"/>
        <v>8.9999999999999998E-4</v>
      </c>
      <c r="BC75" s="690">
        <f t="shared" si="73"/>
        <v>1E-3</v>
      </c>
      <c r="BD75" s="690">
        <f t="shared" si="74"/>
        <v>1.1000000000000001E-3</v>
      </c>
    </row>
    <row r="76" spans="1:56" x14ac:dyDescent="0.2">
      <c r="A76" s="1378">
        <f t="shared" ca="1" si="50"/>
        <v>18</v>
      </c>
      <c r="B76" s="1392">
        <f t="shared" ca="1" si="51"/>
        <v>69</v>
      </c>
      <c r="C76" s="1380" t="str">
        <f t="shared" si="52"/>
        <v/>
      </c>
      <c r="D76" s="1393" t="str">
        <f t="shared" si="53"/>
        <v/>
      </c>
      <c r="E76" s="1394">
        <f t="shared" ca="1" si="54"/>
        <v>69</v>
      </c>
      <c r="F76" s="1360" t="s">
        <v>155</v>
      </c>
      <c r="G76" s="1379" t="s">
        <v>99</v>
      </c>
      <c r="H76" s="1384"/>
      <c r="I76" s="1385">
        <f t="array" aca="1" ref="I76" ca="1">(IF(COUNT(P76:Z76)&lt;8,SUM(P76:Z76),SUM(LARGE((P76:Z76),{1;2;3;4;5;6;7;8}))))</f>
        <v>4</v>
      </c>
      <c r="J76" s="1388" t="str">
        <f ca="1">INDEX(ETAPP!B$1:B$32,MATCH(COUNTIF(P76:Z76,PIV!A$1),ETAPP!A$1:A$32,0))&amp;INDEX(ETAPP!B$1:B$32,MATCH(COUNTIF(P76:Z76,PIV!A$2),ETAPP!A$1:A$32,0))&amp;INDEX(ETAPP!B$1:B$32,MATCH(COUNTIF(P76:Z76,PIV!A$3),ETAPP!A$1:A$32,0))&amp;INDEX(ETAPP!B$1:B$32,MATCH(COUNTIF(P76:Z76,PIV!A$4),ETAPP!A$1:A$32,0))&amp;INDEX(ETAPP!B$1:B$32,MATCH(COUNTIF(P76:Z76,PIV!A$5),ETAPP!A$1:A$32,0))&amp;INDEX(ETAPP!B$1:B$32,MATCH(COUNTIF(P76:Z76,PIV!A$6),ETAPP!A$1:A$32,0))&amp;INDEX(ETAPP!B$1:B$32,MATCH(COUNTIF(P76:Z76,PIV!A$7),ETAPP!A$1:A$32,0))&amp;INDEX(ETAPP!B$1:B$32,MATCH(COUNTIF(P76:Z76,PIV!A$8),ETAPP!A$1:A$32,0))&amp;INDEX(ETAPP!B$1:B$32,MATCH(COUNTIF(P76:Z76,PIV!A$9),ETAPP!A$1:A$32,0))&amp;INDEX(ETAPP!B$1:B$32,MATCH(COUNTIF(P76:Z76,PIV!A$10),ETAPP!A$1:A$32,0))&amp;INDEX(ETAPP!B$1:B$32,MATCH(COUNTIF(P76:Z76,PIV!A$11),ETAPP!A$1:A$32,0))&amp;INDEX(ETAPP!B$1:B$32,MATCH(COUNTIF(P76:Z76,PIV!A$12),ETAPP!A$1:A$32,0))&amp;INDEX(ETAPP!B$1:B$32,MATCH(COUNTIF(P76:Z76,PIV!A$13),ETAPP!A$1:A$32,0))&amp;INDEX(ETAPP!B$1:B$32,MATCH(COUNTIF(P76:Z76,PIV!A$14),ETAPP!A$1:A$32,0))&amp;INDEX(ETAPP!B$1:B$32,MATCH(COUNTIF(P76:Z76,PIV!A$15),ETAPP!A$1:A$32,0))&amp;INDEX(ETAPP!B$1:B$32,MATCH(COUNTIF(P76:Z76,PIV!A$16),ETAPP!A$1:A$32,0))&amp;INDEX(ETAPP!B$1:B$32,MATCH(COUNTIF(P76:Z76,PIV!A$17),ETAPP!A$1:A$32,0))&amp;INDEX(ETAPP!B$1:B$32,MATCH(COUNTIF(P76:Z76,PIV!A$18),ETAPP!A$1:A$32,0))&amp;INDEX(ETAPP!B$1:B$32,MATCH(COUNTIF(P76:Z76,PIV!A$19),ETAPP!A$1:A$32,0))</f>
        <v>00000000000000A000E</v>
      </c>
      <c r="K76" s="1388" t="str">
        <f t="shared" ca="1" si="55"/>
        <v>004,0-00000000000000A000E</v>
      </c>
      <c r="L76" s="1387">
        <f t="shared" ca="1" si="56"/>
        <v>69</v>
      </c>
      <c r="M76" s="1387">
        <f t="shared" si="57"/>
        <v>49</v>
      </c>
      <c r="N76" s="1388" t="str">
        <f t="shared" ca="1" si="58"/>
        <v>004,0-00000000000000A000E-049</v>
      </c>
      <c r="O76" s="1396">
        <f t="shared" ca="1" si="59"/>
        <v>40</v>
      </c>
      <c r="P76" s="1397" t="str">
        <f>IFERROR(INDEX('1'!C$300:C$400,MATCH("*"&amp;F76&amp;"*",'1'!B$300:B$400,0)),"  ")</f>
        <v xml:space="preserve">  </v>
      </c>
      <c r="Q76" s="1398" t="str">
        <f>IFERROR(INDEX('2'!C$300:C$400,MATCH("*"&amp;F76&amp;"*",'2'!B$300:B$400,0)),"  ")</f>
        <v xml:space="preserve">  </v>
      </c>
      <c r="R76" s="1398" t="str">
        <f>IFERROR(INDEX('3'!C$300:C$400,MATCH("*"&amp;F76&amp;"*",'3'!B$300:B$400,0)),"  ")</f>
        <v xml:space="preserve">  </v>
      </c>
      <c r="S76" s="1398" t="str">
        <f>IFERROR(INDEX('4'!C$300:C$400,MATCH("*"&amp;F76&amp;"*",'4'!B$300:B$400,0)),"  ")</f>
        <v xml:space="preserve">  </v>
      </c>
      <c r="T76" s="1398" t="str">
        <f>IFERROR(INDEX('5'!C$300:C$400,MATCH("*"&amp;F76&amp;"*",'5'!B$300:B$400,0)),"  ")</f>
        <v xml:space="preserve">  </v>
      </c>
      <c r="U76" s="1398">
        <f>IFERROR(INDEX('6'!C$300:C$400,MATCH("*"&amp;F76&amp;"*",'6'!B$300:B$400,0)),"  ")</f>
        <v>4</v>
      </c>
      <c r="V76" s="1398" t="str">
        <f ca="1">IFERROR(INDEX('7'!C$300:C$400,MATCH("*"&amp;F76&amp;"*",'7'!B$300:B$400,0)),"  ")</f>
        <v xml:space="preserve">  </v>
      </c>
      <c r="W76" s="1398" t="str">
        <f>IFERROR(INDEX('8'!C$300:C$400,MATCH("*"&amp;F76&amp;"*",'8'!B$300:B$400,0)),"  ")</f>
        <v xml:space="preserve">  </v>
      </c>
      <c r="X76" s="1398" t="str">
        <f>IFERROR(INDEX('9'!C$300:C$400,MATCH("*"&amp;F76&amp;"*",'9'!B$300:B$400,0)),"  ")</f>
        <v xml:space="preserve">  </v>
      </c>
      <c r="Y76" s="1398" t="str">
        <f>IFERROR(INDEX('10'!C$300:C$400,MATCH("*"&amp;F76&amp;"*",'10'!B$300:B$400,0)),"  ")</f>
        <v xml:space="preserve">  </v>
      </c>
      <c r="Z76" s="1398" t="str">
        <f>IFERROR(INDEX('11'!C$300:C$400,MATCH("*"&amp;F76&amp;"*",'11'!B$300:B$400,0)),"  ")</f>
        <v xml:space="preserve">  </v>
      </c>
      <c r="AA76" s="1353">
        <f t="shared" ca="1" si="60"/>
        <v>1</v>
      </c>
      <c r="AB76" s="1353">
        <f t="shared" ca="1" si="61"/>
        <v>0</v>
      </c>
      <c r="AC76" s="1353">
        <f t="shared" ca="1" si="62"/>
        <v>0</v>
      </c>
      <c r="AH76" s="1345"/>
      <c r="AS76" s="689">
        <f t="shared" ca="1" si="63"/>
        <v>2.9999999999999997E-4</v>
      </c>
      <c r="AT76" s="690">
        <f t="shared" si="64"/>
        <v>1E-4</v>
      </c>
      <c r="AU76" s="690">
        <f t="shared" si="65"/>
        <v>2.0000000000000001E-4</v>
      </c>
      <c r="AV76" s="690">
        <f t="shared" si="66"/>
        <v>2.9999999999999997E-4</v>
      </c>
      <c r="AW76" s="690">
        <f t="shared" si="67"/>
        <v>4.0000000000000002E-4</v>
      </c>
      <c r="AX76" s="690">
        <f t="shared" si="68"/>
        <v>5.0000000000000001E-4</v>
      </c>
      <c r="AY76" s="690">
        <f t="shared" si="69"/>
        <v>4.0006000000000004</v>
      </c>
      <c r="AZ76" s="690">
        <f t="shared" ca="1" si="70"/>
        <v>6.9999999999999999E-4</v>
      </c>
      <c r="BA76" s="690">
        <f t="shared" si="71"/>
        <v>8.0000000000000004E-4</v>
      </c>
      <c r="BB76" s="690">
        <f t="shared" si="72"/>
        <v>8.9999999999999998E-4</v>
      </c>
      <c r="BC76" s="690">
        <f t="shared" si="73"/>
        <v>1E-3</v>
      </c>
      <c r="BD76" s="690">
        <f t="shared" si="74"/>
        <v>1.1000000000000001E-3</v>
      </c>
    </row>
    <row r="77" spans="1:56" hidden="1" x14ac:dyDescent="0.2">
      <c r="A77" s="1378">
        <f t="shared" ca="1" si="50"/>
        <v>19</v>
      </c>
      <c r="B77" s="1392">
        <f t="shared" ca="1" si="51"/>
        <v>108</v>
      </c>
      <c r="C77" s="1380" t="str">
        <f t="shared" si="52"/>
        <v/>
      </c>
      <c r="D77" s="1393" t="str">
        <f t="shared" si="53"/>
        <v/>
      </c>
      <c r="E77" s="1394">
        <f t="shared" ca="1" si="54"/>
        <v>70</v>
      </c>
      <c r="F77" s="1360" t="s">
        <v>111</v>
      </c>
      <c r="G77" s="1379" t="s">
        <v>99</v>
      </c>
      <c r="H77" s="1384"/>
      <c r="I77" s="1385">
        <f t="array" aca="1" ref="I77" ca="1">(IF(COUNT(P77:Z77)&lt;8,SUM(P77:Z77),SUM(LARGE((P77:Z77),{1;2;3;4;5;6;7;8}))))</f>
        <v>0</v>
      </c>
      <c r="J77" s="1388" t="str">
        <f ca="1">INDEX(ETAPP!B$1:B$32,MATCH(COUNTIF(P77:Z77,PIV!A$1),ETAPP!A$1:A$32,0))&amp;INDEX(ETAPP!B$1:B$32,MATCH(COUNTIF(P77:Z77,PIV!A$2),ETAPP!A$1:A$32,0))&amp;INDEX(ETAPP!B$1:B$32,MATCH(COUNTIF(P77:Z77,PIV!A$3),ETAPP!A$1:A$32,0))&amp;INDEX(ETAPP!B$1:B$32,MATCH(COUNTIF(P77:Z77,PIV!A$4),ETAPP!A$1:A$32,0))&amp;INDEX(ETAPP!B$1:B$32,MATCH(COUNTIF(P77:Z77,PIV!A$5),ETAPP!A$1:A$32,0))&amp;INDEX(ETAPP!B$1:B$32,MATCH(COUNTIF(P77:Z77,PIV!A$6),ETAPP!A$1:A$32,0))&amp;INDEX(ETAPP!B$1:B$32,MATCH(COUNTIF(P77:Z77,PIV!A$7),ETAPP!A$1:A$32,0))&amp;INDEX(ETAPP!B$1:B$32,MATCH(COUNTIF(P77:Z77,PIV!A$8),ETAPP!A$1:A$32,0))&amp;INDEX(ETAPP!B$1:B$32,MATCH(COUNTIF(P77:Z77,PIV!A$9),ETAPP!A$1:A$32,0))&amp;INDEX(ETAPP!B$1:B$32,MATCH(COUNTIF(P77:Z77,PIV!A$10),ETAPP!A$1:A$32,0))&amp;INDEX(ETAPP!B$1:B$32,MATCH(COUNTIF(P77:Z77,PIV!A$11),ETAPP!A$1:A$32,0))&amp;INDEX(ETAPP!B$1:B$32,MATCH(COUNTIF(P77:Z77,PIV!A$12),ETAPP!A$1:A$32,0))&amp;INDEX(ETAPP!B$1:B$32,MATCH(COUNTIF(P77:Z77,PIV!A$13),ETAPP!A$1:A$32,0))&amp;INDEX(ETAPP!B$1:B$32,MATCH(COUNTIF(P77:Z77,PIV!A$14),ETAPP!A$1:A$32,0))&amp;INDEX(ETAPP!B$1:B$32,MATCH(COUNTIF(P77:Z77,PIV!A$15),ETAPP!A$1:A$32,0))&amp;INDEX(ETAPP!B$1:B$32,MATCH(COUNTIF(P77:Z77,PIV!A$16),ETAPP!A$1:A$32,0))&amp;INDEX(ETAPP!B$1:B$32,MATCH(COUNTIF(P77:Z77,PIV!A$17),ETAPP!A$1:A$32,0))&amp;INDEX(ETAPP!B$1:B$32,MATCH(COUNTIF(P77:Z77,PIV!A$18),ETAPP!A$1:A$32,0))&amp;INDEX(ETAPP!B$1:B$32,MATCH(COUNTIF(P77:Z77,PIV!A$19),ETAPP!A$1:A$32,0))</f>
        <v>000000000000000000F</v>
      </c>
      <c r="K77" s="1388" t="str">
        <f t="shared" ca="1" si="55"/>
        <v>000,0-000000000000000000F</v>
      </c>
      <c r="L77" s="1387">
        <f t="shared" ca="1" si="56"/>
        <v>108</v>
      </c>
      <c r="M77" s="1387">
        <f t="shared" si="57"/>
        <v>107</v>
      </c>
      <c r="N77" s="1388" t="str">
        <f t="shared" ca="1" si="58"/>
        <v>000,0-000000000000000000F-107</v>
      </c>
      <c r="O77" s="1396">
        <f t="shared" ca="1" si="59"/>
        <v>39</v>
      </c>
      <c r="P77" s="1397" t="str">
        <f>IFERROR(INDEX('1'!C$300:C$400,MATCH("*"&amp;F77&amp;"*",'1'!B$300:B$400,0)),"  ")</f>
        <v xml:space="preserve">  </v>
      </c>
      <c r="Q77" s="1398" t="str">
        <f>IFERROR(INDEX('2'!C$300:C$400,MATCH("*"&amp;F77&amp;"*",'2'!B$300:B$400,0)),"  ")</f>
        <v xml:space="preserve">  </v>
      </c>
      <c r="R77" s="1398" t="str">
        <f>IFERROR(INDEX('3'!C$300:C$400,MATCH("*"&amp;F77&amp;"*",'3'!B$300:B$400,0)),"  ")</f>
        <v xml:space="preserve">  </v>
      </c>
      <c r="S77" s="1398" t="str">
        <f>IFERROR(INDEX('4'!C$300:C$400,MATCH("*"&amp;F77&amp;"*",'4'!B$300:B$400,0)),"  ")</f>
        <v xml:space="preserve">  </v>
      </c>
      <c r="T77" s="1398" t="str">
        <f>IFERROR(INDEX('5'!C$300:C$400,MATCH("*"&amp;F77&amp;"*",'5'!B$300:B$400,0)),"  ")</f>
        <v xml:space="preserve">  </v>
      </c>
      <c r="U77" s="1398" t="str">
        <f>IFERROR(INDEX('6'!C$300:C$400,MATCH("*"&amp;F77&amp;"*",'6'!B$300:B$400,0)),"  ")</f>
        <v xml:space="preserve">  </v>
      </c>
      <c r="V77" s="1398" t="str">
        <f ca="1">IFERROR(INDEX('7'!C$300:C$400,MATCH("*"&amp;F77&amp;"*",'7'!B$300:B$400,0)),"  ")</f>
        <v xml:space="preserve">  </v>
      </c>
      <c r="W77" s="1398" t="str">
        <f>IFERROR(INDEX('8'!C$300:C$400,MATCH("*"&amp;F77&amp;"*",'8'!B$300:B$400,0)),"  ")</f>
        <v xml:space="preserve">  </v>
      </c>
      <c r="X77" s="1398" t="str">
        <f>IFERROR(INDEX('9'!C$300:C$400,MATCH("*"&amp;F77&amp;"*",'9'!B$300:B$400,0)),"  ")</f>
        <v xml:space="preserve">  </v>
      </c>
      <c r="Y77" s="1398" t="str">
        <f>IFERROR(INDEX('10'!C$300:C$400,MATCH("*"&amp;F77&amp;"*",'10'!B$300:B$400,0)),"  ")</f>
        <v xml:space="preserve">  </v>
      </c>
      <c r="Z77" s="1398" t="str">
        <f>IFERROR(INDEX('11'!C$300:C$400,MATCH("*"&amp;F77&amp;"*",'11'!B$300:B$400,0)),"  ")</f>
        <v xml:space="preserve">  </v>
      </c>
      <c r="AA77" s="1353">
        <f t="shared" ca="1" si="60"/>
        <v>0</v>
      </c>
      <c r="AB77" s="1353">
        <f t="shared" ca="1" si="61"/>
        <v>0</v>
      </c>
      <c r="AC77" s="1353">
        <f t="shared" ca="1" si="62"/>
        <v>0</v>
      </c>
      <c r="AH77" s="1345"/>
      <c r="AS77" s="689">
        <f t="shared" ca="1" si="63"/>
        <v>2.9999999999999997E-4</v>
      </c>
      <c r="AT77" s="690">
        <f t="shared" si="64"/>
        <v>1E-4</v>
      </c>
      <c r="AU77" s="690">
        <f t="shared" si="65"/>
        <v>2.0000000000000001E-4</v>
      </c>
      <c r="AV77" s="690">
        <f t="shared" si="66"/>
        <v>2.9999999999999997E-4</v>
      </c>
      <c r="AW77" s="690">
        <f t="shared" si="67"/>
        <v>4.0000000000000002E-4</v>
      </c>
      <c r="AX77" s="690">
        <f t="shared" si="68"/>
        <v>5.0000000000000001E-4</v>
      </c>
      <c r="AY77" s="690">
        <f t="shared" si="69"/>
        <v>5.9999999999999995E-4</v>
      </c>
      <c r="AZ77" s="690">
        <f t="shared" ca="1" si="70"/>
        <v>6.9999999999999999E-4</v>
      </c>
      <c r="BA77" s="690">
        <f t="shared" si="71"/>
        <v>8.0000000000000004E-4</v>
      </c>
      <c r="BB77" s="690">
        <f t="shared" si="72"/>
        <v>8.9999999999999998E-4</v>
      </c>
      <c r="BC77" s="690">
        <f t="shared" si="73"/>
        <v>1E-3</v>
      </c>
      <c r="BD77" s="690">
        <f t="shared" si="74"/>
        <v>1.1000000000000001E-3</v>
      </c>
    </row>
    <row r="78" spans="1:56" hidden="1" x14ac:dyDescent="0.2">
      <c r="A78" s="1378">
        <f t="shared" ca="1" si="50"/>
        <v>19</v>
      </c>
      <c r="B78" s="1392">
        <f t="shared" ca="1" si="51"/>
        <v>108</v>
      </c>
      <c r="C78" s="1380" t="str">
        <f t="shared" si="52"/>
        <v/>
      </c>
      <c r="D78" s="1393" t="str">
        <f t="shared" si="53"/>
        <v/>
      </c>
      <c r="E78" s="1394">
        <f t="shared" ca="1" si="54"/>
        <v>70</v>
      </c>
      <c r="F78" s="1360" t="s">
        <v>142</v>
      </c>
      <c r="G78" s="1379" t="s">
        <v>99</v>
      </c>
      <c r="H78" s="1384"/>
      <c r="I78" s="1385">
        <f t="array" aca="1" ref="I78" ca="1">(IF(COUNT(P78:Z78)&lt;8,SUM(P78:Z78),SUM(LARGE((P78:Z78),{1;2;3;4;5;6;7;8}))))</f>
        <v>0</v>
      </c>
      <c r="J78" s="1388" t="str">
        <f ca="1">INDEX(ETAPP!B$1:B$32,MATCH(COUNTIF(P78:Z78,PIV!A$1),ETAPP!A$1:A$32,0))&amp;INDEX(ETAPP!B$1:B$32,MATCH(COUNTIF(P78:Z78,PIV!A$2),ETAPP!A$1:A$32,0))&amp;INDEX(ETAPP!B$1:B$32,MATCH(COUNTIF(P78:Z78,PIV!A$3),ETAPP!A$1:A$32,0))&amp;INDEX(ETAPP!B$1:B$32,MATCH(COUNTIF(P78:Z78,PIV!A$4),ETAPP!A$1:A$32,0))&amp;INDEX(ETAPP!B$1:B$32,MATCH(COUNTIF(P78:Z78,PIV!A$5),ETAPP!A$1:A$32,0))&amp;INDEX(ETAPP!B$1:B$32,MATCH(COUNTIF(P78:Z78,PIV!A$6),ETAPP!A$1:A$32,0))&amp;INDEX(ETAPP!B$1:B$32,MATCH(COUNTIF(P78:Z78,PIV!A$7),ETAPP!A$1:A$32,0))&amp;INDEX(ETAPP!B$1:B$32,MATCH(COUNTIF(P78:Z78,PIV!A$8),ETAPP!A$1:A$32,0))&amp;INDEX(ETAPP!B$1:B$32,MATCH(COUNTIF(P78:Z78,PIV!A$9),ETAPP!A$1:A$32,0))&amp;INDEX(ETAPP!B$1:B$32,MATCH(COUNTIF(P78:Z78,PIV!A$10),ETAPP!A$1:A$32,0))&amp;INDEX(ETAPP!B$1:B$32,MATCH(COUNTIF(P78:Z78,PIV!A$11),ETAPP!A$1:A$32,0))&amp;INDEX(ETAPP!B$1:B$32,MATCH(COUNTIF(P78:Z78,PIV!A$12),ETAPP!A$1:A$32,0))&amp;INDEX(ETAPP!B$1:B$32,MATCH(COUNTIF(P78:Z78,PIV!A$13),ETAPP!A$1:A$32,0))&amp;INDEX(ETAPP!B$1:B$32,MATCH(COUNTIF(P78:Z78,PIV!A$14),ETAPP!A$1:A$32,0))&amp;INDEX(ETAPP!B$1:B$32,MATCH(COUNTIF(P78:Z78,PIV!A$15),ETAPP!A$1:A$32,0))&amp;INDEX(ETAPP!B$1:B$32,MATCH(COUNTIF(P78:Z78,PIV!A$16),ETAPP!A$1:A$32,0))&amp;INDEX(ETAPP!B$1:B$32,MATCH(COUNTIF(P78:Z78,PIV!A$17),ETAPP!A$1:A$32,0))&amp;INDEX(ETAPP!B$1:B$32,MATCH(COUNTIF(P78:Z78,PIV!A$18),ETAPP!A$1:A$32,0))&amp;INDEX(ETAPP!B$1:B$32,MATCH(COUNTIF(P78:Z78,PIV!A$19),ETAPP!A$1:A$32,0))</f>
        <v>000000000000000000F</v>
      </c>
      <c r="K78" s="1388" t="str">
        <f t="shared" ca="1" si="55"/>
        <v>000,0-000000000000000000F</v>
      </c>
      <c r="L78" s="1387">
        <f t="shared" ca="1" si="56"/>
        <v>108</v>
      </c>
      <c r="M78" s="1387">
        <f t="shared" si="57"/>
        <v>103</v>
      </c>
      <c r="N78" s="1388" t="str">
        <f t="shared" ca="1" si="58"/>
        <v>000,0-000000000000000000F-103</v>
      </c>
      <c r="O78" s="1396">
        <f t="shared" ca="1" si="59"/>
        <v>38</v>
      </c>
      <c r="P78" s="1397" t="str">
        <f>IFERROR(INDEX('1'!C$300:C$400,MATCH("*"&amp;F78&amp;"*",'1'!B$300:B$400,0)),"  ")</f>
        <v xml:space="preserve">  </v>
      </c>
      <c r="Q78" s="1398" t="str">
        <f>IFERROR(INDEX('2'!C$300:C$400,MATCH("*"&amp;F78&amp;"*",'2'!B$300:B$400,0)),"  ")</f>
        <v xml:space="preserve">  </v>
      </c>
      <c r="R78" s="1398" t="str">
        <f>IFERROR(INDEX('3'!C$300:C$400,MATCH("*"&amp;F78&amp;"*",'3'!B$300:B$400,0)),"  ")</f>
        <v xml:space="preserve">  </v>
      </c>
      <c r="S78" s="1398" t="str">
        <f>IFERROR(INDEX('4'!C$300:C$400,MATCH("*"&amp;F78&amp;"*",'4'!B$300:B$400,0)),"  ")</f>
        <v xml:space="preserve">  </v>
      </c>
      <c r="T78" s="1398" t="str">
        <f>IFERROR(INDEX('5'!C$300:C$400,MATCH("*"&amp;F78&amp;"*",'5'!B$300:B$400,0)),"  ")</f>
        <v xml:space="preserve">  </v>
      </c>
      <c r="U78" s="1398" t="str">
        <f>IFERROR(INDEX('6'!C$300:C$400,MATCH("*"&amp;F78&amp;"*",'6'!B$300:B$400,0)),"  ")</f>
        <v xml:space="preserve">  </v>
      </c>
      <c r="V78" s="1398" t="str">
        <f ca="1">IFERROR(INDEX('7'!C$300:C$400,MATCH("*"&amp;F78&amp;"*",'7'!B$300:B$400,0)),"  ")</f>
        <v xml:space="preserve">  </v>
      </c>
      <c r="W78" s="1398" t="str">
        <f>IFERROR(INDEX('8'!C$300:C$400,MATCH("*"&amp;F78&amp;"*",'8'!B$300:B$400,0)),"  ")</f>
        <v xml:space="preserve">  </v>
      </c>
      <c r="X78" s="1398" t="str">
        <f>IFERROR(INDEX('9'!C$300:C$400,MATCH("*"&amp;F78&amp;"*",'9'!B$300:B$400,0)),"  ")</f>
        <v xml:space="preserve">  </v>
      </c>
      <c r="Y78" s="1398" t="str">
        <f>IFERROR(INDEX('10'!C$300:C$400,MATCH("*"&amp;F78&amp;"*",'10'!B$300:B$400,0)),"  ")</f>
        <v xml:space="preserve">  </v>
      </c>
      <c r="Z78" s="1398" t="str">
        <f>IFERROR(INDEX('11'!C$300:C$400,MATCH("*"&amp;F78&amp;"*",'11'!B$300:B$400,0)),"  ")</f>
        <v xml:space="preserve">  </v>
      </c>
      <c r="AA78" s="1353">
        <f t="shared" ca="1" si="60"/>
        <v>0</v>
      </c>
      <c r="AB78" s="1353">
        <f t="shared" ca="1" si="61"/>
        <v>0</v>
      </c>
      <c r="AC78" s="1353">
        <f t="shared" ca="1" si="62"/>
        <v>0</v>
      </c>
      <c r="AH78" s="1345"/>
      <c r="AS78" s="689">
        <f t="shared" ca="1" si="63"/>
        <v>2.9999999999999997E-4</v>
      </c>
      <c r="AT78" s="690">
        <f t="shared" si="64"/>
        <v>1E-4</v>
      </c>
      <c r="AU78" s="690">
        <f t="shared" si="65"/>
        <v>2.0000000000000001E-4</v>
      </c>
      <c r="AV78" s="690">
        <f t="shared" si="66"/>
        <v>2.9999999999999997E-4</v>
      </c>
      <c r="AW78" s="690">
        <f t="shared" si="67"/>
        <v>4.0000000000000002E-4</v>
      </c>
      <c r="AX78" s="690">
        <f t="shared" si="68"/>
        <v>5.0000000000000001E-4</v>
      </c>
      <c r="AY78" s="690">
        <f t="shared" si="69"/>
        <v>5.9999999999999995E-4</v>
      </c>
      <c r="AZ78" s="690">
        <f t="shared" ca="1" si="70"/>
        <v>6.9999999999999999E-4</v>
      </c>
      <c r="BA78" s="690">
        <f t="shared" si="71"/>
        <v>8.0000000000000004E-4</v>
      </c>
      <c r="BB78" s="690">
        <f t="shared" si="72"/>
        <v>8.9999999999999998E-4</v>
      </c>
      <c r="BC78" s="690">
        <f t="shared" si="73"/>
        <v>1E-3</v>
      </c>
      <c r="BD78" s="690">
        <f t="shared" si="74"/>
        <v>1.1000000000000001E-3</v>
      </c>
    </row>
    <row r="79" spans="1:56" hidden="1" x14ac:dyDescent="0.2">
      <c r="A79" s="1378">
        <f t="shared" ca="1" si="50"/>
        <v>19</v>
      </c>
      <c r="B79" s="1392">
        <f t="shared" ca="1" si="51"/>
        <v>108</v>
      </c>
      <c r="C79" s="1380" t="str">
        <f t="shared" si="52"/>
        <v/>
      </c>
      <c r="D79" s="1393" t="str">
        <f t="shared" si="53"/>
        <v/>
      </c>
      <c r="E79" s="1394">
        <f t="shared" ca="1" si="54"/>
        <v>70</v>
      </c>
      <c r="F79" s="1395" t="s">
        <v>143</v>
      </c>
      <c r="G79" s="1379" t="s">
        <v>99</v>
      </c>
      <c r="H79" s="1384"/>
      <c r="I79" s="1385">
        <f t="array" aca="1" ref="I79" ca="1">(IF(COUNT(P79:Z79)&lt;8,SUM(P79:Z79),SUM(LARGE((P79:Z79),{1;2;3;4;5;6;7;8}))))</f>
        <v>0</v>
      </c>
      <c r="J79" s="1388" t="str">
        <f ca="1">INDEX(ETAPP!B$1:B$32,MATCH(COUNTIF(P79:Z79,PIV!A$1),ETAPP!A$1:A$32,0))&amp;INDEX(ETAPP!B$1:B$32,MATCH(COUNTIF(P79:Z79,PIV!A$2),ETAPP!A$1:A$32,0))&amp;INDEX(ETAPP!B$1:B$32,MATCH(COUNTIF(P79:Z79,PIV!A$3),ETAPP!A$1:A$32,0))&amp;INDEX(ETAPP!B$1:B$32,MATCH(COUNTIF(P79:Z79,PIV!A$4),ETAPP!A$1:A$32,0))&amp;INDEX(ETAPP!B$1:B$32,MATCH(COUNTIF(P79:Z79,PIV!A$5),ETAPP!A$1:A$32,0))&amp;INDEX(ETAPP!B$1:B$32,MATCH(COUNTIF(P79:Z79,PIV!A$6),ETAPP!A$1:A$32,0))&amp;INDEX(ETAPP!B$1:B$32,MATCH(COUNTIF(P79:Z79,PIV!A$7),ETAPP!A$1:A$32,0))&amp;INDEX(ETAPP!B$1:B$32,MATCH(COUNTIF(P79:Z79,PIV!A$8),ETAPP!A$1:A$32,0))&amp;INDEX(ETAPP!B$1:B$32,MATCH(COUNTIF(P79:Z79,PIV!A$9),ETAPP!A$1:A$32,0))&amp;INDEX(ETAPP!B$1:B$32,MATCH(COUNTIF(P79:Z79,PIV!A$10),ETAPP!A$1:A$32,0))&amp;INDEX(ETAPP!B$1:B$32,MATCH(COUNTIF(P79:Z79,PIV!A$11),ETAPP!A$1:A$32,0))&amp;INDEX(ETAPP!B$1:B$32,MATCH(COUNTIF(P79:Z79,PIV!A$12),ETAPP!A$1:A$32,0))&amp;INDEX(ETAPP!B$1:B$32,MATCH(COUNTIF(P79:Z79,PIV!A$13),ETAPP!A$1:A$32,0))&amp;INDEX(ETAPP!B$1:B$32,MATCH(COUNTIF(P79:Z79,PIV!A$14),ETAPP!A$1:A$32,0))&amp;INDEX(ETAPP!B$1:B$32,MATCH(COUNTIF(P79:Z79,PIV!A$15),ETAPP!A$1:A$32,0))&amp;INDEX(ETAPP!B$1:B$32,MATCH(COUNTIF(P79:Z79,PIV!A$16),ETAPP!A$1:A$32,0))&amp;INDEX(ETAPP!B$1:B$32,MATCH(COUNTIF(P79:Z79,PIV!A$17),ETAPP!A$1:A$32,0))&amp;INDEX(ETAPP!B$1:B$32,MATCH(COUNTIF(P79:Z79,PIV!A$18),ETAPP!A$1:A$32,0))&amp;INDEX(ETAPP!B$1:B$32,MATCH(COUNTIF(P79:Z79,PIV!A$19),ETAPP!A$1:A$32,0))</f>
        <v>000000000000000000F</v>
      </c>
      <c r="K79" s="1388" t="str">
        <f t="shared" ca="1" si="55"/>
        <v>000,0-000000000000000000F</v>
      </c>
      <c r="L79" s="1387">
        <f t="shared" ca="1" si="56"/>
        <v>108</v>
      </c>
      <c r="M79" s="1387">
        <f t="shared" si="57"/>
        <v>100</v>
      </c>
      <c r="N79" s="1388" t="str">
        <f t="shared" ca="1" si="58"/>
        <v>000,0-000000000000000000F-100</v>
      </c>
      <c r="O79" s="1396">
        <f t="shared" ca="1" si="59"/>
        <v>37</v>
      </c>
      <c r="P79" s="1397" t="str">
        <f>IFERROR(INDEX('1'!C$300:C$400,MATCH("*"&amp;F79&amp;"*",'1'!B$300:B$400,0)),"  ")</f>
        <v xml:space="preserve">  </v>
      </c>
      <c r="Q79" s="1398" t="str">
        <f>IFERROR(INDEX('2'!C$300:C$400,MATCH("*"&amp;F79&amp;"*",'2'!B$300:B$400,0)),"  ")</f>
        <v xml:space="preserve">  </v>
      </c>
      <c r="R79" s="1398" t="str">
        <f>IFERROR(INDEX('3'!C$300:C$400,MATCH("*"&amp;F79&amp;"*",'3'!B$300:B$400,0)),"  ")</f>
        <v xml:space="preserve">  </v>
      </c>
      <c r="S79" s="1398" t="str">
        <f>IFERROR(INDEX('4'!C$300:C$400,MATCH("*"&amp;F79&amp;"*",'4'!B$300:B$400,0)),"  ")</f>
        <v xml:space="preserve">  </v>
      </c>
      <c r="T79" s="1398" t="str">
        <f>IFERROR(INDEX('5'!C$300:C$400,MATCH("*"&amp;F79&amp;"*",'5'!B$300:B$400,0)),"  ")</f>
        <v xml:space="preserve">  </v>
      </c>
      <c r="U79" s="1398" t="str">
        <f>IFERROR(INDEX('6'!C$300:C$400,MATCH("*"&amp;F79&amp;"*",'6'!B$300:B$400,0)),"  ")</f>
        <v xml:space="preserve">  </v>
      </c>
      <c r="V79" s="1398" t="str">
        <f ca="1">IFERROR(INDEX('7'!C$300:C$400,MATCH("*"&amp;F79&amp;"*",'7'!B$300:B$400,0)),"  ")</f>
        <v xml:space="preserve">  </v>
      </c>
      <c r="W79" s="1398" t="str">
        <f>IFERROR(INDEX('8'!C$300:C$400,MATCH("*"&amp;F79&amp;"*",'8'!B$300:B$400,0)),"  ")</f>
        <v xml:space="preserve">  </v>
      </c>
      <c r="X79" s="1398" t="str">
        <f>IFERROR(INDEX('9'!C$300:C$400,MATCH("*"&amp;F79&amp;"*",'9'!B$300:B$400,0)),"  ")</f>
        <v xml:space="preserve">  </v>
      </c>
      <c r="Y79" s="1398" t="str">
        <f>IFERROR(INDEX('10'!C$300:C$400,MATCH("*"&amp;F79&amp;"*",'10'!B$300:B$400,0)),"  ")</f>
        <v xml:space="preserve">  </v>
      </c>
      <c r="Z79" s="1398" t="str">
        <f>IFERROR(INDEX('11'!C$300:C$400,MATCH("*"&amp;F79&amp;"*",'11'!B$300:B$400,0)),"  ")</f>
        <v xml:space="preserve">  </v>
      </c>
      <c r="AA79" s="1353">
        <f t="shared" ca="1" si="60"/>
        <v>0</v>
      </c>
      <c r="AB79" s="1353">
        <f t="shared" ca="1" si="61"/>
        <v>0</v>
      </c>
      <c r="AC79" s="1353">
        <f t="shared" ca="1" si="62"/>
        <v>0</v>
      </c>
      <c r="AH79" s="1345"/>
      <c r="AS79" s="689">
        <f t="shared" ca="1" si="63"/>
        <v>2.9999999999999997E-4</v>
      </c>
      <c r="AT79" s="690">
        <f t="shared" si="64"/>
        <v>1E-4</v>
      </c>
      <c r="AU79" s="690">
        <f t="shared" si="65"/>
        <v>2.0000000000000001E-4</v>
      </c>
      <c r="AV79" s="690">
        <f t="shared" si="66"/>
        <v>2.9999999999999997E-4</v>
      </c>
      <c r="AW79" s="690">
        <f t="shared" si="67"/>
        <v>4.0000000000000002E-4</v>
      </c>
      <c r="AX79" s="690">
        <f t="shared" si="68"/>
        <v>5.0000000000000001E-4</v>
      </c>
      <c r="AY79" s="690">
        <f t="shared" si="69"/>
        <v>5.9999999999999995E-4</v>
      </c>
      <c r="AZ79" s="690">
        <f t="shared" ca="1" si="70"/>
        <v>6.9999999999999999E-4</v>
      </c>
      <c r="BA79" s="690">
        <f t="shared" si="71"/>
        <v>8.0000000000000004E-4</v>
      </c>
      <c r="BB79" s="690">
        <f t="shared" si="72"/>
        <v>8.9999999999999998E-4</v>
      </c>
      <c r="BC79" s="690">
        <f t="shared" si="73"/>
        <v>1E-3</v>
      </c>
      <c r="BD79" s="690">
        <f t="shared" si="74"/>
        <v>1.1000000000000001E-3</v>
      </c>
    </row>
    <row r="80" spans="1:56" hidden="1" x14ac:dyDescent="0.2">
      <c r="A80" s="1378" t="str">
        <f t="shared" si="50"/>
        <v/>
      </c>
      <c r="B80" s="1392" t="str">
        <f t="shared" si="51"/>
        <v/>
      </c>
      <c r="C80" s="1380" t="str">
        <f t="shared" si="52"/>
        <v/>
      </c>
      <c r="D80" s="1393" t="str">
        <f t="shared" si="53"/>
        <v/>
      </c>
      <c r="E80" s="1394">
        <f t="shared" ca="1" si="54"/>
        <v>70</v>
      </c>
      <c r="F80" s="1401" t="s">
        <v>101</v>
      </c>
      <c r="G80" s="1379"/>
      <c r="H80" s="1384"/>
      <c r="I80" s="1385">
        <f t="array" aca="1" ref="I80" ca="1">(IF(COUNT(P80:Z80)&lt;8,SUM(P80:Z80),SUM(LARGE((P80:Z80),{1;2;3;4;5;6;7;8}))))</f>
        <v>0</v>
      </c>
      <c r="J80" s="1388" t="str">
        <f ca="1">INDEX(ETAPP!B$1:B$32,MATCH(COUNTIF(P80:Z80,PIV!A$1),ETAPP!A$1:A$32,0))&amp;INDEX(ETAPP!B$1:B$32,MATCH(COUNTIF(P80:Z80,PIV!A$2),ETAPP!A$1:A$32,0))&amp;INDEX(ETAPP!B$1:B$32,MATCH(COUNTIF(P80:Z80,PIV!A$3),ETAPP!A$1:A$32,0))&amp;INDEX(ETAPP!B$1:B$32,MATCH(COUNTIF(P80:Z80,PIV!A$4),ETAPP!A$1:A$32,0))&amp;INDEX(ETAPP!B$1:B$32,MATCH(COUNTIF(P80:Z80,PIV!A$5),ETAPP!A$1:A$32,0))&amp;INDEX(ETAPP!B$1:B$32,MATCH(COUNTIF(P80:Z80,PIV!A$6),ETAPP!A$1:A$32,0))&amp;INDEX(ETAPP!B$1:B$32,MATCH(COUNTIF(P80:Z80,PIV!A$7),ETAPP!A$1:A$32,0))&amp;INDEX(ETAPP!B$1:B$32,MATCH(COUNTIF(P80:Z80,PIV!A$8),ETAPP!A$1:A$32,0))&amp;INDEX(ETAPP!B$1:B$32,MATCH(COUNTIF(P80:Z80,PIV!A$9),ETAPP!A$1:A$32,0))&amp;INDEX(ETAPP!B$1:B$32,MATCH(COUNTIF(P80:Z80,PIV!A$10),ETAPP!A$1:A$32,0))&amp;INDEX(ETAPP!B$1:B$32,MATCH(COUNTIF(P80:Z80,PIV!A$11),ETAPP!A$1:A$32,0))&amp;INDEX(ETAPP!B$1:B$32,MATCH(COUNTIF(P80:Z80,PIV!A$12),ETAPP!A$1:A$32,0))&amp;INDEX(ETAPP!B$1:B$32,MATCH(COUNTIF(P80:Z80,PIV!A$13),ETAPP!A$1:A$32,0))&amp;INDEX(ETAPP!B$1:B$32,MATCH(COUNTIF(P80:Z80,PIV!A$14),ETAPP!A$1:A$32,0))&amp;INDEX(ETAPP!B$1:B$32,MATCH(COUNTIF(P80:Z80,PIV!A$15),ETAPP!A$1:A$32,0))&amp;INDEX(ETAPP!B$1:B$32,MATCH(COUNTIF(P80:Z80,PIV!A$16),ETAPP!A$1:A$32,0))&amp;INDEX(ETAPP!B$1:B$32,MATCH(COUNTIF(P80:Z80,PIV!A$17),ETAPP!A$1:A$32,0))&amp;INDEX(ETAPP!B$1:B$32,MATCH(COUNTIF(P80:Z80,PIV!A$18),ETAPP!A$1:A$32,0))&amp;INDEX(ETAPP!B$1:B$32,MATCH(COUNTIF(P80:Z80,PIV!A$19),ETAPP!A$1:A$32,0))</f>
        <v>000000000000000000F</v>
      </c>
      <c r="K80" s="1388" t="str">
        <f t="shared" ca="1" si="55"/>
        <v>000,0-000000000000000000F</v>
      </c>
      <c r="L80" s="1387">
        <f t="shared" ca="1" si="56"/>
        <v>108</v>
      </c>
      <c r="M80" s="1387">
        <f t="shared" si="57"/>
        <v>98</v>
      </c>
      <c r="N80" s="1388" t="str">
        <f t="shared" ca="1" si="58"/>
        <v>000,0-000000000000000000F-098</v>
      </c>
      <c r="O80" s="1396">
        <f t="shared" ca="1" si="59"/>
        <v>36</v>
      </c>
      <c r="P80" s="1397" t="str">
        <f>IFERROR(INDEX('1'!C$300:C$400,MATCH("*"&amp;F80&amp;"*",'1'!B$300:B$400,0)),"  ")</f>
        <v xml:space="preserve">  </v>
      </c>
      <c r="Q80" s="1398" t="str">
        <f>IFERROR(INDEX('2'!C$300:C$400,MATCH("*"&amp;F80&amp;"*",'2'!B$300:B$400,0)),"  ")</f>
        <v xml:space="preserve">  </v>
      </c>
      <c r="R80" s="1398" t="str">
        <f>IFERROR(INDEX('3'!C$300:C$400,MATCH("*"&amp;F80&amp;"*",'3'!B$300:B$400,0)),"  ")</f>
        <v xml:space="preserve">  </v>
      </c>
      <c r="S80" s="1398" t="str">
        <f>IFERROR(INDEX('4'!C$300:C$400,MATCH("*"&amp;F80&amp;"*",'4'!B$300:B$400,0)),"  ")</f>
        <v xml:space="preserve">  </v>
      </c>
      <c r="T80" s="1398" t="str">
        <f>IFERROR(INDEX('5'!C$300:C$400,MATCH("*"&amp;F80&amp;"*",'5'!B$300:B$400,0)),"  ")</f>
        <v xml:space="preserve">  </v>
      </c>
      <c r="U80" s="1398" t="str">
        <f>IFERROR(INDEX('6'!C$300:C$400,MATCH("*"&amp;F80&amp;"*",'6'!B$300:B$400,0)),"  ")</f>
        <v xml:space="preserve">  </v>
      </c>
      <c r="V80" s="1398" t="str">
        <f ca="1">IFERROR(INDEX('7'!C$300:C$400,MATCH("*"&amp;F80&amp;"*",'7'!B$300:B$400,0)),"  ")</f>
        <v xml:space="preserve">  </v>
      </c>
      <c r="W80" s="1398" t="str">
        <f>IFERROR(INDEX('8'!C$300:C$400,MATCH("*"&amp;F80&amp;"*",'8'!B$300:B$400,0)),"  ")</f>
        <v xml:space="preserve">  </v>
      </c>
      <c r="X80" s="1398" t="str">
        <f>IFERROR(INDEX('9'!C$300:C$400,MATCH("*"&amp;F80&amp;"*",'9'!B$300:B$400,0)),"  ")</f>
        <v xml:space="preserve">  </v>
      </c>
      <c r="Y80" s="1398" t="str">
        <f>IFERROR(INDEX('10'!C$300:C$400,MATCH("*"&amp;F80&amp;"*",'10'!B$300:B$400,0)),"  ")</f>
        <v xml:space="preserve">  </v>
      </c>
      <c r="Z80" s="1398" t="str">
        <f>IFERROR(INDEX('11'!C$300:C$400,MATCH("*"&amp;F80&amp;"*",'11'!B$300:B$400,0)),"  ")</f>
        <v xml:space="preserve">  </v>
      </c>
      <c r="AA80" s="1353">
        <f t="shared" ca="1" si="60"/>
        <v>0</v>
      </c>
      <c r="AB80" s="1353">
        <f t="shared" ca="1" si="61"/>
        <v>0</v>
      </c>
      <c r="AC80" s="1353">
        <f t="shared" ca="1" si="62"/>
        <v>0</v>
      </c>
      <c r="AH80" s="1345"/>
      <c r="AS80" s="689">
        <f t="shared" ca="1" si="63"/>
        <v>2.9999999999999997E-4</v>
      </c>
      <c r="AT80" s="690">
        <f t="shared" si="64"/>
        <v>1E-4</v>
      </c>
      <c r="AU80" s="690">
        <f t="shared" si="65"/>
        <v>2.0000000000000001E-4</v>
      </c>
      <c r="AV80" s="690">
        <f t="shared" si="66"/>
        <v>2.9999999999999997E-4</v>
      </c>
      <c r="AW80" s="690">
        <f t="shared" si="67"/>
        <v>4.0000000000000002E-4</v>
      </c>
      <c r="AX80" s="690">
        <f t="shared" si="68"/>
        <v>5.0000000000000001E-4</v>
      </c>
      <c r="AY80" s="690">
        <f t="shared" si="69"/>
        <v>5.9999999999999995E-4</v>
      </c>
      <c r="AZ80" s="690">
        <f t="shared" ca="1" si="70"/>
        <v>6.9999999999999999E-4</v>
      </c>
      <c r="BA80" s="690">
        <f t="shared" si="71"/>
        <v>8.0000000000000004E-4</v>
      </c>
      <c r="BB80" s="690">
        <f t="shared" si="72"/>
        <v>8.9999999999999998E-4</v>
      </c>
      <c r="BC80" s="690">
        <f t="shared" si="73"/>
        <v>1E-3</v>
      </c>
      <c r="BD80" s="690">
        <f t="shared" si="74"/>
        <v>1.1000000000000001E-3</v>
      </c>
    </row>
    <row r="81" spans="1:56" hidden="1" x14ac:dyDescent="0.2">
      <c r="A81" s="1378">
        <f t="shared" ca="1" si="50"/>
        <v>19</v>
      </c>
      <c r="B81" s="1392">
        <f t="shared" ca="1" si="51"/>
        <v>108</v>
      </c>
      <c r="C81" s="1380">
        <f t="shared" ca="1" si="52"/>
        <v>3</v>
      </c>
      <c r="D81" s="1393">
        <f t="shared" ca="1" si="53"/>
        <v>108</v>
      </c>
      <c r="E81" s="1394">
        <f t="shared" ca="1" si="54"/>
        <v>70</v>
      </c>
      <c r="F81" s="1411" t="s">
        <v>144</v>
      </c>
      <c r="G81" s="1412" t="s">
        <v>99</v>
      </c>
      <c r="H81" s="1402" t="s">
        <v>105</v>
      </c>
      <c r="I81" s="1385">
        <f t="array" aca="1" ref="I81" ca="1">(IF(COUNT(P81:Z81)&lt;8,SUM(P81:Z81),SUM(LARGE((P81:Z81),{1;2;3;4;5;6;7;8}))))</f>
        <v>0</v>
      </c>
      <c r="J81" s="1388" t="str">
        <f ca="1">INDEX(ETAPP!B$1:B$32,MATCH(COUNTIF(P81:Z81,PIV!A$1),ETAPP!A$1:A$32,0))&amp;INDEX(ETAPP!B$1:B$32,MATCH(COUNTIF(P81:Z81,PIV!A$2),ETAPP!A$1:A$32,0))&amp;INDEX(ETAPP!B$1:B$32,MATCH(COUNTIF(P81:Z81,PIV!A$3),ETAPP!A$1:A$32,0))&amp;INDEX(ETAPP!B$1:B$32,MATCH(COUNTIF(P81:Z81,PIV!A$4),ETAPP!A$1:A$32,0))&amp;INDEX(ETAPP!B$1:B$32,MATCH(COUNTIF(P81:Z81,PIV!A$5),ETAPP!A$1:A$32,0))&amp;INDEX(ETAPP!B$1:B$32,MATCH(COUNTIF(P81:Z81,PIV!A$6),ETAPP!A$1:A$32,0))&amp;INDEX(ETAPP!B$1:B$32,MATCH(COUNTIF(P81:Z81,PIV!A$7),ETAPP!A$1:A$32,0))&amp;INDEX(ETAPP!B$1:B$32,MATCH(COUNTIF(P81:Z81,PIV!A$8),ETAPP!A$1:A$32,0))&amp;INDEX(ETAPP!B$1:B$32,MATCH(COUNTIF(P81:Z81,PIV!A$9),ETAPP!A$1:A$32,0))&amp;INDEX(ETAPP!B$1:B$32,MATCH(COUNTIF(P81:Z81,PIV!A$10),ETAPP!A$1:A$32,0))&amp;INDEX(ETAPP!B$1:B$32,MATCH(COUNTIF(P81:Z81,PIV!A$11),ETAPP!A$1:A$32,0))&amp;INDEX(ETAPP!B$1:B$32,MATCH(COUNTIF(P81:Z81,PIV!A$12),ETAPP!A$1:A$32,0))&amp;INDEX(ETAPP!B$1:B$32,MATCH(COUNTIF(P81:Z81,PIV!A$13),ETAPP!A$1:A$32,0))&amp;INDEX(ETAPP!B$1:B$32,MATCH(COUNTIF(P81:Z81,PIV!A$14),ETAPP!A$1:A$32,0))&amp;INDEX(ETAPP!B$1:B$32,MATCH(COUNTIF(P81:Z81,PIV!A$15),ETAPP!A$1:A$32,0))&amp;INDEX(ETAPP!B$1:B$32,MATCH(COUNTIF(P81:Z81,PIV!A$16),ETAPP!A$1:A$32,0))&amp;INDEX(ETAPP!B$1:B$32,MATCH(COUNTIF(P81:Z81,PIV!A$17),ETAPP!A$1:A$32,0))&amp;INDEX(ETAPP!B$1:B$32,MATCH(COUNTIF(P81:Z81,PIV!A$18),ETAPP!A$1:A$32,0))&amp;INDEX(ETAPP!B$1:B$32,MATCH(COUNTIF(P81:Z81,PIV!A$19),ETAPP!A$1:A$32,0))</f>
        <v>000000000000000000F</v>
      </c>
      <c r="K81" s="1388" t="str">
        <f t="shared" ca="1" si="55"/>
        <v>000,0-000000000000000000F</v>
      </c>
      <c r="L81" s="1387">
        <f t="shared" ca="1" si="56"/>
        <v>108</v>
      </c>
      <c r="M81" s="1387">
        <f t="shared" si="57"/>
        <v>96</v>
      </c>
      <c r="N81" s="1388" t="str">
        <f t="shared" ca="1" si="58"/>
        <v>000,0-000000000000000000F-096</v>
      </c>
      <c r="O81" s="1396">
        <f t="shared" ca="1" si="59"/>
        <v>35</v>
      </c>
      <c r="P81" s="1397" t="str">
        <f>IFERROR(INDEX('1'!C$300:C$400,MATCH("*"&amp;F81&amp;"*",'1'!B$300:B$400,0)),"  ")</f>
        <v xml:space="preserve">  </v>
      </c>
      <c r="Q81" s="1398" t="str">
        <f>IFERROR(INDEX('2'!C$300:C$400,MATCH("*"&amp;F81&amp;"*",'2'!B$300:B$400,0)),"  ")</f>
        <v xml:space="preserve">  </v>
      </c>
      <c r="R81" s="1398" t="str">
        <f>IFERROR(INDEX('3'!C$300:C$400,MATCH("*"&amp;F81&amp;"*",'3'!B$300:B$400,0)),"  ")</f>
        <v xml:space="preserve">  </v>
      </c>
      <c r="S81" s="1398" t="str">
        <f>IFERROR(INDEX('4'!C$300:C$400,MATCH("*"&amp;F81&amp;"*",'4'!B$300:B$400,0)),"  ")</f>
        <v xml:space="preserve">  </v>
      </c>
      <c r="T81" s="1398" t="str">
        <f>IFERROR(INDEX('5'!C$300:C$400,MATCH("*"&amp;F81&amp;"*",'5'!B$300:B$400,0)),"  ")</f>
        <v xml:space="preserve">  </v>
      </c>
      <c r="U81" s="1398" t="str">
        <f>IFERROR(INDEX('6'!C$300:C$400,MATCH("*"&amp;F81&amp;"*",'6'!B$300:B$400,0)),"  ")</f>
        <v xml:space="preserve">  </v>
      </c>
      <c r="V81" s="1398" t="str">
        <f ca="1">IFERROR(INDEX('7'!C$300:C$400,MATCH("*"&amp;F81&amp;"*",'7'!B$300:B$400,0)),"  ")</f>
        <v xml:space="preserve">  </v>
      </c>
      <c r="W81" s="1398" t="str">
        <f>IFERROR(INDEX('8'!C$300:C$400,MATCH("*"&amp;F81&amp;"*",'8'!B$300:B$400,0)),"  ")</f>
        <v xml:space="preserve">  </v>
      </c>
      <c r="X81" s="1398" t="str">
        <f>IFERROR(INDEX('9'!C$300:C$400,MATCH("*"&amp;F81&amp;"*",'9'!B$300:B$400,0)),"  ")</f>
        <v xml:space="preserve">  </v>
      </c>
      <c r="Y81" s="1398" t="str">
        <f>IFERROR(INDEX('10'!C$300:C$400,MATCH("*"&amp;F81&amp;"*",'10'!B$300:B$400,0)),"  ")</f>
        <v xml:space="preserve">  </v>
      </c>
      <c r="Z81" s="1398" t="str">
        <f>IFERROR(INDEX('11'!C$300:C$400,MATCH("*"&amp;F81&amp;"*",'11'!B$300:B$400,0)),"  ")</f>
        <v xml:space="preserve">  </v>
      </c>
      <c r="AA81" s="1353">
        <f t="shared" ca="1" si="60"/>
        <v>0</v>
      </c>
      <c r="AB81" s="1353">
        <f t="shared" ca="1" si="61"/>
        <v>0</v>
      </c>
      <c r="AC81" s="1353">
        <f t="shared" ca="1" si="62"/>
        <v>0</v>
      </c>
      <c r="AH81" s="1345"/>
      <c r="AS81" s="689">
        <f t="shared" ca="1" si="63"/>
        <v>2.9999999999999997E-4</v>
      </c>
      <c r="AT81" s="690">
        <f t="shared" si="64"/>
        <v>1E-4</v>
      </c>
      <c r="AU81" s="690">
        <f t="shared" si="65"/>
        <v>2.0000000000000001E-4</v>
      </c>
      <c r="AV81" s="690">
        <f t="shared" si="66"/>
        <v>2.9999999999999997E-4</v>
      </c>
      <c r="AW81" s="690">
        <f t="shared" si="67"/>
        <v>4.0000000000000002E-4</v>
      </c>
      <c r="AX81" s="690">
        <f t="shared" si="68"/>
        <v>5.0000000000000001E-4</v>
      </c>
      <c r="AY81" s="690">
        <f t="shared" si="69"/>
        <v>5.9999999999999995E-4</v>
      </c>
      <c r="AZ81" s="690">
        <f t="shared" ca="1" si="70"/>
        <v>6.9999999999999999E-4</v>
      </c>
      <c r="BA81" s="690">
        <f t="shared" si="71"/>
        <v>8.0000000000000004E-4</v>
      </c>
      <c r="BB81" s="690">
        <f t="shared" si="72"/>
        <v>8.9999999999999998E-4</v>
      </c>
      <c r="BC81" s="690">
        <f t="shared" si="73"/>
        <v>1E-3</v>
      </c>
      <c r="BD81" s="690">
        <f t="shared" si="74"/>
        <v>1.1000000000000001E-3</v>
      </c>
    </row>
    <row r="82" spans="1:56" hidden="1" x14ac:dyDescent="0.2">
      <c r="A82" s="1378" t="str">
        <f t="shared" si="50"/>
        <v/>
      </c>
      <c r="B82" s="1392" t="str">
        <f t="shared" si="51"/>
        <v/>
      </c>
      <c r="C82" s="1380" t="str">
        <f t="shared" si="52"/>
        <v/>
      </c>
      <c r="D82" s="1393" t="str">
        <f t="shared" si="53"/>
        <v/>
      </c>
      <c r="E82" s="1394">
        <f t="shared" ca="1" si="54"/>
        <v>70</v>
      </c>
      <c r="F82" s="1360" t="s">
        <v>145</v>
      </c>
      <c r="G82" s="1379"/>
      <c r="H82" s="1384"/>
      <c r="I82" s="1385">
        <f t="array" aca="1" ref="I82" ca="1">(IF(COUNT(P82:Z82)&lt;8,SUM(P82:Z82),SUM(LARGE((P82:Z82),{1;2;3;4;5;6;7;8}))))</f>
        <v>0</v>
      </c>
      <c r="J82" s="1388" t="str">
        <f ca="1">INDEX(ETAPP!B$1:B$32,MATCH(COUNTIF(P82:Z82,PIV!A$1),ETAPP!A$1:A$32,0))&amp;INDEX(ETAPP!B$1:B$32,MATCH(COUNTIF(P82:Z82,PIV!A$2),ETAPP!A$1:A$32,0))&amp;INDEX(ETAPP!B$1:B$32,MATCH(COUNTIF(P82:Z82,PIV!A$3),ETAPP!A$1:A$32,0))&amp;INDEX(ETAPP!B$1:B$32,MATCH(COUNTIF(P82:Z82,PIV!A$4),ETAPP!A$1:A$32,0))&amp;INDEX(ETAPP!B$1:B$32,MATCH(COUNTIF(P82:Z82,PIV!A$5),ETAPP!A$1:A$32,0))&amp;INDEX(ETAPP!B$1:B$32,MATCH(COUNTIF(P82:Z82,PIV!A$6),ETAPP!A$1:A$32,0))&amp;INDEX(ETAPP!B$1:B$32,MATCH(COUNTIF(P82:Z82,PIV!A$7),ETAPP!A$1:A$32,0))&amp;INDEX(ETAPP!B$1:B$32,MATCH(COUNTIF(P82:Z82,PIV!A$8),ETAPP!A$1:A$32,0))&amp;INDEX(ETAPP!B$1:B$32,MATCH(COUNTIF(P82:Z82,PIV!A$9),ETAPP!A$1:A$32,0))&amp;INDEX(ETAPP!B$1:B$32,MATCH(COUNTIF(P82:Z82,PIV!A$10),ETAPP!A$1:A$32,0))&amp;INDEX(ETAPP!B$1:B$32,MATCH(COUNTIF(P82:Z82,PIV!A$11),ETAPP!A$1:A$32,0))&amp;INDEX(ETAPP!B$1:B$32,MATCH(COUNTIF(P82:Z82,PIV!A$12),ETAPP!A$1:A$32,0))&amp;INDEX(ETAPP!B$1:B$32,MATCH(COUNTIF(P82:Z82,PIV!A$13),ETAPP!A$1:A$32,0))&amp;INDEX(ETAPP!B$1:B$32,MATCH(COUNTIF(P82:Z82,PIV!A$14),ETAPP!A$1:A$32,0))&amp;INDEX(ETAPP!B$1:B$32,MATCH(COUNTIF(P82:Z82,PIV!A$15),ETAPP!A$1:A$32,0))&amp;INDEX(ETAPP!B$1:B$32,MATCH(COUNTIF(P82:Z82,PIV!A$16),ETAPP!A$1:A$32,0))&amp;INDEX(ETAPP!B$1:B$32,MATCH(COUNTIF(P82:Z82,PIV!A$17),ETAPP!A$1:A$32,0))&amp;INDEX(ETAPP!B$1:B$32,MATCH(COUNTIF(P82:Z82,PIV!A$18),ETAPP!A$1:A$32,0))&amp;INDEX(ETAPP!B$1:B$32,MATCH(COUNTIF(P82:Z82,PIV!A$19),ETAPP!A$1:A$32,0))</f>
        <v>000000000000000000F</v>
      </c>
      <c r="K82" s="1388" t="str">
        <f t="shared" ca="1" si="55"/>
        <v>000,0-000000000000000000F</v>
      </c>
      <c r="L82" s="1387">
        <f t="shared" ca="1" si="56"/>
        <v>108</v>
      </c>
      <c r="M82" s="1387">
        <f t="shared" si="57"/>
        <v>95</v>
      </c>
      <c r="N82" s="1388" t="str">
        <f t="shared" ca="1" si="58"/>
        <v>000,0-000000000000000000F-095</v>
      </c>
      <c r="O82" s="1396">
        <f t="shared" ca="1" si="59"/>
        <v>34</v>
      </c>
      <c r="P82" s="1397" t="str">
        <f>IFERROR(INDEX('1'!C$300:C$400,MATCH("*"&amp;F82&amp;"*",'1'!B$300:B$400,0)),"  ")</f>
        <v xml:space="preserve">  </v>
      </c>
      <c r="Q82" s="1398" t="str">
        <f>IFERROR(INDEX('2'!C$300:C$400,MATCH("*"&amp;F82&amp;"*",'2'!B$300:B$400,0)),"  ")</f>
        <v xml:space="preserve">  </v>
      </c>
      <c r="R82" s="1398" t="str">
        <f>IFERROR(INDEX('3'!C$300:C$400,MATCH("*"&amp;F82&amp;"*",'3'!B$300:B$400,0)),"  ")</f>
        <v xml:space="preserve">  </v>
      </c>
      <c r="S82" s="1398" t="str">
        <f>IFERROR(INDEX('4'!C$300:C$400,MATCH("*"&amp;F82&amp;"*",'4'!B$300:B$400,0)),"  ")</f>
        <v xml:space="preserve">  </v>
      </c>
      <c r="T82" s="1398" t="str">
        <f>IFERROR(INDEX('5'!C$300:C$400,MATCH("*"&amp;F82&amp;"*",'5'!B$300:B$400,0)),"  ")</f>
        <v xml:space="preserve">  </v>
      </c>
      <c r="U82" s="1398" t="str">
        <f>IFERROR(INDEX('6'!C$300:C$400,MATCH("*"&amp;F82&amp;"*",'6'!B$300:B$400,0)),"  ")</f>
        <v xml:space="preserve">  </v>
      </c>
      <c r="V82" s="1398" t="str">
        <f ca="1">IFERROR(INDEX('7'!C$300:C$400,MATCH("*"&amp;F82&amp;"*",'7'!B$300:B$400,0)),"  ")</f>
        <v xml:space="preserve">  </v>
      </c>
      <c r="W82" s="1398" t="str">
        <f>IFERROR(INDEX('8'!C$300:C$400,MATCH("*"&amp;F82&amp;"*",'8'!B$300:B$400,0)),"  ")</f>
        <v xml:space="preserve">  </v>
      </c>
      <c r="X82" s="1398" t="str">
        <f>IFERROR(INDEX('9'!C$300:C$400,MATCH("*"&amp;F82&amp;"*",'9'!B$300:B$400,0)),"  ")</f>
        <v xml:space="preserve">  </v>
      </c>
      <c r="Y82" s="1398" t="str">
        <f>IFERROR(INDEX('10'!C$300:C$400,MATCH("*"&amp;F82&amp;"*",'10'!B$300:B$400,0)),"  ")</f>
        <v xml:space="preserve">  </v>
      </c>
      <c r="Z82" s="1398" t="str">
        <f>IFERROR(INDEX('11'!C$300:C$400,MATCH("*"&amp;F82&amp;"*",'11'!B$300:B$400,0)),"  ")</f>
        <v xml:space="preserve">  </v>
      </c>
      <c r="AA82" s="1353">
        <f t="shared" ca="1" si="60"/>
        <v>0</v>
      </c>
      <c r="AB82" s="1353">
        <f t="shared" ca="1" si="61"/>
        <v>0</v>
      </c>
      <c r="AC82" s="1353">
        <f t="shared" ca="1" si="62"/>
        <v>0</v>
      </c>
      <c r="AH82" s="1345"/>
      <c r="AS82" s="689">
        <f t="shared" ca="1" si="63"/>
        <v>2.9999999999999997E-4</v>
      </c>
      <c r="AT82" s="690">
        <f t="shared" si="64"/>
        <v>1E-4</v>
      </c>
      <c r="AU82" s="690">
        <f t="shared" si="65"/>
        <v>2.0000000000000001E-4</v>
      </c>
      <c r="AV82" s="690">
        <f t="shared" si="66"/>
        <v>2.9999999999999997E-4</v>
      </c>
      <c r="AW82" s="690">
        <f t="shared" si="67"/>
        <v>4.0000000000000002E-4</v>
      </c>
      <c r="AX82" s="690">
        <f t="shared" si="68"/>
        <v>5.0000000000000001E-4</v>
      </c>
      <c r="AY82" s="690">
        <f t="shared" si="69"/>
        <v>5.9999999999999995E-4</v>
      </c>
      <c r="AZ82" s="690">
        <f t="shared" ca="1" si="70"/>
        <v>6.9999999999999999E-4</v>
      </c>
      <c r="BA82" s="690">
        <f t="shared" si="71"/>
        <v>8.0000000000000004E-4</v>
      </c>
      <c r="BB82" s="690">
        <f t="shared" si="72"/>
        <v>8.9999999999999998E-4</v>
      </c>
      <c r="BC82" s="690">
        <f t="shared" si="73"/>
        <v>1E-3</v>
      </c>
      <c r="BD82" s="690">
        <f t="shared" si="74"/>
        <v>1.1000000000000001E-3</v>
      </c>
    </row>
    <row r="83" spans="1:56" hidden="1" x14ac:dyDescent="0.2">
      <c r="A83" s="1378" t="str">
        <f t="shared" si="50"/>
        <v/>
      </c>
      <c r="B83" s="1392" t="str">
        <f t="shared" si="51"/>
        <v/>
      </c>
      <c r="C83" s="1380" t="str">
        <f t="shared" si="52"/>
        <v/>
      </c>
      <c r="D83" s="1393" t="str">
        <f t="shared" si="53"/>
        <v/>
      </c>
      <c r="E83" s="1394">
        <f t="shared" ca="1" si="54"/>
        <v>70</v>
      </c>
      <c r="F83" s="1395" t="s">
        <v>146</v>
      </c>
      <c r="G83" s="1379"/>
      <c r="H83" s="1384"/>
      <c r="I83" s="1385">
        <f t="array" aca="1" ref="I83" ca="1">(IF(COUNT(P83:Z83)&lt;8,SUM(P83:Z83),SUM(LARGE((P83:Z83),{1;2;3;4;5;6;7;8}))))</f>
        <v>0</v>
      </c>
      <c r="J83" s="1388" t="str">
        <f ca="1">INDEX(ETAPP!B$1:B$32,MATCH(COUNTIF(P83:Z83,PIV!A$1),ETAPP!A$1:A$32,0))&amp;INDEX(ETAPP!B$1:B$32,MATCH(COUNTIF(P83:Z83,PIV!A$2),ETAPP!A$1:A$32,0))&amp;INDEX(ETAPP!B$1:B$32,MATCH(COUNTIF(P83:Z83,PIV!A$3),ETAPP!A$1:A$32,0))&amp;INDEX(ETAPP!B$1:B$32,MATCH(COUNTIF(P83:Z83,PIV!A$4),ETAPP!A$1:A$32,0))&amp;INDEX(ETAPP!B$1:B$32,MATCH(COUNTIF(P83:Z83,PIV!A$5),ETAPP!A$1:A$32,0))&amp;INDEX(ETAPP!B$1:B$32,MATCH(COUNTIF(P83:Z83,PIV!A$6),ETAPP!A$1:A$32,0))&amp;INDEX(ETAPP!B$1:B$32,MATCH(COUNTIF(P83:Z83,PIV!A$7),ETAPP!A$1:A$32,0))&amp;INDEX(ETAPP!B$1:B$32,MATCH(COUNTIF(P83:Z83,PIV!A$8),ETAPP!A$1:A$32,0))&amp;INDEX(ETAPP!B$1:B$32,MATCH(COUNTIF(P83:Z83,PIV!A$9),ETAPP!A$1:A$32,0))&amp;INDEX(ETAPP!B$1:B$32,MATCH(COUNTIF(P83:Z83,PIV!A$10),ETAPP!A$1:A$32,0))&amp;INDEX(ETAPP!B$1:B$32,MATCH(COUNTIF(P83:Z83,PIV!A$11),ETAPP!A$1:A$32,0))&amp;INDEX(ETAPP!B$1:B$32,MATCH(COUNTIF(P83:Z83,PIV!A$12),ETAPP!A$1:A$32,0))&amp;INDEX(ETAPP!B$1:B$32,MATCH(COUNTIF(P83:Z83,PIV!A$13),ETAPP!A$1:A$32,0))&amp;INDEX(ETAPP!B$1:B$32,MATCH(COUNTIF(P83:Z83,PIV!A$14),ETAPP!A$1:A$32,0))&amp;INDEX(ETAPP!B$1:B$32,MATCH(COUNTIF(P83:Z83,PIV!A$15),ETAPP!A$1:A$32,0))&amp;INDEX(ETAPP!B$1:B$32,MATCH(COUNTIF(P83:Z83,PIV!A$16),ETAPP!A$1:A$32,0))&amp;INDEX(ETAPP!B$1:B$32,MATCH(COUNTIF(P83:Z83,PIV!A$17),ETAPP!A$1:A$32,0))&amp;INDEX(ETAPP!B$1:B$32,MATCH(COUNTIF(P83:Z83,PIV!A$18),ETAPP!A$1:A$32,0))&amp;INDEX(ETAPP!B$1:B$32,MATCH(COUNTIF(P83:Z83,PIV!A$19),ETAPP!A$1:A$32,0))</f>
        <v>000000000000000000F</v>
      </c>
      <c r="K83" s="1388" t="str">
        <f t="shared" ca="1" si="55"/>
        <v>000,0-000000000000000000F</v>
      </c>
      <c r="L83" s="1387">
        <f t="shared" ca="1" si="56"/>
        <v>108</v>
      </c>
      <c r="M83" s="1387">
        <f t="shared" si="57"/>
        <v>94</v>
      </c>
      <c r="N83" s="1388" t="str">
        <f t="shared" ca="1" si="58"/>
        <v>000,0-000000000000000000F-094</v>
      </c>
      <c r="O83" s="1396">
        <f t="shared" ca="1" si="59"/>
        <v>33</v>
      </c>
      <c r="P83" s="1397" t="str">
        <f>IFERROR(INDEX('1'!C$300:C$400,MATCH("*"&amp;F83&amp;"*",'1'!B$300:B$400,0)),"  ")</f>
        <v xml:space="preserve">  </v>
      </c>
      <c r="Q83" s="1398" t="str">
        <f>IFERROR(INDEX('2'!C$300:C$400,MATCH("*"&amp;F83&amp;"*",'2'!B$300:B$400,0)),"  ")</f>
        <v xml:space="preserve">  </v>
      </c>
      <c r="R83" s="1398" t="str">
        <f>IFERROR(INDEX('3'!C$300:C$400,MATCH("*"&amp;F83&amp;"*",'3'!B$300:B$400,0)),"  ")</f>
        <v xml:space="preserve">  </v>
      </c>
      <c r="S83" s="1398" t="str">
        <f>IFERROR(INDEX('4'!C$300:C$400,MATCH("*"&amp;F83&amp;"*",'4'!B$300:B$400,0)),"  ")</f>
        <v xml:space="preserve">  </v>
      </c>
      <c r="T83" s="1398" t="str">
        <f>IFERROR(INDEX('5'!C$300:C$400,MATCH("*"&amp;F83&amp;"*",'5'!B$300:B$400,0)),"  ")</f>
        <v xml:space="preserve">  </v>
      </c>
      <c r="U83" s="1398" t="str">
        <f>IFERROR(INDEX('6'!C$300:C$400,MATCH("*"&amp;F83&amp;"*",'6'!B$300:B$400,0)),"  ")</f>
        <v xml:space="preserve">  </v>
      </c>
      <c r="V83" s="1398" t="str">
        <f ca="1">IFERROR(INDEX('7'!C$300:C$400,MATCH("*"&amp;F83&amp;"*",'7'!B$300:B$400,0)),"  ")</f>
        <v xml:space="preserve">  </v>
      </c>
      <c r="W83" s="1398" t="str">
        <f>IFERROR(INDEX('8'!C$300:C$400,MATCH("*"&amp;F83&amp;"*",'8'!B$300:B$400,0)),"  ")</f>
        <v xml:space="preserve">  </v>
      </c>
      <c r="X83" s="1398" t="str">
        <f>IFERROR(INDEX('9'!C$300:C$400,MATCH("*"&amp;F83&amp;"*",'9'!B$300:B$400,0)),"  ")</f>
        <v xml:space="preserve">  </v>
      </c>
      <c r="Y83" s="1398" t="str">
        <f>IFERROR(INDEX('10'!C$300:C$400,MATCH("*"&amp;F83&amp;"*",'10'!B$300:B$400,0)),"  ")</f>
        <v xml:space="preserve">  </v>
      </c>
      <c r="Z83" s="1398" t="str">
        <f>IFERROR(INDEX('11'!C$300:C$400,MATCH("*"&amp;F83&amp;"*",'11'!B$300:B$400,0)),"  ")</f>
        <v xml:space="preserve">  </v>
      </c>
      <c r="AA83" s="1353">
        <f t="shared" ca="1" si="60"/>
        <v>0</v>
      </c>
      <c r="AB83" s="1353">
        <f t="shared" ca="1" si="61"/>
        <v>0</v>
      </c>
      <c r="AC83" s="1353">
        <f t="shared" ca="1" si="62"/>
        <v>0</v>
      </c>
      <c r="AH83" s="1345"/>
      <c r="AS83" s="689">
        <f t="shared" ca="1" si="63"/>
        <v>2.9999999999999997E-4</v>
      </c>
      <c r="AT83" s="690">
        <f t="shared" si="64"/>
        <v>1E-4</v>
      </c>
      <c r="AU83" s="690">
        <f t="shared" si="65"/>
        <v>2.0000000000000001E-4</v>
      </c>
      <c r="AV83" s="690">
        <f t="shared" si="66"/>
        <v>2.9999999999999997E-4</v>
      </c>
      <c r="AW83" s="690">
        <f t="shared" si="67"/>
        <v>4.0000000000000002E-4</v>
      </c>
      <c r="AX83" s="690">
        <f t="shared" si="68"/>
        <v>5.0000000000000001E-4</v>
      </c>
      <c r="AY83" s="690">
        <f t="shared" si="69"/>
        <v>5.9999999999999995E-4</v>
      </c>
      <c r="AZ83" s="690">
        <f t="shared" ca="1" si="70"/>
        <v>6.9999999999999999E-4</v>
      </c>
      <c r="BA83" s="690">
        <f t="shared" si="71"/>
        <v>8.0000000000000004E-4</v>
      </c>
      <c r="BB83" s="690">
        <f t="shared" si="72"/>
        <v>8.9999999999999998E-4</v>
      </c>
      <c r="BC83" s="690">
        <f t="shared" si="73"/>
        <v>1E-3</v>
      </c>
      <c r="BD83" s="690">
        <f t="shared" si="74"/>
        <v>1.1000000000000001E-3</v>
      </c>
    </row>
    <row r="84" spans="1:56" hidden="1" x14ac:dyDescent="0.2">
      <c r="A84" s="1378" t="str">
        <f t="shared" si="50"/>
        <v/>
      </c>
      <c r="B84" s="1392" t="str">
        <f t="shared" si="51"/>
        <v/>
      </c>
      <c r="C84" s="1380" t="str">
        <f t="shared" si="52"/>
        <v/>
      </c>
      <c r="D84" s="1393" t="str">
        <f t="shared" si="53"/>
        <v/>
      </c>
      <c r="E84" s="1394">
        <f t="shared" ca="1" si="54"/>
        <v>70</v>
      </c>
      <c r="F84" s="1413" t="s">
        <v>147</v>
      </c>
      <c r="G84" s="1412"/>
      <c r="H84" s="1414"/>
      <c r="I84" s="1385">
        <f t="array" aca="1" ref="I84" ca="1">(IF(COUNT(P84:Z84)&lt;8,SUM(P84:Z84),SUM(LARGE((P84:Z84),{1;2;3;4;5;6;7;8}))))</f>
        <v>0</v>
      </c>
      <c r="J84" s="1388" t="str">
        <f ca="1">INDEX(ETAPP!B$1:B$32,MATCH(COUNTIF(P84:Z84,PIV!A$1),ETAPP!A$1:A$32,0))&amp;INDEX(ETAPP!B$1:B$32,MATCH(COUNTIF(P84:Z84,PIV!A$2),ETAPP!A$1:A$32,0))&amp;INDEX(ETAPP!B$1:B$32,MATCH(COUNTIF(P84:Z84,PIV!A$3),ETAPP!A$1:A$32,0))&amp;INDEX(ETAPP!B$1:B$32,MATCH(COUNTIF(P84:Z84,PIV!A$4),ETAPP!A$1:A$32,0))&amp;INDEX(ETAPP!B$1:B$32,MATCH(COUNTIF(P84:Z84,PIV!A$5),ETAPP!A$1:A$32,0))&amp;INDEX(ETAPP!B$1:B$32,MATCH(COUNTIF(P84:Z84,PIV!A$6),ETAPP!A$1:A$32,0))&amp;INDEX(ETAPP!B$1:B$32,MATCH(COUNTIF(P84:Z84,PIV!A$7),ETAPP!A$1:A$32,0))&amp;INDEX(ETAPP!B$1:B$32,MATCH(COUNTIF(P84:Z84,PIV!A$8),ETAPP!A$1:A$32,0))&amp;INDEX(ETAPP!B$1:B$32,MATCH(COUNTIF(P84:Z84,PIV!A$9),ETAPP!A$1:A$32,0))&amp;INDEX(ETAPP!B$1:B$32,MATCH(COUNTIF(P84:Z84,PIV!A$10),ETAPP!A$1:A$32,0))&amp;INDEX(ETAPP!B$1:B$32,MATCH(COUNTIF(P84:Z84,PIV!A$11),ETAPP!A$1:A$32,0))&amp;INDEX(ETAPP!B$1:B$32,MATCH(COUNTIF(P84:Z84,PIV!A$12),ETAPP!A$1:A$32,0))&amp;INDEX(ETAPP!B$1:B$32,MATCH(COUNTIF(P84:Z84,PIV!A$13),ETAPP!A$1:A$32,0))&amp;INDEX(ETAPP!B$1:B$32,MATCH(COUNTIF(P84:Z84,PIV!A$14),ETAPP!A$1:A$32,0))&amp;INDEX(ETAPP!B$1:B$32,MATCH(COUNTIF(P84:Z84,PIV!A$15),ETAPP!A$1:A$32,0))&amp;INDEX(ETAPP!B$1:B$32,MATCH(COUNTIF(P84:Z84,PIV!A$16),ETAPP!A$1:A$32,0))&amp;INDEX(ETAPP!B$1:B$32,MATCH(COUNTIF(P84:Z84,PIV!A$17),ETAPP!A$1:A$32,0))&amp;INDEX(ETAPP!B$1:B$32,MATCH(COUNTIF(P84:Z84,PIV!A$18),ETAPP!A$1:A$32,0))&amp;INDEX(ETAPP!B$1:B$32,MATCH(COUNTIF(P84:Z84,PIV!A$19),ETAPP!A$1:A$32,0))</f>
        <v>000000000000000000F</v>
      </c>
      <c r="K84" s="1388" t="str">
        <f t="shared" ca="1" si="55"/>
        <v>000,0-000000000000000000F</v>
      </c>
      <c r="L84" s="1387">
        <f t="shared" ca="1" si="56"/>
        <v>108</v>
      </c>
      <c r="M84" s="1387">
        <f t="shared" si="57"/>
        <v>93</v>
      </c>
      <c r="N84" s="1388" t="str">
        <f t="shared" ca="1" si="58"/>
        <v>000,0-000000000000000000F-093</v>
      </c>
      <c r="O84" s="1396">
        <f t="shared" ca="1" si="59"/>
        <v>32</v>
      </c>
      <c r="P84" s="1397" t="str">
        <f>IFERROR(INDEX('1'!C$300:C$400,MATCH("*"&amp;F84&amp;"*",'1'!B$300:B$400,0)),"  ")</f>
        <v xml:space="preserve">  </v>
      </c>
      <c r="Q84" s="1398" t="str">
        <f>IFERROR(INDEX('2'!C$300:C$400,MATCH("*"&amp;F84&amp;"*",'2'!B$300:B$400,0)),"  ")</f>
        <v xml:space="preserve">  </v>
      </c>
      <c r="R84" s="1398" t="str">
        <f>IFERROR(INDEX('3'!C$300:C$400,MATCH("*"&amp;F84&amp;"*",'3'!B$300:B$400,0)),"  ")</f>
        <v xml:space="preserve">  </v>
      </c>
      <c r="S84" s="1398" t="str">
        <f>IFERROR(INDEX('4'!C$300:C$400,MATCH("*"&amp;F84&amp;"*",'4'!B$300:B$400,0)),"  ")</f>
        <v xml:space="preserve">  </v>
      </c>
      <c r="T84" s="1398" t="str">
        <f>IFERROR(INDEX('5'!C$300:C$400,MATCH("*"&amp;F84&amp;"*",'5'!B$300:B$400,0)),"  ")</f>
        <v xml:space="preserve">  </v>
      </c>
      <c r="U84" s="1398" t="str">
        <f>IFERROR(INDEX('6'!C$300:C$400,MATCH("*"&amp;F84&amp;"*",'6'!B$300:B$400,0)),"  ")</f>
        <v xml:space="preserve">  </v>
      </c>
      <c r="V84" s="1398" t="str">
        <f ca="1">IFERROR(INDEX('7'!C$300:C$400,MATCH("*"&amp;F84&amp;"*",'7'!B$300:B$400,0)),"  ")</f>
        <v xml:space="preserve">  </v>
      </c>
      <c r="W84" s="1398" t="str">
        <f>IFERROR(INDEX('8'!C$300:C$400,MATCH("*"&amp;F84&amp;"*",'8'!B$300:B$400,0)),"  ")</f>
        <v xml:space="preserve">  </v>
      </c>
      <c r="X84" s="1398" t="str">
        <f>IFERROR(INDEX('9'!C$300:C$400,MATCH("*"&amp;F84&amp;"*",'9'!B$300:B$400,0)),"  ")</f>
        <v xml:space="preserve">  </v>
      </c>
      <c r="Y84" s="1398" t="str">
        <f>IFERROR(INDEX('10'!C$300:C$400,MATCH("*"&amp;F84&amp;"*",'10'!B$300:B$400,0)),"  ")</f>
        <v xml:space="preserve">  </v>
      </c>
      <c r="Z84" s="1398" t="str">
        <f>IFERROR(INDEX('11'!C$300:C$400,MATCH("*"&amp;F84&amp;"*",'11'!B$300:B$400,0)),"  ")</f>
        <v xml:space="preserve">  </v>
      </c>
      <c r="AA84" s="1353">
        <f t="shared" ca="1" si="60"/>
        <v>0</v>
      </c>
      <c r="AB84" s="1353">
        <f t="shared" ca="1" si="61"/>
        <v>0</v>
      </c>
      <c r="AC84" s="1353">
        <f t="shared" ca="1" si="62"/>
        <v>0</v>
      </c>
      <c r="AH84" s="1345"/>
      <c r="AS84" s="689">
        <f t="shared" ca="1" si="63"/>
        <v>2.9999999999999997E-4</v>
      </c>
      <c r="AT84" s="690">
        <f t="shared" si="64"/>
        <v>1E-4</v>
      </c>
      <c r="AU84" s="690">
        <f t="shared" si="65"/>
        <v>2.0000000000000001E-4</v>
      </c>
      <c r="AV84" s="690">
        <f t="shared" si="66"/>
        <v>2.9999999999999997E-4</v>
      </c>
      <c r="AW84" s="690">
        <f t="shared" si="67"/>
        <v>4.0000000000000002E-4</v>
      </c>
      <c r="AX84" s="690">
        <f t="shared" si="68"/>
        <v>5.0000000000000001E-4</v>
      </c>
      <c r="AY84" s="690">
        <f t="shared" si="69"/>
        <v>5.9999999999999995E-4</v>
      </c>
      <c r="AZ84" s="690">
        <f t="shared" ca="1" si="70"/>
        <v>6.9999999999999999E-4</v>
      </c>
      <c r="BA84" s="690">
        <f t="shared" si="71"/>
        <v>8.0000000000000004E-4</v>
      </c>
      <c r="BB84" s="690">
        <f t="shared" si="72"/>
        <v>8.9999999999999998E-4</v>
      </c>
      <c r="BC84" s="690">
        <f t="shared" si="73"/>
        <v>1E-3</v>
      </c>
      <c r="BD84" s="690">
        <f t="shared" si="74"/>
        <v>1.1000000000000001E-3</v>
      </c>
    </row>
    <row r="85" spans="1:56" hidden="1" x14ac:dyDescent="0.2">
      <c r="A85" s="1378" t="str">
        <f t="shared" si="50"/>
        <v/>
      </c>
      <c r="B85" s="1392" t="str">
        <f t="shared" si="51"/>
        <v/>
      </c>
      <c r="C85" s="1380" t="str">
        <f t="shared" si="52"/>
        <v/>
      </c>
      <c r="D85" s="1393" t="str">
        <f t="shared" si="53"/>
        <v/>
      </c>
      <c r="E85" s="1394">
        <f t="shared" ca="1" si="54"/>
        <v>70</v>
      </c>
      <c r="F85" s="1415" t="s">
        <v>137</v>
      </c>
      <c r="G85" s="1412"/>
      <c r="H85" s="1414"/>
      <c r="I85" s="1385">
        <f t="array" aca="1" ref="I85" ca="1">(IF(COUNT(P85:Z85)&lt;8,SUM(P85:Z85),SUM(LARGE((P85:Z85),{1;2;3;4;5;6;7;8}))))</f>
        <v>0</v>
      </c>
      <c r="J85" s="1388" t="str">
        <f ca="1">INDEX(ETAPP!B$1:B$32,MATCH(COUNTIF(P85:Z85,PIV!A$1),ETAPP!A$1:A$32,0))&amp;INDEX(ETAPP!B$1:B$32,MATCH(COUNTIF(P85:Z85,PIV!A$2),ETAPP!A$1:A$32,0))&amp;INDEX(ETAPP!B$1:B$32,MATCH(COUNTIF(P85:Z85,PIV!A$3),ETAPP!A$1:A$32,0))&amp;INDEX(ETAPP!B$1:B$32,MATCH(COUNTIF(P85:Z85,PIV!A$4),ETAPP!A$1:A$32,0))&amp;INDEX(ETAPP!B$1:B$32,MATCH(COUNTIF(P85:Z85,PIV!A$5),ETAPP!A$1:A$32,0))&amp;INDEX(ETAPP!B$1:B$32,MATCH(COUNTIF(P85:Z85,PIV!A$6),ETAPP!A$1:A$32,0))&amp;INDEX(ETAPP!B$1:B$32,MATCH(COUNTIF(P85:Z85,PIV!A$7),ETAPP!A$1:A$32,0))&amp;INDEX(ETAPP!B$1:B$32,MATCH(COUNTIF(P85:Z85,PIV!A$8),ETAPP!A$1:A$32,0))&amp;INDEX(ETAPP!B$1:B$32,MATCH(COUNTIF(P85:Z85,PIV!A$9),ETAPP!A$1:A$32,0))&amp;INDEX(ETAPP!B$1:B$32,MATCH(COUNTIF(P85:Z85,PIV!A$10),ETAPP!A$1:A$32,0))&amp;INDEX(ETAPP!B$1:B$32,MATCH(COUNTIF(P85:Z85,PIV!A$11),ETAPP!A$1:A$32,0))&amp;INDEX(ETAPP!B$1:B$32,MATCH(COUNTIF(P85:Z85,PIV!A$12),ETAPP!A$1:A$32,0))&amp;INDEX(ETAPP!B$1:B$32,MATCH(COUNTIF(P85:Z85,PIV!A$13),ETAPP!A$1:A$32,0))&amp;INDEX(ETAPP!B$1:B$32,MATCH(COUNTIF(P85:Z85,PIV!A$14),ETAPP!A$1:A$32,0))&amp;INDEX(ETAPP!B$1:B$32,MATCH(COUNTIF(P85:Z85,PIV!A$15),ETAPP!A$1:A$32,0))&amp;INDEX(ETAPP!B$1:B$32,MATCH(COUNTIF(P85:Z85,PIV!A$16),ETAPP!A$1:A$32,0))&amp;INDEX(ETAPP!B$1:B$32,MATCH(COUNTIF(P85:Z85,PIV!A$17),ETAPP!A$1:A$32,0))&amp;INDEX(ETAPP!B$1:B$32,MATCH(COUNTIF(P85:Z85,PIV!A$18),ETAPP!A$1:A$32,0))&amp;INDEX(ETAPP!B$1:B$32,MATCH(COUNTIF(P85:Z85,PIV!A$19),ETAPP!A$1:A$32,0))</f>
        <v>000000000000000000F</v>
      </c>
      <c r="K85" s="1388" t="str">
        <f t="shared" ca="1" si="55"/>
        <v>000,0-000000000000000000F</v>
      </c>
      <c r="L85" s="1387">
        <f t="shared" ca="1" si="56"/>
        <v>108</v>
      </c>
      <c r="M85" s="1387">
        <f t="shared" si="57"/>
        <v>92</v>
      </c>
      <c r="N85" s="1388" t="str">
        <f t="shared" ca="1" si="58"/>
        <v>000,0-000000000000000000F-092</v>
      </c>
      <c r="O85" s="1396">
        <f t="shared" ca="1" si="59"/>
        <v>31</v>
      </c>
      <c r="P85" s="1397" t="str">
        <f>IFERROR(INDEX('1'!C$300:C$400,MATCH("*"&amp;F85&amp;"*",'1'!B$300:B$400,0)),"  ")</f>
        <v xml:space="preserve">  </v>
      </c>
      <c r="Q85" s="1398" t="str">
        <f>IFERROR(INDEX('2'!C$300:C$400,MATCH("*"&amp;F85&amp;"*",'2'!B$300:B$400,0)),"  ")</f>
        <v xml:space="preserve">  </v>
      </c>
      <c r="R85" s="1398" t="str">
        <f>IFERROR(INDEX('3'!C$300:C$400,MATCH("*"&amp;F85&amp;"*",'3'!B$300:B$400,0)),"  ")</f>
        <v xml:space="preserve">  </v>
      </c>
      <c r="S85" s="1398" t="str">
        <f>IFERROR(INDEX('4'!C$300:C$400,MATCH("*"&amp;F85&amp;"*",'4'!B$300:B$400,0)),"  ")</f>
        <v xml:space="preserve">  </v>
      </c>
      <c r="T85" s="1398" t="str">
        <f>IFERROR(INDEX('5'!C$300:C$400,MATCH("*"&amp;F85&amp;"*",'5'!B$300:B$400,0)),"  ")</f>
        <v xml:space="preserve">  </v>
      </c>
      <c r="U85" s="1398" t="str">
        <f>IFERROR(INDEX('6'!C$300:C$400,MATCH("*"&amp;F85&amp;"*",'6'!B$300:B$400,0)),"  ")</f>
        <v xml:space="preserve">  </v>
      </c>
      <c r="V85" s="1398" t="str">
        <f ca="1">IFERROR(INDEX('7'!C$300:C$400,MATCH("*"&amp;F85&amp;"*",'7'!B$300:B$400,0)),"  ")</f>
        <v xml:space="preserve">  </v>
      </c>
      <c r="W85" s="1398" t="str">
        <f>IFERROR(INDEX('8'!C$300:C$400,MATCH("*"&amp;F85&amp;"*",'8'!B$300:B$400,0)),"  ")</f>
        <v xml:space="preserve">  </v>
      </c>
      <c r="X85" s="1398" t="str">
        <f>IFERROR(INDEX('9'!C$300:C$400,MATCH("*"&amp;F85&amp;"*",'9'!B$300:B$400,0)),"  ")</f>
        <v xml:space="preserve">  </v>
      </c>
      <c r="Y85" s="1398" t="str">
        <f>IFERROR(INDEX('10'!C$300:C$400,MATCH("*"&amp;F85&amp;"*",'10'!B$300:B$400,0)),"  ")</f>
        <v xml:space="preserve">  </v>
      </c>
      <c r="Z85" s="1398" t="str">
        <f>IFERROR(INDEX('11'!C$300:C$400,MATCH("*"&amp;F85&amp;"*",'11'!B$300:B$400,0)),"  ")</f>
        <v xml:space="preserve">  </v>
      </c>
      <c r="AA85" s="1353">
        <f t="shared" ca="1" si="60"/>
        <v>0</v>
      </c>
      <c r="AB85" s="1353">
        <f t="shared" ca="1" si="61"/>
        <v>0</v>
      </c>
      <c r="AC85" s="1353">
        <f t="shared" ca="1" si="62"/>
        <v>0</v>
      </c>
      <c r="AH85" s="1345"/>
      <c r="AS85" s="689">
        <f t="shared" ca="1" si="63"/>
        <v>2.9999999999999997E-4</v>
      </c>
      <c r="AT85" s="690">
        <f t="shared" si="64"/>
        <v>1E-4</v>
      </c>
      <c r="AU85" s="690">
        <f t="shared" si="65"/>
        <v>2.0000000000000001E-4</v>
      </c>
      <c r="AV85" s="690">
        <f t="shared" si="66"/>
        <v>2.9999999999999997E-4</v>
      </c>
      <c r="AW85" s="690">
        <f t="shared" si="67"/>
        <v>4.0000000000000002E-4</v>
      </c>
      <c r="AX85" s="690">
        <f t="shared" si="68"/>
        <v>5.0000000000000001E-4</v>
      </c>
      <c r="AY85" s="690">
        <f t="shared" si="69"/>
        <v>5.9999999999999995E-4</v>
      </c>
      <c r="AZ85" s="690">
        <f t="shared" ca="1" si="70"/>
        <v>6.9999999999999999E-4</v>
      </c>
      <c r="BA85" s="690">
        <f t="shared" si="71"/>
        <v>8.0000000000000004E-4</v>
      </c>
      <c r="BB85" s="690">
        <f t="shared" si="72"/>
        <v>8.9999999999999998E-4</v>
      </c>
      <c r="BC85" s="690">
        <f t="shared" si="73"/>
        <v>1E-3</v>
      </c>
      <c r="BD85" s="690">
        <f t="shared" si="74"/>
        <v>1.1000000000000001E-3</v>
      </c>
    </row>
    <row r="86" spans="1:56" hidden="1" x14ac:dyDescent="0.2">
      <c r="A86" s="1378" t="str">
        <f t="shared" si="50"/>
        <v/>
      </c>
      <c r="B86" s="1392" t="str">
        <f t="shared" si="51"/>
        <v/>
      </c>
      <c r="C86" s="1380" t="str">
        <f t="shared" si="52"/>
        <v/>
      </c>
      <c r="D86" s="1393" t="str">
        <f t="shared" si="53"/>
        <v/>
      </c>
      <c r="E86" s="1394">
        <f t="shared" ca="1" si="54"/>
        <v>70</v>
      </c>
      <c r="F86" s="1411" t="s">
        <v>148</v>
      </c>
      <c r="G86" s="1412"/>
      <c r="H86" s="1414"/>
      <c r="I86" s="1385">
        <f t="array" aca="1" ref="I86" ca="1">(IF(COUNT(P86:Z86)&lt;8,SUM(P86:Z86),SUM(LARGE((P86:Z86),{1;2;3;4;5;6;7;8}))))</f>
        <v>0</v>
      </c>
      <c r="J86" s="1388" t="str">
        <f ca="1">INDEX(ETAPP!B$1:B$32,MATCH(COUNTIF(P86:Z86,PIV!A$1),ETAPP!A$1:A$32,0))&amp;INDEX(ETAPP!B$1:B$32,MATCH(COUNTIF(P86:Z86,PIV!A$2),ETAPP!A$1:A$32,0))&amp;INDEX(ETAPP!B$1:B$32,MATCH(COUNTIF(P86:Z86,PIV!A$3),ETAPP!A$1:A$32,0))&amp;INDEX(ETAPP!B$1:B$32,MATCH(COUNTIF(P86:Z86,PIV!A$4),ETAPP!A$1:A$32,0))&amp;INDEX(ETAPP!B$1:B$32,MATCH(COUNTIF(P86:Z86,PIV!A$5),ETAPP!A$1:A$32,0))&amp;INDEX(ETAPP!B$1:B$32,MATCH(COUNTIF(P86:Z86,PIV!A$6),ETAPP!A$1:A$32,0))&amp;INDEX(ETAPP!B$1:B$32,MATCH(COUNTIF(P86:Z86,PIV!A$7),ETAPP!A$1:A$32,0))&amp;INDEX(ETAPP!B$1:B$32,MATCH(COUNTIF(P86:Z86,PIV!A$8),ETAPP!A$1:A$32,0))&amp;INDEX(ETAPP!B$1:B$32,MATCH(COUNTIF(P86:Z86,PIV!A$9),ETAPP!A$1:A$32,0))&amp;INDEX(ETAPP!B$1:B$32,MATCH(COUNTIF(P86:Z86,PIV!A$10),ETAPP!A$1:A$32,0))&amp;INDEX(ETAPP!B$1:B$32,MATCH(COUNTIF(P86:Z86,PIV!A$11),ETAPP!A$1:A$32,0))&amp;INDEX(ETAPP!B$1:B$32,MATCH(COUNTIF(P86:Z86,PIV!A$12),ETAPP!A$1:A$32,0))&amp;INDEX(ETAPP!B$1:B$32,MATCH(COUNTIF(P86:Z86,PIV!A$13),ETAPP!A$1:A$32,0))&amp;INDEX(ETAPP!B$1:B$32,MATCH(COUNTIF(P86:Z86,PIV!A$14),ETAPP!A$1:A$32,0))&amp;INDEX(ETAPP!B$1:B$32,MATCH(COUNTIF(P86:Z86,PIV!A$15),ETAPP!A$1:A$32,0))&amp;INDEX(ETAPP!B$1:B$32,MATCH(COUNTIF(P86:Z86,PIV!A$16),ETAPP!A$1:A$32,0))&amp;INDEX(ETAPP!B$1:B$32,MATCH(COUNTIF(P86:Z86,PIV!A$17),ETAPP!A$1:A$32,0))&amp;INDEX(ETAPP!B$1:B$32,MATCH(COUNTIF(P86:Z86,PIV!A$18),ETAPP!A$1:A$32,0))&amp;INDEX(ETAPP!B$1:B$32,MATCH(COUNTIF(P86:Z86,PIV!A$19),ETAPP!A$1:A$32,0))</f>
        <v>000000000000000000F</v>
      </c>
      <c r="K86" s="1388" t="str">
        <f t="shared" ca="1" si="55"/>
        <v>000,0-000000000000000000F</v>
      </c>
      <c r="L86" s="1387">
        <f t="shared" ca="1" si="56"/>
        <v>108</v>
      </c>
      <c r="M86" s="1387">
        <f t="shared" si="57"/>
        <v>91</v>
      </c>
      <c r="N86" s="1388" t="str">
        <f t="shared" ca="1" si="58"/>
        <v>000,0-000000000000000000F-091</v>
      </c>
      <c r="O86" s="1396">
        <f t="shared" ca="1" si="59"/>
        <v>30</v>
      </c>
      <c r="P86" s="1397" t="str">
        <f>IFERROR(INDEX('1'!C$300:C$400,MATCH("*"&amp;F86&amp;"*",'1'!B$300:B$400,0)),"  ")</f>
        <v xml:space="preserve">  </v>
      </c>
      <c r="Q86" s="1398" t="str">
        <f>IFERROR(INDEX('2'!C$300:C$400,MATCH("*"&amp;F86&amp;"*",'2'!B$300:B$400,0)),"  ")</f>
        <v xml:space="preserve">  </v>
      </c>
      <c r="R86" s="1398" t="str">
        <f>IFERROR(INDEX('3'!C$300:C$400,MATCH("*"&amp;F86&amp;"*",'3'!B$300:B$400,0)),"  ")</f>
        <v xml:space="preserve">  </v>
      </c>
      <c r="S86" s="1398" t="str">
        <f>IFERROR(INDEX('4'!C$300:C$400,MATCH("*"&amp;F86&amp;"*",'4'!B$300:B$400,0)),"  ")</f>
        <v xml:space="preserve">  </v>
      </c>
      <c r="T86" s="1398" t="str">
        <f>IFERROR(INDEX('5'!C$300:C$400,MATCH("*"&amp;F86&amp;"*",'5'!B$300:B$400,0)),"  ")</f>
        <v xml:space="preserve">  </v>
      </c>
      <c r="U86" s="1398" t="str">
        <f>IFERROR(INDEX('6'!C$300:C$400,MATCH("*"&amp;F86&amp;"*",'6'!B$300:B$400,0)),"  ")</f>
        <v xml:space="preserve">  </v>
      </c>
      <c r="V86" s="1398" t="str">
        <f ca="1">IFERROR(INDEX('7'!C$300:C$400,MATCH("*"&amp;F86&amp;"*",'7'!B$300:B$400,0)),"  ")</f>
        <v xml:space="preserve">  </v>
      </c>
      <c r="W86" s="1398" t="str">
        <f>IFERROR(INDEX('8'!C$300:C$400,MATCH("*"&amp;F86&amp;"*",'8'!B$300:B$400,0)),"  ")</f>
        <v xml:space="preserve">  </v>
      </c>
      <c r="X86" s="1398" t="str">
        <f>IFERROR(INDEX('9'!C$300:C$400,MATCH("*"&amp;F86&amp;"*",'9'!B$300:B$400,0)),"  ")</f>
        <v xml:space="preserve">  </v>
      </c>
      <c r="Y86" s="1398" t="str">
        <f>IFERROR(INDEX('10'!C$300:C$400,MATCH("*"&amp;F86&amp;"*",'10'!B$300:B$400,0)),"  ")</f>
        <v xml:space="preserve">  </v>
      </c>
      <c r="Z86" s="1398" t="str">
        <f>IFERROR(INDEX('11'!C$300:C$400,MATCH("*"&amp;F86&amp;"*",'11'!B$300:B$400,0)),"  ")</f>
        <v xml:space="preserve">  </v>
      </c>
      <c r="AA86" s="1353">
        <f t="shared" ca="1" si="60"/>
        <v>0</v>
      </c>
      <c r="AB86" s="1353">
        <f t="shared" ca="1" si="61"/>
        <v>0</v>
      </c>
      <c r="AC86" s="1353">
        <f t="shared" ca="1" si="62"/>
        <v>0</v>
      </c>
      <c r="AH86" s="1345"/>
      <c r="AS86" s="689">
        <f t="shared" ca="1" si="63"/>
        <v>2.9999999999999997E-4</v>
      </c>
      <c r="AT86" s="690">
        <f t="shared" si="64"/>
        <v>1E-4</v>
      </c>
      <c r="AU86" s="690">
        <f t="shared" si="65"/>
        <v>2.0000000000000001E-4</v>
      </c>
      <c r="AV86" s="690">
        <f t="shared" si="66"/>
        <v>2.9999999999999997E-4</v>
      </c>
      <c r="AW86" s="690">
        <f t="shared" si="67"/>
        <v>4.0000000000000002E-4</v>
      </c>
      <c r="AX86" s="690">
        <f t="shared" si="68"/>
        <v>5.0000000000000001E-4</v>
      </c>
      <c r="AY86" s="690">
        <f t="shared" si="69"/>
        <v>5.9999999999999995E-4</v>
      </c>
      <c r="AZ86" s="690">
        <f t="shared" ca="1" si="70"/>
        <v>6.9999999999999999E-4</v>
      </c>
      <c r="BA86" s="690">
        <f t="shared" si="71"/>
        <v>8.0000000000000004E-4</v>
      </c>
      <c r="BB86" s="690">
        <f t="shared" si="72"/>
        <v>8.9999999999999998E-4</v>
      </c>
      <c r="BC86" s="690">
        <f t="shared" si="73"/>
        <v>1E-3</v>
      </c>
      <c r="BD86" s="690">
        <f t="shared" si="74"/>
        <v>1.1000000000000001E-3</v>
      </c>
    </row>
    <row r="87" spans="1:56" hidden="1" x14ac:dyDescent="0.2">
      <c r="A87" s="1378" t="str">
        <f t="shared" si="50"/>
        <v/>
      </c>
      <c r="B87" s="1392" t="str">
        <f t="shared" si="51"/>
        <v/>
      </c>
      <c r="C87" s="1380" t="str">
        <f t="shared" si="52"/>
        <v/>
      </c>
      <c r="D87" s="1393" t="str">
        <f t="shared" si="53"/>
        <v/>
      </c>
      <c r="E87" s="1394">
        <f t="shared" ca="1" si="54"/>
        <v>70</v>
      </c>
      <c r="F87" s="1411" t="s">
        <v>132</v>
      </c>
      <c r="G87" s="1412"/>
      <c r="H87" s="1414"/>
      <c r="I87" s="1385">
        <f t="array" aca="1" ref="I87" ca="1">(IF(COUNT(P87:Z87)&lt;8,SUM(P87:Z87),SUM(LARGE((P87:Z87),{1;2;3;4;5;6;7;8}))))</f>
        <v>0</v>
      </c>
      <c r="J87" s="1388" t="str">
        <f ca="1">INDEX(ETAPP!B$1:B$32,MATCH(COUNTIF(P87:Z87,PIV!A$1),ETAPP!A$1:A$32,0))&amp;INDEX(ETAPP!B$1:B$32,MATCH(COUNTIF(P87:Z87,PIV!A$2),ETAPP!A$1:A$32,0))&amp;INDEX(ETAPP!B$1:B$32,MATCH(COUNTIF(P87:Z87,PIV!A$3),ETAPP!A$1:A$32,0))&amp;INDEX(ETAPP!B$1:B$32,MATCH(COUNTIF(P87:Z87,PIV!A$4),ETAPP!A$1:A$32,0))&amp;INDEX(ETAPP!B$1:B$32,MATCH(COUNTIF(P87:Z87,PIV!A$5),ETAPP!A$1:A$32,0))&amp;INDEX(ETAPP!B$1:B$32,MATCH(COUNTIF(P87:Z87,PIV!A$6),ETAPP!A$1:A$32,0))&amp;INDEX(ETAPP!B$1:B$32,MATCH(COUNTIF(P87:Z87,PIV!A$7),ETAPP!A$1:A$32,0))&amp;INDEX(ETAPP!B$1:B$32,MATCH(COUNTIF(P87:Z87,PIV!A$8),ETAPP!A$1:A$32,0))&amp;INDEX(ETAPP!B$1:B$32,MATCH(COUNTIF(P87:Z87,PIV!A$9),ETAPP!A$1:A$32,0))&amp;INDEX(ETAPP!B$1:B$32,MATCH(COUNTIF(P87:Z87,PIV!A$10),ETAPP!A$1:A$32,0))&amp;INDEX(ETAPP!B$1:B$32,MATCH(COUNTIF(P87:Z87,PIV!A$11),ETAPP!A$1:A$32,0))&amp;INDEX(ETAPP!B$1:B$32,MATCH(COUNTIF(P87:Z87,PIV!A$12),ETAPP!A$1:A$32,0))&amp;INDEX(ETAPP!B$1:B$32,MATCH(COUNTIF(P87:Z87,PIV!A$13),ETAPP!A$1:A$32,0))&amp;INDEX(ETAPP!B$1:B$32,MATCH(COUNTIF(P87:Z87,PIV!A$14),ETAPP!A$1:A$32,0))&amp;INDEX(ETAPP!B$1:B$32,MATCH(COUNTIF(P87:Z87,PIV!A$15),ETAPP!A$1:A$32,0))&amp;INDEX(ETAPP!B$1:B$32,MATCH(COUNTIF(P87:Z87,PIV!A$16),ETAPP!A$1:A$32,0))&amp;INDEX(ETAPP!B$1:B$32,MATCH(COUNTIF(P87:Z87,PIV!A$17),ETAPP!A$1:A$32,0))&amp;INDEX(ETAPP!B$1:B$32,MATCH(COUNTIF(P87:Z87,PIV!A$18),ETAPP!A$1:A$32,0))&amp;INDEX(ETAPP!B$1:B$32,MATCH(COUNTIF(P87:Z87,PIV!A$19),ETAPP!A$1:A$32,0))</f>
        <v>000000000000000000F</v>
      </c>
      <c r="K87" s="1388" t="str">
        <f t="shared" ca="1" si="55"/>
        <v>000,0-000000000000000000F</v>
      </c>
      <c r="L87" s="1387">
        <f t="shared" ca="1" si="56"/>
        <v>108</v>
      </c>
      <c r="M87" s="1387">
        <f t="shared" si="57"/>
        <v>89</v>
      </c>
      <c r="N87" s="1388" t="str">
        <f t="shared" ca="1" si="58"/>
        <v>000,0-000000000000000000F-089</v>
      </c>
      <c r="O87" s="1396">
        <f t="shared" ca="1" si="59"/>
        <v>29</v>
      </c>
      <c r="P87" s="1397" t="str">
        <f>IFERROR(INDEX('1'!C$300:C$400,MATCH("*"&amp;F87&amp;"*",'1'!B$300:B$400,0)),"  ")</f>
        <v xml:space="preserve">  </v>
      </c>
      <c r="Q87" s="1398" t="str">
        <f>IFERROR(INDEX('2'!C$300:C$400,MATCH("*"&amp;F87&amp;"*",'2'!B$300:B$400,0)),"  ")</f>
        <v xml:space="preserve">  </v>
      </c>
      <c r="R87" s="1398" t="str">
        <f>IFERROR(INDEX('3'!C$300:C$400,MATCH("*"&amp;F87&amp;"*",'3'!B$300:B$400,0)),"  ")</f>
        <v xml:space="preserve">  </v>
      </c>
      <c r="S87" s="1398" t="str">
        <f>IFERROR(INDEX('4'!C$300:C$400,MATCH("*"&amp;F87&amp;"*",'4'!B$300:B$400,0)),"  ")</f>
        <v xml:space="preserve">  </v>
      </c>
      <c r="T87" s="1398" t="str">
        <f>IFERROR(INDEX('5'!C$300:C$400,MATCH("*"&amp;F87&amp;"*",'5'!B$300:B$400,0)),"  ")</f>
        <v xml:space="preserve">  </v>
      </c>
      <c r="U87" s="1398" t="str">
        <f>IFERROR(INDEX('6'!C$300:C$400,MATCH("*"&amp;F87&amp;"*",'6'!B$300:B$400,0)),"  ")</f>
        <v xml:space="preserve">  </v>
      </c>
      <c r="V87" s="1398" t="str">
        <f ca="1">IFERROR(INDEX('7'!C$300:C$400,MATCH("*"&amp;F87&amp;"*",'7'!B$300:B$400,0)),"  ")</f>
        <v xml:space="preserve">  </v>
      </c>
      <c r="W87" s="1398" t="str">
        <f>IFERROR(INDEX('8'!C$300:C$400,MATCH("*"&amp;F87&amp;"*",'8'!B$300:B$400,0)),"  ")</f>
        <v xml:space="preserve">  </v>
      </c>
      <c r="X87" s="1398" t="str">
        <f>IFERROR(INDEX('9'!C$300:C$400,MATCH("*"&amp;F87&amp;"*",'9'!B$300:B$400,0)),"  ")</f>
        <v xml:space="preserve">  </v>
      </c>
      <c r="Y87" s="1398" t="str">
        <f>IFERROR(INDEX('10'!C$300:C$400,MATCH("*"&amp;F87&amp;"*",'10'!B$300:B$400,0)),"  ")</f>
        <v xml:space="preserve">  </v>
      </c>
      <c r="Z87" s="1398" t="str">
        <f>IFERROR(INDEX('11'!C$300:C$400,MATCH("*"&amp;F87&amp;"*",'11'!B$300:B$400,0)),"  ")</f>
        <v xml:space="preserve">  </v>
      </c>
      <c r="AA87" s="1353">
        <f t="shared" ca="1" si="60"/>
        <v>0</v>
      </c>
      <c r="AB87" s="1353">
        <f t="shared" ca="1" si="61"/>
        <v>0</v>
      </c>
      <c r="AC87" s="1353">
        <f t="shared" ca="1" si="62"/>
        <v>0</v>
      </c>
      <c r="AH87" s="1345"/>
      <c r="AS87" s="689">
        <f t="shared" ca="1" si="63"/>
        <v>2.9999999999999997E-4</v>
      </c>
      <c r="AT87" s="690">
        <f t="shared" si="64"/>
        <v>1E-4</v>
      </c>
      <c r="AU87" s="690">
        <f t="shared" si="65"/>
        <v>2.0000000000000001E-4</v>
      </c>
      <c r="AV87" s="690">
        <f t="shared" si="66"/>
        <v>2.9999999999999997E-4</v>
      </c>
      <c r="AW87" s="690">
        <f t="shared" si="67"/>
        <v>4.0000000000000002E-4</v>
      </c>
      <c r="AX87" s="690">
        <f t="shared" si="68"/>
        <v>5.0000000000000001E-4</v>
      </c>
      <c r="AY87" s="690">
        <f t="shared" si="69"/>
        <v>5.9999999999999995E-4</v>
      </c>
      <c r="AZ87" s="690">
        <f t="shared" ca="1" si="70"/>
        <v>6.9999999999999999E-4</v>
      </c>
      <c r="BA87" s="690">
        <f t="shared" si="71"/>
        <v>8.0000000000000004E-4</v>
      </c>
      <c r="BB87" s="690">
        <f t="shared" si="72"/>
        <v>8.9999999999999998E-4</v>
      </c>
      <c r="BC87" s="690">
        <f t="shared" si="73"/>
        <v>1E-3</v>
      </c>
      <c r="BD87" s="690">
        <f t="shared" si="74"/>
        <v>1.1000000000000001E-3</v>
      </c>
    </row>
    <row r="88" spans="1:56" hidden="1" x14ac:dyDescent="0.2">
      <c r="A88" s="1378" t="str">
        <f t="shared" si="50"/>
        <v/>
      </c>
      <c r="B88" s="1392" t="str">
        <f t="shared" si="51"/>
        <v/>
      </c>
      <c r="C88" s="1380" t="str">
        <f t="shared" si="52"/>
        <v/>
      </c>
      <c r="D88" s="1393" t="str">
        <f t="shared" si="53"/>
        <v/>
      </c>
      <c r="E88" s="1394">
        <f t="shared" ca="1" si="54"/>
        <v>70</v>
      </c>
      <c r="F88" s="1360" t="s">
        <v>149</v>
      </c>
      <c r="G88" s="1379"/>
      <c r="H88" s="1384"/>
      <c r="I88" s="1385">
        <f t="array" aca="1" ref="I88" ca="1">(IF(COUNT(P88:Z88)&lt;8,SUM(P88:Z88),SUM(LARGE((P88:Z88),{1;2;3;4;5;6;7;8}))))</f>
        <v>0</v>
      </c>
      <c r="J88" s="1388" t="str">
        <f ca="1">INDEX(ETAPP!B$1:B$32,MATCH(COUNTIF(P88:Z88,PIV!A$1),ETAPP!A$1:A$32,0))&amp;INDEX(ETAPP!B$1:B$32,MATCH(COUNTIF(P88:Z88,PIV!A$2),ETAPP!A$1:A$32,0))&amp;INDEX(ETAPP!B$1:B$32,MATCH(COUNTIF(P88:Z88,PIV!A$3),ETAPP!A$1:A$32,0))&amp;INDEX(ETAPP!B$1:B$32,MATCH(COUNTIF(P88:Z88,PIV!A$4),ETAPP!A$1:A$32,0))&amp;INDEX(ETAPP!B$1:B$32,MATCH(COUNTIF(P88:Z88,PIV!A$5),ETAPP!A$1:A$32,0))&amp;INDEX(ETAPP!B$1:B$32,MATCH(COUNTIF(P88:Z88,PIV!A$6),ETAPP!A$1:A$32,0))&amp;INDEX(ETAPP!B$1:B$32,MATCH(COUNTIF(P88:Z88,PIV!A$7),ETAPP!A$1:A$32,0))&amp;INDEX(ETAPP!B$1:B$32,MATCH(COUNTIF(P88:Z88,PIV!A$8),ETAPP!A$1:A$32,0))&amp;INDEX(ETAPP!B$1:B$32,MATCH(COUNTIF(P88:Z88,PIV!A$9),ETAPP!A$1:A$32,0))&amp;INDEX(ETAPP!B$1:B$32,MATCH(COUNTIF(P88:Z88,PIV!A$10),ETAPP!A$1:A$32,0))&amp;INDEX(ETAPP!B$1:B$32,MATCH(COUNTIF(P88:Z88,PIV!A$11),ETAPP!A$1:A$32,0))&amp;INDEX(ETAPP!B$1:B$32,MATCH(COUNTIF(P88:Z88,PIV!A$12),ETAPP!A$1:A$32,0))&amp;INDEX(ETAPP!B$1:B$32,MATCH(COUNTIF(P88:Z88,PIV!A$13),ETAPP!A$1:A$32,0))&amp;INDEX(ETAPP!B$1:B$32,MATCH(COUNTIF(P88:Z88,PIV!A$14),ETAPP!A$1:A$32,0))&amp;INDEX(ETAPP!B$1:B$32,MATCH(COUNTIF(P88:Z88,PIV!A$15),ETAPP!A$1:A$32,0))&amp;INDEX(ETAPP!B$1:B$32,MATCH(COUNTIF(P88:Z88,PIV!A$16),ETAPP!A$1:A$32,0))&amp;INDEX(ETAPP!B$1:B$32,MATCH(COUNTIF(P88:Z88,PIV!A$17),ETAPP!A$1:A$32,0))&amp;INDEX(ETAPP!B$1:B$32,MATCH(COUNTIF(P88:Z88,PIV!A$18),ETAPP!A$1:A$32,0))&amp;INDEX(ETAPP!B$1:B$32,MATCH(COUNTIF(P88:Z88,PIV!A$19),ETAPP!A$1:A$32,0))</f>
        <v>000000000000000000F</v>
      </c>
      <c r="K88" s="1388" t="str">
        <f t="shared" ca="1" si="55"/>
        <v>000,0-000000000000000000F</v>
      </c>
      <c r="L88" s="1387">
        <f t="shared" ca="1" si="56"/>
        <v>108</v>
      </c>
      <c r="M88" s="1387">
        <f t="shared" si="57"/>
        <v>86</v>
      </c>
      <c r="N88" s="1388" t="str">
        <f t="shared" ca="1" si="58"/>
        <v>000,0-000000000000000000F-086</v>
      </c>
      <c r="O88" s="1396">
        <f t="shared" ca="1" si="59"/>
        <v>28</v>
      </c>
      <c r="P88" s="1397" t="str">
        <f>IFERROR(INDEX('1'!C$300:C$400,MATCH("*"&amp;F88&amp;"*",'1'!B$300:B$400,0)),"  ")</f>
        <v xml:space="preserve">  </v>
      </c>
      <c r="Q88" s="1398" t="str">
        <f>IFERROR(INDEX('2'!C$300:C$400,MATCH("*"&amp;F88&amp;"*",'2'!B$300:B$400,0)),"  ")</f>
        <v xml:space="preserve">  </v>
      </c>
      <c r="R88" s="1398" t="str">
        <f>IFERROR(INDEX('3'!C$300:C$400,MATCH("*"&amp;F88&amp;"*",'3'!B$300:B$400,0)),"  ")</f>
        <v xml:space="preserve">  </v>
      </c>
      <c r="S88" s="1398" t="str">
        <f>IFERROR(INDEX('4'!C$300:C$400,MATCH("*"&amp;F88&amp;"*",'4'!B$300:B$400,0)),"  ")</f>
        <v xml:space="preserve">  </v>
      </c>
      <c r="T88" s="1398" t="str">
        <f>IFERROR(INDEX('5'!C$300:C$400,MATCH("*"&amp;F88&amp;"*",'5'!B$300:B$400,0)),"  ")</f>
        <v xml:space="preserve">  </v>
      </c>
      <c r="U88" s="1398" t="str">
        <f>IFERROR(INDEX('6'!C$300:C$400,MATCH("*"&amp;F88&amp;"*",'6'!B$300:B$400,0)),"  ")</f>
        <v xml:space="preserve">  </v>
      </c>
      <c r="V88" s="1398" t="str">
        <f ca="1">IFERROR(INDEX('7'!C$300:C$400,MATCH("*"&amp;F88&amp;"*",'7'!B$300:B$400,0)),"  ")</f>
        <v xml:space="preserve">  </v>
      </c>
      <c r="W88" s="1398" t="str">
        <f>IFERROR(INDEX('8'!C$300:C$400,MATCH("*"&amp;F88&amp;"*",'8'!B$300:B$400,0)),"  ")</f>
        <v xml:space="preserve">  </v>
      </c>
      <c r="X88" s="1398" t="str">
        <f>IFERROR(INDEX('9'!C$300:C$400,MATCH("*"&amp;F88&amp;"*",'9'!B$300:B$400,0)),"  ")</f>
        <v xml:space="preserve">  </v>
      </c>
      <c r="Y88" s="1398" t="str">
        <f>IFERROR(INDEX('10'!C$300:C$400,MATCH("*"&amp;F88&amp;"*",'10'!B$300:B$400,0)),"  ")</f>
        <v xml:space="preserve">  </v>
      </c>
      <c r="Z88" s="1398" t="str">
        <f>IFERROR(INDEX('11'!C$300:C$400,MATCH("*"&amp;F88&amp;"*",'11'!B$300:B$400,0)),"  ")</f>
        <v xml:space="preserve">  </v>
      </c>
      <c r="AA88" s="1353">
        <f t="shared" ca="1" si="60"/>
        <v>0</v>
      </c>
      <c r="AB88" s="1353">
        <f t="shared" ca="1" si="61"/>
        <v>0</v>
      </c>
      <c r="AC88" s="1353">
        <f t="shared" ca="1" si="62"/>
        <v>0</v>
      </c>
      <c r="AH88" s="1345"/>
      <c r="AS88" s="689">
        <f t="shared" ca="1" si="63"/>
        <v>2.9999999999999997E-4</v>
      </c>
      <c r="AT88" s="690">
        <f t="shared" si="64"/>
        <v>1E-4</v>
      </c>
      <c r="AU88" s="690">
        <f t="shared" si="65"/>
        <v>2.0000000000000001E-4</v>
      </c>
      <c r="AV88" s="690">
        <f t="shared" si="66"/>
        <v>2.9999999999999997E-4</v>
      </c>
      <c r="AW88" s="690">
        <f t="shared" si="67"/>
        <v>4.0000000000000002E-4</v>
      </c>
      <c r="AX88" s="690">
        <f t="shared" si="68"/>
        <v>5.0000000000000001E-4</v>
      </c>
      <c r="AY88" s="690">
        <f t="shared" si="69"/>
        <v>5.9999999999999995E-4</v>
      </c>
      <c r="AZ88" s="690">
        <f t="shared" ca="1" si="70"/>
        <v>6.9999999999999999E-4</v>
      </c>
      <c r="BA88" s="690">
        <f t="shared" si="71"/>
        <v>8.0000000000000004E-4</v>
      </c>
      <c r="BB88" s="690">
        <f t="shared" si="72"/>
        <v>8.9999999999999998E-4</v>
      </c>
      <c r="BC88" s="690">
        <f t="shared" si="73"/>
        <v>1E-3</v>
      </c>
      <c r="BD88" s="690">
        <f t="shared" si="74"/>
        <v>1.1000000000000001E-3</v>
      </c>
    </row>
    <row r="89" spans="1:56" hidden="1" x14ac:dyDescent="0.2">
      <c r="A89" s="1378" t="str">
        <f t="shared" si="50"/>
        <v/>
      </c>
      <c r="B89" s="1392" t="str">
        <f t="shared" si="51"/>
        <v/>
      </c>
      <c r="C89" s="1380" t="str">
        <f t="shared" si="52"/>
        <v/>
      </c>
      <c r="D89" s="1393" t="str">
        <f t="shared" si="53"/>
        <v/>
      </c>
      <c r="E89" s="1394">
        <f t="shared" ca="1" si="54"/>
        <v>70</v>
      </c>
      <c r="F89" s="1360" t="s">
        <v>151</v>
      </c>
      <c r="G89" s="1379"/>
      <c r="H89" s="1384"/>
      <c r="I89" s="1385">
        <f t="array" aca="1" ref="I89" ca="1">(IF(COUNT(P89:Z89)&lt;8,SUM(P89:Z89),SUM(LARGE((P89:Z89),{1;2;3;4;5;6;7;8}))))</f>
        <v>0</v>
      </c>
      <c r="J89" s="1388" t="str">
        <f ca="1">INDEX(ETAPP!B$1:B$32,MATCH(COUNTIF(P89:Z89,PIV!A$1),ETAPP!A$1:A$32,0))&amp;INDEX(ETAPP!B$1:B$32,MATCH(COUNTIF(P89:Z89,PIV!A$2),ETAPP!A$1:A$32,0))&amp;INDEX(ETAPP!B$1:B$32,MATCH(COUNTIF(P89:Z89,PIV!A$3),ETAPP!A$1:A$32,0))&amp;INDEX(ETAPP!B$1:B$32,MATCH(COUNTIF(P89:Z89,PIV!A$4),ETAPP!A$1:A$32,0))&amp;INDEX(ETAPP!B$1:B$32,MATCH(COUNTIF(P89:Z89,PIV!A$5),ETAPP!A$1:A$32,0))&amp;INDEX(ETAPP!B$1:B$32,MATCH(COUNTIF(P89:Z89,PIV!A$6),ETAPP!A$1:A$32,0))&amp;INDEX(ETAPP!B$1:B$32,MATCH(COUNTIF(P89:Z89,PIV!A$7),ETAPP!A$1:A$32,0))&amp;INDEX(ETAPP!B$1:B$32,MATCH(COUNTIF(P89:Z89,PIV!A$8),ETAPP!A$1:A$32,0))&amp;INDEX(ETAPP!B$1:B$32,MATCH(COUNTIF(P89:Z89,PIV!A$9),ETAPP!A$1:A$32,0))&amp;INDEX(ETAPP!B$1:B$32,MATCH(COUNTIF(P89:Z89,PIV!A$10),ETAPP!A$1:A$32,0))&amp;INDEX(ETAPP!B$1:B$32,MATCH(COUNTIF(P89:Z89,PIV!A$11),ETAPP!A$1:A$32,0))&amp;INDEX(ETAPP!B$1:B$32,MATCH(COUNTIF(P89:Z89,PIV!A$12),ETAPP!A$1:A$32,0))&amp;INDEX(ETAPP!B$1:B$32,MATCH(COUNTIF(P89:Z89,PIV!A$13),ETAPP!A$1:A$32,0))&amp;INDEX(ETAPP!B$1:B$32,MATCH(COUNTIF(P89:Z89,PIV!A$14),ETAPP!A$1:A$32,0))&amp;INDEX(ETAPP!B$1:B$32,MATCH(COUNTIF(P89:Z89,PIV!A$15),ETAPP!A$1:A$32,0))&amp;INDEX(ETAPP!B$1:B$32,MATCH(COUNTIF(P89:Z89,PIV!A$16),ETAPP!A$1:A$32,0))&amp;INDEX(ETAPP!B$1:B$32,MATCH(COUNTIF(P89:Z89,PIV!A$17),ETAPP!A$1:A$32,0))&amp;INDEX(ETAPP!B$1:B$32,MATCH(COUNTIF(P89:Z89,PIV!A$18),ETAPP!A$1:A$32,0))&amp;INDEX(ETAPP!B$1:B$32,MATCH(COUNTIF(P89:Z89,PIV!A$19),ETAPP!A$1:A$32,0))</f>
        <v>000000000000000000F</v>
      </c>
      <c r="K89" s="1388" t="str">
        <f t="shared" ca="1" si="55"/>
        <v>000,0-000000000000000000F</v>
      </c>
      <c r="L89" s="1387">
        <f t="shared" ca="1" si="56"/>
        <v>108</v>
      </c>
      <c r="M89" s="1387">
        <f t="shared" si="57"/>
        <v>80</v>
      </c>
      <c r="N89" s="1388" t="str">
        <f t="shared" ca="1" si="58"/>
        <v>000,0-000000000000000000F-080</v>
      </c>
      <c r="O89" s="1396">
        <f t="shared" ca="1" si="59"/>
        <v>27</v>
      </c>
      <c r="P89" s="1397" t="str">
        <f>IFERROR(INDEX('1'!C$300:C$400,MATCH("*"&amp;F89&amp;"*",'1'!B$300:B$400,0)),"  ")</f>
        <v xml:space="preserve">  </v>
      </c>
      <c r="Q89" s="1398" t="str">
        <f>IFERROR(INDEX('2'!C$300:C$400,MATCH("*"&amp;F89&amp;"*",'2'!B$300:B$400,0)),"  ")</f>
        <v xml:space="preserve">  </v>
      </c>
      <c r="R89" s="1398" t="str">
        <f>IFERROR(INDEX('3'!C$300:C$400,MATCH("*"&amp;F89&amp;"*",'3'!B$300:B$400,0)),"  ")</f>
        <v xml:space="preserve">  </v>
      </c>
      <c r="S89" s="1398" t="str">
        <f>IFERROR(INDEX('4'!C$300:C$400,MATCH("*"&amp;F89&amp;"*",'4'!B$300:B$400,0)),"  ")</f>
        <v xml:space="preserve">  </v>
      </c>
      <c r="T89" s="1398" t="str">
        <f>IFERROR(INDEX('5'!C$300:C$400,MATCH("*"&amp;F89&amp;"*",'5'!B$300:B$400,0)),"  ")</f>
        <v xml:space="preserve">  </v>
      </c>
      <c r="U89" s="1398" t="str">
        <f>IFERROR(INDEX('6'!C$300:C$400,MATCH("*"&amp;F89&amp;"*",'6'!B$300:B$400,0)),"  ")</f>
        <v xml:space="preserve">  </v>
      </c>
      <c r="V89" s="1398" t="str">
        <f ca="1">IFERROR(INDEX('7'!C$300:C$400,MATCH("*"&amp;F89&amp;"*",'7'!B$300:B$400,0)),"  ")</f>
        <v xml:space="preserve">  </v>
      </c>
      <c r="W89" s="1398" t="str">
        <f>IFERROR(INDEX('8'!C$300:C$400,MATCH("*"&amp;F89&amp;"*",'8'!B$300:B$400,0)),"  ")</f>
        <v xml:space="preserve">  </v>
      </c>
      <c r="X89" s="1398" t="str">
        <f>IFERROR(INDEX('9'!C$300:C$400,MATCH("*"&amp;F89&amp;"*",'9'!B$300:B$400,0)),"  ")</f>
        <v xml:space="preserve">  </v>
      </c>
      <c r="Y89" s="1398" t="str">
        <f>IFERROR(INDEX('10'!C$300:C$400,MATCH("*"&amp;F89&amp;"*",'10'!B$300:B$400,0)),"  ")</f>
        <v xml:space="preserve">  </v>
      </c>
      <c r="Z89" s="1398" t="str">
        <f>IFERROR(INDEX('11'!C$300:C$400,MATCH("*"&amp;F89&amp;"*",'11'!B$300:B$400,0)),"  ")</f>
        <v xml:space="preserve">  </v>
      </c>
      <c r="AA89" s="1353">
        <f t="shared" ca="1" si="60"/>
        <v>0</v>
      </c>
      <c r="AB89" s="1353">
        <f t="shared" ca="1" si="61"/>
        <v>0</v>
      </c>
      <c r="AC89" s="1353">
        <f t="shared" ca="1" si="62"/>
        <v>0</v>
      </c>
      <c r="AH89" s="1345"/>
      <c r="AS89" s="689">
        <f t="shared" ca="1" si="63"/>
        <v>2.9999999999999997E-4</v>
      </c>
      <c r="AT89" s="690">
        <f t="shared" si="64"/>
        <v>1E-4</v>
      </c>
      <c r="AU89" s="690">
        <f t="shared" si="65"/>
        <v>2.0000000000000001E-4</v>
      </c>
      <c r="AV89" s="690">
        <f t="shared" si="66"/>
        <v>2.9999999999999997E-4</v>
      </c>
      <c r="AW89" s="690">
        <f t="shared" si="67"/>
        <v>4.0000000000000002E-4</v>
      </c>
      <c r="AX89" s="690">
        <f t="shared" si="68"/>
        <v>5.0000000000000001E-4</v>
      </c>
      <c r="AY89" s="690">
        <f t="shared" si="69"/>
        <v>5.9999999999999995E-4</v>
      </c>
      <c r="AZ89" s="690">
        <f t="shared" ca="1" si="70"/>
        <v>6.9999999999999999E-4</v>
      </c>
      <c r="BA89" s="690">
        <f t="shared" si="71"/>
        <v>8.0000000000000004E-4</v>
      </c>
      <c r="BB89" s="690">
        <f t="shared" si="72"/>
        <v>8.9999999999999998E-4</v>
      </c>
      <c r="BC89" s="690">
        <f t="shared" si="73"/>
        <v>1E-3</v>
      </c>
      <c r="BD89" s="690">
        <f t="shared" si="74"/>
        <v>1.1000000000000001E-3</v>
      </c>
    </row>
    <row r="90" spans="1:56" hidden="1" x14ac:dyDescent="0.2">
      <c r="A90" s="1378" t="str">
        <f t="shared" si="50"/>
        <v/>
      </c>
      <c r="B90" s="1392" t="str">
        <f t="shared" si="51"/>
        <v/>
      </c>
      <c r="C90" s="1380" t="str">
        <f t="shared" si="52"/>
        <v/>
      </c>
      <c r="D90" s="1393" t="str">
        <f t="shared" si="53"/>
        <v/>
      </c>
      <c r="E90" s="1394">
        <f t="shared" ca="1" si="54"/>
        <v>70</v>
      </c>
      <c r="F90" s="1360" t="s">
        <v>152</v>
      </c>
      <c r="G90" s="1379"/>
      <c r="H90" s="1384"/>
      <c r="I90" s="1385">
        <f t="array" aca="1" ref="I90" ca="1">(IF(COUNT(P90:Z90)&lt;8,SUM(P90:Z90),SUM(LARGE((P90:Z90),{1;2;3;4;5;6;7;8}))))</f>
        <v>0</v>
      </c>
      <c r="J90" s="1388" t="str">
        <f ca="1">INDEX(ETAPP!B$1:B$32,MATCH(COUNTIF(P90:Z90,PIV!A$1),ETAPP!A$1:A$32,0))&amp;INDEX(ETAPP!B$1:B$32,MATCH(COUNTIF(P90:Z90,PIV!A$2),ETAPP!A$1:A$32,0))&amp;INDEX(ETAPP!B$1:B$32,MATCH(COUNTIF(P90:Z90,PIV!A$3),ETAPP!A$1:A$32,0))&amp;INDEX(ETAPP!B$1:B$32,MATCH(COUNTIF(P90:Z90,PIV!A$4),ETAPP!A$1:A$32,0))&amp;INDEX(ETAPP!B$1:B$32,MATCH(COUNTIF(P90:Z90,PIV!A$5),ETAPP!A$1:A$32,0))&amp;INDEX(ETAPP!B$1:B$32,MATCH(COUNTIF(P90:Z90,PIV!A$6),ETAPP!A$1:A$32,0))&amp;INDEX(ETAPP!B$1:B$32,MATCH(COUNTIF(P90:Z90,PIV!A$7),ETAPP!A$1:A$32,0))&amp;INDEX(ETAPP!B$1:B$32,MATCH(COUNTIF(P90:Z90,PIV!A$8),ETAPP!A$1:A$32,0))&amp;INDEX(ETAPP!B$1:B$32,MATCH(COUNTIF(P90:Z90,PIV!A$9),ETAPP!A$1:A$32,0))&amp;INDEX(ETAPP!B$1:B$32,MATCH(COUNTIF(P90:Z90,PIV!A$10),ETAPP!A$1:A$32,0))&amp;INDEX(ETAPP!B$1:B$32,MATCH(COUNTIF(P90:Z90,PIV!A$11),ETAPP!A$1:A$32,0))&amp;INDEX(ETAPP!B$1:B$32,MATCH(COUNTIF(P90:Z90,PIV!A$12),ETAPP!A$1:A$32,0))&amp;INDEX(ETAPP!B$1:B$32,MATCH(COUNTIF(P90:Z90,PIV!A$13),ETAPP!A$1:A$32,0))&amp;INDEX(ETAPP!B$1:B$32,MATCH(COUNTIF(P90:Z90,PIV!A$14),ETAPP!A$1:A$32,0))&amp;INDEX(ETAPP!B$1:B$32,MATCH(COUNTIF(P90:Z90,PIV!A$15),ETAPP!A$1:A$32,0))&amp;INDEX(ETAPP!B$1:B$32,MATCH(COUNTIF(P90:Z90,PIV!A$16),ETAPP!A$1:A$32,0))&amp;INDEX(ETAPP!B$1:B$32,MATCH(COUNTIF(P90:Z90,PIV!A$17),ETAPP!A$1:A$32,0))&amp;INDEX(ETAPP!B$1:B$32,MATCH(COUNTIF(P90:Z90,PIV!A$18),ETAPP!A$1:A$32,0))&amp;INDEX(ETAPP!B$1:B$32,MATCH(COUNTIF(P90:Z90,PIV!A$19),ETAPP!A$1:A$32,0))</f>
        <v>000000000000000000F</v>
      </c>
      <c r="K90" s="1388" t="str">
        <f t="shared" ca="1" si="55"/>
        <v>000,0-000000000000000000F</v>
      </c>
      <c r="L90" s="1387">
        <f t="shared" ca="1" si="56"/>
        <v>108</v>
      </c>
      <c r="M90" s="1387">
        <f t="shared" si="57"/>
        <v>77</v>
      </c>
      <c r="N90" s="1388" t="str">
        <f t="shared" ca="1" si="58"/>
        <v>000,0-000000000000000000F-077</v>
      </c>
      <c r="O90" s="1396">
        <f t="shared" ca="1" si="59"/>
        <v>26</v>
      </c>
      <c r="P90" s="1397" t="str">
        <f>IFERROR(INDEX('1'!C$300:C$400,MATCH("*"&amp;F90&amp;"*",'1'!B$300:B$400,0)),"  ")</f>
        <v xml:space="preserve">  </v>
      </c>
      <c r="Q90" s="1398" t="str">
        <f>IFERROR(INDEX('2'!C$300:C$400,MATCH("*"&amp;F90&amp;"*",'2'!B$300:B$400,0)),"  ")</f>
        <v xml:space="preserve">  </v>
      </c>
      <c r="R90" s="1398" t="str">
        <f>IFERROR(INDEX('3'!C$300:C$400,MATCH("*"&amp;F90&amp;"*",'3'!B$300:B$400,0)),"  ")</f>
        <v xml:space="preserve">  </v>
      </c>
      <c r="S90" s="1398" t="str">
        <f>IFERROR(INDEX('4'!C$300:C$400,MATCH("*"&amp;F90&amp;"*",'4'!B$300:B$400,0)),"  ")</f>
        <v xml:space="preserve">  </v>
      </c>
      <c r="T90" s="1398" t="str">
        <f>IFERROR(INDEX('5'!C$300:C$400,MATCH("*"&amp;F90&amp;"*",'5'!B$300:B$400,0)),"  ")</f>
        <v xml:space="preserve">  </v>
      </c>
      <c r="U90" s="1398" t="str">
        <f>IFERROR(INDEX('6'!C$300:C$400,MATCH("*"&amp;F90&amp;"*",'6'!B$300:B$400,0)),"  ")</f>
        <v xml:space="preserve">  </v>
      </c>
      <c r="V90" s="1398" t="str">
        <f ca="1">IFERROR(INDEX('7'!C$300:C$400,MATCH("*"&amp;F90&amp;"*",'7'!B$300:B$400,0)),"  ")</f>
        <v xml:space="preserve">  </v>
      </c>
      <c r="W90" s="1398" t="str">
        <f>IFERROR(INDEX('8'!C$300:C$400,MATCH("*"&amp;F90&amp;"*",'8'!B$300:B$400,0)),"  ")</f>
        <v xml:space="preserve">  </v>
      </c>
      <c r="X90" s="1398" t="str">
        <f>IFERROR(INDEX('9'!C$300:C$400,MATCH("*"&amp;F90&amp;"*",'9'!B$300:B$400,0)),"  ")</f>
        <v xml:space="preserve">  </v>
      </c>
      <c r="Y90" s="1398" t="str">
        <f>IFERROR(INDEX('10'!C$300:C$400,MATCH("*"&amp;F90&amp;"*",'10'!B$300:B$400,0)),"  ")</f>
        <v xml:space="preserve">  </v>
      </c>
      <c r="Z90" s="1398" t="str">
        <f>IFERROR(INDEX('11'!C$300:C$400,MATCH("*"&amp;F90&amp;"*",'11'!B$300:B$400,0)),"  ")</f>
        <v xml:space="preserve">  </v>
      </c>
      <c r="AA90" s="1353">
        <f t="shared" ca="1" si="60"/>
        <v>0</v>
      </c>
      <c r="AB90" s="1353">
        <f t="shared" ca="1" si="61"/>
        <v>0</v>
      </c>
      <c r="AC90" s="1353">
        <f t="shared" ca="1" si="62"/>
        <v>0</v>
      </c>
      <c r="AH90" s="1345"/>
      <c r="AS90" s="689">
        <f t="shared" ca="1" si="63"/>
        <v>2.9999999999999997E-4</v>
      </c>
      <c r="AT90" s="690">
        <f t="shared" si="64"/>
        <v>1E-4</v>
      </c>
      <c r="AU90" s="690">
        <f t="shared" si="65"/>
        <v>2.0000000000000001E-4</v>
      </c>
      <c r="AV90" s="690">
        <f t="shared" si="66"/>
        <v>2.9999999999999997E-4</v>
      </c>
      <c r="AW90" s="690">
        <f t="shared" si="67"/>
        <v>4.0000000000000002E-4</v>
      </c>
      <c r="AX90" s="690">
        <f t="shared" si="68"/>
        <v>5.0000000000000001E-4</v>
      </c>
      <c r="AY90" s="690">
        <f t="shared" si="69"/>
        <v>5.9999999999999995E-4</v>
      </c>
      <c r="AZ90" s="690">
        <f t="shared" ca="1" si="70"/>
        <v>6.9999999999999999E-4</v>
      </c>
      <c r="BA90" s="690">
        <f t="shared" si="71"/>
        <v>8.0000000000000004E-4</v>
      </c>
      <c r="BB90" s="690">
        <f t="shared" si="72"/>
        <v>8.9999999999999998E-4</v>
      </c>
      <c r="BC90" s="690">
        <f t="shared" si="73"/>
        <v>1E-3</v>
      </c>
      <c r="BD90" s="690">
        <f t="shared" si="74"/>
        <v>1.1000000000000001E-3</v>
      </c>
    </row>
    <row r="91" spans="1:56" hidden="1" x14ac:dyDescent="0.2">
      <c r="A91" s="1378" t="str">
        <f t="shared" si="50"/>
        <v/>
      </c>
      <c r="B91" s="1392" t="str">
        <f t="shared" si="51"/>
        <v/>
      </c>
      <c r="C91" s="1380" t="str">
        <f t="shared" si="52"/>
        <v/>
      </c>
      <c r="D91" s="1393" t="str">
        <f t="shared" si="53"/>
        <v/>
      </c>
      <c r="E91" s="1394">
        <f t="shared" ca="1" si="54"/>
        <v>70</v>
      </c>
      <c r="F91" s="1360" t="s">
        <v>153</v>
      </c>
      <c r="G91" s="1379"/>
      <c r="H91" s="1384"/>
      <c r="I91" s="1385">
        <f t="array" aca="1" ref="I91" ca="1">(IF(COUNT(P91:Z91)&lt;8,SUM(P91:Z91),SUM(LARGE((P91:Z91),{1;2;3;4;5;6;7;8}))))</f>
        <v>0</v>
      </c>
      <c r="J91" s="1388" t="str">
        <f ca="1">INDEX(ETAPP!B$1:B$32,MATCH(COUNTIF(P91:Z91,PIV!A$1),ETAPP!A$1:A$32,0))&amp;INDEX(ETAPP!B$1:B$32,MATCH(COUNTIF(P91:Z91,PIV!A$2),ETAPP!A$1:A$32,0))&amp;INDEX(ETAPP!B$1:B$32,MATCH(COUNTIF(P91:Z91,PIV!A$3),ETAPP!A$1:A$32,0))&amp;INDEX(ETAPP!B$1:B$32,MATCH(COUNTIF(P91:Z91,PIV!A$4),ETAPP!A$1:A$32,0))&amp;INDEX(ETAPP!B$1:B$32,MATCH(COUNTIF(P91:Z91,PIV!A$5),ETAPP!A$1:A$32,0))&amp;INDEX(ETAPP!B$1:B$32,MATCH(COUNTIF(P91:Z91,PIV!A$6),ETAPP!A$1:A$32,0))&amp;INDEX(ETAPP!B$1:B$32,MATCH(COUNTIF(P91:Z91,PIV!A$7),ETAPP!A$1:A$32,0))&amp;INDEX(ETAPP!B$1:B$32,MATCH(COUNTIF(P91:Z91,PIV!A$8),ETAPP!A$1:A$32,0))&amp;INDEX(ETAPP!B$1:B$32,MATCH(COUNTIF(P91:Z91,PIV!A$9),ETAPP!A$1:A$32,0))&amp;INDEX(ETAPP!B$1:B$32,MATCH(COUNTIF(P91:Z91,PIV!A$10),ETAPP!A$1:A$32,0))&amp;INDEX(ETAPP!B$1:B$32,MATCH(COUNTIF(P91:Z91,PIV!A$11),ETAPP!A$1:A$32,0))&amp;INDEX(ETAPP!B$1:B$32,MATCH(COUNTIF(P91:Z91,PIV!A$12),ETAPP!A$1:A$32,0))&amp;INDEX(ETAPP!B$1:B$32,MATCH(COUNTIF(P91:Z91,PIV!A$13),ETAPP!A$1:A$32,0))&amp;INDEX(ETAPP!B$1:B$32,MATCH(COUNTIF(P91:Z91,PIV!A$14),ETAPP!A$1:A$32,0))&amp;INDEX(ETAPP!B$1:B$32,MATCH(COUNTIF(P91:Z91,PIV!A$15),ETAPP!A$1:A$32,0))&amp;INDEX(ETAPP!B$1:B$32,MATCH(COUNTIF(P91:Z91,PIV!A$16),ETAPP!A$1:A$32,0))&amp;INDEX(ETAPP!B$1:B$32,MATCH(COUNTIF(P91:Z91,PIV!A$17),ETAPP!A$1:A$32,0))&amp;INDEX(ETAPP!B$1:B$32,MATCH(COUNTIF(P91:Z91,PIV!A$18),ETAPP!A$1:A$32,0))&amp;INDEX(ETAPP!B$1:B$32,MATCH(COUNTIF(P91:Z91,PIV!A$19),ETAPP!A$1:A$32,0))</f>
        <v>000000000000000000F</v>
      </c>
      <c r="K91" s="1388" t="str">
        <f t="shared" ca="1" si="55"/>
        <v>000,0-000000000000000000F</v>
      </c>
      <c r="L91" s="1387">
        <f t="shared" ca="1" si="56"/>
        <v>108</v>
      </c>
      <c r="M91" s="1387">
        <f t="shared" si="57"/>
        <v>70</v>
      </c>
      <c r="N91" s="1388" t="str">
        <f t="shared" ca="1" si="58"/>
        <v>000,0-000000000000000000F-070</v>
      </c>
      <c r="O91" s="1396">
        <f t="shared" ca="1" si="59"/>
        <v>25</v>
      </c>
      <c r="P91" s="1397" t="str">
        <f>IFERROR(INDEX('1'!C$300:C$400,MATCH("*"&amp;F91&amp;"*",'1'!B$300:B$400,0)),"  ")</f>
        <v xml:space="preserve">  </v>
      </c>
      <c r="Q91" s="1398" t="str">
        <f>IFERROR(INDEX('2'!C$300:C$400,MATCH("*"&amp;F91&amp;"*",'2'!B$300:B$400,0)),"  ")</f>
        <v xml:space="preserve">  </v>
      </c>
      <c r="R91" s="1398" t="str">
        <f>IFERROR(INDEX('3'!C$300:C$400,MATCH("*"&amp;F91&amp;"*",'3'!B$300:B$400,0)),"  ")</f>
        <v xml:space="preserve">  </v>
      </c>
      <c r="S91" s="1398" t="str">
        <f>IFERROR(INDEX('4'!C$300:C$400,MATCH("*"&amp;F91&amp;"*",'4'!B$300:B$400,0)),"  ")</f>
        <v xml:space="preserve">  </v>
      </c>
      <c r="T91" s="1398" t="str">
        <f>IFERROR(INDEX('5'!C$300:C$400,MATCH("*"&amp;F91&amp;"*",'5'!B$300:B$400,0)),"  ")</f>
        <v xml:space="preserve">  </v>
      </c>
      <c r="U91" s="1398" t="str">
        <f>IFERROR(INDEX('6'!C$300:C$400,MATCH("*"&amp;F91&amp;"*",'6'!B$300:B$400,0)),"  ")</f>
        <v xml:space="preserve">  </v>
      </c>
      <c r="V91" s="1398" t="str">
        <f ca="1">IFERROR(INDEX('7'!C$300:C$400,MATCH("*"&amp;F91&amp;"*",'7'!B$300:B$400,0)),"  ")</f>
        <v xml:space="preserve">  </v>
      </c>
      <c r="W91" s="1398" t="str">
        <f>IFERROR(INDEX('8'!C$300:C$400,MATCH("*"&amp;F91&amp;"*",'8'!B$300:B$400,0)),"  ")</f>
        <v xml:space="preserve">  </v>
      </c>
      <c r="X91" s="1398" t="str">
        <f>IFERROR(INDEX('9'!C$300:C$400,MATCH("*"&amp;F91&amp;"*",'9'!B$300:B$400,0)),"  ")</f>
        <v xml:space="preserve">  </v>
      </c>
      <c r="Y91" s="1398" t="str">
        <f>IFERROR(INDEX('10'!C$300:C$400,MATCH("*"&amp;F91&amp;"*",'10'!B$300:B$400,0)),"  ")</f>
        <v xml:space="preserve">  </v>
      </c>
      <c r="Z91" s="1398" t="str">
        <f>IFERROR(INDEX('11'!C$300:C$400,MATCH("*"&amp;F91&amp;"*",'11'!B$300:B$400,0)),"  ")</f>
        <v xml:space="preserve">  </v>
      </c>
      <c r="AA91" s="1353">
        <f t="shared" ca="1" si="60"/>
        <v>0</v>
      </c>
      <c r="AB91" s="1353">
        <f t="shared" ca="1" si="61"/>
        <v>0</v>
      </c>
      <c r="AC91" s="1353">
        <f t="shared" ca="1" si="62"/>
        <v>0</v>
      </c>
      <c r="AH91" s="1345"/>
      <c r="AS91" s="689">
        <f t="shared" ca="1" si="63"/>
        <v>2.9999999999999997E-4</v>
      </c>
      <c r="AT91" s="690">
        <f t="shared" si="64"/>
        <v>1E-4</v>
      </c>
      <c r="AU91" s="690">
        <f t="shared" si="65"/>
        <v>2.0000000000000001E-4</v>
      </c>
      <c r="AV91" s="690">
        <f t="shared" si="66"/>
        <v>2.9999999999999997E-4</v>
      </c>
      <c r="AW91" s="690">
        <f t="shared" si="67"/>
        <v>4.0000000000000002E-4</v>
      </c>
      <c r="AX91" s="690">
        <f t="shared" si="68"/>
        <v>5.0000000000000001E-4</v>
      </c>
      <c r="AY91" s="690">
        <f t="shared" si="69"/>
        <v>5.9999999999999995E-4</v>
      </c>
      <c r="AZ91" s="690">
        <f t="shared" ca="1" si="70"/>
        <v>6.9999999999999999E-4</v>
      </c>
      <c r="BA91" s="690">
        <f t="shared" si="71"/>
        <v>8.0000000000000004E-4</v>
      </c>
      <c r="BB91" s="690">
        <f t="shared" si="72"/>
        <v>8.9999999999999998E-4</v>
      </c>
      <c r="BC91" s="690">
        <f t="shared" si="73"/>
        <v>1E-3</v>
      </c>
      <c r="BD91" s="690">
        <f t="shared" si="74"/>
        <v>1.1000000000000001E-3</v>
      </c>
    </row>
    <row r="92" spans="1:56" hidden="1" x14ac:dyDescent="0.2">
      <c r="A92" s="1378" t="str">
        <f t="shared" si="50"/>
        <v/>
      </c>
      <c r="B92" s="1392" t="str">
        <f t="shared" si="51"/>
        <v/>
      </c>
      <c r="C92" s="1380" t="str">
        <f t="shared" si="52"/>
        <v/>
      </c>
      <c r="D92" s="1393" t="str">
        <f t="shared" si="53"/>
        <v/>
      </c>
      <c r="E92" s="1394">
        <f t="shared" ca="1" si="54"/>
        <v>70</v>
      </c>
      <c r="F92" s="1360" t="s">
        <v>154</v>
      </c>
      <c r="G92" s="1379"/>
      <c r="H92" s="1384"/>
      <c r="I92" s="1385">
        <f t="array" aca="1" ref="I92" ca="1">(IF(COUNT(P92:Z92)&lt;8,SUM(P92:Z92),SUM(LARGE((P92:Z92),{1;2;3;4;5;6;7;8}))))</f>
        <v>0</v>
      </c>
      <c r="J92" s="1388" t="str">
        <f ca="1">INDEX(ETAPP!B$1:B$32,MATCH(COUNTIF(P92:Z92,PIV!A$1),ETAPP!A$1:A$32,0))&amp;INDEX(ETAPP!B$1:B$32,MATCH(COUNTIF(P92:Z92,PIV!A$2),ETAPP!A$1:A$32,0))&amp;INDEX(ETAPP!B$1:B$32,MATCH(COUNTIF(P92:Z92,PIV!A$3),ETAPP!A$1:A$32,0))&amp;INDEX(ETAPP!B$1:B$32,MATCH(COUNTIF(P92:Z92,PIV!A$4),ETAPP!A$1:A$32,0))&amp;INDEX(ETAPP!B$1:B$32,MATCH(COUNTIF(P92:Z92,PIV!A$5),ETAPP!A$1:A$32,0))&amp;INDEX(ETAPP!B$1:B$32,MATCH(COUNTIF(P92:Z92,PIV!A$6),ETAPP!A$1:A$32,0))&amp;INDEX(ETAPP!B$1:B$32,MATCH(COUNTIF(P92:Z92,PIV!A$7),ETAPP!A$1:A$32,0))&amp;INDEX(ETAPP!B$1:B$32,MATCH(COUNTIF(P92:Z92,PIV!A$8),ETAPP!A$1:A$32,0))&amp;INDEX(ETAPP!B$1:B$32,MATCH(COUNTIF(P92:Z92,PIV!A$9),ETAPP!A$1:A$32,0))&amp;INDEX(ETAPP!B$1:B$32,MATCH(COUNTIF(P92:Z92,PIV!A$10),ETAPP!A$1:A$32,0))&amp;INDEX(ETAPP!B$1:B$32,MATCH(COUNTIF(P92:Z92,PIV!A$11),ETAPP!A$1:A$32,0))&amp;INDEX(ETAPP!B$1:B$32,MATCH(COUNTIF(P92:Z92,PIV!A$12),ETAPP!A$1:A$32,0))&amp;INDEX(ETAPP!B$1:B$32,MATCH(COUNTIF(P92:Z92,PIV!A$13),ETAPP!A$1:A$32,0))&amp;INDEX(ETAPP!B$1:B$32,MATCH(COUNTIF(P92:Z92,PIV!A$14),ETAPP!A$1:A$32,0))&amp;INDEX(ETAPP!B$1:B$32,MATCH(COUNTIF(P92:Z92,PIV!A$15),ETAPP!A$1:A$32,0))&amp;INDEX(ETAPP!B$1:B$32,MATCH(COUNTIF(P92:Z92,PIV!A$16),ETAPP!A$1:A$32,0))&amp;INDEX(ETAPP!B$1:B$32,MATCH(COUNTIF(P92:Z92,PIV!A$17),ETAPP!A$1:A$32,0))&amp;INDEX(ETAPP!B$1:B$32,MATCH(COUNTIF(P92:Z92,PIV!A$18),ETAPP!A$1:A$32,0))&amp;INDEX(ETAPP!B$1:B$32,MATCH(COUNTIF(P92:Z92,PIV!A$19),ETAPP!A$1:A$32,0))</f>
        <v>000000000000000000F</v>
      </c>
      <c r="K92" s="1388" t="str">
        <f t="shared" ca="1" si="55"/>
        <v>000,0-000000000000000000F</v>
      </c>
      <c r="L92" s="1387">
        <f t="shared" ca="1" si="56"/>
        <v>108</v>
      </c>
      <c r="M92" s="1387">
        <f t="shared" si="57"/>
        <v>69</v>
      </c>
      <c r="N92" s="1388" t="str">
        <f t="shared" ca="1" si="58"/>
        <v>000,0-000000000000000000F-069</v>
      </c>
      <c r="O92" s="1396">
        <f t="shared" ca="1" si="59"/>
        <v>24</v>
      </c>
      <c r="P92" s="1397" t="str">
        <f>IFERROR(INDEX('1'!C$300:C$400,MATCH("*"&amp;F92&amp;"*",'1'!B$300:B$400,0)),"  ")</f>
        <v xml:space="preserve">  </v>
      </c>
      <c r="Q92" s="1398" t="str">
        <f>IFERROR(INDEX('2'!C$300:C$400,MATCH("*"&amp;F92&amp;"*",'2'!B$300:B$400,0)),"  ")</f>
        <v xml:space="preserve">  </v>
      </c>
      <c r="R92" s="1398" t="str">
        <f>IFERROR(INDEX('3'!C$300:C$400,MATCH("*"&amp;F92&amp;"*",'3'!B$300:B$400,0)),"  ")</f>
        <v xml:space="preserve">  </v>
      </c>
      <c r="S92" s="1398" t="str">
        <f>IFERROR(INDEX('4'!C$300:C$400,MATCH("*"&amp;F92&amp;"*",'4'!B$300:B$400,0)),"  ")</f>
        <v xml:space="preserve">  </v>
      </c>
      <c r="T92" s="1398" t="str">
        <f>IFERROR(INDEX('5'!C$300:C$400,MATCH("*"&amp;F92&amp;"*",'5'!B$300:B$400,0)),"  ")</f>
        <v xml:space="preserve">  </v>
      </c>
      <c r="U92" s="1398" t="str">
        <f>IFERROR(INDEX('6'!C$300:C$400,MATCH("*"&amp;F92&amp;"*",'6'!B$300:B$400,0)),"  ")</f>
        <v xml:space="preserve">  </v>
      </c>
      <c r="V92" s="1398" t="str">
        <f ca="1">IFERROR(INDEX('7'!C$300:C$400,MATCH("*"&amp;F92&amp;"*",'7'!B$300:B$400,0)),"  ")</f>
        <v xml:space="preserve">  </v>
      </c>
      <c r="W92" s="1398" t="str">
        <f>IFERROR(INDEX('8'!C$300:C$400,MATCH("*"&amp;F92&amp;"*",'8'!B$300:B$400,0)),"  ")</f>
        <v xml:space="preserve">  </v>
      </c>
      <c r="X92" s="1398" t="str">
        <f>IFERROR(INDEX('9'!C$300:C$400,MATCH("*"&amp;F92&amp;"*",'9'!B$300:B$400,0)),"  ")</f>
        <v xml:space="preserve">  </v>
      </c>
      <c r="Y92" s="1398" t="str">
        <f>IFERROR(INDEX('10'!C$300:C$400,MATCH("*"&amp;F92&amp;"*",'10'!B$300:B$400,0)),"  ")</f>
        <v xml:space="preserve">  </v>
      </c>
      <c r="Z92" s="1398" t="str">
        <f>IFERROR(INDEX('11'!C$300:C$400,MATCH("*"&amp;F92&amp;"*",'11'!B$300:B$400,0)),"  ")</f>
        <v xml:space="preserve">  </v>
      </c>
      <c r="AA92" s="1353">
        <f t="shared" ca="1" si="60"/>
        <v>0</v>
      </c>
      <c r="AB92" s="1353">
        <f t="shared" ca="1" si="61"/>
        <v>0</v>
      </c>
      <c r="AC92" s="1353">
        <f t="shared" ca="1" si="62"/>
        <v>0</v>
      </c>
      <c r="AH92" s="1345"/>
      <c r="AS92" s="689">
        <f t="shared" ca="1" si="63"/>
        <v>2.9999999999999997E-4</v>
      </c>
      <c r="AT92" s="690">
        <f t="shared" si="64"/>
        <v>1E-4</v>
      </c>
      <c r="AU92" s="690">
        <f t="shared" si="65"/>
        <v>2.0000000000000001E-4</v>
      </c>
      <c r="AV92" s="690">
        <f t="shared" si="66"/>
        <v>2.9999999999999997E-4</v>
      </c>
      <c r="AW92" s="690">
        <f t="shared" si="67"/>
        <v>4.0000000000000002E-4</v>
      </c>
      <c r="AX92" s="690">
        <f t="shared" si="68"/>
        <v>5.0000000000000001E-4</v>
      </c>
      <c r="AY92" s="690">
        <f t="shared" si="69"/>
        <v>5.9999999999999995E-4</v>
      </c>
      <c r="AZ92" s="690">
        <f t="shared" ca="1" si="70"/>
        <v>6.9999999999999999E-4</v>
      </c>
      <c r="BA92" s="690">
        <f t="shared" si="71"/>
        <v>8.0000000000000004E-4</v>
      </c>
      <c r="BB92" s="690">
        <f t="shared" si="72"/>
        <v>8.9999999999999998E-4</v>
      </c>
      <c r="BC92" s="690">
        <f t="shared" si="73"/>
        <v>1E-3</v>
      </c>
      <c r="BD92" s="690">
        <f t="shared" si="74"/>
        <v>1.1000000000000001E-3</v>
      </c>
    </row>
    <row r="93" spans="1:56" hidden="1" x14ac:dyDescent="0.2">
      <c r="A93" s="1378" t="str">
        <f t="shared" si="50"/>
        <v/>
      </c>
      <c r="B93" s="1392" t="str">
        <f t="shared" si="51"/>
        <v/>
      </c>
      <c r="C93" s="1380" t="str">
        <f t="shared" si="52"/>
        <v/>
      </c>
      <c r="D93" s="1393" t="str">
        <f t="shared" si="53"/>
        <v/>
      </c>
      <c r="E93" s="1394">
        <f t="shared" ca="1" si="54"/>
        <v>70</v>
      </c>
      <c r="F93" s="1360" t="s">
        <v>110</v>
      </c>
      <c r="G93" s="1379"/>
      <c r="H93" s="1384"/>
      <c r="I93" s="1385">
        <f t="array" aca="1" ref="I93" ca="1">(IF(COUNT(P93:Z93)&lt;8,SUM(P93:Z93),SUM(LARGE((P93:Z93),{1;2;3;4;5;6;7;8}))))</f>
        <v>0</v>
      </c>
      <c r="J93" s="1388" t="str">
        <f ca="1">INDEX(ETAPP!B$1:B$32,MATCH(COUNTIF(P93:Z93,PIV!A$1),ETAPP!A$1:A$32,0))&amp;INDEX(ETAPP!B$1:B$32,MATCH(COUNTIF(P93:Z93,PIV!A$2),ETAPP!A$1:A$32,0))&amp;INDEX(ETAPP!B$1:B$32,MATCH(COUNTIF(P93:Z93,PIV!A$3),ETAPP!A$1:A$32,0))&amp;INDEX(ETAPP!B$1:B$32,MATCH(COUNTIF(P93:Z93,PIV!A$4),ETAPP!A$1:A$32,0))&amp;INDEX(ETAPP!B$1:B$32,MATCH(COUNTIF(P93:Z93,PIV!A$5),ETAPP!A$1:A$32,0))&amp;INDEX(ETAPP!B$1:B$32,MATCH(COUNTIF(P93:Z93,PIV!A$6),ETAPP!A$1:A$32,0))&amp;INDEX(ETAPP!B$1:B$32,MATCH(COUNTIF(P93:Z93,PIV!A$7),ETAPP!A$1:A$32,0))&amp;INDEX(ETAPP!B$1:B$32,MATCH(COUNTIF(P93:Z93,PIV!A$8),ETAPP!A$1:A$32,0))&amp;INDEX(ETAPP!B$1:B$32,MATCH(COUNTIF(P93:Z93,PIV!A$9),ETAPP!A$1:A$32,0))&amp;INDEX(ETAPP!B$1:B$32,MATCH(COUNTIF(P93:Z93,PIV!A$10),ETAPP!A$1:A$32,0))&amp;INDEX(ETAPP!B$1:B$32,MATCH(COUNTIF(P93:Z93,PIV!A$11),ETAPP!A$1:A$32,0))&amp;INDEX(ETAPP!B$1:B$32,MATCH(COUNTIF(P93:Z93,PIV!A$12),ETAPP!A$1:A$32,0))&amp;INDEX(ETAPP!B$1:B$32,MATCH(COUNTIF(P93:Z93,PIV!A$13),ETAPP!A$1:A$32,0))&amp;INDEX(ETAPP!B$1:B$32,MATCH(COUNTIF(P93:Z93,PIV!A$14),ETAPP!A$1:A$32,0))&amp;INDEX(ETAPP!B$1:B$32,MATCH(COUNTIF(P93:Z93,PIV!A$15),ETAPP!A$1:A$32,0))&amp;INDEX(ETAPP!B$1:B$32,MATCH(COUNTIF(P93:Z93,PIV!A$16),ETAPP!A$1:A$32,0))&amp;INDEX(ETAPP!B$1:B$32,MATCH(COUNTIF(P93:Z93,PIV!A$17),ETAPP!A$1:A$32,0))&amp;INDEX(ETAPP!B$1:B$32,MATCH(COUNTIF(P93:Z93,PIV!A$18),ETAPP!A$1:A$32,0))&amp;INDEX(ETAPP!B$1:B$32,MATCH(COUNTIF(P93:Z93,PIV!A$19),ETAPP!A$1:A$32,0))</f>
        <v>000000000000000000F</v>
      </c>
      <c r="K93" s="1388" t="str">
        <f t="shared" ca="1" si="55"/>
        <v>000,0-000000000000000000F</v>
      </c>
      <c r="L93" s="1387">
        <f t="shared" ca="1" si="56"/>
        <v>108</v>
      </c>
      <c r="M93" s="1387">
        <f t="shared" si="57"/>
        <v>65</v>
      </c>
      <c r="N93" s="1388" t="str">
        <f t="shared" ca="1" si="58"/>
        <v>000,0-000000000000000000F-065</v>
      </c>
      <c r="O93" s="1396">
        <f t="shared" ca="1" si="59"/>
        <v>23</v>
      </c>
      <c r="P93" s="1397" t="str">
        <f>IFERROR(INDEX('1'!C$300:C$400,MATCH("*"&amp;F93&amp;"*",'1'!B$300:B$400,0)),"  ")</f>
        <v xml:space="preserve">  </v>
      </c>
      <c r="Q93" s="1398" t="str">
        <f>IFERROR(INDEX('2'!C$300:C$400,MATCH("*"&amp;F93&amp;"*",'2'!B$300:B$400,0)),"  ")</f>
        <v xml:space="preserve">  </v>
      </c>
      <c r="R93" s="1398" t="str">
        <f>IFERROR(INDEX('3'!C$300:C$400,MATCH("*"&amp;F93&amp;"*",'3'!B$300:B$400,0)),"  ")</f>
        <v xml:space="preserve">  </v>
      </c>
      <c r="S93" s="1398" t="str">
        <f>IFERROR(INDEX('4'!C$300:C$400,MATCH("*"&amp;F93&amp;"*",'4'!B$300:B$400,0)),"  ")</f>
        <v xml:space="preserve">  </v>
      </c>
      <c r="T93" s="1398" t="str">
        <f>IFERROR(INDEX('5'!C$300:C$400,MATCH("*"&amp;F93&amp;"*",'5'!B$300:B$400,0)),"  ")</f>
        <v xml:space="preserve">  </v>
      </c>
      <c r="U93" s="1398" t="str">
        <f>IFERROR(INDEX('6'!C$300:C$400,MATCH("*"&amp;F93&amp;"*",'6'!B$300:B$400,0)),"  ")</f>
        <v xml:space="preserve">  </v>
      </c>
      <c r="V93" s="1398" t="str">
        <f ca="1">IFERROR(INDEX('7'!C$300:C$400,MATCH("*"&amp;F93&amp;"*",'7'!B$300:B$400,0)),"  ")</f>
        <v xml:space="preserve">  </v>
      </c>
      <c r="W93" s="1398" t="str">
        <f>IFERROR(INDEX('8'!C$300:C$400,MATCH("*"&amp;F93&amp;"*",'8'!B$300:B$400,0)),"  ")</f>
        <v xml:space="preserve">  </v>
      </c>
      <c r="X93" s="1398" t="str">
        <f>IFERROR(INDEX('9'!C$300:C$400,MATCH("*"&amp;F93&amp;"*",'9'!B$300:B$400,0)),"  ")</f>
        <v xml:space="preserve">  </v>
      </c>
      <c r="Y93" s="1398" t="str">
        <f>IFERROR(INDEX('10'!C$300:C$400,MATCH("*"&amp;F93&amp;"*",'10'!B$300:B$400,0)),"  ")</f>
        <v xml:space="preserve">  </v>
      </c>
      <c r="Z93" s="1398" t="str">
        <f>IFERROR(INDEX('11'!C$300:C$400,MATCH("*"&amp;F93&amp;"*",'11'!B$300:B$400,0)),"  ")</f>
        <v xml:space="preserve">  </v>
      </c>
      <c r="AA93" s="1353">
        <f t="shared" ca="1" si="60"/>
        <v>0</v>
      </c>
      <c r="AB93" s="1353">
        <f t="shared" ca="1" si="61"/>
        <v>0</v>
      </c>
      <c r="AC93" s="1353">
        <f t="shared" ca="1" si="62"/>
        <v>0</v>
      </c>
      <c r="AH93" s="1345"/>
      <c r="AS93" s="689">
        <f t="shared" ca="1" si="63"/>
        <v>2.9999999999999997E-4</v>
      </c>
      <c r="AT93" s="690">
        <f t="shared" si="64"/>
        <v>1E-4</v>
      </c>
      <c r="AU93" s="690">
        <f t="shared" si="65"/>
        <v>2.0000000000000001E-4</v>
      </c>
      <c r="AV93" s="690">
        <f t="shared" si="66"/>
        <v>2.9999999999999997E-4</v>
      </c>
      <c r="AW93" s="690">
        <f t="shared" si="67"/>
        <v>4.0000000000000002E-4</v>
      </c>
      <c r="AX93" s="690">
        <f t="shared" si="68"/>
        <v>5.0000000000000001E-4</v>
      </c>
      <c r="AY93" s="690">
        <f t="shared" si="69"/>
        <v>5.9999999999999995E-4</v>
      </c>
      <c r="AZ93" s="690">
        <f t="shared" ca="1" si="70"/>
        <v>6.9999999999999999E-4</v>
      </c>
      <c r="BA93" s="690">
        <f t="shared" si="71"/>
        <v>8.0000000000000004E-4</v>
      </c>
      <c r="BB93" s="690">
        <f t="shared" si="72"/>
        <v>8.9999999999999998E-4</v>
      </c>
      <c r="BC93" s="690">
        <f t="shared" si="73"/>
        <v>1E-3</v>
      </c>
      <c r="BD93" s="690">
        <f t="shared" si="74"/>
        <v>1.1000000000000001E-3</v>
      </c>
    </row>
    <row r="94" spans="1:56" hidden="1" x14ac:dyDescent="0.2">
      <c r="A94" s="1378">
        <f t="shared" ca="1" si="50"/>
        <v>19</v>
      </c>
      <c r="B94" s="1392">
        <f t="shared" ca="1" si="51"/>
        <v>108</v>
      </c>
      <c r="C94" s="1380" t="str">
        <f t="shared" si="52"/>
        <v/>
      </c>
      <c r="D94" s="1393" t="str">
        <f t="shared" si="53"/>
        <v/>
      </c>
      <c r="E94" s="1394">
        <f t="shared" ca="1" si="54"/>
        <v>70</v>
      </c>
      <c r="F94" s="1401" t="s">
        <v>126</v>
      </c>
      <c r="G94" s="1379" t="s">
        <v>99</v>
      </c>
      <c r="H94" s="1384"/>
      <c r="I94" s="1385">
        <f t="array" aca="1" ref="I94" ca="1">(IF(COUNT(P94:Z94)&lt;8,SUM(P94:Z94),SUM(LARGE((P94:Z94),{1;2;3;4;5;6;7;8}))))</f>
        <v>0</v>
      </c>
      <c r="J94" s="1388" t="str">
        <f ca="1">INDEX(ETAPP!B$1:B$32,MATCH(COUNTIF(P94:Z94,PIV!A$1),ETAPP!A$1:A$32,0))&amp;INDEX(ETAPP!B$1:B$32,MATCH(COUNTIF(P94:Z94,PIV!A$2),ETAPP!A$1:A$32,0))&amp;INDEX(ETAPP!B$1:B$32,MATCH(COUNTIF(P94:Z94,PIV!A$3),ETAPP!A$1:A$32,0))&amp;INDEX(ETAPP!B$1:B$32,MATCH(COUNTIF(P94:Z94,PIV!A$4),ETAPP!A$1:A$32,0))&amp;INDEX(ETAPP!B$1:B$32,MATCH(COUNTIF(P94:Z94,PIV!A$5),ETAPP!A$1:A$32,0))&amp;INDEX(ETAPP!B$1:B$32,MATCH(COUNTIF(P94:Z94,PIV!A$6),ETAPP!A$1:A$32,0))&amp;INDEX(ETAPP!B$1:B$32,MATCH(COUNTIF(P94:Z94,PIV!A$7),ETAPP!A$1:A$32,0))&amp;INDEX(ETAPP!B$1:B$32,MATCH(COUNTIF(P94:Z94,PIV!A$8),ETAPP!A$1:A$32,0))&amp;INDEX(ETAPP!B$1:B$32,MATCH(COUNTIF(P94:Z94,PIV!A$9),ETAPP!A$1:A$32,0))&amp;INDEX(ETAPP!B$1:B$32,MATCH(COUNTIF(P94:Z94,PIV!A$10),ETAPP!A$1:A$32,0))&amp;INDEX(ETAPP!B$1:B$32,MATCH(COUNTIF(P94:Z94,PIV!A$11),ETAPP!A$1:A$32,0))&amp;INDEX(ETAPP!B$1:B$32,MATCH(COUNTIF(P94:Z94,PIV!A$12),ETAPP!A$1:A$32,0))&amp;INDEX(ETAPP!B$1:B$32,MATCH(COUNTIF(P94:Z94,PIV!A$13),ETAPP!A$1:A$32,0))&amp;INDEX(ETAPP!B$1:B$32,MATCH(COUNTIF(P94:Z94,PIV!A$14),ETAPP!A$1:A$32,0))&amp;INDEX(ETAPP!B$1:B$32,MATCH(COUNTIF(P94:Z94,PIV!A$15),ETAPP!A$1:A$32,0))&amp;INDEX(ETAPP!B$1:B$32,MATCH(COUNTIF(P94:Z94,PIV!A$16),ETAPP!A$1:A$32,0))&amp;INDEX(ETAPP!B$1:B$32,MATCH(COUNTIF(P94:Z94,PIV!A$17),ETAPP!A$1:A$32,0))&amp;INDEX(ETAPP!B$1:B$32,MATCH(COUNTIF(P94:Z94,PIV!A$18),ETAPP!A$1:A$32,0))&amp;INDEX(ETAPP!B$1:B$32,MATCH(COUNTIF(P94:Z94,PIV!A$19),ETAPP!A$1:A$32,0))</f>
        <v>000000000000000000F</v>
      </c>
      <c r="K94" s="1388" t="str">
        <f t="shared" ca="1" si="55"/>
        <v>000,0-000000000000000000F</v>
      </c>
      <c r="L94" s="1387">
        <f t="shared" ca="1" si="56"/>
        <v>108</v>
      </c>
      <c r="M94" s="1387">
        <f t="shared" si="57"/>
        <v>61</v>
      </c>
      <c r="N94" s="1388" t="str">
        <f t="shared" ca="1" si="58"/>
        <v>000,0-000000000000000000F-061</v>
      </c>
      <c r="O94" s="1396">
        <f t="shared" ca="1" si="59"/>
        <v>22</v>
      </c>
      <c r="P94" s="1397" t="str">
        <f>IFERROR(INDEX('1'!C$300:C$400,MATCH("*"&amp;F94&amp;"*",'1'!B$300:B$400,0)),"  ")</f>
        <v xml:space="preserve">  </v>
      </c>
      <c r="Q94" s="1398" t="str">
        <f>IFERROR(INDEX('2'!C$300:C$400,MATCH("*"&amp;F94&amp;"*",'2'!B$300:B$400,0)),"  ")</f>
        <v xml:space="preserve">  </v>
      </c>
      <c r="R94" s="1398" t="str">
        <f>IFERROR(INDEX('3'!C$300:C$400,MATCH("*"&amp;F94&amp;"*",'3'!B$300:B$400,0)),"  ")</f>
        <v xml:space="preserve">  </v>
      </c>
      <c r="S94" s="1398" t="str">
        <f>IFERROR(INDEX('4'!C$300:C$400,MATCH("*"&amp;F94&amp;"*",'4'!B$300:B$400,0)),"  ")</f>
        <v xml:space="preserve">  </v>
      </c>
      <c r="T94" s="1398" t="str">
        <f>IFERROR(INDEX('5'!C$300:C$400,MATCH("*"&amp;F94&amp;"*",'5'!B$300:B$400,0)),"  ")</f>
        <v xml:space="preserve">  </v>
      </c>
      <c r="U94" s="1398" t="str">
        <f>IFERROR(INDEX('6'!C$300:C$400,MATCH("*"&amp;F94&amp;"*",'6'!B$300:B$400,0)),"  ")</f>
        <v xml:space="preserve">  </v>
      </c>
      <c r="V94" s="1398" t="str">
        <f ca="1">IFERROR(INDEX('7'!C$300:C$400,MATCH("*"&amp;F94&amp;"*",'7'!B$300:B$400,0)),"  ")</f>
        <v xml:space="preserve">  </v>
      </c>
      <c r="W94" s="1398" t="str">
        <f>IFERROR(INDEX('8'!C$300:C$400,MATCH("*"&amp;F94&amp;"*",'8'!B$300:B$400,0)),"  ")</f>
        <v xml:space="preserve">  </v>
      </c>
      <c r="X94" s="1398" t="str">
        <f>IFERROR(INDEX('9'!C$300:C$400,MATCH("*"&amp;F94&amp;"*",'9'!B$300:B$400,0)),"  ")</f>
        <v xml:space="preserve">  </v>
      </c>
      <c r="Y94" s="1398" t="str">
        <f>IFERROR(INDEX('10'!C$300:C$400,MATCH("*"&amp;F94&amp;"*",'10'!B$300:B$400,0)),"  ")</f>
        <v xml:space="preserve">  </v>
      </c>
      <c r="Z94" s="1398" t="str">
        <f>IFERROR(INDEX('11'!C$300:C$400,MATCH("*"&amp;F94&amp;"*",'11'!B$300:B$400,0)),"  ")</f>
        <v xml:space="preserve">  </v>
      </c>
      <c r="AA94" s="1353">
        <f t="shared" ca="1" si="60"/>
        <v>0</v>
      </c>
      <c r="AB94" s="1353">
        <f t="shared" ca="1" si="61"/>
        <v>0</v>
      </c>
      <c r="AC94" s="1353">
        <f t="shared" ca="1" si="62"/>
        <v>0</v>
      </c>
      <c r="AH94" s="1345"/>
      <c r="AS94" s="689">
        <f t="shared" ca="1" si="63"/>
        <v>2.9999999999999997E-4</v>
      </c>
      <c r="AT94" s="690">
        <f t="shared" si="64"/>
        <v>1E-4</v>
      </c>
      <c r="AU94" s="690">
        <f t="shared" si="65"/>
        <v>2.0000000000000001E-4</v>
      </c>
      <c r="AV94" s="690">
        <f t="shared" si="66"/>
        <v>2.9999999999999997E-4</v>
      </c>
      <c r="AW94" s="690">
        <f t="shared" si="67"/>
        <v>4.0000000000000002E-4</v>
      </c>
      <c r="AX94" s="690">
        <f t="shared" si="68"/>
        <v>5.0000000000000001E-4</v>
      </c>
      <c r="AY94" s="690">
        <f t="shared" si="69"/>
        <v>5.9999999999999995E-4</v>
      </c>
      <c r="AZ94" s="690">
        <f t="shared" ca="1" si="70"/>
        <v>6.9999999999999999E-4</v>
      </c>
      <c r="BA94" s="690">
        <f t="shared" si="71"/>
        <v>8.0000000000000004E-4</v>
      </c>
      <c r="BB94" s="690">
        <f t="shared" si="72"/>
        <v>8.9999999999999998E-4</v>
      </c>
      <c r="BC94" s="690">
        <f t="shared" si="73"/>
        <v>1E-3</v>
      </c>
      <c r="BD94" s="690">
        <f t="shared" si="74"/>
        <v>1.1000000000000001E-3</v>
      </c>
    </row>
    <row r="95" spans="1:56" hidden="1" x14ac:dyDescent="0.2">
      <c r="A95" s="1378">
        <f t="shared" ca="1" si="50"/>
        <v>19</v>
      </c>
      <c r="B95" s="1392">
        <f t="shared" ca="1" si="51"/>
        <v>108</v>
      </c>
      <c r="C95" s="1380" t="str">
        <f t="shared" si="52"/>
        <v/>
      </c>
      <c r="D95" s="1393" t="str">
        <f t="shared" si="53"/>
        <v/>
      </c>
      <c r="E95" s="1394">
        <f t="shared" ca="1" si="54"/>
        <v>70</v>
      </c>
      <c r="F95" s="1395" t="s">
        <v>122</v>
      </c>
      <c r="G95" s="1379" t="s">
        <v>99</v>
      </c>
      <c r="H95" s="1384"/>
      <c r="I95" s="1385">
        <f t="array" aca="1" ref="I95" ca="1">(IF(COUNT(P95:Z95)&lt;8,SUM(P95:Z95),SUM(LARGE((P95:Z95),{1;2;3;4;5;6;7;8}))))</f>
        <v>0</v>
      </c>
      <c r="J95" s="1388" t="str">
        <f ca="1">INDEX(ETAPP!B$1:B$32,MATCH(COUNTIF(P95:Z95,PIV!A$1),ETAPP!A$1:A$32,0))&amp;INDEX(ETAPP!B$1:B$32,MATCH(COUNTIF(P95:Z95,PIV!A$2),ETAPP!A$1:A$32,0))&amp;INDEX(ETAPP!B$1:B$32,MATCH(COUNTIF(P95:Z95,PIV!A$3),ETAPP!A$1:A$32,0))&amp;INDEX(ETAPP!B$1:B$32,MATCH(COUNTIF(P95:Z95,PIV!A$4),ETAPP!A$1:A$32,0))&amp;INDEX(ETAPP!B$1:B$32,MATCH(COUNTIF(P95:Z95,PIV!A$5),ETAPP!A$1:A$32,0))&amp;INDEX(ETAPP!B$1:B$32,MATCH(COUNTIF(P95:Z95,PIV!A$6),ETAPP!A$1:A$32,0))&amp;INDEX(ETAPP!B$1:B$32,MATCH(COUNTIF(P95:Z95,PIV!A$7),ETAPP!A$1:A$32,0))&amp;INDEX(ETAPP!B$1:B$32,MATCH(COUNTIF(P95:Z95,PIV!A$8),ETAPP!A$1:A$32,0))&amp;INDEX(ETAPP!B$1:B$32,MATCH(COUNTIF(P95:Z95,PIV!A$9),ETAPP!A$1:A$32,0))&amp;INDEX(ETAPP!B$1:B$32,MATCH(COUNTIF(P95:Z95,PIV!A$10),ETAPP!A$1:A$32,0))&amp;INDEX(ETAPP!B$1:B$32,MATCH(COUNTIF(P95:Z95,PIV!A$11),ETAPP!A$1:A$32,0))&amp;INDEX(ETAPP!B$1:B$32,MATCH(COUNTIF(P95:Z95,PIV!A$12),ETAPP!A$1:A$32,0))&amp;INDEX(ETAPP!B$1:B$32,MATCH(COUNTIF(P95:Z95,PIV!A$13),ETAPP!A$1:A$32,0))&amp;INDEX(ETAPP!B$1:B$32,MATCH(COUNTIF(P95:Z95,PIV!A$14),ETAPP!A$1:A$32,0))&amp;INDEX(ETAPP!B$1:B$32,MATCH(COUNTIF(P95:Z95,PIV!A$15),ETAPP!A$1:A$32,0))&amp;INDEX(ETAPP!B$1:B$32,MATCH(COUNTIF(P95:Z95,PIV!A$16),ETAPP!A$1:A$32,0))&amp;INDEX(ETAPP!B$1:B$32,MATCH(COUNTIF(P95:Z95,PIV!A$17),ETAPP!A$1:A$32,0))&amp;INDEX(ETAPP!B$1:B$32,MATCH(COUNTIF(P95:Z95,PIV!A$18),ETAPP!A$1:A$32,0))&amp;INDEX(ETAPP!B$1:B$32,MATCH(COUNTIF(P95:Z95,PIV!A$19),ETAPP!A$1:A$32,0))</f>
        <v>000000000000000000F</v>
      </c>
      <c r="K95" s="1388" t="str">
        <f t="shared" ca="1" si="55"/>
        <v>000,0-000000000000000000F</v>
      </c>
      <c r="L95" s="1387">
        <f t="shared" ca="1" si="56"/>
        <v>108</v>
      </c>
      <c r="M95" s="1387">
        <f t="shared" si="57"/>
        <v>57</v>
      </c>
      <c r="N95" s="1388" t="str">
        <f t="shared" ca="1" si="58"/>
        <v>000,0-000000000000000000F-057</v>
      </c>
      <c r="O95" s="1396">
        <f t="shared" ca="1" si="59"/>
        <v>21</v>
      </c>
      <c r="P95" s="1397" t="str">
        <f>IFERROR(INDEX('1'!C$300:C$400,MATCH("*"&amp;F95&amp;"*",'1'!B$300:B$400,0)),"  ")</f>
        <v xml:space="preserve">  </v>
      </c>
      <c r="Q95" s="1398" t="str">
        <f>IFERROR(INDEX('2'!C$300:C$400,MATCH("*"&amp;F95&amp;"*",'2'!B$300:B$400,0)),"  ")</f>
        <v xml:space="preserve">  </v>
      </c>
      <c r="R95" s="1398" t="str">
        <f>IFERROR(INDEX('3'!C$300:C$400,MATCH("*"&amp;F95&amp;"*",'3'!B$300:B$400,0)),"  ")</f>
        <v xml:space="preserve">  </v>
      </c>
      <c r="S95" s="1398" t="str">
        <f>IFERROR(INDEX('4'!C$300:C$400,MATCH("*"&amp;F95&amp;"*",'4'!B$300:B$400,0)),"  ")</f>
        <v xml:space="preserve">  </v>
      </c>
      <c r="T95" s="1398" t="str">
        <f>IFERROR(INDEX('5'!C$300:C$400,MATCH("*"&amp;F95&amp;"*",'5'!B$300:B$400,0)),"  ")</f>
        <v xml:space="preserve">  </v>
      </c>
      <c r="U95" s="1398" t="str">
        <f>IFERROR(INDEX('6'!C$300:C$400,MATCH("*"&amp;F95&amp;"*",'6'!B$300:B$400,0)),"  ")</f>
        <v xml:space="preserve">  </v>
      </c>
      <c r="V95" s="1398" t="str">
        <f ca="1">IFERROR(INDEX('7'!C$300:C$400,MATCH("*"&amp;F95&amp;"*",'7'!B$300:B$400,0)),"  ")</f>
        <v xml:space="preserve">  </v>
      </c>
      <c r="W95" s="1398" t="str">
        <f>IFERROR(INDEX('8'!C$300:C$400,MATCH("*"&amp;F95&amp;"*",'8'!B$300:B$400,0)),"  ")</f>
        <v xml:space="preserve">  </v>
      </c>
      <c r="X95" s="1398" t="str">
        <f>IFERROR(INDEX('9'!C$300:C$400,MATCH("*"&amp;F95&amp;"*",'9'!B$300:B$400,0)),"  ")</f>
        <v xml:space="preserve">  </v>
      </c>
      <c r="Y95" s="1398" t="str">
        <f>IFERROR(INDEX('10'!C$300:C$400,MATCH("*"&amp;F95&amp;"*",'10'!B$300:B$400,0)),"  ")</f>
        <v xml:space="preserve">  </v>
      </c>
      <c r="Z95" s="1398" t="str">
        <f>IFERROR(INDEX('11'!C$300:C$400,MATCH("*"&amp;F95&amp;"*",'11'!B$300:B$400,0)),"  ")</f>
        <v xml:space="preserve">  </v>
      </c>
      <c r="AA95" s="1353">
        <f t="shared" ca="1" si="60"/>
        <v>0</v>
      </c>
      <c r="AB95" s="1353">
        <f t="shared" ca="1" si="61"/>
        <v>0</v>
      </c>
      <c r="AC95" s="1353">
        <f t="shared" ca="1" si="62"/>
        <v>0</v>
      </c>
      <c r="AH95" s="1345"/>
      <c r="AS95" s="689">
        <f t="shared" ca="1" si="63"/>
        <v>2.9999999999999997E-4</v>
      </c>
      <c r="AT95" s="690">
        <f t="shared" si="64"/>
        <v>1E-4</v>
      </c>
      <c r="AU95" s="690">
        <f t="shared" si="65"/>
        <v>2.0000000000000001E-4</v>
      </c>
      <c r="AV95" s="690">
        <f t="shared" si="66"/>
        <v>2.9999999999999997E-4</v>
      </c>
      <c r="AW95" s="690">
        <f t="shared" si="67"/>
        <v>4.0000000000000002E-4</v>
      </c>
      <c r="AX95" s="690">
        <f t="shared" si="68"/>
        <v>5.0000000000000001E-4</v>
      </c>
      <c r="AY95" s="690">
        <f t="shared" si="69"/>
        <v>5.9999999999999995E-4</v>
      </c>
      <c r="AZ95" s="690">
        <f t="shared" ca="1" si="70"/>
        <v>6.9999999999999999E-4</v>
      </c>
      <c r="BA95" s="690">
        <f t="shared" si="71"/>
        <v>8.0000000000000004E-4</v>
      </c>
      <c r="BB95" s="690">
        <f t="shared" si="72"/>
        <v>8.9999999999999998E-4</v>
      </c>
      <c r="BC95" s="690">
        <f t="shared" si="73"/>
        <v>1E-3</v>
      </c>
      <c r="BD95" s="690">
        <f t="shared" si="74"/>
        <v>1.1000000000000001E-3</v>
      </c>
    </row>
    <row r="96" spans="1:56" hidden="1" x14ac:dyDescent="0.2">
      <c r="A96" s="1378" t="str">
        <f t="shared" si="50"/>
        <v/>
      </c>
      <c r="B96" s="1392" t="str">
        <f t="shared" si="51"/>
        <v/>
      </c>
      <c r="C96" s="1380" t="str">
        <f t="shared" si="52"/>
        <v/>
      </c>
      <c r="D96" s="1393" t="str">
        <f t="shared" si="53"/>
        <v/>
      </c>
      <c r="E96" s="1394">
        <f t="shared" ca="1" si="54"/>
        <v>70</v>
      </c>
      <c r="F96" s="1360" t="s">
        <v>93</v>
      </c>
      <c r="G96" s="1379"/>
      <c r="H96" s="1384"/>
      <c r="I96" s="1385">
        <f t="array" aca="1" ref="I96" ca="1">(IF(COUNT(P96:Z96)&lt;8,SUM(P96:Z96),SUM(LARGE((P96:Z96),{1;2;3;4;5;6;7;8}))))</f>
        <v>0</v>
      </c>
      <c r="J96" s="1388" t="str">
        <f ca="1">INDEX(ETAPP!B$1:B$32,MATCH(COUNTIF(P96:Z96,PIV!A$1),ETAPP!A$1:A$32,0))&amp;INDEX(ETAPP!B$1:B$32,MATCH(COUNTIF(P96:Z96,PIV!A$2),ETAPP!A$1:A$32,0))&amp;INDEX(ETAPP!B$1:B$32,MATCH(COUNTIF(P96:Z96,PIV!A$3),ETAPP!A$1:A$32,0))&amp;INDEX(ETAPP!B$1:B$32,MATCH(COUNTIF(P96:Z96,PIV!A$4),ETAPP!A$1:A$32,0))&amp;INDEX(ETAPP!B$1:B$32,MATCH(COUNTIF(P96:Z96,PIV!A$5),ETAPP!A$1:A$32,0))&amp;INDEX(ETAPP!B$1:B$32,MATCH(COUNTIF(P96:Z96,PIV!A$6),ETAPP!A$1:A$32,0))&amp;INDEX(ETAPP!B$1:B$32,MATCH(COUNTIF(P96:Z96,PIV!A$7),ETAPP!A$1:A$32,0))&amp;INDEX(ETAPP!B$1:B$32,MATCH(COUNTIF(P96:Z96,PIV!A$8),ETAPP!A$1:A$32,0))&amp;INDEX(ETAPP!B$1:B$32,MATCH(COUNTIF(P96:Z96,PIV!A$9),ETAPP!A$1:A$32,0))&amp;INDEX(ETAPP!B$1:B$32,MATCH(COUNTIF(P96:Z96,PIV!A$10),ETAPP!A$1:A$32,0))&amp;INDEX(ETAPP!B$1:B$32,MATCH(COUNTIF(P96:Z96,PIV!A$11),ETAPP!A$1:A$32,0))&amp;INDEX(ETAPP!B$1:B$32,MATCH(COUNTIF(P96:Z96,PIV!A$12),ETAPP!A$1:A$32,0))&amp;INDEX(ETAPP!B$1:B$32,MATCH(COUNTIF(P96:Z96,PIV!A$13),ETAPP!A$1:A$32,0))&amp;INDEX(ETAPP!B$1:B$32,MATCH(COUNTIF(P96:Z96,PIV!A$14),ETAPP!A$1:A$32,0))&amp;INDEX(ETAPP!B$1:B$32,MATCH(COUNTIF(P96:Z96,PIV!A$15),ETAPP!A$1:A$32,0))&amp;INDEX(ETAPP!B$1:B$32,MATCH(COUNTIF(P96:Z96,PIV!A$16),ETAPP!A$1:A$32,0))&amp;INDEX(ETAPP!B$1:B$32,MATCH(COUNTIF(P96:Z96,PIV!A$17),ETAPP!A$1:A$32,0))&amp;INDEX(ETAPP!B$1:B$32,MATCH(COUNTIF(P96:Z96,PIV!A$18),ETAPP!A$1:A$32,0))&amp;INDEX(ETAPP!B$1:B$32,MATCH(COUNTIF(P96:Z96,PIV!A$19),ETAPP!A$1:A$32,0))</f>
        <v>000000000000000000F</v>
      </c>
      <c r="K96" s="1388" t="str">
        <f t="shared" ca="1" si="55"/>
        <v>000,0-000000000000000000F</v>
      </c>
      <c r="L96" s="1387">
        <f t="shared" ca="1" si="56"/>
        <v>108</v>
      </c>
      <c r="M96" s="1387">
        <f t="shared" si="57"/>
        <v>54</v>
      </c>
      <c r="N96" s="1388" t="str">
        <f t="shared" ca="1" si="58"/>
        <v>000,0-000000000000000000F-054</v>
      </c>
      <c r="O96" s="1396">
        <f t="shared" ca="1" si="59"/>
        <v>20</v>
      </c>
      <c r="P96" s="1397" t="str">
        <f>IFERROR(INDEX('1'!C$300:C$400,MATCH("*"&amp;F96&amp;"*",'1'!B$300:B$400,0)),"  ")</f>
        <v xml:space="preserve">  </v>
      </c>
      <c r="Q96" s="1398" t="str">
        <f>IFERROR(INDEX('2'!C$300:C$400,MATCH("*"&amp;F96&amp;"*",'2'!B$300:B$400,0)),"  ")</f>
        <v xml:space="preserve">  </v>
      </c>
      <c r="R96" s="1398" t="str">
        <f>IFERROR(INDEX('3'!C$300:C$400,MATCH("*"&amp;F96&amp;"*",'3'!B$300:B$400,0)),"  ")</f>
        <v xml:space="preserve">  </v>
      </c>
      <c r="S96" s="1398" t="str">
        <f>IFERROR(INDEX('4'!C$300:C$400,MATCH("*"&amp;F96&amp;"*",'4'!B$300:B$400,0)),"  ")</f>
        <v xml:space="preserve">  </v>
      </c>
      <c r="T96" s="1398" t="str">
        <f>IFERROR(INDEX('5'!C$300:C$400,MATCH("*"&amp;F96&amp;"*",'5'!B$300:B$400,0)),"  ")</f>
        <v xml:space="preserve">  </v>
      </c>
      <c r="U96" s="1398" t="str">
        <f>IFERROR(INDEX('6'!C$300:C$400,MATCH("*"&amp;F96&amp;"*",'6'!B$300:B$400,0)),"  ")</f>
        <v xml:space="preserve">  </v>
      </c>
      <c r="V96" s="1398" t="str">
        <f ca="1">IFERROR(INDEX('7'!C$300:C$400,MATCH("*"&amp;F96&amp;"*",'7'!B$300:B$400,0)),"  ")</f>
        <v xml:space="preserve">  </v>
      </c>
      <c r="W96" s="1398" t="str">
        <f>IFERROR(INDEX('8'!C$300:C$400,MATCH("*"&amp;F96&amp;"*",'8'!B$300:B$400,0)),"  ")</f>
        <v xml:space="preserve">  </v>
      </c>
      <c r="X96" s="1398" t="str">
        <f>IFERROR(INDEX('9'!C$300:C$400,MATCH("*"&amp;F96&amp;"*",'9'!B$300:B$400,0)),"  ")</f>
        <v xml:space="preserve">  </v>
      </c>
      <c r="Y96" s="1398" t="str">
        <f>IFERROR(INDEX('10'!C$300:C$400,MATCH("*"&amp;F96&amp;"*",'10'!B$300:B$400,0)),"  ")</f>
        <v xml:space="preserve">  </v>
      </c>
      <c r="Z96" s="1398" t="str">
        <f>IFERROR(INDEX('11'!C$300:C$400,MATCH("*"&amp;F96&amp;"*",'11'!B$300:B$400,0)),"  ")</f>
        <v xml:space="preserve">  </v>
      </c>
      <c r="AA96" s="1353">
        <f t="shared" ca="1" si="60"/>
        <v>0</v>
      </c>
      <c r="AB96" s="1353">
        <f t="shared" ca="1" si="61"/>
        <v>0</v>
      </c>
      <c r="AC96" s="1353">
        <f t="shared" ca="1" si="62"/>
        <v>0</v>
      </c>
      <c r="AH96" s="1345"/>
      <c r="AS96" s="689">
        <f t="shared" ca="1" si="63"/>
        <v>2.9999999999999997E-4</v>
      </c>
      <c r="AT96" s="690">
        <f t="shared" si="64"/>
        <v>1E-4</v>
      </c>
      <c r="AU96" s="690">
        <f t="shared" si="65"/>
        <v>2.0000000000000001E-4</v>
      </c>
      <c r="AV96" s="690">
        <f t="shared" si="66"/>
        <v>2.9999999999999997E-4</v>
      </c>
      <c r="AW96" s="690">
        <f t="shared" si="67"/>
        <v>4.0000000000000002E-4</v>
      </c>
      <c r="AX96" s="690">
        <f t="shared" si="68"/>
        <v>5.0000000000000001E-4</v>
      </c>
      <c r="AY96" s="690">
        <f t="shared" si="69"/>
        <v>5.9999999999999995E-4</v>
      </c>
      <c r="AZ96" s="690">
        <f t="shared" ca="1" si="70"/>
        <v>6.9999999999999999E-4</v>
      </c>
      <c r="BA96" s="690">
        <f t="shared" si="71"/>
        <v>8.0000000000000004E-4</v>
      </c>
      <c r="BB96" s="690">
        <f t="shared" si="72"/>
        <v>8.9999999999999998E-4</v>
      </c>
      <c r="BC96" s="690">
        <f t="shared" si="73"/>
        <v>1E-3</v>
      </c>
      <c r="BD96" s="690">
        <f t="shared" si="74"/>
        <v>1.1000000000000001E-3</v>
      </c>
    </row>
    <row r="97" spans="1:56" hidden="1" x14ac:dyDescent="0.2">
      <c r="A97" s="1378">
        <f t="shared" ca="1" si="50"/>
        <v>19</v>
      </c>
      <c r="B97" s="1392">
        <f t="shared" ca="1" si="51"/>
        <v>108</v>
      </c>
      <c r="C97" s="1380" t="str">
        <f t="shared" si="52"/>
        <v/>
      </c>
      <c r="D97" s="1393" t="str">
        <f t="shared" si="53"/>
        <v/>
      </c>
      <c r="E97" s="1394">
        <f t="shared" ca="1" si="54"/>
        <v>70</v>
      </c>
      <c r="F97" s="1416" t="s">
        <v>156</v>
      </c>
      <c r="G97" s="1417" t="s">
        <v>99</v>
      </c>
      <c r="H97" s="1418"/>
      <c r="I97" s="1385">
        <f t="array" aca="1" ref="I97" ca="1">(IF(COUNT(P97:Z97)&lt;8,SUM(P97:Z97),SUM(LARGE((P97:Z97),{1;2;3;4;5;6;7;8}))))</f>
        <v>0</v>
      </c>
      <c r="J97" s="1388" t="str">
        <f ca="1">INDEX(ETAPP!B$1:B$32,MATCH(COUNTIF(P97:Z97,PIV!A$1),ETAPP!A$1:A$32,0))&amp;INDEX(ETAPP!B$1:B$32,MATCH(COUNTIF(P97:Z97,PIV!A$2),ETAPP!A$1:A$32,0))&amp;INDEX(ETAPP!B$1:B$32,MATCH(COUNTIF(P97:Z97,PIV!A$3),ETAPP!A$1:A$32,0))&amp;INDEX(ETAPP!B$1:B$32,MATCH(COUNTIF(P97:Z97,PIV!A$4),ETAPP!A$1:A$32,0))&amp;INDEX(ETAPP!B$1:B$32,MATCH(COUNTIF(P97:Z97,PIV!A$5),ETAPP!A$1:A$32,0))&amp;INDEX(ETAPP!B$1:B$32,MATCH(COUNTIF(P97:Z97,PIV!A$6),ETAPP!A$1:A$32,0))&amp;INDEX(ETAPP!B$1:B$32,MATCH(COUNTIF(P97:Z97,PIV!A$7),ETAPP!A$1:A$32,0))&amp;INDEX(ETAPP!B$1:B$32,MATCH(COUNTIF(P97:Z97,PIV!A$8),ETAPP!A$1:A$32,0))&amp;INDEX(ETAPP!B$1:B$32,MATCH(COUNTIF(P97:Z97,PIV!A$9),ETAPP!A$1:A$32,0))&amp;INDEX(ETAPP!B$1:B$32,MATCH(COUNTIF(P97:Z97,PIV!A$10),ETAPP!A$1:A$32,0))&amp;INDEX(ETAPP!B$1:B$32,MATCH(COUNTIF(P97:Z97,PIV!A$11),ETAPP!A$1:A$32,0))&amp;INDEX(ETAPP!B$1:B$32,MATCH(COUNTIF(P97:Z97,PIV!A$12),ETAPP!A$1:A$32,0))&amp;INDEX(ETAPP!B$1:B$32,MATCH(COUNTIF(P97:Z97,PIV!A$13),ETAPP!A$1:A$32,0))&amp;INDEX(ETAPP!B$1:B$32,MATCH(COUNTIF(P97:Z97,PIV!A$14),ETAPP!A$1:A$32,0))&amp;INDEX(ETAPP!B$1:B$32,MATCH(COUNTIF(P97:Z97,PIV!A$15),ETAPP!A$1:A$32,0))&amp;INDEX(ETAPP!B$1:B$32,MATCH(COUNTIF(P97:Z97,PIV!A$16),ETAPP!A$1:A$32,0))&amp;INDEX(ETAPP!B$1:B$32,MATCH(COUNTIF(P97:Z97,PIV!A$17),ETAPP!A$1:A$32,0))&amp;INDEX(ETAPP!B$1:B$32,MATCH(COUNTIF(P97:Z97,PIV!A$18),ETAPP!A$1:A$32,0))&amp;INDEX(ETAPP!B$1:B$32,MATCH(COUNTIF(P97:Z97,PIV!A$19),ETAPP!A$1:A$32,0))</f>
        <v>000000000000000000F</v>
      </c>
      <c r="K97" s="1388" t="str">
        <f t="shared" ca="1" si="55"/>
        <v>000,0-000000000000000000F</v>
      </c>
      <c r="L97" s="1387">
        <f t="shared" ca="1" si="56"/>
        <v>108</v>
      </c>
      <c r="M97" s="1387">
        <f t="shared" si="57"/>
        <v>46</v>
      </c>
      <c r="N97" s="1388" t="str">
        <f t="shared" ca="1" si="58"/>
        <v>000,0-000000000000000000F-046</v>
      </c>
      <c r="O97" s="1396">
        <f t="shared" ca="1" si="59"/>
        <v>19</v>
      </c>
      <c r="P97" s="1397" t="str">
        <f>IFERROR(INDEX('1'!C$300:C$400,MATCH("*"&amp;F97&amp;"*",'1'!B$300:B$400,0)),"  ")</f>
        <v xml:space="preserve">  </v>
      </c>
      <c r="Q97" s="1398" t="str">
        <f>IFERROR(INDEX('2'!C$300:C$400,MATCH("*"&amp;F97&amp;"*",'2'!B$300:B$400,0)),"  ")</f>
        <v xml:space="preserve">  </v>
      </c>
      <c r="R97" s="1398" t="str">
        <f>IFERROR(INDEX('3'!C$300:C$400,MATCH("*"&amp;F97&amp;"*",'3'!B$300:B$400,0)),"  ")</f>
        <v xml:space="preserve">  </v>
      </c>
      <c r="S97" s="1398" t="str">
        <f>IFERROR(INDEX('4'!C$300:C$400,MATCH("*"&amp;F97&amp;"*",'4'!B$300:B$400,0)),"  ")</f>
        <v xml:space="preserve">  </v>
      </c>
      <c r="T97" s="1398" t="str">
        <f>IFERROR(INDEX('5'!C$300:C$400,MATCH("*"&amp;F97&amp;"*",'5'!B$300:B$400,0)),"  ")</f>
        <v xml:space="preserve">  </v>
      </c>
      <c r="U97" s="1398" t="str">
        <f>IFERROR(INDEX('6'!C$300:C$400,MATCH("*"&amp;F97&amp;"*",'6'!B$300:B$400,0)),"  ")</f>
        <v xml:space="preserve">  </v>
      </c>
      <c r="V97" s="1398" t="str">
        <f ca="1">IFERROR(INDEX('7'!C$300:C$400,MATCH("*"&amp;F97&amp;"*",'7'!B$300:B$400,0)),"  ")</f>
        <v xml:space="preserve">  </v>
      </c>
      <c r="W97" s="1398" t="str">
        <f>IFERROR(INDEX('8'!C$300:C$400,MATCH("*"&amp;F97&amp;"*",'8'!B$300:B$400,0)),"  ")</f>
        <v xml:space="preserve">  </v>
      </c>
      <c r="X97" s="1398" t="str">
        <f>IFERROR(INDEX('9'!C$300:C$400,MATCH("*"&amp;F97&amp;"*",'9'!B$300:B$400,0)),"  ")</f>
        <v xml:space="preserve">  </v>
      </c>
      <c r="Y97" s="1398" t="str">
        <f>IFERROR(INDEX('10'!C$300:C$400,MATCH("*"&amp;F97&amp;"*",'10'!B$300:B$400,0)),"  ")</f>
        <v xml:space="preserve">  </v>
      </c>
      <c r="Z97" s="1398" t="str">
        <f>IFERROR(INDEX('11'!C$300:C$400,MATCH("*"&amp;F97&amp;"*",'11'!B$300:B$400,0)),"  ")</f>
        <v xml:space="preserve">  </v>
      </c>
      <c r="AA97" s="1353">
        <f t="shared" ca="1" si="60"/>
        <v>0</v>
      </c>
      <c r="AB97" s="1353">
        <f t="shared" ca="1" si="61"/>
        <v>0</v>
      </c>
      <c r="AC97" s="1353">
        <f t="shared" ca="1" si="62"/>
        <v>0</v>
      </c>
      <c r="AH97" s="1345"/>
      <c r="AS97" s="689">
        <f t="shared" ca="1" si="63"/>
        <v>2.9999999999999997E-4</v>
      </c>
      <c r="AT97" s="690">
        <f t="shared" si="64"/>
        <v>1E-4</v>
      </c>
      <c r="AU97" s="690">
        <f t="shared" si="65"/>
        <v>2.0000000000000001E-4</v>
      </c>
      <c r="AV97" s="690">
        <f t="shared" si="66"/>
        <v>2.9999999999999997E-4</v>
      </c>
      <c r="AW97" s="690">
        <f t="shared" si="67"/>
        <v>4.0000000000000002E-4</v>
      </c>
      <c r="AX97" s="690">
        <f t="shared" si="68"/>
        <v>5.0000000000000001E-4</v>
      </c>
      <c r="AY97" s="690">
        <f t="shared" si="69"/>
        <v>5.9999999999999995E-4</v>
      </c>
      <c r="AZ97" s="690">
        <f t="shared" ca="1" si="70"/>
        <v>6.9999999999999999E-4</v>
      </c>
      <c r="BA97" s="690">
        <f t="shared" si="71"/>
        <v>8.0000000000000004E-4</v>
      </c>
      <c r="BB97" s="690">
        <f t="shared" si="72"/>
        <v>8.9999999999999998E-4</v>
      </c>
      <c r="BC97" s="690">
        <f t="shared" si="73"/>
        <v>1E-3</v>
      </c>
      <c r="BD97" s="690">
        <f t="shared" si="74"/>
        <v>1.1000000000000001E-3</v>
      </c>
    </row>
    <row r="98" spans="1:56" hidden="1" x14ac:dyDescent="0.2">
      <c r="A98" s="1378" t="str">
        <f t="shared" si="50"/>
        <v/>
      </c>
      <c r="B98" s="1392" t="str">
        <f t="shared" si="51"/>
        <v/>
      </c>
      <c r="C98" s="1380" t="str">
        <f t="shared" si="52"/>
        <v/>
      </c>
      <c r="D98" s="1393" t="str">
        <f t="shared" si="53"/>
        <v/>
      </c>
      <c r="E98" s="1394">
        <f t="shared" ca="1" si="54"/>
        <v>70</v>
      </c>
      <c r="F98" s="1416" t="s">
        <v>157</v>
      </c>
      <c r="G98" s="1417"/>
      <c r="H98" s="1418"/>
      <c r="I98" s="1385">
        <f t="array" aca="1" ref="I98" ca="1">(IF(COUNT(P98:Z98)&lt;8,SUM(P98:Z98),SUM(LARGE((P98:Z98),{1;2;3;4;5;6;7;8}))))</f>
        <v>0</v>
      </c>
      <c r="J98" s="1388" t="str">
        <f ca="1">INDEX(ETAPP!B$1:B$32,MATCH(COUNTIF(P98:Z98,PIV!A$1),ETAPP!A$1:A$32,0))&amp;INDEX(ETAPP!B$1:B$32,MATCH(COUNTIF(P98:Z98,PIV!A$2),ETAPP!A$1:A$32,0))&amp;INDEX(ETAPP!B$1:B$32,MATCH(COUNTIF(P98:Z98,PIV!A$3),ETAPP!A$1:A$32,0))&amp;INDEX(ETAPP!B$1:B$32,MATCH(COUNTIF(P98:Z98,PIV!A$4),ETAPP!A$1:A$32,0))&amp;INDEX(ETAPP!B$1:B$32,MATCH(COUNTIF(P98:Z98,PIV!A$5),ETAPP!A$1:A$32,0))&amp;INDEX(ETAPP!B$1:B$32,MATCH(COUNTIF(P98:Z98,PIV!A$6),ETAPP!A$1:A$32,0))&amp;INDEX(ETAPP!B$1:B$32,MATCH(COUNTIF(P98:Z98,PIV!A$7),ETAPP!A$1:A$32,0))&amp;INDEX(ETAPP!B$1:B$32,MATCH(COUNTIF(P98:Z98,PIV!A$8),ETAPP!A$1:A$32,0))&amp;INDEX(ETAPP!B$1:B$32,MATCH(COUNTIF(P98:Z98,PIV!A$9),ETAPP!A$1:A$32,0))&amp;INDEX(ETAPP!B$1:B$32,MATCH(COUNTIF(P98:Z98,PIV!A$10),ETAPP!A$1:A$32,0))&amp;INDEX(ETAPP!B$1:B$32,MATCH(COUNTIF(P98:Z98,PIV!A$11),ETAPP!A$1:A$32,0))&amp;INDEX(ETAPP!B$1:B$32,MATCH(COUNTIF(P98:Z98,PIV!A$12),ETAPP!A$1:A$32,0))&amp;INDEX(ETAPP!B$1:B$32,MATCH(COUNTIF(P98:Z98,PIV!A$13),ETAPP!A$1:A$32,0))&amp;INDEX(ETAPP!B$1:B$32,MATCH(COUNTIF(P98:Z98,PIV!A$14),ETAPP!A$1:A$32,0))&amp;INDEX(ETAPP!B$1:B$32,MATCH(COUNTIF(P98:Z98,PIV!A$15),ETAPP!A$1:A$32,0))&amp;INDEX(ETAPP!B$1:B$32,MATCH(COUNTIF(P98:Z98,PIV!A$16),ETAPP!A$1:A$32,0))&amp;INDEX(ETAPP!B$1:B$32,MATCH(COUNTIF(P98:Z98,PIV!A$17),ETAPP!A$1:A$32,0))&amp;INDEX(ETAPP!B$1:B$32,MATCH(COUNTIF(P98:Z98,PIV!A$18),ETAPP!A$1:A$32,0))&amp;INDEX(ETAPP!B$1:B$32,MATCH(COUNTIF(P98:Z98,PIV!A$19),ETAPP!A$1:A$32,0))</f>
        <v>000000000000000000F</v>
      </c>
      <c r="K98" s="1388" t="str">
        <f t="shared" ca="1" si="55"/>
        <v>000,0-000000000000000000F</v>
      </c>
      <c r="L98" s="1387">
        <f t="shared" ca="1" si="56"/>
        <v>108</v>
      </c>
      <c r="M98" s="1387">
        <f t="shared" si="57"/>
        <v>45</v>
      </c>
      <c r="N98" s="1388" t="str">
        <f t="shared" ca="1" si="58"/>
        <v>000,0-000000000000000000F-045</v>
      </c>
      <c r="O98" s="1396">
        <f t="shared" ca="1" si="59"/>
        <v>18</v>
      </c>
      <c r="P98" s="1397" t="str">
        <f>IFERROR(INDEX('1'!C$300:C$400,MATCH("*"&amp;F98&amp;"*",'1'!B$300:B$400,0)),"  ")</f>
        <v xml:space="preserve">  </v>
      </c>
      <c r="Q98" s="1398" t="str">
        <f>IFERROR(INDEX('2'!C$300:C$400,MATCH("*"&amp;F98&amp;"*",'2'!B$300:B$400,0)),"  ")</f>
        <v xml:space="preserve">  </v>
      </c>
      <c r="R98" s="1398" t="str">
        <f>IFERROR(INDEX('3'!C$300:C$400,MATCH("*"&amp;F98&amp;"*",'3'!B$300:B$400,0)),"  ")</f>
        <v xml:space="preserve">  </v>
      </c>
      <c r="S98" s="1398" t="str">
        <f>IFERROR(INDEX('4'!C$300:C$400,MATCH("*"&amp;F98&amp;"*",'4'!B$300:B$400,0)),"  ")</f>
        <v xml:space="preserve">  </v>
      </c>
      <c r="T98" s="1398" t="str">
        <f>IFERROR(INDEX('5'!C$300:C$400,MATCH("*"&amp;F98&amp;"*",'5'!B$300:B$400,0)),"  ")</f>
        <v xml:space="preserve">  </v>
      </c>
      <c r="U98" s="1398" t="str">
        <f>IFERROR(INDEX('6'!C$300:C$400,MATCH("*"&amp;F98&amp;"*",'6'!B$300:B$400,0)),"  ")</f>
        <v xml:space="preserve">  </v>
      </c>
      <c r="V98" s="1398" t="str">
        <f ca="1">IFERROR(INDEX('7'!C$300:C$400,MATCH("*"&amp;F98&amp;"*",'7'!B$300:B$400,0)),"  ")</f>
        <v xml:space="preserve">  </v>
      </c>
      <c r="W98" s="1398" t="str">
        <f>IFERROR(INDEX('8'!C$300:C$400,MATCH("*"&amp;F98&amp;"*",'8'!B$300:B$400,0)),"  ")</f>
        <v xml:space="preserve">  </v>
      </c>
      <c r="X98" s="1398" t="str">
        <f>IFERROR(INDEX('9'!C$300:C$400,MATCH("*"&amp;F98&amp;"*",'9'!B$300:B$400,0)),"  ")</f>
        <v xml:space="preserve">  </v>
      </c>
      <c r="Y98" s="1398" t="str">
        <f>IFERROR(INDEX('10'!C$300:C$400,MATCH("*"&amp;F98&amp;"*",'10'!B$300:B$400,0)),"  ")</f>
        <v xml:space="preserve">  </v>
      </c>
      <c r="Z98" s="1398" t="str">
        <f>IFERROR(INDEX('11'!C$300:C$400,MATCH("*"&amp;F98&amp;"*",'11'!B$300:B$400,0)),"  ")</f>
        <v xml:space="preserve">  </v>
      </c>
      <c r="AA98" s="1353">
        <f t="shared" ca="1" si="60"/>
        <v>0</v>
      </c>
      <c r="AB98" s="1353">
        <f t="shared" ca="1" si="61"/>
        <v>0</v>
      </c>
      <c r="AC98" s="1353">
        <f t="shared" ca="1" si="62"/>
        <v>0</v>
      </c>
      <c r="AH98" s="1345"/>
      <c r="AS98" s="689">
        <f t="shared" ca="1" si="63"/>
        <v>2.9999999999999997E-4</v>
      </c>
      <c r="AT98" s="690">
        <f t="shared" si="64"/>
        <v>1E-4</v>
      </c>
      <c r="AU98" s="690">
        <f t="shared" si="65"/>
        <v>2.0000000000000001E-4</v>
      </c>
      <c r="AV98" s="690">
        <f t="shared" si="66"/>
        <v>2.9999999999999997E-4</v>
      </c>
      <c r="AW98" s="690">
        <f t="shared" si="67"/>
        <v>4.0000000000000002E-4</v>
      </c>
      <c r="AX98" s="690">
        <f t="shared" si="68"/>
        <v>5.0000000000000001E-4</v>
      </c>
      <c r="AY98" s="690">
        <f t="shared" si="69"/>
        <v>5.9999999999999995E-4</v>
      </c>
      <c r="AZ98" s="690">
        <f t="shared" ca="1" si="70"/>
        <v>6.9999999999999999E-4</v>
      </c>
      <c r="BA98" s="690">
        <f t="shared" si="71"/>
        <v>8.0000000000000004E-4</v>
      </c>
      <c r="BB98" s="690">
        <f t="shared" si="72"/>
        <v>8.9999999999999998E-4</v>
      </c>
      <c r="BC98" s="690">
        <f t="shared" si="73"/>
        <v>1E-3</v>
      </c>
      <c r="BD98" s="690">
        <f t="shared" si="74"/>
        <v>1.1000000000000001E-3</v>
      </c>
    </row>
    <row r="99" spans="1:56" hidden="1" x14ac:dyDescent="0.2">
      <c r="A99" s="1378" t="str">
        <f t="shared" si="50"/>
        <v/>
      </c>
      <c r="B99" s="1392" t="str">
        <f t="shared" si="51"/>
        <v/>
      </c>
      <c r="C99" s="1380" t="str">
        <f t="shared" si="52"/>
        <v/>
      </c>
      <c r="D99" s="1393" t="str">
        <f t="shared" si="53"/>
        <v/>
      </c>
      <c r="E99" s="1394">
        <f t="shared" ca="1" si="54"/>
        <v>70</v>
      </c>
      <c r="F99" s="1395" t="s">
        <v>158</v>
      </c>
      <c r="G99" s="1379"/>
      <c r="H99" s="1384"/>
      <c r="I99" s="1385">
        <f t="array" aca="1" ref="I99" ca="1">(IF(COUNT(P99:Z99)&lt;8,SUM(P99:Z99),SUM(LARGE((P99:Z99),{1;2;3;4;5;6;7;8}))))</f>
        <v>0</v>
      </c>
      <c r="J99" s="1388" t="str">
        <f ca="1">INDEX(ETAPP!B$1:B$32,MATCH(COUNTIF(P99:Z99,PIV!A$1),ETAPP!A$1:A$32,0))&amp;INDEX(ETAPP!B$1:B$32,MATCH(COUNTIF(P99:Z99,PIV!A$2),ETAPP!A$1:A$32,0))&amp;INDEX(ETAPP!B$1:B$32,MATCH(COUNTIF(P99:Z99,PIV!A$3),ETAPP!A$1:A$32,0))&amp;INDEX(ETAPP!B$1:B$32,MATCH(COUNTIF(P99:Z99,PIV!A$4),ETAPP!A$1:A$32,0))&amp;INDEX(ETAPP!B$1:B$32,MATCH(COUNTIF(P99:Z99,PIV!A$5),ETAPP!A$1:A$32,0))&amp;INDEX(ETAPP!B$1:B$32,MATCH(COUNTIF(P99:Z99,PIV!A$6),ETAPP!A$1:A$32,0))&amp;INDEX(ETAPP!B$1:B$32,MATCH(COUNTIF(P99:Z99,PIV!A$7),ETAPP!A$1:A$32,0))&amp;INDEX(ETAPP!B$1:B$32,MATCH(COUNTIF(P99:Z99,PIV!A$8),ETAPP!A$1:A$32,0))&amp;INDEX(ETAPP!B$1:B$32,MATCH(COUNTIF(P99:Z99,PIV!A$9),ETAPP!A$1:A$32,0))&amp;INDEX(ETAPP!B$1:B$32,MATCH(COUNTIF(P99:Z99,PIV!A$10),ETAPP!A$1:A$32,0))&amp;INDEX(ETAPP!B$1:B$32,MATCH(COUNTIF(P99:Z99,PIV!A$11),ETAPP!A$1:A$32,0))&amp;INDEX(ETAPP!B$1:B$32,MATCH(COUNTIF(P99:Z99,PIV!A$12),ETAPP!A$1:A$32,0))&amp;INDEX(ETAPP!B$1:B$32,MATCH(COUNTIF(P99:Z99,PIV!A$13),ETAPP!A$1:A$32,0))&amp;INDEX(ETAPP!B$1:B$32,MATCH(COUNTIF(P99:Z99,PIV!A$14),ETAPP!A$1:A$32,0))&amp;INDEX(ETAPP!B$1:B$32,MATCH(COUNTIF(P99:Z99,PIV!A$15),ETAPP!A$1:A$32,0))&amp;INDEX(ETAPP!B$1:B$32,MATCH(COUNTIF(P99:Z99,PIV!A$16),ETAPP!A$1:A$32,0))&amp;INDEX(ETAPP!B$1:B$32,MATCH(COUNTIF(P99:Z99,PIV!A$17),ETAPP!A$1:A$32,0))&amp;INDEX(ETAPP!B$1:B$32,MATCH(COUNTIF(P99:Z99,PIV!A$18),ETAPP!A$1:A$32,0))&amp;INDEX(ETAPP!B$1:B$32,MATCH(COUNTIF(P99:Z99,PIV!A$19),ETAPP!A$1:A$32,0))</f>
        <v>000000000000000000F</v>
      </c>
      <c r="K99" s="1388" t="str">
        <f t="shared" ca="1" si="55"/>
        <v>000,0-000000000000000000F</v>
      </c>
      <c r="L99" s="1387">
        <f t="shared" ca="1" si="56"/>
        <v>108</v>
      </c>
      <c r="M99" s="1387">
        <f t="shared" si="57"/>
        <v>44</v>
      </c>
      <c r="N99" s="1388" t="str">
        <f t="shared" ca="1" si="58"/>
        <v>000,0-000000000000000000F-044</v>
      </c>
      <c r="O99" s="1396">
        <f t="shared" ca="1" si="59"/>
        <v>17</v>
      </c>
      <c r="P99" s="1397" t="str">
        <f>IFERROR(INDEX('1'!C$300:C$400,MATCH("*"&amp;F99&amp;"*",'1'!B$300:B$400,0)),"  ")</f>
        <v xml:space="preserve">  </v>
      </c>
      <c r="Q99" s="1398" t="str">
        <f>IFERROR(INDEX('2'!C$300:C$400,MATCH("*"&amp;F99&amp;"*",'2'!B$300:B$400,0)),"  ")</f>
        <v xml:space="preserve">  </v>
      </c>
      <c r="R99" s="1398" t="str">
        <f>IFERROR(INDEX('3'!C$300:C$400,MATCH("*"&amp;F99&amp;"*",'3'!B$300:B$400,0)),"  ")</f>
        <v xml:space="preserve">  </v>
      </c>
      <c r="S99" s="1398" t="str">
        <f>IFERROR(INDEX('4'!C$300:C$400,MATCH("*"&amp;F99&amp;"*",'4'!B$300:B$400,0)),"  ")</f>
        <v xml:space="preserve">  </v>
      </c>
      <c r="T99" s="1398" t="str">
        <f>IFERROR(INDEX('5'!C$300:C$400,MATCH("*"&amp;F99&amp;"*",'5'!B$300:B$400,0)),"  ")</f>
        <v xml:space="preserve">  </v>
      </c>
      <c r="U99" s="1398" t="str">
        <f>IFERROR(INDEX('6'!C$300:C$400,MATCH("*"&amp;F99&amp;"*",'6'!B$300:B$400,0)),"  ")</f>
        <v xml:space="preserve">  </v>
      </c>
      <c r="V99" s="1398" t="str">
        <f ca="1">IFERROR(INDEX('7'!C$300:C$400,MATCH("*"&amp;F99&amp;"*",'7'!B$300:B$400,0)),"  ")</f>
        <v xml:space="preserve">  </v>
      </c>
      <c r="W99" s="1398" t="str">
        <f>IFERROR(INDEX('8'!C$300:C$400,MATCH("*"&amp;F99&amp;"*",'8'!B$300:B$400,0)),"  ")</f>
        <v xml:space="preserve">  </v>
      </c>
      <c r="X99" s="1398" t="str">
        <f>IFERROR(INDEX('9'!C$300:C$400,MATCH("*"&amp;F99&amp;"*",'9'!B$300:B$400,0)),"  ")</f>
        <v xml:space="preserve">  </v>
      </c>
      <c r="Y99" s="1398" t="str">
        <f>IFERROR(INDEX('10'!C$300:C$400,MATCH("*"&amp;F99&amp;"*",'10'!B$300:B$400,0)),"  ")</f>
        <v xml:space="preserve">  </v>
      </c>
      <c r="Z99" s="1398" t="str">
        <f>IFERROR(INDEX('11'!C$300:C$400,MATCH("*"&amp;F99&amp;"*",'11'!B$300:B$400,0)),"  ")</f>
        <v xml:space="preserve">  </v>
      </c>
      <c r="AA99" s="1353">
        <f t="shared" ca="1" si="60"/>
        <v>0</v>
      </c>
      <c r="AB99" s="1353">
        <f t="shared" ca="1" si="61"/>
        <v>0</v>
      </c>
      <c r="AC99" s="1353">
        <f t="shared" ca="1" si="62"/>
        <v>0</v>
      </c>
      <c r="AH99" s="1345"/>
      <c r="AS99" s="689">
        <f t="shared" ca="1" si="63"/>
        <v>2.9999999999999997E-4</v>
      </c>
      <c r="AT99" s="690">
        <f t="shared" si="64"/>
        <v>1E-4</v>
      </c>
      <c r="AU99" s="690">
        <f t="shared" si="65"/>
        <v>2.0000000000000001E-4</v>
      </c>
      <c r="AV99" s="690">
        <f t="shared" si="66"/>
        <v>2.9999999999999997E-4</v>
      </c>
      <c r="AW99" s="690">
        <f t="shared" si="67"/>
        <v>4.0000000000000002E-4</v>
      </c>
      <c r="AX99" s="690">
        <f t="shared" si="68"/>
        <v>5.0000000000000001E-4</v>
      </c>
      <c r="AY99" s="690">
        <f t="shared" si="69"/>
        <v>5.9999999999999995E-4</v>
      </c>
      <c r="AZ99" s="690">
        <f t="shared" ca="1" si="70"/>
        <v>6.9999999999999999E-4</v>
      </c>
      <c r="BA99" s="690">
        <f t="shared" si="71"/>
        <v>8.0000000000000004E-4</v>
      </c>
      <c r="BB99" s="690">
        <f t="shared" si="72"/>
        <v>8.9999999999999998E-4</v>
      </c>
      <c r="BC99" s="690">
        <f t="shared" si="73"/>
        <v>1E-3</v>
      </c>
      <c r="BD99" s="690">
        <f t="shared" si="74"/>
        <v>1.1000000000000001E-3</v>
      </c>
    </row>
    <row r="100" spans="1:56" hidden="1" x14ac:dyDescent="0.2">
      <c r="A100" s="1378" t="str">
        <f t="shared" si="50"/>
        <v/>
      </c>
      <c r="B100" s="1392" t="str">
        <f t="shared" si="51"/>
        <v/>
      </c>
      <c r="C100" s="1380" t="str">
        <f t="shared" si="52"/>
        <v/>
      </c>
      <c r="D100" s="1393" t="str">
        <f t="shared" si="53"/>
        <v/>
      </c>
      <c r="E100" s="1394">
        <f t="shared" ca="1" si="54"/>
        <v>70</v>
      </c>
      <c r="F100" s="1395" t="s">
        <v>138</v>
      </c>
      <c r="G100" s="1379"/>
      <c r="H100" s="1384"/>
      <c r="I100" s="1385">
        <f t="array" aca="1" ref="I100" ca="1">(IF(COUNT(P100:Z100)&lt;8,SUM(P100:Z100),SUM(LARGE((P100:Z100),{1;2;3;4;5;6;7;8}))))</f>
        <v>0</v>
      </c>
      <c r="J100" s="1388" t="str">
        <f ca="1">INDEX(ETAPP!B$1:B$32,MATCH(COUNTIF(P100:Z100,PIV!A$1),ETAPP!A$1:A$32,0))&amp;INDEX(ETAPP!B$1:B$32,MATCH(COUNTIF(P100:Z100,PIV!A$2),ETAPP!A$1:A$32,0))&amp;INDEX(ETAPP!B$1:B$32,MATCH(COUNTIF(P100:Z100,PIV!A$3),ETAPP!A$1:A$32,0))&amp;INDEX(ETAPP!B$1:B$32,MATCH(COUNTIF(P100:Z100,PIV!A$4),ETAPP!A$1:A$32,0))&amp;INDEX(ETAPP!B$1:B$32,MATCH(COUNTIF(P100:Z100,PIV!A$5),ETAPP!A$1:A$32,0))&amp;INDEX(ETAPP!B$1:B$32,MATCH(COUNTIF(P100:Z100,PIV!A$6),ETAPP!A$1:A$32,0))&amp;INDEX(ETAPP!B$1:B$32,MATCH(COUNTIF(P100:Z100,PIV!A$7),ETAPP!A$1:A$32,0))&amp;INDEX(ETAPP!B$1:B$32,MATCH(COUNTIF(P100:Z100,PIV!A$8),ETAPP!A$1:A$32,0))&amp;INDEX(ETAPP!B$1:B$32,MATCH(COUNTIF(P100:Z100,PIV!A$9),ETAPP!A$1:A$32,0))&amp;INDEX(ETAPP!B$1:B$32,MATCH(COUNTIF(P100:Z100,PIV!A$10),ETAPP!A$1:A$32,0))&amp;INDEX(ETAPP!B$1:B$32,MATCH(COUNTIF(P100:Z100,PIV!A$11),ETAPP!A$1:A$32,0))&amp;INDEX(ETAPP!B$1:B$32,MATCH(COUNTIF(P100:Z100,PIV!A$12),ETAPP!A$1:A$32,0))&amp;INDEX(ETAPP!B$1:B$32,MATCH(COUNTIF(P100:Z100,PIV!A$13),ETAPP!A$1:A$32,0))&amp;INDEX(ETAPP!B$1:B$32,MATCH(COUNTIF(P100:Z100,PIV!A$14),ETAPP!A$1:A$32,0))&amp;INDEX(ETAPP!B$1:B$32,MATCH(COUNTIF(P100:Z100,PIV!A$15),ETAPP!A$1:A$32,0))&amp;INDEX(ETAPP!B$1:B$32,MATCH(COUNTIF(P100:Z100,PIV!A$16),ETAPP!A$1:A$32,0))&amp;INDEX(ETAPP!B$1:B$32,MATCH(COUNTIF(P100:Z100,PIV!A$17),ETAPP!A$1:A$32,0))&amp;INDEX(ETAPP!B$1:B$32,MATCH(COUNTIF(P100:Z100,PIV!A$18),ETAPP!A$1:A$32,0))&amp;INDEX(ETAPP!B$1:B$32,MATCH(COUNTIF(P100:Z100,PIV!A$19),ETAPP!A$1:A$32,0))</f>
        <v>000000000000000000F</v>
      </c>
      <c r="K100" s="1388" t="str">
        <f t="shared" ca="1" si="55"/>
        <v>000,0-000000000000000000F</v>
      </c>
      <c r="L100" s="1387">
        <f t="shared" ca="1" si="56"/>
        <v>108</v>
      </c>
      <c r="M100" s="1387">
        <f t="shared" si="57"/>
        <v>43</v>
      </c>
      <c r="N100" s="1388" t="str">
        <f t="shared" ca="1" si="58"/>
        <v>000,0-000000000000000000F-043</v>
      </c>
      <c r="O100" s="1396">
        <f t="shared" ca="1" si="59"/>
        <v>16</v>
      </c>
      <c r="P100" s="1397" t="str">
        <f>IFERROR(INDEX('1'!C$300:C$400,MATCH("*"&amp;F100&amp;"*",'1'!B$300:B$400,0)),"  ")</f>
        <v xml:space="preserve">  </v>
      </c>
      <c r="Q100" s="1398" t="str">
        <f>IFERROR(INDEX('2'!C$300:C$400,MATCH("*"&amp;F100&amp;"*",'2'!B$300:B$400,0)),"  ")</f>
        <v xml:space="preserve">  </v>
      </c>
      <c r="R100" s="1398" t="str">
        <f>IFERROR(INDEX('3'!C$300:C$400,MATCH("*"&amp;F100&amp;"*",'3'!B$300:B$400,0)),"  ")</f>
        <v xml:space="preserve">  </v>
      </c>
      <c r="S100" s="1398" t="str">
        <f>IFERROR(INDEX('4'!C$300:C$400,MATCH("*"&amp;F100&amp;"*",'4'!B$300:B$400,0)),"  ")</f>
        <v xml:space="preserve">  </v>
      </c>
      <c r="T100" s="1398" t="str">
        <f>IFERROR(INDEX('5'!C$300:C$400,MATCH("*"&amp;F100&amp;"*",'5'!B$300:B$400,0)),"  ")</f>
        <v xml:space="preserve">  </v>
      </c>
      <c r="U100" s="1398" t="str">
        <f>IFERROR(INDEX('6'!C$300:C$400,MATCH("*"&amp;F100&amp;"*",'6'!B$300:B$400,0)),"  ")</f>
        <v xml:space="preserve">  </v>
      </c>
      <c r="V100" s="1398" t="str">
        <f ca="1">IFERROR(INDEX('7'!C$300:C$400,MATCH("*"&amp;F100&amp;"*",'7'!B$300:B$400,0)),"  ")</f>
        <v xml:space="preserve">  </v>
      </c>
      <c r="W100" s="1398" t="str">
        <f>IFERROR(INDEX('8'!C$300:C$400,MATCH("*"&amp;F100&amp;"*",'8'!B$300:B$400,0)),"  ")</f>
        <v xml:space="preserve">  </v>
      </c>
      <c r="X100" s="1398" t="str">
        <f>IFERROR(INDEX('9'!C$300:C$400,MATCH("*"&amp;F100&amp;"*",'9'!B$300:B$400,0)),"  ")</f>
        <v xml:space="preserve">  </v>
      </c>
      <c r="Y100" s="1398" t="str">
        <f>IFERROR(INDEX('10'!C$300:C$400,MATCH("*"&amp;F100&amp;"*",'10'!B$300:B$400,0)),"  ")</f>
        <v xml:space="preserve">  </v>
      </c>
      <c r="Z100" s="1398" t="str">
        <f>IFERROR(INDEX('11'!C$300:C$400,MATCH("*"&amp;F100&amp;"*",'11'!B$300:B$400,0)),"  ")</f>
        <v xml:space="preserve">  </v>
      </c>
      <c r="AA100" s="1353">
        <f t="shared" ca="1" si="60"/>
        <v>0</v>
      </c>
      <c r="AB100" s="1353">
        <f t="shared" ca="1" si="61"/>
        <v>0</v>
      </c>
      <c r="AC100" s="1353">
        <f t="shared" ca="1" si="62"/>
        <v>0</v>
      </c>
      <c r="AH100" s="1345"/>
      <c r="AS100" s="689">
        <f t="shared" ca="1" si="63"/>
        <v>2.9999999999999997E-4</v>
      </c>
      <c r="AT100" s="690">
        <f t="shared" si="64"/>
        <v>1E-4</v>
      </c>
      <c r="AU100" s="690">
        <f t="shared" si="65"/>
        <v>2.0000000000000001E-4</v>
      </c>
      <c r="AV100" s="690">
        <f t="shared" si="66"/>
        <v>2.9999999999999997E-4</v>
      </c>
      <c r="AW100" s="690">
        <f t="shared" si="67"/>
        <v>4.0000000000000002E-4</v>
      </c>
      <c r="AX100" s="690">
        <f t="shared" si="68"/>
        <v>5.0000000000000001E-4</v>
      </c>
      <c r="AY100" s="690">
        <f t="shared" si="69"/>
        <v>5.9999999999999995E-4</v>
      </c>
      <c r="AZ100" s="690">
        <f t="shared" ca="1" si="70"/>
        <v>6.9999999999999999E-4</v>
      </c>
      <c r="BA100" s="690">
        <f t="shared" si="71"/>
        <v>8.0000000000000004E-4</v>
      </c>
      <c r="BB100" s="690">
        <f t="shared" si="72"/>
        <v>8.9999999999999998E-4</v>
      </c>
      <c r="BC100" s="690">
        <f t="shared" si="73"/>
        <v>1E-3</v>
      </c>
      <c r="BD100" s="690">
        <f t="shared" si="74"/>
        <v>1.1000000000000001E-3</v>
      </c>
    </row>
    <row r="101" spans="1:56" hidden="1" x14ac:dyDescent="0.2">
      <c r="A101" s="1378" t="str">
        <f t="shared" si="50"/>
        <v/>
      </c>
      <c r="B101" s="1392" t="str">
        <f t="shared" si="51"/>
        <v/>
      </c>
      <c r="C101" s="1380" t="str">
        <f t="shared" si="52"/>
        <v/>
      </c>
      <c r="D101" s="1393" t="str">
        <f t="shared" si="53"/>
        <v/>
      </c>
      <c r="E101" s="1394">
        <f t="shared" ca="1" si="54"/>
        <v>70</v>
      </c>
      <c r="F101" s="1395" t="s">
        <v>159</v>
      </c>
      <c r="G101" s="1386"/>
      <c r="H101" s="1402"/>
      <c r="I101" s="1385">
        <f t="array" aca="1" ref="I101" ca="1">(IF(COUNT(P101:Z101)&lt;8,SUM(P101:Z101),SUM(LARGE((P101:Z101),{1;2;3;4;5;6;7;8}))))</f>
        <v>0</v>
      </c>
      <c r="J101" s="1388" t="str">
        <f ca="1">INDEX(ETAPP!B$1:B$32,MATCH(COUNTIF(P101:Z101,PIV!A$1),ETAPP!A$1:A$32,0))&amp;INDEX(ETAPP!B$1:B$32,MATCH(COUNTIF(P101:Z101,PIV!A$2),ETAPP!A$1:A$32,0))&amp;INDEX(ETAPP!B$1:B$32,MATCH(COUNTIF(P101:Z101,PIV!A$3),ETAPP!A$1:A$32,0))&amp;INDEX(ETAPP!B$1:B$32,MATCH(COUNTIF(P101:Z101,PIV!A$4),ETAPP!A$1:A$32,0))&amp;INDEX(ETAPP!B$1:B$32,MATCH(COUNTIF(P101:Z101,PIV!A$5),ETAPP!A$1:A$32,0))&amp;INDEX(ETAPP!B$1:B$32,MATCH(COUNTIF(P101:Z101,PIV!A$6),ETAPP!A$1:A$32,0))&amp;INDEX(ETAPP!B$1:B$32,MATCH(COUNTIF(P101:Z101,PIV!A$7),ETAPP!A$1:A$32,0))&amp;INDEX(ETAPP!B$1:B$32,MATCH(COUNTIF(P101:Z101,PIV!A$8),ETAPP!A$1:A$32,0))&amp;INDEX(ETAPP!B$1:B$32,MATCH(COUNTIF(P101:Z101,PIV!A$9),ETAPP!A$1:A$32,0))&amp;INDEX(ETAPP!B$1:B$32,MATCH(COUNTIF(P101:Z101,PIV!A$10),ETAPP!A$1:A$32,0))&amp;INDEX(ETAPP!B$1:B$32,MATCH(COUNTIF(P101:Z101,PIV!A$11),ETAPP!A$1:A$32,0))&amp;INDEX(ETAPP!B$1:B$32,MATCH(COUNTIF(P101:Z101,PIV!A$12),ETAPP!A$1:A$32,0))&amp;INDEX(ETAPP!B$1:B$32,MATCH(COUNTIF(P101:Z101,PIV!A$13),ETAPP!A$1:A$32,0))&amp;INDEX(ETAPP!B$1:B$32,MATCH(COUNTIF(P101:Z101,PIV!A$14),ETAPP!A$1:A$32,0))&amp;INDEX(ETAPP!B$1:B$32,MATCH(COUNTIF(P101:Z101,PIV!A$15),ETAPP!A$1:A$32,0))&amp;INDEX(ETAPP!B$1:B$32,MATCH(COUNTIF(P101:Z101,PIV!A$16),ETAPP!A$1:A$32,0))&amp;INDEX(ETAPP!B$1:B$32,MATCH(COUNTIF(P101:Z101,PIV!A$17),ETAPP!A$1:A$32,0))&amp;INDEX(ETAPP!B$1:B$32,MATCH(COUNTIF(P101:Z101,PIV!A$18),ETAPP!A$1:A$32,0))&amp;INDEX(ETAPP!B$1:B$32,MATCH(COUNTIF(P101:Z101,PIV!A$19),ETAPP!A$1:A$32,0))</f>
        <v>000000000000000000F</v>
      </c>
      <c r="K101" s="1388" t="str">
        <f t="shared" ca="1" si="55"/>
        <v>000,0-000000000000000000F</v>
      </c>
      <c r="L101" s="1387">
        <f t="shared" ca="1" si="56"/>
        <v>108</v>
      </c>
      <c r="M101" s="1387">
        <f t="shared" si="57"/>
        <v>37</v>
      </c>
      <c r="N101" s="1388" t="str">
        <f t="shared" ca="1" si="58"/>
        <v>000,0-000000000000000000F-037</v>
      </c>
      <c r="O101" s="1396">
        <f t="shared" ca="1" si="59"/>
        <v>15</v>
      </c>
      <c r="P101" s="1397" t="str">
        <f>IFERROR(INDEX('1'!C$300:C$400,MATCH("*"&amp;F101&amp;"*",'1'!B$300:B$400,0)),"  ")</f>
        <v xml:space="preserve">  </v>
      </c>
      <c r="Q101" s="1398" t="str">
        <f>IFERROR(INDEX('2'!C$300:C$400,MATCH("*"&amp;F101&amp;"*",'2'!B$300:B$400,0)),"  ")</f>
        <v xml:space="preserve">  </v>
      </c>
      <c r="R101" s="1398" t="str">
        <f>IFERROR(INDEX('3'!C$300:C$400,MATCH("*"&amp;F101&amp;"*",'3'!B$300:B$400,0)),"  ")</f>
        <v xml:space="preserve">  </v>
      </c>
      <c r="S101" s="1398" t="str">
        <f>IFERROR(INDEX('4'!C$300:C$400,MATCH("*"&amp;F101&amp;"*",'4'!B$300:B$400,0)),"  ")</f>
        <v xml:space="preserve">  </v>
      </c>
      <c r="T101" s="1398" t="str">
        <f>IFERROR(INDEX('5'!C$300:C$400,MATCH("*"&amp;F101&amp;"*",'5'!B$300:B$400,0)),"  ")</f>
        <v xml:space="preserve">  </v>
      </c>
      <c r="U101" s="1398" t="str">
        <f>IFERROR(INDEX('6'!C$300:C$400,MATCH("*"&amp;F101&amp;"*",'6'!B$300:B$400,0)),"  ")</f>
        <v xml:space="preserve">  </v>
      </c>
      <c r="V101" s="1398" t="str">
        <f ca="1">IFERROR(INDEX('7'!C$300:C$400,MATCH("*"&amp;F101&amp;"*",'7'!B$300:B$400,0)),"  ")</f>
        <v xml:space="preserve">  </v>
      </c>
      <c r="W101" s="1398" t="str">
        <f>IFERROR(INDEX('8'!C$300:C$400,MATCH("*"&amp;F101&amp;"*",'8'!B$300:B$400,0)),"  ")</f>
        <v xml:space="preserve">  </v>
      </c>
      <c r="X101" s="1398" t="str">
        <f>IFERROR(INDEX('9'!C$300:C$400,MATCH("*"&amp;F101&amp;"*",'9'!B$300:B$400,0)),"  ")</f>
        <v xml:space="preserve">  </v>
      </c>
      <c r="Y101" s="1398" t="str">
        <f>IFERROR(INDEX('10'!C$300:C$400,MATCH("*"&amp;F101&amp;"*",'10'!B$300:B$400,0)),"  ")</f>
        <v xml:space="preserve">  </v>
      </c>
      <c r="Z101" s="1398" t="str">
        <f>IFERROR(INDEX('11'!C$300:C$400,MATCH("*"&amp;F101&amp;"*",'11'!B$300:B$400,0)),"  ")</f>
        <v xml:space="preserve">  </v>
      </c>
      <c r="AA101" s="1353">
        <f t="shared" ca="1" si="60"/>
        <v>0</v>
      </c>
      <c r="AB101" s="1353">
        <f t="shared" ca="1" si="61"/>
        <v>0</v>
      </c>
      <c r="AC101" s="1353">
        <f t="shared" ca="1" si="62"/>
        <v>0</v>
      </c>
      <c r="AH101" s="1345"/>
      <c r="AS101" s="689">
        <f t="shared" ca="1" si="63"/>
        <v>2.9999999999999997E-4</v>
      </c>
      <c r="AT101" s="690">
        <f t="shared" si="64"/>
        <v>1E-4</v>
      </c>
      <c r="AU101" s="690">
        <f t="shared" si="65"/>
        <v>2.0000000000000001E-4</v>
      </c>
      <c r="AV101" s="690">
        <f t="shared" si="66"/>
        <v>2.9999999999999997E-4</v>
      </c>
      <c r="AW101" s="690">
        <f t="shared" si="67"/>
        <v>4.0000000000000002E-4</v>
      </c>
      <c r="AX101" s="690">
        <f t="shared" si="68"/>
        <v>5.0000000000000001E-4</v>
      </c>
      <c r="AY101" s="690">
        <f t="shared" si="69"/>
        <v>5.9999999999999995E-4</v>
      </c>
      <c r="AZ101" s="690">
        <f t="shared" ca="1" si="70"/>
        <v>6.9999999999999999E-4</v>
      </c>
      <c r="BA101" s="690">
        <f t="shared" si="71"/>
        <v>8.0000000000000004E-4</v>
      </c>
      <c r="BB101" s="690">
        <f t="shared" si="72"/>
        <v>8.9999999999999998E-4</v>
      </c>
      <c r="BC101" s="690">
        <f t="shared" si="73"/>
        <v>1E-3</v>
      </c>
      <c r="BD101" s="690">
        <f t="shared" si="74"/>
        <v>1.1000000000000001E-3</v>
      </c>
    </row>
    <row r="102" spans="1:56" hidden="1" x14ac:dyDescent="0.2">
      <c r="A102" s="1378" t="str">
        <f t="shared" si="50"/>
        <v/>
      </c>
      <c r="B102" s="1392" t="str">
        <f t="shared" si="51"/>
        <v/>
      </c>
      <c r="C102" s="1380">
        <f t="shared" ca="1" si="52"/>
        <v>3</v>
      </c>
      <c r="D102" s="1393">
        <f t="shared" ca="1" si="53"/>
        <v>108</v>
      </c>
      <c r="E102" s="1394">
        <f t="shared" ca="1" si="54"/>
        <v>70</v>
      </c>
      <c r="F102" s="1395" t="s">
        <v>114</v>
      </c>
      <c r="G102" s="1386"/>
      <c r="H102" s="1402" t="s">
        <v>105</v>
      </c>
      <c r="I102" s="1385">
        <f t="array" aca="1" ref="I102" ca="1">(IF(COUNT(P102:Z102)&lt;8,SUM(P102:Z102),SUM(LARGE((P102:Z102),{1;2;3;4;5;6;7;8}))))</f>
        <v>0</v>
      </c>
      <c r="J102" s="1388" t="str">
        <f ca="1">INDEX(ETAPP!B$1:B$32,MATCH(COUNTIF(P102:Z102,PIV!A$1),ETAPP!A$1:A$32,0))&amp;INDEX(ETAPP!B$1:B$32,MATCH(COUNTIF(P102:Z102,PIV!A$2),ETAPP!A$1:A$32,0))&amp;INDEX(ETAPP!B$1:B$32,MATCH(COUNTIF(P102:Z102,PIV!A$3),ETAPP!A$1:A$32,0))&amp;INDEX(ETAPP!B$1:B$32,MATCH(COUNTIF(P102:Z102,PIV!A$4),ETAPP!A$1:A$32,0))&amp;INDEX(ETAPP!B$1:B$32,MATCH(COUNTIF(P102:Z102,PIV!A$5),ETAPP!A$1:A$32,0))&amp;INDEX(ETAPP!B$1:B$32,MATCH(COUNTIF(P102:Z102,PIV!A$6),ETAPP!A$1:A$32,0))&amp;INDEX(ETAPP!B$1:B$32,MATCH(COUNTIF(P102:Z102,PIV!A$7),ETAPP!A$1:A$32,0))&amp;INDEX(ETAPP!B$1:B$32,MATCH(COUNTIF(P102:Z102,PIV!A$8),ETAPP!A$1:A$32,0))&amp;INDEX(ETAPP!B$1:B$32,MATCH(COUNTIF(P102:Z102,PIV!A$9),ETAPP!A$1:A$32,0))&amp;INDEX(ETAPP!B$1:B$32,MATCH(COUNTIF(P102:Z102,PIV!A$10),ETAPP!A$1:A$32,0))&amp;INDEX(ETAPP!B$1:B$32,MATCH(COUNTIF(P102:Z102,PIV!A$11),ETAPP!A$1:A$32,0))&amp;INDEX(ETAPP!B$1:B$32,MATCH(COUNTIF(P102:Z102,PIV!A$12),ETAPP!A$1:A$32,0))&amp;INDEX(ETAPP!B$1:B$32,MATCH(COUNTIF(P102:Z102,PIV!A$13),ETAPP!A$1:A$32,0))&amp;INDEX(ETAPP!B$1:B$32,MATCH(COUNTIF(P102:Z102,PIV!A$14),ETAPP!A$1:A$32,0))&amp;INDEX(ETAPP!B$1:B$32,MATCH(COUNTIF(P102:Z102,PIV!A$15),ETAPP!A$1:A$32,0))&amp;INDEX(ETAPP!B$1:B$32,MATCH(COUNTIF(P102:Z102,PIV!A$16),ETAPP!A$1:A$32,0))&amp;INDEX(ETAPP!B$1:B$32,MATCH(COUNTIF(P102:Z102,PIV!A$17),ETAPP!A$1:A$32,0))&amp;INDEX(ETAPP!B$1:B$32,MATCH(COUNTIF(P102:Z102,PIV!A$18),ETAPP!A$1:A$32,0))&amp;INDEX(ETAPP!B$1:B$32,MATCH(COUNTIF(P102:Z102,PIV!A$19),ETAPP!A$1:A$32,0))</f>
        <v>000000000000000000F</v>
      </c>
      <c r="K102" s="1388" t="str">
        <f t="shared" ca="1" si="55"/>
        <v>000,0-000000000000000000F</v>
      </c>
      <c r="L102" s="1387">
        <f t="shared" ca="1" si="56"/>
        <v>108</v>
      </c>
      <c r="M102" s="1387">
        <f t="shared" si="57"/>
        <v>34</v>
      </c>
      <c r="N102" s="1388" t="str">
        <f t="shared" ca="1" si="58"/>
        <v>000,0-000000000000000000F-034</v>
      </c>
      <c r="O102" s="1396">
        <f t="shared" ca="1" si="59"/>
        <v>14</v>
      </c>
      <c r="P102" s="1397" t="str">
        <f>IFERROR(INDEX('1'!C$300:C$400,MATCH("*"&amp;F102&amp;"*",'1'!B$300:B$400,0)),"  ")</f>
        <v xml:space="preserve">  </v>
      </c>
      <c r="Q102" s="1398" t="str">
        <f>IFERROR(INDEX('2'!C$300:C$400,MATCH("*"&amp;F102&amp;"*",'2'!B$300:B$400,0)),"  ")</f>
        <v xml:space="preserve">  </v>
      </c>
      <c r="R102" s="1398" t="str">
        <f>IFERROR(INDEX('3'!C$300:C$400,MATCH("*"&amp;F102&amp;"*",'3'!B$300:B$400,0)),"  ")</f>
        <v xml:space="preserve">  </v>
      </c>
      <c r="S102" s="1398" t="str">
        <f>IFERROR(INDEX('4'!C$300:C$400,MATCH("*"&amp;F102&amp;"*",'4'!B$300:B$400,0)),"  ")</f>
        <v xml:space="preserve">  </v>
      </c>
      <c r="T102" s="1398" t="str">
        <f>IFERROR(INDEX('5'!C$300:C$400,MATCH("*"&amp;F102&amp;"*",'5'!B$300:B$400,0)),"  ")</f>
        <v xml:space="preserve">  </v>
      </c>
      <c r="U102" s="1398" t="str">
        <f>IFERROR(INDEX('6'!C$300:C$400,MATCH("*"&amp;F102&amp;"*",'6'!B$300:B$400,0)),"  ")</f>
        <v xml:space="preserve">  </v>
      </c>
      <c r="V102" s="1398" t="str">
        <f ca="1">IFERROR(INDEX('7'!C$300:C$400,MATCH("*"&amp;F102&amp;"*",'7'!B$300:B$400,0)),"  ")</f>
        <v xml:space="preserve">  </v>
      </c>
      <c r="W102" s="1398" t="str">
        <f>IFERROR(INDEX('8'!C$300:C$400,MATCH("*"&amp;F102&amp;"*",'8'!B$300:B$400,0)),"  ")</f>
        <v xml:space="preserve">  </v>
      </c>
      <c r="X102" s="1398" t="str">
        <f>IFERROR(INDEX('9'!C$300:C$400,MATCH("*"&amp;F102&amp;"*",'9'!B$300:B$400,0)),"  ")</f>
        <v xml:space="preserve">  </v>
      </c>
      <c r="Y102" s="1398" t="str">
        <f>IFERROR(INDEX('10'!C$300:C$400,MATCH("*"&amp;F102&amp;"*",'10'!B$300:B$400,0)),"  ")</f>
        <v xml:space="preserve">  </v>
      </c>
      <c r="Z102" s="1398" t="str">
        <f>IFERROR(INDEX('11'!C$300:C$400,MATCH("*"&amp;F102&amp;"*",'11'!B$300:B$400,0)),"  ")</f>
        <v xml:space="preserve">  </v>
      </c>
      <c r="AA102" s="1353">
        <f t="shared" ca="1" si="60"/>
        <v>0</v>
      </c>
      <c r="AB102" s="1353">
        <f t="shared" ca="1" si="61"/>
        <v>0</v>
      </c>
      <c r="AC102" s="1353">
        <f t="shared" ca="1" si="62"/>
        <v>0</v>
      </c>
      <c r="AH102" s="1345"/>
      <c r="AS102" s="689">
        <f t="shared" ca="1" si="63"/>
        <v>2.9999999999999997E-4</v>
      </c>
      <c r="AT102" s="690">
        <f t="shared" si="64"/>
        <v>1E-4</v>
      </c>
      <c r="AU102" s="690">
        <f t="shared" si="65"/>
        <v>2.0000000000000001E-4</v>
      </c>
      <c r="AV102" s="690">
        <f t="shared" si="66"/>
        <v>2.9999999999999997E-4</v>
      </c>
      <c r="AW102" s="690">
        <f t="shared" si="67"/>
        <v>4.0000000000000002E-4</v>
      </c>
      <c r="AX102" s="690">
        <f t="shared" si="68"/>
        <v>5.0000000000000001E-4</v>
      </c>
      <c r="AY102" s="690">
        <f t="shared" si="69"/>
        <v>5.9999999999999995E-4</v>
      </c>
      <c r="AZ102" s="690">
        <f t="shared" ca="1" si="70"/>
        <v>6.9999999999999999E-4</v>
      </c>
      <c r="BA102" s="690">
        <f t="shared" si="71"/>
        <v>8.0000000000000004E-4</v>
      </c>
      <c r="BB102" s="690">
        <f t="shared" si="72"/>
        <v>8.9999999999999998E-4</v>
      </c>
      <c r="BC102" s="690">
        <f t="shared" si="73"/>
        <v>1E-3</v>
      </c>
      <c r="BD102" s="690">
        <f t="shared" si="74"/>
        <v>1.1000000000000001E-3</v>
      </c>
    </row>
    <row r="103" spans="1:56" hidden="1" x14ac:dyDescent="0.2">
      <c r="A103" s="1378" t="str">
        <f t="shared" si="50"/>
        <v/>
      </c>
      <c r="B103" s="1392" t="str">
        <f t="shared" si="51"/>
        <v/>
      </c>
      <c r="C103" s="1380" t="str">
        <f t="shared" si="52"/>
        <v/>
      </c>
      <c r="D103" s="1393" t="str">
        <f t="shared" si="53"/>
        <v/>
      </c>
      <c r="E103" s="1394">
        <f t="shared" ca="1" si="54"/>
        <v>70</v>
      </c>
      <c r="F103" s="1395" t="s">
        <v>140</v>
      </c>
      <c r="G103" s="1386"/>
      <c r="H103" s="1402"/>
      <c r="I103" s="1385">
        <f t="array" aca="1" ref="I103" ca="1">(IF(COUNT(P103:Z103)&lt;8,SUM(P103:Z103),SUM(LARGE((P103:Z103),{1;2;3;4;5;6;7;8}))))</f>
        <v>0</v>
      </c>
      <c r="J103" s="1388" t="str">
        <f ca="1">INDEX(ETAPP!B$1:B$32,MATCH(COUNTIF(P103:Z103,PIV!A$1),ETAPP!A$1:A$32,0))&amp;INDEX(ETAPP!B$1:B$32,MATCH(COUNTIF(P103:Z103,PIV!A$2),ETAPP!A$1:A$32,0))&amp;INDEX(ETAPP!B$1:B$32,MATCH(COUNTIF(P103:Z103,PIV!A$3),ETAPP!A$1:A$32,0))&amp;INDEX(ETAPP!B$1:B$32,MATCH(COUNTIF(P103:Z103,PIV!A$4),ETAPP!A$1:A$32,0))&amp;INDEX(ETAPP!B$1:B$32,MATCH(COUNTIF(P103:Z103,PIV!A$5),ETAPP!A$1:A$32,0))&amp;INDEX(ETAPP!B$1:B$32,MATCH(COUNTIF(P103:Z103,PIV!A$6),ETAPP!A$1:A$32,0))&amp;INDEX(ETAPP!B$1:B$32,MATCH(COUNTIF(P103:Z103,PIV!A$7),ETAPP!A$1:A$32,0))&amp;INDEX(ETAPP!B$1:B$32,MATCH(COUNTIF(P103:Z103,PIV!A$8),ETAPP!A$1:A$32,0))&amp;INDEX(ETAPP!B$1:B$32,MATCH(COUNTIF(P103:Z103,PIV!A$9),ETAPP!A$1:A$32,0))&amp;INDEX(ETAPP!B$1:B$32,MATCH(COUNTIF(P103:Z103,PIV!A$10),ETAPP!A$1:A$32,0))&amp;INDEX(ETAPP!B$1:B$32,MATCH(COUNTIF(P103:Z103,PIV!A$11),ETAPP!A$1:A$32,0))&amp;INDEX(ETAPP!B$1:B$32,MATCH(COUNTIF(P103:Z103,PIV!A$12),ETAPP!A$1:A$32,0))&amp;INDEX(ETAPP!B$1:B$32,MATCH(COUNTIF(P103:Z103,PIV!A$13),ETAPP!A$1:A$32,0))&amp;INDEX(ETAPP!B$1:B$32,MATCH(COUNTIF(P103:Z103,PIV!A$14),ETAPP!A$1:A$32,0))&amp;INDEX(ETAPP!B$1:B$32,MATCH(COUNTIF(P103:Z103,PIV!A$15),ETAPP!A$1:A$32,0))&amp;INDEX(ETAPP!B$1:B$32,MATCH(COUNTIF(P103:Z103,PIV!A$16),ETAPP!A$1:A$32,0))&amp;INDEX(ETAPP!B$1:B$32,MATCH(COUNTIF(P103:Z103,PIV!A$17),ETAPP!A$1:A$32,0))&amp;INDEX(ETAPP!B$1:B$32,MATCH(COUNTIF(P103:Z103,PIV!A$18),ETAPP!A$1:A$32,0))&amp;INDEX(ETAPP!B$1:B$32,MATCH(COUNTIF(P103:Z103,PIV!A$19),ETAPP!A$1:A$32,0))</f>
        <v>000000000000000000F</v>
      </c>
      <c r="K103" s="1388" t="str">
        <f t="shared" ca="1" si="55"/>
        <v>000,0-000000000000000000F</v>
      </c>
      <c r="L103" s="1387">
        <f t="shared" ca="1" si="56"/>
        <v>108</v>
      </c>
      <c r="M103" s="1387">
        <f t="shared" si="57"/>
        <v>31</v>
      </c>
      <c r="N103" s="1388" t="str">
        <f t="shared" ca="1" si="58"/>
        <v>000,0-000000000000000000F-031</v>
      </c>
      <c r="O103" s="1396">
        <f t="shared" ca="1" si="59"/>
        <v>13</v>
      </c>
      <c r="P103" s="1397" t="str">
        <f>IFERROR(INDEX('1'!C$300:C$400,MATCH("*"&amp;F103&amp;"*",'1'!B$300:B$400,0)),"  ")</f>
        <v xml:space="preserve">  </v>
      </c>
      <c r="Q103" s="1398" t="str">
        <f>IFERROR(INDEX('2'!C$300:C$400,MATCH("*"&amp;F103&amp;"*",'2'!B$300:B$400,0)),"  ")</f>
        <v xml:space="preserve">  </v>
      </c>
      <c r="R103" s="1398" t="str">
        <f>IFERROR(INDEX('3'!C$300:C$400,MATCH("*"&amp;F103&amp;"*",'3'!B$300:B$400,0)),"  ")</f>
        <v xml:space="preserve">  </v>
      </c>
      <c r="S103" s="1398" t="str">
        <f>IFERROR(INDEX('4'!C$300:C$400,MATCH("*"&amp;F103&amp;"*",'4'!B$300:B$400,0)),"  ")</f>
        <v xml:space="preserve">  </v>
      </c>
      <c r="T103" s="1398" t="str">
        <f>IFERROR(INDEX('5'!C$300:C$400,MATCH("*"&amp;F103&amp;"*",'5'!B$300:B$400,0)),"  ")</f>
        <v xml:space="preserve">  </v>
      </c>
      <c r="U103" s="1398" t="str">
        <f>IFERROR(INDEX('6'!C$300:C$400,MATCH("*"&amp;F103&amp;"*",'6'!B$300:B$400,0)),"  ")</f>
        <v xml:space="preserve">  </v>
      </c>
      <c r="V103" s="1398" t="str">
        <f ca="1">IFERROR(INDEX('7'!C$300:C$400,MATCH("*"&amp;F103&amp;"*",'7'!B$300:B$400,0)),"  ")</f>
        <v xml:space="preserve">  </v>
      </c>
      <c r="W103" s="1398" t="str">
        <f>IFERROR(INDEX('8'!C$300:C$400,MATCH("*"&amp;F103&amp;"*",'8'!B$300:B$400,0)),"  ")</f>
        <v xml:space="preserve">  </v>
      </c>
      <c r="X103" s="1398" t="str">
        <f>IFERROR(INDEX('9'!C$300:C$400,MATCH("*"&amp;F103&amp;"*",'9'!B$300:B$400,0)),"  ")</f>
        <v xml:space="preserve">  </v>
      </c>
      <c r="Y103" s="1398" t="str">
        <f>IFERROR(INDEX('10'!C$300:C$400,MATCH("*"&amp;F103&amp;"*",'10'!B$300:B$400,0)),"  ")</f>
        <v xml:space="preserve">  </v>
      </c>
      <c r="Z103" s="1398" t="str">
        <f>IFERROR(INDEX('11'!C$300:C$400,MATCH("*"&amp;F103&amp;"*",'11'!B$300:B$400,0)),"  ")</f>
        <v xml:space="preserve">  </v>
      </c>
      <c r="AA103" s="1353">
        <f t="shared" ca="1" si="60"/>
        <v>0</v>
      </c>
      <c r="AB103" s="1353">
        <f t="shared" ca="1" si="61"/>
        <v>0</v>
      </c>
      <c r="AC103" s="1353">
        <f t="shared" ca="1" si="62"/>
        <v>0</v>
      </c>
      <c r="AH103" s="1345"/>
      <c r="AS103" s="689">
        <f t="shared" ca="1" si="63"/>
        <v>2.9999999999999997E-4</v>
      </c>
      <c r="AT103" s="690">
        <f t="shared" si="64"/>
        <v>1E-4</v>
      </c>
      <c r="AU103" s="690">
        <f t="shared" si="65"/>
        <v>2.0000000000000001E-4</v>
      </c>
      <c r="AV103" s="690">
        <f t="shared" si="66"/>
        <v>2.9999999999999997E-4</v>
      </c>
      <c r="AW103" s="690">
        <f t="shared" si="67"/>
        <v>4.0000000000000002E-4</v>
      </c>
      <c r="AX103" s="690">
        <f t="shared" si="68"/>
        <v>5.0000000000000001E-4</v>
      </c>
      <c r="AY103" s="690">
        <f t="shared" si="69"/>
        <v>5.9999999999999995E-4</v>
      </c>
      <c r="AZ103" s="690">
        <f t="shared" ca="1" si="70"/>
        <v>6.9999999999999999E-4</v>
      </c>
      <c r="BA103" s="690">
        <f t="shared" si="71"/>
        <v>8.0000000000000004E-4</v>
      </c>
      <c r="BB103" s="690">
        <f t="shared" si="72"/>
        <v>8.9999999999999998E-4</v>
      </c>
      <c r="BC103" s="690">
        <f t="shared" si="73"/>
        <v>1E-3</v>
      </c>
      <c r="BD103" s="690">
        <f t="shared" si="74"/>
        <v>1.1000000000000001E-3</v>
      </c>
    </row>
    <row r="104" spans="1:56" hidden="1" x14ac:dyDescent="0.2">
      <c r="A104" s="1378">
        <f t="shared" ref="A104:A115" ca="1" si="75">IFERROR(RANK(B104,B$8:B$115,1),"")</f>
        <v>19</v>
      </c>
      <c r="B104" s="1392">
        <f t="shared" ref="B104:B115" ca="1" si="76">IF(G104="n",L104,"")</f>
        <v>108</v>
      </c>
      <c r="C104" s="1380" t="str">
        <f t="shared" ref="C104:C115" si="77">IFERROR(RANK(D104,D$8:D$115,1),"")</f>
        <v/>
      </c>
      <c r="D104" s="1393" t="str">
        <f t="shared" ref="D104:D115" si="78">IF(H104="j",L104,"")</f>
        <v/>
      </c>
      <c r="E104" s="1394">
        <f t="shared" ref="E104:E115" ca="1" si="79">RANK(L104,L$8:L$115,1)</f>
        <v>70</v>
      </c>
      <c r="F104" s="1395" t="s">
        <v>115</v>
      </c>
      <c r="G104" s="1379" t="s">
        <v>99</v>
      </c>
      <c r="H104" s="1402"/>
      <c r="I104" s="1385">
        <f t="array" aca="1" ref="I104" ca="1">(IF(COUNT(P104:Z104)&lt;8,SUM(P104:Z104),SUM(LARGE((P104:Z104),{1;2;3;4;5;6;7;8}))))</f>
        <v>0</v>
      </c>
      <c r="J104" s="1388" t="str">
        <f ca="1">INDEX(ETAPP!B$1:B$32,MATCH(COUNTIF(P104:Z104,PIV!A$1),ETAPP!A$1:A$32,0))&amp;INDEX(ETAPP!B$1:B$32,MATCH(COUNTIF(P104:Z104,PIV!A$2),ETAPP!A$1:A$32,0))&amp;INDEX(ETAPP!B$1:B$32,MATCH(COUNTIF(P104:Z104,PIV!A$3),ETAPP!A$1:A$32,0))&amp;INDEX(ETAPP!B$1:B$32,MATCH(COUNTIF(P104:Z104,PIV!A$4),ETAPP!A$1:A$32,0))&amp;INDEX(ETAPP!B$1:B$32,MATCH(COUNTIF(P104:Z104,PIV!A$5),ETAPP!A$1:A$32,0))&amp;INDEX(ETAPP!B$1:B$32,MATCH(COUNTIF(P104:Z104,PIV!A$6),ETAPP!A$1:A$32,0))&amp;INDEX(ETAPP!B$1:B$32,MATCH(COUNTIF(P104:Z104,PIV!A$7),ETAPP!A$1:A$32,0))&amp;INDEX(ETAPP!B$1:B$32,MATCH(COUNTIF(P104:Z104,PIV!A$8),ETAPP!A$1:A$32,0))&amp;INDEX(ETAPP!B$1:B$32,MATCH(COUNTIF(P104:Z104,PIV!A$9),ETAPP!A$1:A$32,0))&amp;INDEX(ETAPP!B$1:B$32,MATCH(COUNTIF(P104:Z104,PIV!A$10),ETAPP!A$1:A$32,0))&amp;INDEX(ETAPP!B$1:B$32,MATCH(COUNTIF(P104:Z104,PIV!A$11),ETAPP!A$1:A$32,0))&amp;INDEX(ETAPP!B$1:B$32,MATCH(COUNTIF(P104:Z104,PIV!A$12),ETAPP!A$1:A$32,0))&amp;INDEX(ETAPP!B$1:B$32,MATCH(COUNTIF(P104:Z104,PIV!A$13),ETAPP!A$1:A$32,0))&amp;INDEX(ETAPP!B$1:B$32,MATCH(COUNTIF(P104:Z104,PIV!A$14),ETAPP!A$1:A$32,0))&amp;INDEX(ETAPP!B$1:B$32,MATCH(COUNTIF(P104:Z104,PIV!A$15),ETAPP!A$1:A$32,0))&amp;INDEX(ETAPP!B$1:B$32,MATCH(COUNTIF(P104:Z104,PIV!A$16),ETAPP!A$1:A$32,0))&amp;INDEX(ETAPP!B$1:B$32,MATCH(COUNTIF(P104:Z104,PIV!A$17),ETAPP!A$1:A$32,0))&amp;INDEX(ETAPP!B$1:B$32,MATCH(COUNTIF(P104:Z104,PIV!A$18),ETAPP!A$1:A$32,0))&amp;INDEX(ETAPP!B$1:B$32,MATCH(COUNTIF(P104:Z104,PIV!A$19),ETAPP!A$1:A$32,0))</f>
        <v>000000000000000000F</v>
      </c>
      <c r="K104" s="1388" t="str">
        <f t="shared" ref="K104:K115" ca="1" si="80">TEXT(I104,"000,0")&amp;"-"&amp;J104</f>
        <v>000,0-000000000000000000F</v>
      </c>
      <c r="L104" s="1387">
        <f t="shared" ref="L104:L115" ca="1" si="81">COUNTIF(K$8:K$115,"&gt;="&amp;K104)</f>
        <v>108</v>
      </c>
      <c r="M104" s="1387">
        <f t="shared" ref="M104:M115" si="82">COUNTIF(F$8:F$115,"&gt;="&amp;F104)</f>
        <v>30</v>
      </c>
      <c r="N104" s="1388" t="str">
        <f t="shared" ref="N104:N115" ca="1" si="83">TEXT(I104,"000,0")&amp;"-"&amp;J104&amp;"-"&amp;TEXT(M104,"000")</f>
        <v>000,0-000000000000000000F-030</v>
      </c>
      <c r="O104" s="1396">
        <f t="shared" ref="O104:O115" ca="1" si="84">COUNTIF(N$8:N$115,"&lt;="&amp;N104)</f>
        <v>12</v>
      </c>
      <c r="P104" s="1397" t="str">
        <f>IFERROR(INDEX('1'!C$300:C$400,MATCH("*"&amp;F104&amp;"*",'1'!B$300:B$400,0)),"  ")</f>
        <v xml:space="preserve">  </v>
      </c>
      <c r="Q104" s="1398" t="str">
        <f>IFERROR(INDEX('2'!C$300:C$400,MATCH("*"&amp;F104&amp;"*",'2'!B$300:B$400,0)),"  ")</f>
        <v xml:space="preserve">  </v>
      </c>
      <c r="R104" s="1398" t="str">
        <f>IFERROR(INDEX('3'!C$300:C$400,MATCH("*"&amp;F104&amp;"*",'3'!B$300:B$400,0)),"  ")</f>
        <v xml:space="preserve">  </v>
      </c>
      <c r="S104" s="1398" t="str">
        <f>IFERROR(INDEX('4'!C$300:C$400,MATCH("*"&amp;F104&amp;"*",'4'!B$300:B$400,0)),"  ")</f>
        <v xml:space="preserve">  </v>
      </c>
      <c r="T104" s="1398" t="str">
        <f>IFERROR(INDEX('5'!C$300:C$400,MATCH("*"&amp;F104&amp;"*",'5'!B$300:B$400,0)),"  ")</f>
        <v xml:space="preserve">  </v>
      </c>
      <c r="U104" s="1398" t="str">
        <f>IFERROR(INDEX('6'!C$300:C$400,MATCH("*"&amp;F104&amp;"*",'6'!B$300:B$400,0)),"  ")</f>
        <v xml:space="preserve">  </v>
      </c>
      <c r="V104" s="1398" t="str">
        <f ca="1">IFERROR(INDEX('7'!C$300:C$400,MATCH("*"&amp;F104&amp;"*",'7'!B$300:B$400,0)),"  ")</f>
        <v xml:space="preserve">  </v>
      </c>
      <c r="W104" s="1398" t="str">
        <f>IFERROR(INDEX('8'!C$300:C$400,MATCH("*"&amp;F104&amp;"*",'8'!B$300:B$400,0)),"  ")</f>
        <v xml:space="preserve">  </v>
      </c>
      <c r="X104" s="1398" t="str">
        <f>IFERROR(INDEX('9'!C$300:C$400,MATCH("*"&amp;F104&amp;"*",'9'!B$300:B$400,0)),"  ")</f>
        <v xml:space="preserve">  </v>
      </c>
      <c r="Y104" s="1398" t="str">
        <f>IFERROR(INDEX('10'!C$300:C$400,MATCH("*"&amp;F104&amp;"*",'10'!B$300:B$400,0)),"  ")</f>
        <v xml:space="preserve">  </v>
      </c>
      <c r="Z104" s="1398" t="str">
        <f>IFERROR(INDEX('11'!C$300:C$400,MATCH("*"&amp;F104&amp;"*",'11'!B$300:B$400,0)),"  ")</f>
        <v xml:space="preserve">  </v>
      </c>
      <c r="AA104" s="1353">
        <f t="shared" ref="AA104:AA115" ca="1" si="85">COUNTIF(P104:Z104,"&gt;=0")</f>
        <v>0</v>
      </c>
      <c r="AB104" s="1353">
        <f t="shared" ref="AB104:AB115" ca="1" si="86">COUNTIF(P104:Z104,"&gt;=30")</f>
        <v>0</v>
      </c>
      <c r="AC104" s="1353">
        <f t="shared" ref="AC104:AC115" ca="1" si="87">COUNTIF(P104:Z104,"=40")</f>
        <v>0</v>
      </c>
      <c r="AH104" s="1345"/>
      <c r="AS104" s="689">
        <f t="shared" ref="AS104:AS115" ca="1" si="88">SMALL(AT104:BD104,AS$3)</f>
        <v>2.9999999999999997E-4</v>
      </c>
      <c r="AT104" s="690">
        <f t="shared" ref="AT104:AT115" si="89">IF(P104="  ",0+MID(P$7,FIND("R",P$7)+1,256)/10000,P104+MID(P$7,FIND("R",P$7)+1,256)/10000)</f>
        <v>1E-4</v>
      </c>
      <c r="AU104" s="690">
        <f t="shared" ref="AU104:AU115" si="90">IF(Q104="  ",0+MID(Q$7,FIND("R",Q$7)+1,256)/10000,Q104+MID(Q$7,FIND("R",Q$7)+1,256)/10000)</f>
        <v>2.0000000000000001E-4</v>
      </c>
      <c r="AV104" s="690">
        <f t="shared" ref="AV104:AV115" si="91">IF(R104="  ",0+MID(R$7,FIND("R",R$7)+1,256)/10000,R104+MID(R$7,FIND("R",R$7)+1,256)/10000)</f>
        <v>2.9999999999999997E-4</v>
      </c>
      <c r="AW104" s="690">
        <f t="shared" ref="AW104:AW115" si="92">IF(S104="  ",0+MID(S$7,FIND("R",S$7)+1,256)/10000,S104+MID(S$7,FIND("R",S$7)+1,256)/10000)</f>
        <v>4.0000000000000002E-4</v>
      </c>
      <c r="AX104" s="690">
        <f t="shared" ref="AX104:AX115" si="93">IF(T104="  ",0+MID(T$7,FIND("R",T$7)+1,256)/10000,T104+MID(T$7,FIND("R",T$7)+1,256)/10000)</f>
        <v>5.0000000000000001E-4</v>
      </c>
      <c r="AY104" s="690">
        <f t="shared" ref="AY104:AY115" si="94">IF(U104="  ",0+MID(U$7,FIND("R",U$7)+1,256)/10000,U104+MID(U$7,FIND("R",U$7)+1,256)/10000)</f>
        <v>5.9999999999999995E-4</v>
      </c>
      <c r="AZ104" s="690">
        <f t="shared" ref="AZ104:AZ115" ca="1" si="95">IF(V104="  ",0+MID(V$7,FIND("R",V$7)+1,256)/10000,V104+MID(V$7,FIND("R",V$7)+1,256)/10000)</f>
        <v>6.9999999999999999E-4</v>
      </c>
      <c r="BA104" s="690">
        <f t="shared" ref="BA104:BA115" si="96">IF(W104="  ",0+MID(W$7,FIND("R",W$7)+1,256)/10000,W104+MID(W$7,FIND("R",W$7)+1,256)/10000)</f>
        <v>8.0000000000000004E-4</v>
      </c>
      <c r="BB104" s="690">
        <f t="shared" ref="BB104:BB115" si="97">IF(X104="  ",0+MID(X$7,FIND("R",X$7)+1,256)/10000,X104+MID(X$7,FIND("R",X$7)+1,256)/10000)</f>
        <v>8.9999999999999998E-4</v>
      </c>
      <c r="BC104" s="690">
        <f t="shared" ref="BC104:BC115" si="98">IF(Y104="  ",0+MID(Y$7,FIND("R",Y$7)+1,256)/10000,Y104+MID(Y$7,FIND("R",Y$7)+1,256)/10000)</f>
        <v>1E-3</v>
      </c>
      <c r="BD104" s="690">
        <f t="shared" ref="BD104:BD115" si="99">IF(Z104="  ",0+MID(Z$7,FIND("R",Z$7)+1,256)/10000,Z104+MID(Z$7,FIND("R",Z$7)+1,256)/10000)</f>
        <v>1.1000000000000001E-3</v>
      </c>
    </row>
    <row r="105" spans="1:56" hidden="1" x14ac:dyDescent="0.2">
      <c r="A105" s="1378" t="str">
        <f t="shared" si="75"/>
        <v/>
      </c>
      <c r="B105" s="1392" t="str">
        <f t="shared" si="76"/>
        <v/>
      </c>
      <c r="C105" s="1380" t="str">
        <f t="shared" si="77"/>
        <v/>
      </c>
      <c r="D105" s="1393" t="str">
        <f t="shared" si="78"/>
        <v/>
      </c>
      <c r="E105" s="1394">
        <f t="shared" ca="1" si="79"/>
        <v>70</v>
      </c>
      <c r="F105" s="1395" t="s">
        <v>113</v>
      </c>
      <c r="G105" s="1379"/>
      <c r="H105" s="1384"/>
      <c r="I105" s="1385">
        <f t="array" aca="1" ref="I105" ca="1">(IF(COUNT(P105:Z105)&lt;8,SUM(P105:Z105),SUM(LARGE((P105:Z105),{1;2;3;4;5;6;7;8}))))</f>
        <v>0</v>
      </c>
      <c r="J105" s="1388" t="str">
        <f ca="1">INDEX(ETAPP!B$1:B$32,MATCH(COUNTIF(P105:Z105,PIV!A$1),ETAPP!A$1:A$32,0))&amp;INDEX(ETAPP!B$1:B$32,MATCH(COUNTIF(P105:Z105,PIV!A$2),ETAPP!A$1:A$32,0))&amp;INDEX(ETAPP!B$1:B$32,MATCH(COUNTIF(P105:Z105,PIV!A$3),ETAPP!A$1:A$32,0))&amp;INDEX(ETAPP!B$1:B$32,MATCH(COUNTIF(P105:Z105,PIV!A$4),ETAPP!A$1:A$32,0))&amp;INDEX(ETAPP!B$1:B$32,MATCH(COUNTIF(P105:Z105,PIV!A$5),ETAPP!A$1:A$32,0))&amp;INDEX(ETAPP!B$1:B$32,MATCH(COUNTIF(P105:Z105,PIV!A$6),ETAPP!A$1:A$32,0))&amp;INDEX(ETAPP!B$1:B$32,MATCH(COUNTIF(P105:Z105,PIV!A$7),ETAPP!A$1:A$32,0))&amp;INDEX(ETAPP!B$1:B$32,MATCH(COUNTIF(P105:Z105,PIV!A$8),ETAPP!A$1:A$32,0))&amp;INDEX(ETAPP!B$1:B$32,MATCH(COUNTIF(P105:Z105,PIV!A$9),ETAPP!A$1:A$32,0))&amp;INDEX(ETAPP!B$1:B$32,MATCH(COUNTIF(P105:Z105,PIV!A$10),ETAPP!A$1:A$32,0))&amp;INDEX(ETAPP!B$1:B$32,MATCH(COUNTIF(P105:Z105,PIV!A$11),ETAPP!A$1:A$32,0))&amp;INDEX(ETAPP!B$1:B$32,MATCH(COUNTIF(P105:Z105,PIV!A$12),ETAPP!A$1:A$32,0))&amp;INDEX(ETAPP!B$1:B$32,MATCH(COUNTIF(P105:Z105,PIV!A$13),ETAPP!A$1:A$32,0))&amp;INDEX(ETAPP!B$1:B$32,MATCH(COUNTIF(P105:Z105,PIV!A$14),ETAPP!A$1:A$32,0))&amp;INDEX(ETAPP!B$1:B$32,MATCH(COUNTIF(P105:Z105,PIV!A$15),ETAPP!A$1:A$32,0))&amp;INDEX(ETAPP!B$1:B$32,MATCH(COUNTIF(P105:Z105,PIV!A$16),ETAPP!A$1:A$32,0))&amp;INDEX(ETAPP!B$1:B$32,MATCH(COUNTIF(P105:Z105,PIV!A$17),ETAPP!A$1:A$32,0))&amp;INDEX(ETAPP!B$1:B$32,MATCH(COUNTIF(P105:Z105,PIV!A$18),ETAPP!A$1:A$32,0))&amp;INDEX(ETAPP!B$1:B$32,MATCH(COUNTIF(P105:Z105,PIV!A$19),ETAPP!A$1:A$32,0))</f>
        <v>000000000000000000F</v>
      </c>
      <c r="K105" s="1388" t="str">
        <f t="shared" ca="1" si="80"/>
        <v>000,0-000000000000000000F</v>
      </c>
      <c r="L105" s="1387">
        <f t="shared" ca="1" si="81"/>
        <v>108</v>
      </c>
      <c r="M105" s="1387">
        <f t="shared" si="82"/>
        <v>24</v>
      </c>
      <c r="N105" s="1388" t="str">
        <f t="shared" ca="1" si="83"/>
        <v>000,0-000000000000000000F-024</v>
      </c>
      <c r="O105" s="1396">
        <f t="shared" ca="1" si="84"/>
        <v>11</v>
      </c>
      <c r="P105" s="1397" t="str">
        <f>IFERROR(INDEX('1'!C$300:C$400,MATCH("*"&amp;F105&amp;"*",'1'!B$300:B$400,0)),"  ")</f>
        <v xml:space="preserve">  </v>
      </c>
      <c r="Q105" s="1398" t="str">
        <f>IFERROR(INDEX('2'!C$300:C$400,MATCH("*"&amp;F105&amp;"*",'2'!B$300:B$400,0)),"  ")</f>
        <v xml:space="preserve">  </v>
      </c>
      <c r="R105" s="1398" t="str">
        <f>IFERROR(INDEX('3'!C$300:C$400,MATCH("*"&amp;F105&amp;"*",'3'!B$300:B$400,0)),"  ")</f>
        <v xml:space="preserve">  </v>
      </c>
      <c r="S105" s="1398" t="str">
        <f>IFERROR(INDEX('4'!C$300:C$400,MATCH("*"&amp;F105&amp;"*",'4'!B$300:B$400,0)),"  ")</f>
        <v xml:space="preserve">  </v>
      </c>
      <c r="T105" s="1398" t="str">
        <f>IFERROR(INDEX('5'!C$300:C$400,MATCH("*"&amp;F105&amp;"*",'5'!B$300:B$400,0)),"  ")</f>
        <v xml:space="preserve">  </v>
      </c>
      <c r="U105" s="1398" t="str">
        <f>IFERROR(INDEX('6'!C$300:C$400,MATCH("*"&amp;F105&amp;"*",'6'!B$300:B$400,0)),"  ")</f>
        <v xml:space="preserve">  </v>
      </c>
      <c r="V105" s="1398" t="str">
        <f ca="1">IFERROR(INDEX('7'!C$300:C$400,MATCH("*"&amp;F105&amp;"*",'7'!B$300:B$400,0)),"  ")</f>
        <v xml:space="preserve">  </v>
      </c>
      <c r="W105" s="1398" t="str">
        <f>IFERROR(INDEX('8'!C$300:C$400,MATCH("*"&amp;F105&amp;"*",'8'!B$300:B$400,0)),"  ")</f>
        <v xml:space="preserve">  </v>
      </c>
      <c r="X105" s="1398" t="str">
        <f>IFERROR(INDEX('9'!C$300:C$400,MATCH("*"&amp;F105&amp;"*",'9'!B$300:B$400,0)),"  ")</f>
        <v xml:space="preserve">  </v>
      </c>
      <c r="Y105" s="1398" t="str">
        <f>IFERROR(INDEX('10'!C$300:C$400,MATCH("*"&amp;F105&amp;"*",'10'!B$300:B$400,0)),"  ")</f>
        <v xml:space="preserve">  </v>
      </c>
      <c r="Z105" s="1398" t="str">
        <f>IFERROR(INDEX('11'!C$300:C$400,MATCH("*"&amp;F105&amp;"*",'11'!B$300:B$400,0)),"  ")</f>
        <v xml:space="preserve">  </v>
      </c>
      <c r="AA105" s="1353">
        <f t="shared" ca="1" si="85"/>
        <v>0</v>
      </c>
      <c r="AB105" s="1353">
        <f t="shared" ca="1" si="86"/>
        <v>0</v>
      </c>
      <c r="AC105" s="1353">
        <f t="shared" ca="1" si="87"/>
        <v>0</v>
      </c>
      <c r="AH105" s="1345"/>
      <c r="AS105" s="689">
        <f t="shared" ca="1" si="88"/>
        <v>2.9999999999999997E-4</v>
      </c>
      <c r="AT105" s="690">
        <f t="shared" si="89"/>
        <v>1E-4</v>
      </c>
      <c r="AU105" s="690">
        <f t="shared" si="90"/>
        <v>2.0000000000000001E-4</v>
      </c>
      <c r="AV105" s="690">
        <f t="shared" si="91"/>
        <v>2.9999999999999997E-4</v>
      </c>
      <c r="AW105" s="690">
        <f t="shared" si="92"/>
        <v>4.0000000000000002E-4</v>
      </c>
      <c r="AX105" s="690">
        <f t="shared" si="93"/>
        <v>5.0000000000000001E-4</v>
      </c>
      <c r="AY105" s="690">
        <f t="shared" si="94"/>
        <v>5.9999999999999995E-4</v>
      </c>
      <c r="AZ105" s="690">
        <f t="shared" ca="1" si="95"/>
        <v>6.9999999999999999E-4</v>
      </c>
      <c r="BA105" s="690">
        <f t="shared" si="96"/>
        <v>8.0000000000000004E-4</v>
      </c>
      <c r="BB105" s="690">
        <f t="shared" si="97"/>
        <v>8.9999999999999998E-4</v>
      </c>
      <c r="BC105" s="690">
        <f t="shared" si="98"/>
        <v>1E-3</v>
      </c>
      <c r="BD105" s="690">
        <f t="shared" si="99"/>
        <v>1.1000000000000001E-3</v>
      </c>
    </row>
    <row r="106" spans="1:56" hidden="1" x14ac:dyDescent="0.2">
      <c r="A106" s="1378" t="str">
        <f t="shared" si="75"/>
        <v/>
      </c>
      <c r="B106" s="1392" t="str">
        <f t="shared" si="76"/>
        <v/>
      </c>
      <c r="C106" s="1380" t="str">
        <f t="shared" si="77"/>
        <v/>
      </c>
      <c r="D106" s="1393" t="str">
        <f t="shared" si="78"/>
        <v/>
      </c>
      <c r="E106" s="1394">
        <f t="shared" ca="1" si="79"/>
        <v>70</v>
      </c>
      <c r="F106" s="1360" t="s">
        <v>160</v>
      </c>
      <c r="G106" s="1379"/>
      <c r="H106" s="1384"/>
      <c r="I106" s="1385">
        <f t="array" aca="1" ref="I106" ca="1">(IF(COUNT(P106:Z106)&lt;8,SUM(P106:Z106),SUM(LARGE((P106:Z106),{1;2;3;4;5;6;7;8}))))</f>
        <v>0</v>
      </c>
      <c r="J106" s="1388" t="str">
        <f ca="1">INDEX(ETAPP!B$1:B$32,MATCH(COUNTIF(P106:Z106,PIV!A$1),ETAPP!A$1:A$32,0))&amp;INDEX(ETAPP!B$1:B$32,MATCH(COUNTIF(P106:Z106,PIV!A$2),ETAPP!A$1:A$32,0))&amp;INDEX(ETAPP!B$1:B$32,MATCH(COUNTIF(P106:Z106,PIV!A$3),ETAPP!A$1:A$32,0))&amp;INDEX(ETAPP!B$1:B$32,MATCH(COUNTIF(P106:Z106,PIV!A$4),ETAPP!A$1:A$32,0))&amp;INDEX(ETAPP!B$1:B$32,MATCH(COUNTIF(P106:Z106,PIV!A$5),ETAPP!A$1:A$32,0))&amp;INDEX(ETAPP!B$1:B$32,MATCH(COUNTIF(P106:Z106,PIV!A$6),ETAPP!A$1:A$32,0))&amp;INDEX(ETAPP!B$1:B$32,MATCH(COUNTIF(P106:Z106,PIV!A$7),ETAPP!A$1:A$32,0))&amp;INDEX(ETAPP!B$1:B$32,MATCH(COUNTIF(P106:Z106,PIV!A$8),ETAPP!A$1:A$32,0))&amp;INDEX(ETAPP!B$1:B$32,MATCH(COUNTIF(P106:Z106,PIV!A$9),ETAPP!A$1:A$32,0))&amp;INDEX(ETAPP!B$1:B$32,MATCH(COUNTIF(P106:Z106,PIV!A$10),ETAPP!A$1:A$32,0))&amp;INDEX(ETAPP!B$1:B$32,MATCH(COUNTIF(P106:Z106,PIV!A$11),ETAPP!A$1:A$32,0))&amp;INDEX(ETAPP!B$1:B$32,MATCH(COUNTIF(P106:Z106,PIV!A$12),ETAPP!A$1:A$32,0))&amp;INDEX(ETAPP!B$1:B$32,MATCH(COUNTIF(P106:Z106,PIV!A$13),ETAPP!A$1:A$32,0))&amp;INDEX(ETAPP!B$1:B$32,MATCH(COUNTIF(P106:Z106,PIV!A$14),ETAPP!A$1:A$32,0))&amp;INDEX(ETAPP!B$1:B$32,MATCH(COUNTIF(P106:Z106,PIV!A$15),ETAPP!A$1:A$32,0))&amp;INDEX(ETAPP!B$1:B$32,MATCH(COUNTIF(P106:Z106,PIV!A$16),ETAPP!A$1:A$32,0))&amp;INDEX(ETAPP!B$1:B$32,MATCH(COUNTIF(P106:Z106,PIV!A$17),ETAPP!A$1:A$32,0))&amp;INDEX(ETAPP!B$1:B$32,MATCH(COUNTIF(P106:Z106,PIV!A$18),ETAPP!A$1:A$32,0))&amp;INDEX(ETAPP!B$1:B$32,MATCH(COUNTIF(P106:Z106,PIV!A$19),ETAPP!A$1:A$32,0))</f>
        <v>000000000000000000F</v>
      </c>
      <c r="K106" s="1388" t="str">
        <f t="shared" ca="1" si="80"/>
        <v>000,0-000000000000000000F</v>
      </c>
      <c r="L106" s="1387">
        <f t="shared" ca="1" si="81"/>
        <v>108</v>
      </c>
      <c r="M106" s="1387">
        <f t="shared" si="82"/>
        <v>20</v>
      </c>
      <c r="N106" s="1388" t="str">
        <f t="shared" ca="1" si="83"/>
        <v>000,0-000000000000000000F-020</v>
      </c>
      <c r="O106" s="1396">
        <f t="shared" ca="1" si="84"/>
        <v>10</v>
      </c>
      <c r="P106" s="1397" t="str">
        <f>IFERROR(INDEX('1'!C$300:C$400,MATCH("*"&amp;F106&amp;"*",'1'!B$300:B$400,0)),"  ")</f>
        <v xml:space="preserve">  </v>
      </c>
      <c r="Q106" s="1398" t="str">
        <f>IFERROR(INDEX('2'!C$300:C$400,MATCH("*"&amp;F106&amp;"*",'2'!B$300:B$400,0)),"  ")</f>
        <v xml:space="preserve">  </v>
      </c>
      <c r="R106" s="1398" t="str">
        <f>IFERROR(INDEX('3'!C$300:C$400,MATCH("*"&amp;F106&amp;"*",'3'!B$300:B$400,0)),"  ")</f>
        <v xml:space="preserve">  </v>
      </c>
      <c r="S106" s="1398" t="str">
        <f>IFERROR(INDEX('4'!C$300:C$400,MATCH("*"&amp;F106&amp;"*",'4'!B$300:B$400,0)),"  ")</f>
        <v xml:space="preserve">  </v>
      </c>
      <c r="T106" s="1398" t="str">
        <f>IFERROR(INDEX('5'!C$300:C$400,MATCH("*"&amp;F106&amp;"*",'5'!B$300:B$400,0)),"  ")</f>
        <v xml:space="preserve">  </v>
      </c>
      <c r="U106" s="1398" t="str">
        <f>IFERROR(INDEX('6'!C$300:C$400,MATCH("*"&amp;F106&amp;"*",'6'!B$300:B$400,0)),"  ")</f>
        <v xml:space="preserve">  </v>
      </c>
      <c r="V106" s="1398" t="str">
        <f ca="1">IFERROR(INDEX('7'!C$300:C$400,MATCH("*"&amp;F106&amp;"*",'7'!B$300:B$400,0)),"  ")</f>
        <v xml:space="preserve">  </v>
      </c>
      <c r="W106" s="1398" t="str">
        <f>IFERROR(INDEX('8'!C$300:C$400,MATCH("*"&amp;F106&amp;"*",'8'!B$300:B$400,0)),"  ")</f>
        <v xml:space="preserve">  </v>
      </c>
      <c r="X106" s="1398" t="str">
        <f>IFERROR(INDEX('9'!C$300:C$400,MATCH("*"&amp;F106&amp;"*",'9'!B$300:B$400,0)),"  ")</f>
        <v xml:space="preserve">  </v>
      </c>
      <c r="Y106" s="1398" t="str">
        <f>IFERROR(INDEX('10'!C$300:C$400,MATCH("*"&amp;F106&amp;"*",'10'!B$300:B$400,0)),"  ")</f>
        <v xml:space="preserve">  </v>
      </c>
      <c r="Z106" s="1398" t="str">
        <f>IFERROR(INDEX('11'!C$300:C$400,MATCH("*"&amp;F106&amp;"*",'11'!B$300:B$400,0)),"  ")</f>
        <v xml:space="preserve">  </v>
      </c>
      <c r="AA106" s="1353">
        <f t="shared" ca="1" si="85"/>
        <v>0</v>
      </c>
      <c r="AB106" s="1353">
        <f t="shared" ca="1" si="86"/>
        <v>0</v>
      </c>
      <c r="AC106" s="1353">
        <f t="shared" ca="1" si="87"/>
        <v>0</v>
      </c>
      <c r="AH106" s="1345"/>
      <c r="AS106" s="689">
        <f t="shared" ca="1" si="88"/>
        <v>2.9999999999999997E-4</v>
      </c>
      <c r="AT106" s="690">
        <f t="shared" si="89"/>
        <v>1E-4</v>
      </c>
      <c r="AU106" s="690">
        <f t="shared" si="90"/>
        <v>2.0000000000000001E-4</v>
      </c>
      <c r="AV106" s="690">
        <f t="shared" si="91"/>
        <v>2.9999999999999997E-4</v>
      </c>
      <c r="AW106" s="690">
        <f t="shared" si="92"/>
        <v>4.0000000000000002E-4</v>
      </c>
      <c r="AX106" s="690">
        <f t="shared" si="93"/>
        <v>5.0000000000000001E-4</v>
      </c>
      <c r="AY106" s="690">
        <f t="shared" si="94"/>
        <v>5.9999999999999995E-4</v>
      </c>
      <c r="AZ106" s="690">
        <f t="shared" ca="1" si="95"/>
        <v>6.9999999999999999E-4</v>
      </c>
      <c r="BA106" s="690">
        <f t="shared" si="96"/>
        <v>8.0000000000000004E-4</v>
      </c>
      <c r="BB106" s="690">
        <f t="shared" si="97"/>
        <v>8.9999999999999998E-4</v>
      </c>
      <c r="BC106" s="690">
        <f t="shared" si="98"/>
        <v>1E-3</v>
      </c>
      <c r="BD106" s="690">
        <f t="shared" si="99"/>
        <v>1.1000000000000001E-3</v>
      </c>
    </row>
    <row r="107" spans="1:56" hidden="1" x14ac:dyDescent="0.2">
      <c r="A107" s="1378" t="str">
        <f t="shared" si="75"/>
        <v/>
      </c>
      <c r="B107" s="1392" t="str">
        <f t="shared" si="76"/>
        <v/>
      </c>
      <c r="C107" s="1380" t="str">
        <f t="shared" si="77"/>
        <v/>
      </c>
      <c r="D107" s="1393" t="str">
        <f t="shared" si="78"/>
        <v/>
      </c>
      <c r="E107" s="1394">
        <f t="shared" ca="1" si="79"/>
        <v>70</v>
      </c>
      <c r="F107" s="1395" t="s">
        <v>91</v>
      </c>
      <c r="G107" s="1379"/>
      <c r="H107" s="1384"/>
      <c r="I107" s="1385">
        <f t="array" aca="1" ref="I107" ca="1">(IF(COUNT(P107:Z107)&lt;8,SUM(P107:Z107),SUM(LARGE((P107:Z107),{1;2;3;4;5;6;7;8}))))</f>
        <v>0</v>
      </c>
      <c r="J107" s="1388" t="str">
        <f ca="1">INDEX(ETAPP!B$1:B$32,MATCH(COUNTIF(P107:Z107,PIV!A$1),ETAPP!A$1:A$32,0))&amp;INDEX(ETAPP!B$1:B$32,MATCH(COUNTIF(P107:Z107,PIV!A$2),ETAPP!A$1:A$32,0))&amp;INDEX(ETAPP!B$1:B$32,MATCH(COUNTIF(P107:Z107,PIV!A$3),ETAPP!A$1:A$32,0))&amp;INDEX(ETAPP!B$1:B$32,MATCH(COUNTIF(P107:Z107,PIV!A$4),ETAPP!A$1:A$32,0))&amp;INDEX(ETAPP!B$1:B$32,MATCH(COUNTIF(P107:Z107,PIV!A$5),ETAPP!A$1:A$32,0))&amp;INDEX(ETAPP!B$1:B$32,MATCH(COUNTIF(P107:Z107,PIV!A$6),ETAPP!A$1:A$32,0))&amp;INDEX(ETAPP!B$1:B$32,MATCH(COUNTIF(P107:Z107,PIV!A$7),ETAPP!A$1:A$32,0))&amp;INDEX(ETAPP!B$1:B$32,MATCH(COUNTIF(P107:Z107,PIV!A$8),ETAPP!A$1:A$32,0))&amp;INDEX(ETAPP!B$1:B$32,MATCH(COUNTIF(P107:Z107,PIV!A$9),ETAPP!A$1:A$32,0))&amp;INDEX(ETAPP!B$1:B$32,MATCH(COUNTIF(P107:Z107,PIV!A$10),ETAPP!A$1:A$32,0))&amp;INDEX(ETAPP!B$1:B$32,MATCH(COUNTIF(P107:Z107,PIV!A$11),ETAPP!A$1:A$32,0))&amp;INDEX(ETAPP!B$1:B$32,MATCH(COUNTIF(P107:Z107,PIV!A$12),ETAPP!A$1:A$32,0))&amp;INDEX(ETAPP!B$1:B$32,MATCH(COUNTIF(P107:Z107,PIV!A$13),ETAPP!A$1:A$32,0))&amp;INDEX(ETAPP!B$1:B$32,MATCH(COUNTIF(P107:Z107,PIV!A$14),ETAPP!A$1:A$32,0))&amp;INDEX(ETAPP!B$1:B$32,MATCH(COUNTIF(P107:Z107,PIV!A$15),ETAPP!A$1:A$32,0))&amp;INDEX(ETAPP!B$1:B$32,MATCH(COUNTIF(P107:Z107,PIV!A$16),ETAPP!A$1:A$32,0))&amp;INDEX(ETAPP!B$1:B$32,MATCH(COUNTIF(P107:Z107,PIV!A$17),ETAPP!A$1:A$32,0))&amp;INDEX(ETAPP!B$1:B$32,MATCH(COUNTIF(P107:Z107,PIV!A$18),ETAPP!A$1:A$32,0))&amp;INDEX(ETAPP!B$1:B$32,MATCH(COUNTIF(P107:Z107,PIV!A$19),ETAPP!A$1:A$32,0))</f>
        <v>000000000000000000F</v>
      </c>
      <c r="K107" s="1388" t="str">
        <f t="shared" ca="1" si="80"/>
        <v>000,0-000000000000000000F</v>
      </c>
      <c r="L107" s="1387">
        <f t="shared" ca="1" si="81"/>
        <v>108</v>
      </c>
      <c r="M107" s="1387">
        <f t="shared" si="82"/>
        <v>19</v>
      </c>
      <c r="N107" s="1388" t="str">
        <f t="shared" ca="1" si="83"/>
        <v>000,0-000000000000000000F-019</v>
      </c>
      <c r="O107" s="1396">
        <f t="shared" ca="1" si="84"/>
        <v>9</v>
      </c>
      <c r="P107" s="1397" t="str">
        <f>IFERROR(INDEX('1'!C$300:C$400,MATCH("*"&amp;F107&amp;"*",'1'!B$300:B$400,0)),"  ")</f>
        <v xml:space="preserve">  </v>
      </c>
      <c r="Q107" s="1398" t="str">
        <f>IFERROR(INDEX('2'!C$300:C$400,MATCH("*"&amp;F107&amp;"*",'2'!B$300:B$400,0)),"  ")</f>
        <v xml:space="preserve">  </v>
      </c>
      <c r="R107" s="1398" t="str">
        <f>IFERROR(INDEX('3'!C$300:C$400,MATCH("*"&amp;F107&amp;"*",'3'!B$300:B$400,0)),"  ")</f>
        <v xml:space="preserve">  </v>
      </c>
      <c r="S107" s="1398" t="str">
        <f>IFERROR(INDEX('4'!C$300:C$400,MATCH("*"&amp;F107&amp;"*",'4'!B$300:B$400,0)),"  ")</f>
        <v xml:space="preserve">  </v>
      </c>
      <c r="T107" s="1398" t="str">
        <f>IFERROR(INDEX('5'!C$300:C$400,MATCH("*"&amp;F107&amp;"*",'5'!B$300:B$400,0)),"  ")</f>
        <v xml:space="preserve">  </v>
      </c>
      <c r="U107" s="1398" t="str">
        <f>IFERROR(INDEX('6'!C$300:C$400,MATCH("*"&amp;F107&amp;"*",'6'!B$300:B$400,0)),"  ")</f>
        <v xml:space="preserve">  </v>
      </c>
      <c r="V107" s="1398" t="str">
        <f ca="1">IFERROR(INDEX('7'!C$300:C$400,MATCH("*"&amp;F107&amp;"*",'7'!B$300:B$400,0)),"  ")</f>
        <v xml:space="preserve">  </v>
      </c>
      <c r="W107" s="1398" t="str">
        <f>IFERROR(INDEX('8'!C$300:C$400,MATCH("*"&amp;F107&amp;"*",'8'!B$300:B$400,0)),"  ")</f>
        <v xml:space="preserve">  </v>
      </c>
      <c r="X107" s="1398" t="str">
        <f>IFERROR(INDEX('9'!C$300:C$400,MATCH("*"&amp;F107&amp;"*",'9'!B$300:B$400,0)),"  ")</f>
        <v xml:space="preserve">  </v>
      </c>
      <c r="Y107" s="1398" t="str">
        <f>IFERROR(INDEX('10'!C$300:C$400,MATCH("*"&amp;F107&amp;"*",'10'!B$300:B$400,0)),"  ")</f>
        <v xml:space="preserve">  </v>
      </c>
      <c r="Z107" s="1398" t="str">
        <f>IFERROR(INDEX('11'!C$300:C$400,MATCH("*"&amp;F107&amp;"*",'11'!B$300:B$400,0)),"  ")</f>
        <v xml:space="preserve">  </v>
      </c>
      <c r="AA107" s="1353">
        <f t="shared" ca="1" si="85"/>
        <v>0</v>
      </c>
      <c r="AB107" s="1353">
        <f t="shared" ca="1" si="86"/>
        <v>0</v>
      </c>
      <c r="AC107" s="1353">
        <f t="shared" ca="1" si="87"/>
        <v>0</v>
      </c>
      <c r="AH107" s="1345"/>
      <c r="AS107" s="689">
        <f t="shared" ca="1" si="88"/>
        <v>2.9999999999999997E-4</v>
      </c>
      <c r="AT107" s="690">
        <f t="shared" si="89"/>
        <v>1E-4</v>
      </c>
      <c r="AU107" s="690">
        <f t="shared" si="90"/>
        <v>2.0000000000000001E-4</v>
      </c>
      <c r="AV107" s="690">
        <f t="shared" si="91"/>
        <v>2.9999999999999997E-4</v>
      </c>
      <c r="AW107" s="690">
        <f t="shared" si="92"/>
        <v>4.0000000000000002E-4</v>
      </c>
      <c r="AX107" s="690">
        <f t="shared" si="93"/>
        <v>5.0000000000000001E-4</v>
      </c>
      <c r="AY107" s="690">
        <f t="shared" si="94"/>
        <v>5.9999999999999995E-4</v>
      </c>
      <c r="AZ107" s="690">
        <f t="shared" ca="1" si="95"/>
        <v>6.9999999999999999E-4</v>
      </c>
      <c r="BA107" s="690">
        <f t="shared" si="96"/>
        <v>8.0000000000000004E-4</v>
      </c>
      <c r="BB107" s="690">
        <f t="shared" si="97"/>
        <v>8.9999999999999998E-4</v>
      </c>
      <c r="BC107" s="690">
        <f t="shared" si="98"/>
        <v>1E-3</v>
      </c>
      <c r="BD107" s="690">
        <f t="shared" si="99"/>
        <v>1.1000000000000001E-3</v>
      </c>
    </row>
    <row r="108" spans="1:56" hidden="1" x14ac:dyDescent="0.2">
      <c r="A108" s="1378" t="str">
        <f t="shared" si="75"/>
        <v/>
      </c>
      <c r="B108" s="1392" t="str">
        <f t="shared" si="76"/>
        <v/>
      </c>
      <c r="C108" s="1380" t="str">
        <f t="shared" si="77"/>
        <v/>
      </c>
      <c r="D108" s="1393" t="str">
        <f t="shared" si="78"/>
        <v/>
      </c>
      <c r="E108" s="1394">
        <f t="shared" ca="1" si="79"/>
        <v>70</v>
      </c>
      <c r="F108" s="1395" t="s">
        <v>161</v>
      </c>
      <c r="G108" s="1379"/>
      <c r="H108" s="1384"/>
      <c r="I108" s="1385">
        <f t="array" aca="1" ref="I108" ca="1">(IF(COUNT(P108:Z108)&lt;8,SUM(P108:Z108),SUM(LARGE((P108:Z108),{1;2;3;4;5;6;7;8}))))</f>
        <v>0</v>
      </c>
      <c r="J108" s="1388" t="str">
        <f ca="1">INDEX(ETAPP!B$1:B$32,MATCH(COUNTIF(P108:Z108,PIV!A$1),ETAPP!A$1:A$32,0))&amp;INDEX(ETAPP!B$1:B$32,MATCH(COUNTIF(P108:Z108,PIV!A$2),ETAPP!A$1:A$32,0))&amp;INDEX(ETAPP!B$1:B$32,MATCH(COUNTIF(P108:Z108,PIV!A$3),ETAPP!A$1:A$32,0))&amp;INDEX(ETAPP!B$1:B$32,MATCH(COUNTIF(P108:Z108,PIV!A$4),ETAPP!A$1:A$32,0))&amp;INDEX(ETAPP!B$1:B$32,MATCH(COUNTIF(P108:Z108,PIV!A$5),ETAPP!A$1:A$32,0))&amp;INDEX(ETAPP!B$1:B$32,MATCH(COUNTIF(P108:Z108,PIV!A$6),ETAPP!A$1:A$32,0))&amp;INDEX(ETAPP!B$1:B$32,MATCH(COUNTIF(P108:Z108,PIV!A$7),ETAPP!A$1:A$32,0))&amp;INDEX(ETAPP!B$1:B$32,MATCH(COUNTIF(P108:Z108,PIV!A$8),ETAPP!A$1:A$32,0))&amp;INDEX(ETAPP!B$1:B$32,MATCH(COUNTIF(P108:Z108,PIV!A$9),ETAPP!A$1:A$32,0))&amp;INDEX(ETAPP!B$1:B$32,MATCH(COUNTIF(P108:Z108,PIV!A$10),ETAPP!A$1:A$32,0))&amp;INDEX(ETAPP!B$1:B$32,MATCH(COUNTIF(P108:Z108,PIV!A$11),ETAPP!A$1:A$32,0))&amp;INDEX(ETAPP!B$1:B$32,MATCH(COUNTIF(P108:Z108,PIV!A$12),ETAPP!A$1:A$32,0))&amp;INDEX(ETAPP!B$1:B$32,MATCH(COUNTIF(P108:Z108,PIV!A$13),ETAPP!A$1:A$32,0))&amp;INDEX(ETAPP!B$1:B$32,MATCH(COUNTIF(P108:Z108,PIV!A$14),ETAPP!A$1:A$32,0))&amp;INDEX(ETAPP!B$1:B$32,MATCH(COUNTIF(P108:Z108,PIV!A$15),ETAPP!A$1:A$32,0))&amp;INDEX(ETAPP!B$1:B$32,MATCH(COUNTIF(P108:Z108,PIV!A$16),ETAPP!A$1:A$32,0))&amp;INDEX(ETAPP!B$1:B$32,MATCH(COUNTIF(P108:Z108,PIV!A$17),ETAPP!A$1:A$32,0))&amp;INDEX(ETAPP!B$1:B$32,MATCH(COUNTIF(P108:Z108,PIV!A$18),ETAPP!A$1:A$32,0))&amp;INDEX(ETAPP!B$1:B$32,MATCH(COUNTIF(P108:Z108,PIV!A$19),ETAPP!A$1:A$32,0))</f>
        <v>000000000000000000F</v>
      </c>
      <c r="K108" s="1388" t="str">
        <f t="shared" ca="1" si="80"/>
        <v>000,0-000000000000000000F</v>
      </c>
      <c r="L108" s="1387">
        <f t="shared" ca="1" si="81"/>
        <v>108</v>
      </c>
      <c r="M108" s="1387">
        <f t="shared" si="82"/>
        <v>14</v>
      </c>
      <c r="N108" s="1388" t="str">
        <f t="shared" ca="1" si="83"/>
        <v>000,0-000000000000000000F-014</v>
      </c>
      <c r="O108" s="1396">
        <f t="shared" ca="1" si="84"/>
        <v>8</v>
      </c>
      <c r="P108" s="1397" t="str">
        <f>IFERROR(INDEX('1'!C$300:C$400,MATCH("*"&amp;F108&amp;"*",'1'!B$300:B$400,0)),"  ")</f>
        <v xml:space="preserve">  </v>
      </c>
      <c r="Q108" s="1398" t="str">
        <f>IFERROR(INDEX('2'!C$300:C$400,MATCH("*"&amp;F108&amp;"*",'2'!B$300:B$400,0)),"  ")</f>
        <v xml:space="preserve">  </v>
      </c>
      <c r="R108" s="1398" t="str">
        <f>IFERROR(INDEX('3'!C$300:C$400,MATCH("*"&amp;F108&amp;"*",'3'!B$300:B$400,0)),"  ")</f>
        <v xml:space="preserve">  </v>
      </c>
      <c r="S108" s="1398" t="str">
        <f>IFERROR(INDEX('4'!C$300:C$400,MATCH("*"&amp;F108&amp;"*",'4'!B$300:B$400,0)),"  ")</f>
        <v xml:space="preserve">  </v>
      </c>
      <c r="T108" s="1398" t="str">
        <f>IFERROR(INDEX('5'!C$300:C$400,MATCH("*"&amp;F108&amp;"*",'5'!B$300:B$400,0)),"  ")</f>
        <v xml:space="preserve">  </v>
      </c>
      <c r="U108" s="1398" t="str">
        <f>IFERROR(INDEX('6'!C$300:C$400,MATCH("*"&amp;F108&amp;"*",'6'!B$300:B$400,0)),"  ")</f>
        <v xml:space="preserve">  </v>
      </c>
      <c r="V108" s="1398" t="str">
        <f ca="1">IFERROR(INDEX('7'!C$300:C$400,MATCH("*"&amp;F108&amp;"*",'7'!B$300:B$400,0)),"  ")</f>
        <v xml:space="preserve">  </v>
      </c>
      <c r="W108" s="1398" t="str">
        <f>IFERROR(INDEX('8'!C$300:C$400,MATCH("*"&amp;F108&amp;"*",'8'!B$300:B$400,0)),"  ")</f>
        <v xml:space="preserve">  </v>
      </c>
      <c r="X108" s="1398" t="str">
        <f>IFERROR(INDEX('9'!C$300:C$400,MATCH("*"&amp;F108&amp;"*",'9'!B$300:B$400,0)),"  ")</f>
        <v xml:space="preserve">  </v>
      </c>
      <c r="Y108" s="1398" t="str">
        <f>IFERROR(INDEX('10'!C$300:C$400,MATCH("*"&amp;F108&amp;"*",'10'!B$300:B$400,0)),"  ")</f>
        <v xml:space="preserve">  </v>
      </c>
      <c r="Z108" s="1398" t="str">
        <f>IFERROR(INDEX('11'!C$300:C$400,MATCH("*"&amp;F108&amp;"*",'11'!B$300:B$400,0)),"  ")</f>
        <v xml:space="preserve">  </v>
      </c>
      <c r="AA108" s="1353">
        <f t="shared" ca="1" si="85"/>
        <v>0</v>
      </c>
      <c r="AB108" s="1353">
        <f t="shared" ca="1" si="86"/>
        <v>0</v>
      </c>
      <c r="AC108" s="1353">
        <f t="shared" ca="1" si="87"/>
        <v>0</v>
      </c>
      <c r="AH108" s="1345"/>
      <c r="AS108" s="689">
        <f t="shared" ca="1" si="88"/>
        <v>2.9999999999999997E-4</v>
      </c>
      <c r="AT108" s="690">
        <f t="shared" si="89"/>
        <v>1E-4</v>
      </c>
      <c r="AU108" s="690">
        <f t="shared" si="90"/>
        <v>2.0000000000000001E-4</v>
      </c>
      <c r="AV108" s="690">
        <f t="shared" si="91"/>
        <v>2.9999999999999997E-4</v>
      </c>
      <c r="AW108" s="690">
        <f t="shared" si="92"/>
        <v>4.0000000000000002E-4</v>
      </c>
      <c r="AX108" s="690">
        <f t="shared" si="93"/>
        <v>5.0000000000000001E-4</v>
      </c>
      <c r="AY108" s="690">
        <f t="shared" si="94"/>
        <v>5.9999999999999995E-4</v>
      </c>
      <c r="AZ108" s="690">
        <f t="shared" ca="1" si="95"/>
        <v>6.9999999999999999E-4</v>
      </c>
      <c r="BA108" s="690">
        <f t="shared" si="96"/>
        <v>8.0000000000000004E-4</v>
      </c>
      <c r="BB108" s="690">
        <f t="shared" si="97"/>
        <v>8.9999999999999998E-4</v>
      </c>
      <c r="BC108" s="690">
        <f t="shared" si="98"/>
        <v>1E-3</v>
      </c>
      <c r="BD108" s="690">
        <f t="shared" si="99"/>
        <v>1.1000000000000001E-3</v>
      </c>
    </row>
    <row r="109" spans="1:56" hidden="1" x14ac:dyDescent="0.2">
      <c r="A109" s="1378" t="str">
        <f t="shared" si="75"/>
        <v/>
      </c>
      <c r="B109" s="1392" t="str">
        <f t="shared" si="76"/>
        <v/>
      </c>
      <c r="C109" s="1380" t="str">
        <f t="shared" si="77"/>
        <v/>
      </c>
      <c r="D109" s="1393" t="str">
        <f t="shared" si="78"/>
        <v/>
      </c>
      <c r="E109" s="1394">
        <f t="shared" ca="1" si="79"/>
        <v>70</v>
      </c>
      <c r="F109" s="1360" t="s">
        <v>162</v>
      </c>
      <c r="G109" s="1379"/>
      <c r="H109" s="1384"/>
      <c r="I109" s="1385">
        <f t="array" aca="1" ref="I109" ca="1">(IF(COUNT(P109:Z109)&lt;8,SUM(P109:Z109),SUM(LARGE((P109:Z109),{1;2;3;4;5;6;7;8}))))</f>
        <v>0</v>
      </c>
      <c r="J109" s="1388" t="str">
        <f ca="1">INDEX(ETAPP!B$1:B$32,MATCH(COUNTIF(P109:Z109,PIV!A$1),ETAPP!A$1:A$32,0))&amp;INDEX(ETAPP!B$1:B$32,MATCH(COUNTIF(P109:Z109,PIV!A$2),ETAPP!A$1:A$32,0))&amp;INDEX(ETAPP!B$1:B$32,MATCH(COUNTIF(P109:Z109,PIV!A$3),ETAPP!A$1:A$32,0))&amp;INDEX(ETAPP!B$1:B$32,MATCH(COUNTIF(P109:Z109,PIV!A$4),ETAPP!A$1:A$32,0))&amp;INDEX(ETAPP!B$1:B$32,MATCH(COUNTIF(P109:Z109,PIV!A$5),ETAPP!A$1:A$32,0))&amp;INDEX(ETAPP!B$1:B$32,MATCH(COUNTIF(P109:Z109,PIV!A$6),ETAPP!A$1:A$32,0))&amp;INDEX(ETAPP!B$1:B$32,MATCH(COUNTIF(P109:Z109,PIV!A$7),ETAPP!A$1:A$32,0))&amp;INDEX(ETAPP!B$1:B$32,MATCH(COUNTIF(P109:Z109,PIV!A$8),ETAPP!A$1:A$32,0))&amp;INDEX(ETAPP!B$1:B$32,MATCH(COUNTIF(P109:Z109,PIV!A$9),ETAPP!A$1:A$32,0))&amp;INDEX(ETAPP!B$1:B$32,MATCH(COUNTIF(P109:Z109,PIV!A$10),ETAPP!A$1:A$32,0))&amp;INDEX(ETAPP!B$1:B$32,MATCH(COUNTIF(P109:Z109,PIV!A$11),ETAPP!A$1:A$32,0))&amp;INDEX(ETAPP!B$1:B$32,MATCH(COUNTIF(P109:Z109,PIV!A$12),ETAPP!A$1:A$32,0))&amp;INDEX(ETAPP!B$1:B$32,MATCH(COUNTIF(P109:Z109,PIV!A$13),ETAPP!A$1:A$32,0))&amp;INDEX(ETAPP!B$1:B$32,MATCH(COUNTIF(P109:Z109,PIV!A$14),ETAPP!A$1:A$32,0))&amp;INDEX(ETAPP!B$1:B$32,MATCH(COUNTIF(P109:Z109,PIV!A$15),ETAPP!A$1:A$32,0))&amp;INDEX(ETAPP!B$1:B$32,MATCH(COUNTIF(P109:Z109,PIV!A$16),ETAPP!A$1:A$32,0))&amp;INDEX(ETAPP!B$1:B$32,MATCH(COUNTIF(P109:Z109,PIV!A$17),ETAPP!A$1:A$32,0))&amp;INDEX(ETAPP!B$1:B$32,MATCH(COUNTIF(P109:Z109,PIV!A$18),ETAPP!A$1:A$32,0))&amp;INDEX(ETAPP!B$1:B$32,MATCH(COUNTIF(P109:Z109,PIV!A$19),ETAPP!A$1:A$32,0))</f>
        <v>000000000000000000F</v>
      </c>
      <c r="K109" s="1388" t="str">
        <f t="shared" ca="1" si="80"/>
        <v>000,0-000000000000000000F</v>
      </c>
      <c r="L109" s="1387">
        <f t="shared" ca="1" si="81"/>
        <v>108</v>
      </c>
      <c r="M109" s="1387">
        <f t="shared" si="82"/>
        <v>13</v>
      </c>
      <c r="N109" s="1388" t="str">
        <f t="shared" ca="1" si="83"/>
        <v>000,0-000000000000000000F-013</v>
      </c>
      <c r="O109" s="1396">
        <f t="shared" ca="1" si="84"/>
        <v>7</v>
      </c>
      <c r="P109" s="1397" t="str">
        <f>IFERROR(INDEX('1'!C$300:C$400,MATCH("*"&amp;F109&amp;"*",'1'!B$300:B$400,0)),"  ")</f>
        <v xml:space="preserve">  </v>
      </c>
      <c r="Q109" s="1398" t="str">
        <f>IFERROR(INDEX('2'!C$300:C$400,MATCH("*"&amp;F109&amp;"*",'2'!B$300:B$400,0)),"  ")</f>
        <v xml:space="preserve">  </v>
      </c>
      <c r="R109" s="1398" t="str">
        <f>IFERROR(INDEX('3'!C$300:C$400,MATCH("*"&amp;F109&amp;"*",'3'!B$300:B$400,0)),"  ")</f>
        <v xml:space="preserve">  </v>
      </c>
      <c r="S109" s="1398" t="str">
        <f>IFERROR(INDEX('4'!C$300:C$400,MATCH("*"&amp;F109&amp;"*",'4'!B$300:B$400,0)),"  ")</f>
        <v xml:space="preserve">  </v>
      </c>
      <c r="T109" s="1398" t="str">
        <f>IFERROR(INDEX('5'!C$300:C$400,MATCH("*"&amp;F109&amp;"*",'5'!B$300:B$400,0)),"  ")</f>
        <v xml:space="preserve">  </v>
      </c>
      <c r="U109" s="1398" t="str">
        <f>IFERROR(INDEX('6'!C$300:C$400,MATCH("*"&amp;F109&amp;"*",'6'!B$300:B$400,0)),"  ")</f>
        <v xml:space="preserve">  </v>
      </c>
      <c r="V109" s="1398" t="str">
        <f ca="1">IFERROR(INDEX('7'!C$300:C$400,MATCH("*"&amp;F109&amp;"*",'7'!B$300:B$400,0)),"  ")</f>
        <v xml:space="preserve">  </v>
      </c>
      <c r="W109" s="1398" t="str">
        <f>IFERROR(INDEX('8'!C$300:C$400,MATCH("*"&amp;F109&amp;"*",'8'!B$300:B$400,0)),"  ")</f>
        <v xml:space="preserve">  </v>
      </c>
      <c r="X109" s="1398" t="str">
        <f>IFERROR(INDEX('9'!C$300:C$400,MATCH("*"&amp;F109&amp;"*",'9'!B$300:B$400,0)),"  ")</f>
        <v xml:space="preserve">  </v>
      </c>
      <c r="Y109" s="1398" t="str">
        <f>IFERROR(INDEX('10'!C$300:C$400,MATCH("*"&amp;F109&amp;"*",'10'!B$300:B$400,0)),"  ")</f>
        <v xml:space="preserve">  </v>
      </c>
      <c r="Z109" s="1398" t="str">
        <f>IFERROR(INDEX('11'!C$300:C$400,MATCH("*"&amp;F109&amp;"*",'11'!B$300:B$400,0)),"  ")</f>
        <v xml:space="preserve">  </v>
      </c>
      <c r="AA109" s="1353">
        <f t="shared" ca="1" si="85"/>
        <v>0</v>
      </c>
      <c r="AB109" s="1353">
        <f t="shared" ca="1" si="86"/>
        <v>0</v>
      </c>
      <c r="AC109" s="1353">
        <f t="shared" ca="1" si="87"/>
        <v>0</v>
      </c>
      <c r="AH109" s="1345"/>
      <c r="AS109" s="689">
        <f t="shared" ca="1" si="88"/>
        <v>2.9999999999999997E-4</v>
      </c>
      <c r="AT109" s="690">
        <f t="shared" si="89"/>
        <v>1E-4</v>
      </c>
      <c r="AU109" s="690">
        <f t="shared" si="90"/>
        <v>2.0000000000000001E-4</v>
      </c>
      <c r="AV109" s="690">
        <f t="shared" si="91"/>
        <v>2.9999999999999997E-4</v>
      </c>
      <c r="AW109" s="690">
        <f t="shared" si="92"/>
        <v>4.0000000000000002E-4</v>
      </c>
      <c r="AX109" s="690">
        <f t="shared" si="93"/>
        <v>5.0000000000000001E-4</v>
      </c>
      <c r="AY109" s="690">
        <f t="shared" si="94"/>
        <v>5.9999999999999995E-4</v>
      </c>
      <c r="AZ109" s="690">
        <f t="shared" ca="1" si="95"/>
        <v>6.9999999999999999E-4</v>
      </c>
      <c r="BA109" s="690">
        <f t="shared" si="96"/>
        <v>8.0000000000000004E-4</v>
      </c>
      <c r="BB109" s="690">
        <f t="shared" si="97"/>
        <v>8.9999999999999998E-4</v>
      </c>
      <c r="BC109" s="690">
        <f t="shared" si="98"/>
        <v>1E-3</v>
      </c>
      <c r="BD109" s="690">
        <f t="shared" si="99"/>
        <v>1.1000000000000001E-3</v>
      </c>
    </row>
    <row r="110" spans="1:56" hidden="1" x14ac:dyDescent="0.2">
      <c r="A110" s="1378" t="str">
        <f t="shared" si="75"/>
        <v/>
      </c>
      <c r="B110" s="1392" t="str">
        <f t="shared" si="76"/>
        <v/>
      </c>
      <c r="C110" s="1380" t="str">
        <f t="shared" si="77"/>
        <v/>
      </c>
      <c r="D110" s="1393" t="str">
        <f t="shared" si="78"/>
        <v/>
      </c>
      <c r="E110" s="1394">
        <f t="shared" ca="1" si="79"/>
        <v>70</v>
      </c>
      <c r="F110" s="1395" t="s">
        <v>130</v>
      </c>
      <c r="G110" s="1379"/>
      <c r="H110" s="1384"/>
      <c r="I110" s="1385">
        <f t="array" aca="1" ref="I110" ca="1">(IF(COUNT(P110:Z110)&lt;8,SUM(P110:Z110),SUM(LARGE((P110:Z110),{1;2;3;4;5;6;7;8}))))</f>
        <v>0</v>
      </c>
      <c r="J110" s="1388" t="str">
        <f ca="1">INDEX(ETAPP!B$1:B$32,MATCH(COUNTIF(P110:Z110,PIV!A$1),ETAPP!A$1:A$32,0))&amp;INDEX(ETAPP!B$1:B$32,MATCH(COUNTIF(P110:Z110,PIV!A$2),ETAPP!A$1:A$32,0))&amp;INDEX(ETAPP!B$1:B$32,MATCH(COUNTIF(P110:Z110,PIV!A$3),ETAPP!A$1:A$32,0))&amp;INDEX(ETAPP!B$1:B$32,MATCH(COUNTIF(P110:Z110,PIV!A$4),ETAPP!A$1:A$32,0))&amp;INDEX(ETAPP!B$1:B$32,MATCH(COUNTIF(P110:Z110,PIV!A$5),ETAPP!A$1:A$32,0))&amp;INDEX(ETAPP!B$1:B$32,MATCH(COUNTIF(P110:Z110,PIV!A$6),ETAPP!A$1:A$32,0))&amp;INDEX(ETAPP!B$1:B$32,MATCH(COUNTIF(P110:Z110,PIV!A$7),ETAPP!A$1:A$32,0))&amp;INDEX(ETAPP!B$1:B$32,MATCH(COUNTIF(P110:Z110,PIV!A$8),ETAPP!A$1:A$32,0))&amp;INDEX(ETAPP!B$1:B$32,MATCH(COUNTIF(P110:Z110,PIV!A$9),ETAPP!A$1:A$32,0))&amp;INDEX(ETAPP!B$1:B$32,MATCH(COUNTIF(P110:Z110,PIV!A$10),ETAPP!A$1:A$32,0))&amp;INDEX(ETAPP!B$1:B$32,MATCH(COUNTIF(P110:Z110,PIV!A$11),ETAPP!A$1:A$32,0))&amp;INDEX(ETAPP!B$1:B$32,MATCH(COUNTIF(P110:Z110,PIV!A$12),ETAPP!A$1:A$32,0))&amp;INDEX(ETAPP!B$1:B$32,MATCH(COUNTIF(P110:Z110,PIV!A$13),ETAPP!A$1:A$32,0))&amp;INDEX(ETAPP!B$1:B$32,MATCH(COUNTIF(P110:Z110,PIV!A$14),ETAPP!A$1:A$32,0))&amp;INDEX(ETAPP!B$1:B$32,MATCH(COUNTIF(P110:Z110,PIV!A$15),ETAPP!A$1:A$32,0))&amp;INDEX(ETAPP!B$1:B$32,MATCH(COUNTIF(P110:Z110,PIV!A$16),ETAPP!A$1:A$32,0))&amp;INDEX(ETAPP!B$1:B$32,MATCH(COUNTIF(P110:Z110,PIV!A$17),ETAPP!A$1:A$32,0))&amp;INDEX(ETAPP!B$1:B$32,MATCH(COUNTIF(P110:Z110,PIV!A$18),ETAPP!A$1:A$32,0))&amp;INDEX(ETAPP!B$1:B$32,MATCH(COUNTIF(P110:Z110,PIV!A$19),ETAPP!A$1:A$32,0))</f>
        <v>000000000000000000F</v>
      </c>
      <c r="K110" s="1388" t="str">
        <f t="shared" ca="1" si="80"/>
        <v>000,0-000000000000000000F</v>
      </c>
      <c r="L110" s="1387">
        <f t="shared" ca="1" si="81"/>
        <v>108</v>
      </c>
      <c r="M110" s="1387">
        <f t="shared" si="82"/>
        <v>12</v>
      </c>
      <c r="N110" s="1388" t="str">
        <f t="shared" ca="1" si="83"/>
        <v>000,0-000000000000000000F-012</v>
      </c>
      <c r="O110" s="1396">
        <f t="shared" ca="1" si="84"/>
        <v>6</v>
      </c>
      <c r="P110" s="1397" t="str">
        <f>IFERROR(INDEX('1'!C$300:C$400,MATCH("*"&amp;F110&amp;"*",'1'!B$300:B$400,0)),"  ")</f>
        <v xml:space="preserve">  </v>
      </c>
      <c r="Q110" s="1398" t="str">
        <f>IFERROR(INDEX('2'!C$300:C$400,MATCH("*"&amp;F110&amp;"*",'2'!B$300:B$400,0)),"  ")</f>
        <v xml:space="preserve">  </v>
      </c>
      <c r="R110" s="1398" t="str">
        <f>IFERROR(INDEX('3'!C$300:C$400,MATCH("*"&amp;F110&amp;"*",'3'!B$300:B$400,0)),"  ")</f>
        <v xml:space="preserve">  </v>
      </c>
      <c r="S110" s="1398" t="str">
        <f>IFERROR(INDEX('4'!C$300:C$400,MATCH("*"&amp;F110&amp;"*",'4'!B$300:B$400,0)),"  ")</f>
        <v xml:space="preserve">  </v>
      </c>
      <c r="T110" s="1398" t="str">
        <f>IFERROR(INDEX('5'!C$300:C$400,MATCH("*"&amp;F110&amp;"*",'5'!B$300:B$400,0)),"  ")</f>
        <v xml:space="preserve">  </v>
      </c>
      <c r="U110" s="1398" t="str">
        <f>IFERROR(INDEX('6'!C$300:C$400,MATCH("*"&amp;F110&amp;"*",'6'!B$300:B$400,0)),"  ")</f>
        <v xml:space="preserve">  </v>
      </c>
      <c r="V110" s="1398" t="str">
        <f ca="1">IFERROR(INDEX('7'!C$300:C$400,MATCH("*"&amp;F110&amp;"*",'7'!B$300:B$400,0)),"  ")</f>
        <v xml:space="preserve">  </v>
      </c>
      <c r="W110" s="1398" t="str">
        <f>IFERROR(INDEX('8'!C$300:C$400,MATCH("*"&amp;F110&amp;"*",'8'!B$300:B$400,0)),"  ")</f>
        <v xml:space="preserve">  </v>
      </c>
      <c r="X110" s="1398" t="str">
        <f>IFERROR(INDEX('9'!C$300:C$400,MATCH("*"&amp;F110&amp;"*",'9'!B$300:B$400,0)),"  ")</f>
        <v xml:space="preserve">  </v>
      </c>
      <c r="Y110" s="1398" t="str">
        <f>IFERROR(INDEX('10'!C$300:C$400,MATCH("*"&amp;F110&amp;"*",'10'!B$300:B$400,0)),"  ")</f>
        <v xml:space="preserve">  </v>
      </c>
      <c r="Z110" s="1398" t="str">
        <f>IFERROR(INDEX('11'!C$300:C$400,MATCH("*"&amp;F110&amp;"*",'11'!B$300:B$400,0)),"  ")</f>
        <v xml:space="preserve">  </v>
      </c>
      <c r="AA110" s="1353">
        <f t="shared" ca="1" si="85"/>
        <v>0</v>
      </c>
      <c r="AB110" s="1353">
        <f t="shared" ca="1" si="86"/>
        <v>0</v>
      </c>
      <c r="AC110" s="1353">
        <f t="shared" ca="1" si="87"/>
        <v>0</v>
      </c>
      <c r="AH110" s="1345"/>
      <c r="AS110" s="689">
        <f t="shared" ca="1" si="88"/>
        <v>2.9999999999999997E-4</v>
      </c>
      <c r="AT110" s="690">
        <f t="shared" si="89"/>
        <v>1E-4</v>
      </c>
      <c r="AU110" s="690">
        <f t="shared" si="90"/>
        <v>2.0000000000000001E-4</v>
      </c>
      <c r="AV110" s="690">
        <f t="shared" si="91"/>
        <v>2.9999999999999997E-4</v>
      </c>
      <c r="AW110" s="690">
        <f t="shared" si="92"/>
        <v>4.0000000000000002E-4</v>
      </c>
      <c r="AX110" s="690">
        <f t="shared" si="93"/>
        <v>5.0000000000000001E-4</v>
      </c>
      <c r="AY110" s="690">
        <f t="shared" si="94"/>
        <v>5.9999999999999995E-4</v>
      </c>
      <c r="AZ110" s="690">
        <f t="shared" ca="1" si="95"/>
        <v>6.9999999999999999E-4</v>
      </c>
      <c r="BA110" s="690">
        <f t="shared" si="96"/>
        <v>8.0000000000000004E-4</v>
      </c>
      <c r="BB110" s="690">
        <f t="shared" si="97"/>
        <v>8.9999999999999998E-4</v>
      </c>
      <c r="BC110" s="690">
        <f t="shared" si="98"/>
        <v>1E-3</v>
      </c>
      <c r="BD110" s="690">
        <f t="shared" si="99"/>
        <v>1.1000000000000001E-3</v>
      </c>
    </row>
    <row r="111" spans="1:56" hidden="1" x14ac:dyDescent="0.2">
      <c r="A111" s="1378" t="str">
        <f t="shared" si="75"/>
        <v/>
      </c>
      <c r="B111" s="1392" t="str">
        <f t="shared" si="76"/>
        <v/>
      </c>
      <c r="C111" s="1380" t="str">
        <f t="shared" si="77"/>
        <v/>
      </c>
      <c r="D111" s="1393" t="str">
        <f t="shared" si="78"/>
        <v/>
      </c>
      <c r="E111" s="1394">
        <f t="shared" ca="1" si="79"/>
        <v>70</v>
      </c>
      <c r="F111" s="1395" t="s">
        <v>121</v>
      </c>
      <c r="G111" s="1379"/>
      <c r="H111" s="1384"/>
      <c r="I111" s="1385">
        <f t="array" aca="1" ref="I111" ca="1">(IF(COUNT(P111:Z111)&lt;8,SUM(P111:Z111),SUM(LARGE((P111:Z111),{1;2;3;4;5;6;7;8}))))</f>
        <v>0</v>
      </c>
      <c r="J111" s="1388" t="str">
        <f ca="1">INDEX(ETAPP!B$1:B$32,MATCH(COUNTIF(P111:Z111,PIV!A$1),ETAPP!A$1:A$32,0))&amp;INDEX(ETAPP!B$1:B$32,MATCH(COUNTIF(P111:Z111,PIV!A$2),ETAPP!A$1:A$32,0))&amp;INDEX(ETAPP!B$1:B$32,MATCH(COUNTIF(P111:Z111,PIV!A$3),ETAPP!A$1:A$32,0))&amp;INDEX(ETAPP!B$1:B$32,MATCH(COUNTIF(P111:Z111,PIV!A$4),ETAPP!A$1:A$32,0))&amp;INDEX(ETAPP!B$1:B$32,MATCH(COUNTIF(P111:Z111,PIV!A$5),ETAPP!A$1:A$32,0))&amp;INDEX(ETAPP!B$1:B$32,MATCH(COUNTIF(P111:Z111,PIV!A$6),ETAPP!A$1:A$32,0))&amp;INDEX(ETAPP!B$1:B$32,MATCH(COUNTIF(P111:Z111,PIV!A$7),ETAPP!A$1:A$32,0))&amp;INDEX(ETAPP!B$1:B$32,MATCH(COUNTIF(P111:Z111,PIV!A$8),ETAPP!A$1:A$32,0))&amp;INDEX(ETAPP!B$1:B$32,MATCH(COUNTIF(P111:Z111,PIV!A$9),ETAPP!A$1:A$32,0))&amp;INDEX(ETAPP!B$1:B$32,MATCH(COUNTIF(P111:Z111,PIV!A$10),ETAPP!A$1:A$32,0))&amp;INDEX(ETAPP!B$1:B$32,MATCH(COUNTIF(P111:Z111,PIV!A$11),ETAPP!A$1:A$32,0))&amp;INDEX(ETAPP!B$1:B$32,MATCH(COUNTIF(P111:Z111,PIV!A$12),ETAPP!A$1:A$32,0))&amp;INDEX(ETAPP!B$1:B$32,MATCH(COUNTIF(P111:Z111,PIV!A$13),ETAPP!A$1:A$32,0))&amp;INDEX(ETAPP!B$1:B$32,MATCH(COUNTIF(P111:Z111,PIV!A$14),ETAPP!A$1:A$32,0))&amp;INDEX(ETAPP!B$1:B$32,MATCH(COUNTIF(P111:Z111,PIV!A$15),ETAPP!A$1:A$32,0))&amp;INDEX(ETAPP!B$1:B$32,MATCH(COUNTIF(P111:Z111,PIV!A$16),ETAPP!A$1:A$32,0))&amp;INDEX(ETAPP!B$1:B$32,MATCH(COUNTIF(P111:Z111,PIV!A$17),ETAPP!A$1:A$32,0))&amp;INDEX(ETAPP!B$1:B$32,MATCH(COUNTIF(P111:Z111,PIV!A$18),ETAPP!A$1:A$32,0))&amp;INDEX(ETAPP!B$1:B$32,MATCH(COUNTIF(P111:Z111,PIV!A$19),ETAPP!A$1:A$32,0))</f>
        <v>000000000000000000F</v>
      </c>
      <c r="K111" s="1388" t="str">
        <f t="shared" ca="1" si="80"/>
        <v>000,0-000000000000000000F</v>
      </c>
      <c r="L111" s="1387">
        <f t="shared" ca="1" si="81"/>
        <v>108</v>
      </c>
      <c r="M111" s="1387">
        <f t="shared" si="82"/>
        <v>8</v>
      </c>
      <c r="N111" s="1388" t="str">
        <f t="shared" ca="1" si="83"/>
        <v>000,0-000000000000000000F-008</v>
      </c>
      <c r="O111" s="1396">
        <f t="shared" ca="1" si="84"/>
        <v>5</v>
      </c>
      <c r="P111" s="1397" t="str">
        <f>IFERROR(INDEX('1'!C$300:C$400,MATCH("*"&amp;F111&amp;"*",'1'!B$300:B$400,0)),"  ")</f>
        <v xml:space="preserve">  </v>
      </c>
      <c r="Q111" s="1398" t="str">
        <f>IFERROR(INDEX('2'!C$300:C$400,MATCH("*"&amp;F111&amp;"*",'2'!B$300:B$400,0)),"  ")</f>
        <v xml:space="preserve">  </v>
      </c>
      <c r="R111" s="1398" t="str">
        <f>IFERROR(INDEX('3'!C$300:C$400,MATCH("*"&amp;F111&amp;"*",'3'!B$300:B$400,0)),"  ")</f>
        <v xml:space="preserve">  </v>
      </c>
      <c r="S111" s="1398" t="str">
        <f>IFERROR(INDEX('4'!C$300:C$400,MATCH("*"&amp;F111&amp;"*",'4'!B$300:B$400,0)),"  ")</f>
        <v xml:space="preserve">  </v>
      </c>
      <c r="T111" s="1398" t="str">
        <f>IFERROR(INDEX('5'!C$300:C$400,MATCH("*"&amp;F111&amp;"*",'5'!B$300:B$400,0)),"  ")</f>
        <v xml:space="preserve">  </v>
      </c>
      <c r="U111" s="1398" t="str">
        <f>IFERROR(INDEX('6'!C$300:C$400,MATCH("*"&amp;F111&amp;"*",'6'!B$300:B$400,0)),"  ")</f>
        <v xml:space="preserve">  </v>
      </c>
      <c r="V111" s="1398" t="str">
        <f ca="1">IFERROR(INDEX('7'!C$300:C$400,MATCH("*"&amp;F111&amp;"*",'7'!B$300:B$400,0)),"  ")</f>
        <v xml:space="preserve">  </v>
      </c>
      <c r="W111" s="1398" t="str">
        <f>IFERROR(INDEX('8'!C$300:C$400,MATCH("*"&amp;F111&amp;"*",'8'!B$300:B$400,0)),"  ")</f>
        <v xml:space="preserve">  </v>
      </c>
      <c r="X111" s="1398" t="str">
        <f>IFERROR(INDEX('9'!C$300:C$400,MATCH("*"&amp;F111&amp;"*",'9'!B$300:B$400,0)),"  ")</f>
        <v xml:space="preserve">  </v>
      </c>
      <c r="Y111" s="1398" t="str">
        <f>IFERROR(INDEX('10'!C$300:C$400,MATCH("*"&amp;F111&amp;"*",'10'!B$300:B$400,0)),"  ")</f>
        <v xml:space="preserve">  </v>
      </c>
      <c r="Z111" s="1398" t="str">
        <f>IFERROR(INDEX('11'!C$300:C$400,MATCH("*"&amp;F111&amp;"*",'11'!B$300:B$400,0)),"  ")</f>
        <v xml:space="preserve">  </v>
      </c>
      <c r="AA111" s="1353">
        <f t="shared" ca="1" si="85"/>
        <v>0</v>
      </c>
      <c r="AB111" s="1353">
        <f t="shared" ca="1" si="86"/>
        <v>0</v>
      </c>
      <c r="AC111" s="1353">
        <f t="shared" ca="1" si="87"/>
        <v>0</v>
      </c>
      <c r="AH111" s="1345"/>
      <c r="AS111" s="689">
        <f t="shared" ca="1" si="88"/>
        <v>2.9999999999999997E-4</v>
      </c>
      <c r="AT111" s="690">
        <f t="shared" si="89"/>
        <v>1E-4</v>
      </c>
      <c r="AU111" s="690">
        <f t="shared" si="90"/>
        <v>2.0000000000000001E-4</v>
      </c>
      <c r="AV111" s="690">
        <f t="shared" si="91"/>
        <v>2.9999999999999997E-4</v>
      </c>
      <c r="AW111" s="690">
        <f t="shared" si="92"/>
        <v>4.0000000000000002E-4</v>
      </c>
      <c r="AX111" s="690">
        <f t="shared" si="93"/>
        <v>5.0000000000000001E-4</v>
      </c>
      <c r="AY111" s="690">
        <f t="shared" si="94"/>
        <v>5.9999999999999995E-4</v>
      </c>
      <c r="AZ111" s="690">
        <f t="shared" ca="1" si="95"/>
        <v>6.9999999999999999E-4</v>
      </c>
      <c r="BA111" s="690">
        <f t="shared" si="96"/>
        <v>8.0000000000000004E-4</v>
      </c>
      <c r="BB111" s="690">
        <f t="shared" si="97"/>
        <v>8.9999999999999998E-4</v>
      </c>
      <c r="BC111" s="690">
        <f t="shared" si="98"/>
        <v>1E-3</v>
      </c>
      <c r="BD111" s="690">
        <f t="shared" si="99"/>
        <v>1.1000000000000001E-3</v>
      </c>
    </row>
    <row r="112" spans="1:56" hidden="1" x14ac:dyDescent="0.2">
      <c r="A112" s="1378" t="str">
        <f t="shared" si="75"/>
        <v/>
      </c>
      <c r="B112" s="1392" t="str">
        <f t="shared" si="76"/>
        <v/>
      </c>
      <c r="C112" s="1380" t="str">
        <f t="shared" si="77"/>
        <v/>
      </c>
      <c r="D112" s="1393" t="str">
        <f t="shared" si="78"/>
        <v/>
      </c>
      <c r="E112" s="1394">
        <f t="shared" ca="1" si="79"/>
        <v>70</v>
      </c>
      <c r="F112" s="1395" t="s">
        <v>141</v>
      </c>
      <c r="G112" s="1419"/>
      <c r="H112" s="1384"/>
      <c r="I112" s="1385">
        <f t="array" aca="1" ref="I112" ca="1">(IF(COUNT(P112:Z112)&lt;8,SUM(P112:Z112),SUM(LARGE((P112:Z112),{1;2;3;4;5;6;7;8}))))</f>
        <v>0</v>
      </c>
      <c r="J112" s="1388" t="str">
        <f ca="1">INDEX(ETAPP!B$1:B$32,MATCH(COUNTIF(P112:Z112,PIV!A$1),ETAPP!A$1:A$32,0))&amp;INDEX(ETAPP!B$1:B$32,MATCH(COUNTIF(P112:Z112,PIV!A$2),ETAPP!A$1:A$32,0))&amp;INDEX(ETAPP!B$1:B$32,MATCH(COUNTIF(P112:Z112,PIV!A$3),ETAPP!A$1:A$32,0))&amp;INDEX(ETAPP!B$1:B$32,MATCH(COUNTIF(P112:Z112,PIV!A$4),ETAPP!A$1:A$32,0))&amp;INDEX(ETAPP!B$1:B$32,MATCH(COUNTIF(P112:Z112,PIV!A$5),ETAPP!A$1:A$32,0))&amp;INDEX(ETAPP!B$1:B$32,MATCH(COUNTIF(P112:Z112,PIV!A$6),ETAPP!A$1:A$32,0))&amp;INDEX(ETAPP!B$1:B$32,MATCH(COUNTIF(P112:Z112,PIV!A$7),ETAPP!A$1:A$32,0))&amp;INDEX(ETAPP!B$1:B$32,MATCH(COUNTIF(P112:Z112,PIV!A$8),ETAPP!A$1:A$32,0))&amp;INDEX(ETAPP!B$1:B$32,MATCH(COUNTIF(P112:Z112,PIV!A$9),ETAPP!A$1:A$32,0))&amp;INDEX(ETAPP!B$1:B$32,MATCH(COUNTIF(P112:Z112,PIV!A$10),ETAPP!A$1:A$32,0))&amp;INDEX(ETAPP!B$1:B$32,MATCH(COUNTIF(P112:Z112,PIV!A$11),ETAPP!A$1:A$32,0))&amp;INDEX(ETAPP!B$1:B$32,MATCH(COUNTIF(P112:Z112,PIV!A$12),ETAPP!A$1:A$32,0))&amp;INDEX(ETAPP!B$1:B$32,MATCH(COUNTIF(P112:Z112,PIV!A$13),ETAPP!A$1:A$32,0))&amp;INDEX(ETAPP!B$1:B$32,MATCH(COUNTIF(P112:Z112,PIV!A$14),ETAPP!A$1:A$32,0))&amp;INDEX(ETAPP!B$1:B$32,MATCH(COUNTIF(P112:Z112,PIV!A$15),ETAPP!A$1:A$32,0))&amp;INDEX(ETAPP!B$1:B$32,MATCH(COUNTIF(P112:Z112,PIV!A$16),ETAPP!A$1:A$32,0))&amp;INDEX(ETAPP!B$1:B$32,MATCH(COUNTIF(P112:Z112,PIV!A$17),ETAPP!A$1:A$32,0))&amp;INDEX(ETAPP!B$1:B$32,MATCH(COUNTIF(P112:Z112,PIV!A$18),ETAPP!A$1:A$32,0))&amp;INDEX(ETAPP!B$1:B$32,MATCH(COUNTIF(P112:Z112,PIV!A$19),ETAPP!A$1:A$32,0))</f>
        <v>000000000000000000F</v>
      </c>
      <c r="K112" s="1388" t="str">
        <f t="shared" ca="1" si="80"/>
        <v>000,0-000000000000000000F</v>
      </c>
      <c r="L112" s="1387">
        <f t="shared" ca="1" si="81"/>
        <v>108</v>
      </c>
      <c r="M112" s="1387">
        <f t="shared" si="82"/>
        <v>6</v>
      </c>
      <c r="N112" s="1388" t="str">
        <f t="shared" ca="1" si="83"/>
        <v>000,0-000000000000000000F-006</v>
      </c>
      <c r="O112" s="1396">
        <f t="shared" ca="1" si="84"/>
        <v>4</v>
      </c>
      <c r="P112" s="1397" t="str">
        <f>IFERROR(INDEX('1'!C$300:C$400,MATCH("*"&amp;F112&amp;"*",'1'!B$300:B$400,0)),"  ")</f>
        <v xml:space="preserve">  </v>
      </c>
      <c r="Q112" s="1398" t="str">
        <f>IFERROR(INDEX('2'!C$300:C$400,MATCH("*"&amp;F112&amp;"*",'2'!B$300:B$400,0)),"  ")</f>
        <v xml:space="preserve">  </v>
      </c>
      <c r="R112" s="1398" t="str">
        <f>IFERROR(INDEX('3'!C$300:C$400,MATCH("*"&amp;F112&amp;"*",'3'!B$300:B$400,0)),"  ")</f>
        <v xml:space="preserve">  </v>
      </c>
      <c r="S112" s="1398" t="str">
        <f>IFERROR(INDEX('4'!C$300:C$400,MATCH("*"&amp;F112&amp;"*",'4'!B$300:B$400,0)),"  ")</f>
        <v xml:space="preserve">  </v>
      </c>
      <c r="T112" s="1398" t="str">
        <f>IFERROR(INDEX('5'!C$300:C$400,MATCH("*"&amp;F112&amp;"*",'5'!B$300:B$400,0)),"  ")</f>
        <v xml:space="preserve">  </v>
      </c>
      <c r="U112" s="1398" t="str">
        <f>IFERROR(INDEX('6'!C$300:C$400,MATCH("*"&amp;F112&amp;"*",'6'!B$300:B$400,0)),"  ")</f>
        <v xml:space="preserve">  </v>
      </c>
      <c r="V112" s="1398" t="str">
        <f ca="1">IFERROR(INDEX('7'!C$300:C$400,MATCH("*"&amp;F112&amp;"*",'7'!B$300:B$400,0)),"  ")</f>
        <v xml:space="preserve">  </v>
      </c>
      <c r="W112" s="1398" t="str">
        <f>IFERROR(INDEX('8'!C$300:C$400,MATCH("*"&amp;F112&amp;"*",'8'!B$300:B$400,0)),"  ")</f>
        <v xml:space="preserve">  </v>
      </c>
      <c r="X112" s="1398" t="str">
        <f>IFERROR(INDEX('9'!C$300:C$400,MATCH("*"&amp;F112&amp;"*",'9'!B$300:B$400,0)),"  ")</f>
        <v xml:space="preserve">  </v>
      </c>
      <c r="Y112" s="1398" t="str">
        <f>IFERROR(INDEX('10'!C$300:C$400,MATCH("*"&amp;F112&amp;"*",'10'!B$300:B$400,0)),"  ")</f>
        <v xml:space="preserve">  </v>
      </c>
      <c r="Z112" s="1398" t="str">
        <f>IFERROR(INDEX('11'!C$300:C$400,MATCH("*"&amp;F112&amp;"*",'11'!B$300:B$400,0)),"  ")</f>
        <v xml:space="preserve">  </v>
      </c>
      <c r="AA112" s="1353">
        <f t="shared" ca="1" si="85"/>
        <v>0</v>
      </c>
      <c r="AB112" s="1353">
        <f t="shared" ca="1" si="86"/>
        <v>0</v>
      </c>
      <c r="AC112" s="1353">
        <f t="shared" ca="1" si="87"/>
        <v>0</v>
      </c>
      <c r="AH112" s="1345"/>
      <c r="AS112" s="689">
        <f t="shared" ca="1" si="88"/>
        <v>2.9999999999999997E-4</v>
      </c>
      <c r="AT112" s="690">
        <f t="shared" si="89"/>
        <v>1E-4</v>
      </c>
      <c r="AU112" s="690">
        <f t="shared" si="90"/>
        <v>2.0000000000000001E-4</v>
      </c>
      <c r="AV112" s="690">
        <f t="shared" si="91"/>
        <v>2.9999999999999997E-4</v>
      </c>
      <c r="AW112" s="690">
        <f t="shared" si="92"/>
        <v>4.0000000000000002E-4</v>
      </c>
      <c r="AX112" s="690">
        <f t="shared" si="93"/>
        <v>5.0000000000000001E-4</v>
      </c>
      <c r="AY112" s="690">
        <f t="shared" si="94"/>
        <v>5.9999999999999995E-4</v>
      </c>
      <c r="AZ112" s="690">
        <f t="shared" ca="1" si="95"/>
        <v>6.9999999999999999E-4</v>
      </c>
      <c r="BA112" s="690">
        <f t="shared" si="96"/>
        <v>8.0000000000000004E-4</v>
      </c>
      <c r="BB112" s="690">
        <f t="shared" si="97"/>
        <v>8.9999999999999998E-4</v>
      </c>
      <c r="BC112" s="690">
        <f t="shared" si="98"/>
        <v>1E-3</v>
      </c>
      <c r="BD112" s="690">
        <f t="shared" si="99"/>
        <v>1.1000000000000001E-3</v>
      </c>
    </row>
    <row r="113" spans="1:56" hidden="1" x14ac:dyDescent="0.2">
      <c r="A113" s="1378" t="str">
        <f t="shared" si="75"/>
        <v/>
      </c>
      <c r="B113" s="1392" t="str">
        <f t="shared" si="76"/>
        <v/>
      </c>
      <c r="C113" s="1380">
        <f t="shared" ca="1" si="77"/>
        <v>3</v>
      </c>
      <c r="D113" s="1393">
        <f t="shared" ca="1" si="78"/>
        <v>108</v>
      </c>
      <c r="E113" s="1394">
        <f t="shared" ca="1" si="79"/>
        <v>70</v>
      </c>
      <c r="F113" s="1360" t="s">
        <v>134</v>
      </c>
      <c r="G113" s="1379"/>
      <c r="H113" s="1420" t="s">
        <v>105</v>
      </c>
      <c r="I113" s="1385">
        <f t="array" aca="1" ref="I113" ca="1">(IF(COUNT(P113:Z113)&lt;8,SUM(P113:Z113),SUM(LARGE((P113:Z113),{1;2;3;4;5;6;7;8}))))</f>
        <v>0</v>
      </c>
      <c r="J113" s="1388" t="str">
        <f ca="1">INDEX(ETAPP!B$1:B$32,MATCH(COUNTIF(P113:Z113,PIV!A$1),ETAPP!A$1:A$32,0))&amp;INDEX(ETAPP!B$1:B$32,MATCH(COUNTIF(P113:Z113,PIV!A$2),ETAPP!A$1:A$32,0))&amp;INDEX(ETAPP!B$1:B$32,MATCH(COUNTIF(P113:Z113,PIV!A$3),ETAPP!A$1:A$32,0))&amp;INDEX(ETAPP!B$1:B$32,MATCH(COUNTIF(P113:Z113,PIV!A$4),ETAPP!A$1:A$32,0))&amp;INDEX(ETAPP!B$1:B$32,MATCH(COUNTIF(P113:Z113,PIV!A$5),ETAPP!A$1:A$32,0))&amp;INDEX(ETAPP!B$1:B$32,MATCH(COUNTIF(P113:Z113,PIV!A$6),ETAPP!A$1:A$32,0))&amp;INDEX(ETAPP!B$1:B$32,MATCH(COUNTIF(P113:Z113,PIV!A$7),ETAPP!A$1:A$32,0))&amp;INDEX(ETAPP!B$1:B$32,MATCH(COUNTIF(P113:Z113,PIV!A$8),ETAPP!A$1:A$32,0))&amp;INDEX(ETAPP!B$1:B$32,MATCH(COUNTIF(P113:Z113,PIV!A$9),ETAPP!A$1:A$32,0))&amp;INDEX(ETAPP!B$1:B$32,MATCH(COUNTIF(P113:Z113,PIV!A$10),ETAPP!A$1:A$32,0))&amp;INDEX(ETAPP!B$1:B$32,MATCH(COUNTIF(P113:Z113,PIV!A$11),ETAPP!A$1:A$32,0))&amp;INDEX(ETAPP!B$1:B$32,MATCH(COUNTIF(P113:Z113,PIV!A$12),ETAPP!A$1:A$32,0))&amp;INDEX(ETAPP!B$1:B$32,MATCH(COUNTIF(P113:Z113,PIV!A$13),ETAPP!A$1:A$32,0))&amp;INDEX(ETAPP!B$1:B$32,MATCH(COUNTIF(P113:Z113,PIV!A$14),ETAPP!A$1:A$32,0))&amp;INDEX(ETAPP!B$1:B$32,MATCH(COUNTIF(P113:Z113,PIV!A$15),ETAPP!A$1:A$32,0))&amp;INDEX(ETAPP!B$1:B$32,MATCH(COUNTIF(P113:Z113,PIV!A$16),ETAPP!A$1:A$32,0))&amp;INDEX(ETAPP!B$1:B$32,MATCH(COUNTIF(P113:Z113,PIV!A$17),ETAPP!A$1:A$32,0))&amp;INDEX(ETAPP!B$1:B$32,MATCH(COUNTIF(P113:Z113,PIV!A$18),ETAPP!A$1:A$32,0))&amp;INDEX(ETAPP!B$1:B$32,MATCH(COUNTIF(P113:Z113,PIV!A$19),ETAPP!A$1:A$32,0))</f>
        <v>000000000000000000F</v>
      </c>
      <c r="K113" s="1388" t="str">
        <f t="shared" ca="1" si="80"/>
        <v>000,0-000000000000000000F</v>
      </c>
      <c r="L113" s="1387">
        <f t="shared" ca="1" si="81"/>
        <v>108</v>
      </c>
      <c r="M113" s="1387">
        <f t="shared" si="82"/>
        <v>4</v>
      </c>
      <c r="N113" s="1388" t="str">
        <f t="shared" ca="1" si="83"/>
        <v>000,0-000000000000000000F-004</v>
      </c>
      <c r="O113" s="1396">
        <f t="shared" ca="1" si="84"/>
        <v>3</v>
      </c>
      <c r="P113" s="1397" t="str">
        <f>IFERROR(INDEX('1'!C$300:C$400,MATCH("*"&amp;F113&amp;"*",'1'!B$300:B$400,0)),"  ")</f>
        <v xml:space="preserve">  </v>
      </c>
      <c r="Q113" s="1398" t="str">
        <f>IFERROR(INDEX('2'!C$300:C$400,MATCH("*"&amp;F113&amp;"*",'2'!B$300:B$400,0)),"  ")</f>
        <v xml:space="preserve">  </v>
      </c>
      <c r="R113" s="1398" t="str">
        <f>IFERROR(INDEX('3'!C$300:C$400,MATCH("*"&amp;F113&amp;"*",'3'!B$300:B$400,0)),"  ")</f>
        <v xml:space="preserve">  </v>
      </c>
      <c r="S113" s="1398" t="str">
        <f>IFERROR(INDEX('4'!C$300:C$400,MATCH("*"&amp;F113&amp;"*",'4'!B$300:B$400,0)),"  ")</f>
        <v xml:space="preserve">  </v>
      </c>
      <c r="T113" s="1398" t="str">
        <f>IFERROR(INDEX('5'!C$300:C$400,MATCH("*"&amp;F113&amp;"*",'5'!B$300:B$400,0)),"  ")</f>
        <v xml:space="preserve">  </v>
      </c>
      <c r="U113" s="1398" t="str">
        <f>IFERROR(INDEX('6'!C$300:C$400,MATCH("*"&amp;F113&amp;"*",'6'!B$300:B$400,0)),"  ")</f>
        <v xml:space="preserve">  </v>
      </c>
      <c r="V113" s="1398" t="str">
        <f ca="1">IFERROR(INDEX('7'!C$300:C$400,MATCH("*"&amp;F113&amp;"*",'7'!B$300:B$400,0)),"  ")</f>
        <v xml:space="preserve">  </v>
      </c>
      <c r="W113" s="1398" t="str">
        <f>IFERROR(INDEX('8'!C$300:C$400,MATCH("*"&amp;F113&amp;"*",'8'!B$300:B$400,0)),"  ")</f>
        <v xml:space="preserve">  </v>
      </c>
      <c r="X113" s="1398" t="str">
        <f>IFERROR(INDEX('9'!C$300:C$400,MATCH("*"&amp;F113&amp;"*",'9'!B$300:B$400,0)),"  ")</f>
        <v xml:space="preserve">  </v>
      </c>
      <c r="Y113" s="1398" t="str">
        <f>IFERROR(INDEX('10'!C$300:C$400,MATCH("*"&amp;F113&amp;"*",'10'!B$300:B$400,0)),"  ")</f>
        <v xml:space="preserve">  </v>
      </c>
      <c r="Z113" s="1398" t="str">
        <f>IFERROR(INDEX('11'!C$300:C$400,MATCH("*"&amp;F113&amp;"*",'11'!B$300:B$400,0)),"  ")</f>
        <v xml:space="preserve">  </v>
      </c>
      <c r="AA113" s="1353">
        <f t="shared" ca="1" si="85"/>
        <v>0</v>
      </c>
      <c r="AB113" s="1353">
        <f t="shared" ca="1" si="86"/>
        <v>0</v>
      </c>
      <c r="AC113" s="1353">
        <f t="shared" ca="1" si="87"/>
        <v>0</v>
      </c>
      <c r="AH113" s="1345"/>
      <c r="AS113" s="689">
        <f t="shared" ca="1" si="88"/>
        <v>2.9999999999999997E-4</v>
      </c>
      <c r="AT113" s="690">
        <f t="shared" si="89"/>
        <v>1E-4</v>
      </c>
      <c r="AU113" s="690">
        <f t="shared" si="90"/>
        <v>2.0000000000000001E-4</v>
      </c>
      <c r="AV113" s="690">
        <f t="shared" si="91"/>
        <v>2.9999999999999997E-4</v>
      </c>
      <c r="AW113" s="690">
        <f t="shared" si="92"/>
        <v>4.0000000000000002E-4</v>
      </c>
      <c r="AX113" s="690">
        <f t="shared" si="93"/>
        <v>5.0000000000000001E-4</v>
      </c>
      <c r="AY113" s="690">
        <f t="shared" si="94"/>
        <v>5.9999999999999995E-4</v>
      </c>
      <c r="AZ113" s="690">
        <f t="shared" ca="1" si="95"/>
        <v>6.9999999999999999E-4</v>
      </c>
      <c r="BA113" s="690">
        <f t="shared" si="96"/>
        <v>8.0000000000000004E-4</v>
      </c>
      <c r="BB113" s="690">
        <f t="shared" si="97"/>
        <v>8.9999999999999998E-4</v>
      </c>
      <c r="BC113" s="690">
        <f t="shared" si="98"/>
        <v>1E-3</v>
      </c>
      <c r="BD113" s="690">
        <f t="shared" si="99"/>
        <v>1.1000000000000001E-3</v>
      </c>
    </row>
    <row r="114" spans="1:56" hidden="1" x14ac:dyDescent="0.2">
      <c r="A114" s="1378" t="str">
        <f t="shared" si="75"/>
        <v/>
      </c>
      <c r="B114" s="1392" t="str">
        <f t="shared" si="76"/>
        <v/>
      </c>
      <c r="C114" s="1380" t="str">
        <f t="shared" si="77"/>
        <v/>
      </c>
      <c r="D114" s="1393" t="str">
        <f t="shared" si="78"/>
        <v/>
      </c>
      <c r="E114" s="1394">
        <f t="shared" ca="1" si="79"/>
        <v>70</v>
      </c>
      <c r="F114" s="1360" t="s">
        <v>163</v>
      </c>
      <c r="G114" s="1379"/>
      <c r="H114" s="1384"/>
      <c r="I114" s="1385">
        <f t="array" aca="1" ref="I114" ca="1">(IF(COUNT(P114:Z114)&lt;8,SUM(P114:Z114),SUM(LARGE((P114:Z114),{1;2;3;4;5;6;7;8}))))</f>
        <v>0</v>
      </c>
      <c r="J114" s="1388" t="str">
        <f ca="1">INDEX(ETAPP!B$1:B$32,MATCH(COUNTIF(P114:Z114,PIV!A$1),ETAPP!A$1:A$32,0))&amp;INDEX(ETAPP!B$1:B$32,MATCH(COUNTIF(P114:Z114,PIV!A$2),ETAPP!A$1:A$32,0))&amp;INDEX(ETAPP!B$1:B$32,MATCH(COUNTIF(P114:Z114,PIV!A$3),ETAPP!A$1:A$32,0))&amp;INDEX(ETAPP!B$1:B$32,MATCH(COUNTIF(P114:Z114,PIV!A$4),ETAPP!A$1:A$32,0))&amp;INDEX(ETAPP!B$1:B$32,MATCH(COUNTIF(P114:Z114,PIV!A$5),ETAPP!A$1:A$32,0))&amp;INDEX(ETAPP!B$1:B$32,MATCH(COUNTIF(P114:Z114,PIV!A$6),ETAPP!A$1:A$32,0))&amp;INDEX(ETAPP!B$1:B$32,MATCH(COUNTIF(P114:Z114,PIV!A$7),ETAPP!A$1:A$32,0))&amp;INDEX(ETAPP!B$1:B$32,MATCH(COUNTIF(P114:Z114,PIV!A$8),ETAPP!A$1:A$32,0))&amp;INDEX(ETAPP!B$1:B$32,MATCH(COUNTIF(P114:Z114,PIV!A$9),ETAPP!A$1:A$32,0))&amp;INDEX(ETAPP!B$1:B$32,MATCH(COUNTIF(P114:Z114,PIV!A$10),ETAPP!A$1:A$32,0))&amp;INDEX(ETAPP!B$1:B$32,MATCH(COUNTIF(P114:Z114,PIV!A$11),ETAPP!A$1:A$32,0))&amp;INDEX(ETAPP!B$1:B$32,MATCH(COUNTIF(P114:Z114,PIV!A$12),ETAPP!A$1:A$32,0))&amp;INDEX(ETAPP!B$1:B$32,MATCH(COUNTIF(P114:Z114,PIV!A$13),ETAPP!A$1:A$32,0))&amp;INDEX(ETAPP!B$1:B$32,MATCH(COUNTIF(P114:Z114,PIV!A$14),ETAPP!A$1:A$32,0))&amp;INDEX(ETAPP!B$1:B$32,MATCH(COUNTIF(P114:Z114,PIV!A$15),ETAPP!A$1:A$32,0))&amp;INDEX(ETAPP!B$1:B$32,MATCH(COUNTIF(P114:Z114,PIV!A$16),ETAPP!A$1:A$32,0))&amp;INDEX(ETAPP!B$1:B$32,MATCH(COUNTIF(P114:Z114,PIV!A$17),ETAPP!A$1:A$32,0))&amp;INDEX(ETAPP!B$1:B$32,MATCH(COUNTIF(P114:Z114,PIV!A$18),ETAPP!A$1:A$32,0))&amp;INDEX(ETAPP!B$1:B$32,MATCH(COUNTIF(P114:Z114,PIV!A$19),ETAPP!A$1:A$32,0))</f>
        <v>000000000000000000F</v>
      </c>
      <c r="K114" s="1388" t="str">
        <f t="shared" ca="1" si="80"/>
        <v>000,0-000000000000000000F</v>
      </c>
      <c r="L114" s="1387">
        <f t="shared" ca="1" si="81"/>
        <v>108</v>
      </c>
      <c r="M114" s="1387">
        <f t="shared" si="82"/>
        <v>2</v>
      </c>
      <c r="N114" s="1388" t="str">
        <f t="shared" ca="1" si="83"/>
        <v>000,0-000000000000000000F-002</v>
      </c>
      <c r="O114" s="1396">
        <f t="shared" ca="1" si="84"/>
        <v>2</v>
      </c>
      <c r="P114" s="1397" t="str">
        <f>IFERROR(INDEX('1'!C$300:C$400,MATCH("*"&amp;F114&amp;"*",'1'!B$300:B$400,0)),"  ")</f>
        <v xml:space="preserve">  </v>
      </c>
      <c r="Q114" s="1398" t="str">
        <f>IFERROR(INDEX('2'!C$300:C$400,MATCH("*"&amp;F114&amp;"*",'2'!B$300:B$400,0)),"  ")</f>
        <v xml:space="preserve">  </v>
      </c>
      <c r="R114" s="1398" t="str">
        <f>IFERROR(INDEX('3'!C$300:C$400,MATCH("*"&amp;F114&amp;"*",'3'!B$300:B$400,0)),"  ")</f>
        <v xml:space="preserve">  </v>
      </c>
      <c r="S114" s="1398" t="str">
        <f>IFERROR(INDEX('4'!C$300:C$400,MATCH("*"&amp;F114&amp;"*",'4'!B$300:B$400,0)),"  ")</f>
        <v xml:space="preserve">  </v>
      </c>
      <c r="T114" s="1398" t="str">
        <f>IFERROR(INDEX('5'!C$300:C$400,MATCH("*"&amp;F114&amp;"*",'5'!B$300:B$400,0)),"  ")</f>
        <v xml:space="preserve">  </v>
      </c>
      <c r="U114" s="1398" t="str">
        <f>IFERROR(INDEX('6'!C$300:C$400,MATCH("*"&amp;F114&amp;"*",'6'!B$300:B$400,0)),"  ")</f>
        <v xml:space="preserve">  </v>
      </c>
      <c r="V114" s="1398" t="str">
        <f ca="1">IFERROR(INDEX('7'!C$300:C$400,MATCH("*"&amp;F114&amp;"*",'7'!B$300:B$400,0)),"  ")</f>
        <v xml:space="preserve">  </v>
      </c>
      <c r="W114" s="1398" t="str">
        <f>IFERROR(INDEX('8'!C$300:C$400,MATCH("*"&amp;F114&amp;"*",'8'!B$300:B$400,0)),"  ")</f>
        <v xml:space="preserve">  </v>
      </c>
      <c r="X114" s="1398" t="str">
        <f>IFERROR(INDEX('9'!C$300:C$400,MATCH("*"&amp;F114&amp;"*",'9'!B$300:B$400,0)),"  ")</f>
        <v xml:space="preserve">  </v>
      </c>
      <c r="Y114" s="1398" t="str">
        <f>IFERROR(INDEX('10'!C$300:C$400,MATCH("*"&amp;F114&amp;"*",'10'!B$300:B$400,0)),"  ")</f>
        <v xml:space="preserve">  </v>
      </c>
      <c r="Z114" s="1398" t="str">
        <f>IFERROR(INDEX('11'!C$300:C$400,MATCH("*"&amp;F114&amp;"*",'11'!B$300:B$400,0)),"  ")</f>
        <v xml:space="preserve">  </v>
      </c>
      <c r="AA114" s="1353">
        <f t="shared" ca="1" si="85"/>
        <v>0</v>
      </c>
      <c r="AB114" s="1353">
        <f t="shared" ca="1" si="86"/>
        <v>0</v>
      </c>
      <c r="AC114" s="1353">
        <f t="shared" ca="1" si="87"/>
        <v>0</v>
      </c>
      <c r="AH114" s="1345"/>
      <c r="AS114" s="689">
        <f t="shared" ca="1" si="88"/>
        <v>2.9999999999999997E-4</v>
      </c>
      <c r="AT114" s="690">
        <f t="shared" si="89"/>
        <v>1E-4</v>
      </c>
      <c r="AU114" s="690">
        <f t="shared" si="90"/>
        <v>2.0000000000000001E-4</v>
      </c>
      <c r="AV114" s="690">
        <f t="shared" si="91"/>
        <v>2.9999999999999997E-4</v>
      </c>
      <c r="AW114" s="690">
        <f t="shared" si="92"/>
        <v>4.0000000000000002E-4</v>
      </c>
      <c r="AX114" s="690">
        <f t="shared" si="93"/>
        <v>5.0000000000000001E-4</v>
      </c>
      <c r="AY114" s="690">
        <f t="shared" si="94"/>
        <v>5.9999999999999995E-4</v>
      </c>
      <c r="AZ114" s="690">
        <f t="shared" ca="1" si="95"/>
        <v>6.9999999999999999E-4</v>
      </c>
      <c r="BA114" s="690">
        <f t="shared" si="96"/>
        <v>8.0000000000000004E-4</v>
      </c>
      <c r="BB114" s="690">
        <f t="shared" si="97"/>
        <v>8.9999999999999998E-4</v>
      </c>
      <c r="BC114" s="690">
        <f t="shared" si="98"/>
        <v>1E-3</v>
      </c>
      <c r="BD114" s="690">
        <f t="shared" si="99"/>
        <v>1.1000000000000001E-3</v>
      </c>
    </row>
    <row r="115" spans="1:56" hidden="1" x14ac:dyDescent="0.2">
      <c r="A115" s="1378" t="str">
        <f t="shared" si="75"/>
        <v/>
      </c>
      <c r="B115" s="1392" t="str">
        <f t="shared" si="76"/>
        <v/>
      </c>
      <c r="C115" s="1380" t="str">
        <f t="shared" si="77"/>
        <v/>
      </c>
      <c r="D115" s="1393" t="str">
        <f t="shared" si="78"/>
        <v/>
      </c>
      <c r="E115" s="1394">
        <f t="shared" ca="1" si="79"/>
        <v>70</v>
      </c>
      <c r="F115" s="1401" t="s">
        <v>131</v>
      </c>
      <c r="G115" s="1379"/>
      <c r="H115" s="1384"/>
      <c r="I115" s="1385">
        <f t="array" aca="1" ref="I115" ca="1">(IF(COUNT(P115:Z115)&lt;8,SUM(P115:Z115),SUM(LARGE((P115:Z115),{1;2;3;4;5;6;7;8}))))</f>
        <v>0</v>
      </c>
      <c r="J115" s="1388" t="str">
        <f ca="1">INDEX(ETAPP!B$1:B$32,MATCH(COUNTIF(P115:Z115,PIV!A$1),ETAPP!A$1:A$32,0))&amp;INDEX(ETAPP!B$1:B$32,MATCH(COUNTIF(P115:Z115,PIV!A$2),ETAPP!A$1:A$32,0))&amp;INDEX(ETAPP!B$1:B$32,MATCH(COUNTIF(P115:Z115,PIV!A$3),ETAPP!A$1:A$32,0))&amp;INDEX(ETAPP!B$1:B$32,MATCH(COUNTIF(P115:Z115,PIV!A$4),ETAPP!A$1:A$32,0))&amp;INDEX(ETAPP!B$1:B$32,MATCH(COUNTIF(P115:Z115,PIV!A$5),ETAPP!A$1:A$32,0))&amp;INDEX(ETAPP!B$1:B$32,MATCH(COUNTIF(P115:Z115,PIV!A$6),ETAPP!A$1:A$32,0))&amp;INDEX(ETAPP!B$1:B$32,MATCH(COUNTIF(P115:Z115,PIV!A$7),ETAPP!A$1:A$32,0))&amp;INDEX(ETAPP!B$1:B$32,MATCH(COUNTIF(P115:Z115,PIV!A$8),ETAPP!A$1:A$32,0))&amp;INDEX(ETAPP!B$1:B$32,MATCH(COUNTIF(P115:Z115,PIV!A$9),ETAPP!A$1:A$32,0))&amp;INDEX(ETAPP!B$1:B$32,MATCH(COUNTIF(P115:Z115,PIV!A$10),ETAPP!A$1:A$32,0))&amp;INDEX(ETAPP!B$1:B$32,MATCH(COUNTIF(P115:Z115,PIV!A$11),ETAPP!A$1:A$32,0))&amp;INDEX(ETAPP!B$1:B$32,MATCH(COUNTIF(P115:Z115,PIV!A$12),ETAPP!A$1:A$32,0))&amp;INDEX(ETAPP!B$1:B$32,MATCH(COUNTIF(P115:Z115,PIV!A$13),ETAPP!A$1:A$32,0))&amp;INDEX(ETAPP!B$1:B$32,MATCH(COUNTIF(P115:Z115,PIV!A$14),ETAPP!A$1:A$32,0))&amp;INDEX(ETAPP!B$1:B$32,MATCH(COUNTIF(P115:Z115,PIV!A$15),ETAPP!A$1:A$32,0))&amp;INDEX(ETAPP!B$1:B$32,MATCH(COUNTIF(P115:Z115,PIV!A$16),ETAPP!A$1:A$32,0))&amp;INDEX(ETAPP!B$1:B$32,MATCH(COUNTIF(P115:Z115,PIV!A$17),ETAPP!A$1:A$32,0))&amp;INDEX(ETAPP!B$1:B$32,MATCH(COUNTIF(P115:Z115,PIV!A$18),ETAPP!A$1:A$32,0))&amp;INDEX(ETAPP!B$1:B$32,MATCH(COUNTIF(P115:Z115,PIV!A$19),ETAPP!A$1:A$32,0))</f>
        <v>000000000000000000F</v>
      </c>
      <c r="K115" s="1388" t="str">
        <f t="shared" ca="1" si="80"/>
        <v>000,0-000000000000000000F</v>
      </c>
      <c r="L115" s="1387">
        <f t="shared" ca="1" si="81"/>
        <v>108</v>
      </c>
      <c r="M115" s="1387">
        <f t="shared" si="82"/>
        <v>1</v>
      </c>
      <c r="N115" s="1388" t="str">
        <f t="shared" ca="1" si="83"/>
        <v>000,0-000000000000000000F-001</v>
      </c>
      <c r="O115" s="1396">
        <f t="shared" ca="1" si="84"/>
        <v>1</v>
      </c>
      <c r="P115" s="1397" t="str">
        <f>IFERROR(INDEX('1'!C$300:C$400,MATCH("*"&amp;F115&amp;"*",'1'!B$300:B$400,0)),"  ")</f>
        <v xml:space="preserve">  </v>
      </c>
      <c r="Q115" s="1398" t="str">
        <f>IFERROR(INDEX('2'!C$300:C$400,MATCH("*"&amp;F115&amp;"*",'2'!B$300:B$400,0)),"  ")</f>
        <v xml:space="preserve">  </v>
      </c>
      <c r="R115" s="1398" t="str">
        <f>IFERROR(INDEX('3'!C$300:C$400,MATCH("*"&amp;F115&amp;"*",'3'!B$300:B$400,0)),"  ")</f>
        <v xml:space="preserve">  </v>
      </c>
      <c r="S115" s="1398" t="str">
        <f>IFERROR(INDEX('4'!C$300:C$400,MATCH("*"&amp;F115&amp;"*",'4'!B$300:B$400,0)),"  ")</f>
        <v xml:space="preserve">  </v>
      </c>
      <c r="T115" s="1398" t="str">
        <f>IFERROR(INDEX('5'!C$300:C$400,MATCH("*"&amp;F115&amp;"*",'5'!B$300:B$400,0)),"  ")</f>
        <v xml:space="preserve">  </v>
      </c>
      <c r="U115" s="1398" t="str">
        <f>IFERROR(INDEX('6'!C$300:C$400,MATCH("*"&amp;F115&amp;"*",'6'!B$300:B$400,0)),"  ")</f>
        <v xml:space="preserve">  </v>
      </c>
      <c r="V115" s="1398" t="str">
        <f ca="1">IFERROR(INDEX('7'!C$300:C$400,MATCH("*"&amp;F115&amp;"*",'7'!B$300:B$400,0)),"  ")</f>
        <v xml:space="preserve">  </v>
      </c>
      <c r="W115" s="1398" t="str">
        <f>IFERROR(INDEX('8'!C$300:C$400,MATCH("*"&amp;F115&amp;"*",'8'!B$300:B$400,0)),"  ")</f>
        <v xml:space="preserve">  </v>
      </c>
      <c r="X115" s="1398" t="str">
        <f>IFERROR(INDEX('9'!C$300:C$400,MATCH("*"&amp;F115&amp;"*",'9'!B$300:B$400,0)),"  ")</f>
        <v xml:space="preserve">  </v>
      </c>
      <c r="Y115" s="1398" t="str">
        <f>IFERROR(INDEX('10'!C$300:C$400,MATCH("*"&amp;F115&amp;"*",'10'!B$300:B$400,0)),"  ")</f>
        <v xml:space="preserve">  </v>
      </c>
      <c r="Z115" s="1398" t="str">
        <f>IFERROR(INDEX('11'!C$300:C$400,MATCH("*"&amp;F115&amp;"*",'11'!B$300:B$400,0)),"  ")</f>
        <v xml:space="preserve">  </v>
      </c>
      <c r="AA115" s="1399">
        <f t="shared" ca="1" si="85"/>
        <v>0</v>
      </c>
      <c r="AB115" s="1353">
        <f t="shared" ca="1" si="86"/>
        <v>0</v>
      </c>
      <c r="AC115" s="1353">
        <f t="shared" ca="1" si="87"/>
        <v>0</v>
      </c>
      <c r="AH115" s="1345"/>
      <c r="AS115" s="689">
        <f t="shared" ca="1" si="88"/>
        <v>2.9999999999999997E-4</v>
      </c>
      <c r="AT115" s="690">
        <f t="shared" si="89"/>
        <v>1E-4</v>
      </c>
      <c r="AU115" s="690">
        <f t="shared" si="90"/>
        <v>2.0000000000000001E-4</v>
      </c>
      <c r="AV115" s="690">
        <f t="shared" si="91"/>
        <v>2.9999999999999997E-4</v>
      </c>
      <c r="AW115" s="690">
        <f t="shared" si="92"/>
        <v>4.0000000000000002E-4</v>
      </c>
      <c r="AX115" s="690">
        <f t="shared" si="93"/>
        <v>5.0000000000000001E-4</v>
      </c>
      <c r="AY115" s="690">
        <f t="shared" si="94"/>
        <v>5.9999999999999995E-4</v>
      </c>
      <c r="AZ115" s="690">
        <f t="shared" ca="1" si="95"/>
        <v>6.9999999999999999E-4</v>
      </c>
      <c r="BA115" s="690">
        <f t="shared" si="96"/>
        <v>8.0000000000000004E-4</v>
      </c>
      <c r="BB115" s="690">
        <f t="shared" si="97"/>
        <v>8.9999999999999998E-4</v>
      </c>
      <c r="BC115" s="690">
        <f t="shared" si="98"/>
        <v>1E-3</v>
      </c>
      <c r="BD115" s="690">
        <f t="shared" si="99"/>
        <v>1.1000000000000001E-3</v>
      </c>
    </row>
    <row r="116" spans="1:56" x14ac:dyDescent="0.2">
      <c r="A116" s="1421">
        <f ca="1">COUNTIFS(A8:A115,"&gt;0",I8:I115,"&gt;0")</f>
        <v>18</v>
      </c>
      <c r="B116" s="1421">
        <f ca="1">COUNTIFS(B8:B115,"&gt;0",J8:J115,"&gt;0")</f>
        <v>0</v>
      </c>
      <c r="C116" s="1422">
        <f ca="1">COUNTIFS(C8:C115,"&gt;0",I8:I115,"&gt;0")</f>
        <v>2</v>
      </c>
      <c r="D116" s="1422"/>
      <c r="E116" s="1423">
        <f ca="1">COUNTIF(I8:I115,"&gt;0")</f>
        <v>69</v>
      </c>
      <c r="F116" s="1424" t="s">
        <v>164</v>
      </c>
      <c r="G116" s="1346"/>
      <c r="H116" s="1346"/>
      <c r="I116" s="1425"/>
      <c r="J116" s="1425"/>
      <c r="K116" s="1425"/>
      <c r="L116" s="1425"/>
      <c r="M116" s="1425"/>
      <c r="N116" s="1425"/>
      <c r="O116" s="1425"/>
      <c r="P116" s="1426">
        <f t="shared" ref="P116:Z116" si="100">COUNTIF(P8:P115,"&gt;=0")</f>
        <v>30</v>
      </c>
      <c r="Q116" s="1426">
        <f t="shared" si="100"/>
        <v>22</v>
      </c>
      <c r="R116" s="1426">
        <f t="shared" si="100"/>
        <v>33</v>
      </c>
      <c r="S116" s="1426">
        <f t="shared" si="100"/>
        <v>20</v>
      </c>
      <c r="T116" s="1426">
        <f t="shared" si="100"/>
        <v>18</v>
      </c>
      <c r="U116" s="1426">
        <f t="shared" si="100"/>
        <v>24</v>
      </c>
      <c r="V116" s="1426">
        <f t="shared" ca="1" si="100"/>
        <v>14</v>
      </c>
      <c r="W116" s="1426">
        <f t="shared" si="100"/>
        <v>30</v>
      </c>
      <c r="X116" s="1426">
        <f t="shared" si="100"/>
        <v>20</v>
      </c>
      <c r="Y116" s="1426">
        <f t="shared" si="100"/>
        <v>21</v>
      </c>
      <c r="Z116" s="1426">
        <f t="shared" si="100"/>
        <v>14</v>
      </c>
      <c r="AA116" s="1346"/>
      <c r="AB116" s="1423">
        <f ca="1">SUM(AB8:AB115)</f>
        <v>63</v>
      </c>
      <c r="AC116" s="1423">
        <f ca="1">SUM(AC8:AC115)</f>
        <v>21</v>
      </c>
      <c r="AH116" s="1345"/>
    </row>
    <row r="117" spans="1:56" x14ac:dyDescent="0.2">
      <c r="A117" s="1346"/>
      <c r="B117" s="1346"/>
      <c r="C117" s="1426"/>
      <c r="D117" s="1426"/>
      <c r="E117" s="1346"/>
      <c r="F117" s="1424" t="s">
        <v>165</v>
      </c>
      <c r="G117" s="1346"/>
      <c r="H117" s="1346"/>
      <c r="I117" s="1425"/>
      <c r="J117" s="1425"/>
      <c r="K117" s="1425"/>
      <c r="L117" s="1425"/>
      <c r="M117" s="1425"/>
      <c r="N117" s="1425"/>
      <c r="O117" s="1425"/>
      <c r="P117" s="1427">
        <f t="shared" ref="P117:U117" si="101">IF((P116/(LEN(P6)-LEN(SUBSTITUTE(P6,"*","")))-0.5)&lt;0,"",P116/(LEN(P6)-LEN(SUBSTITUTE(P6,"*","")))-0.5)</f>
        <v>9.5</v>
      </c>
      <c r="Q117" s="1427">
        <f t="shared" si="101"/>
        <v>21.5</v>
      </c>
      <c r="R117" s="1427">
        <f t="shared" si="101"/>
        <v>10.5</v>
      </c>
      <c r="S117" s="1427">
        <f t="shared" si="101"/>
        <v>9.5</v>
      </c>
      <c r="T117" s="1427">
        <f t="shared" si="101"/>
        <v>8.5</v>
      </c>
      <c r="U117" s="1427">
        <f t="shared" si="101"/>
        <v>23.5</v>
      </c>
      <c r="V117" s="1427"/>
      <c r="W117" s="1427">
        <f>IF((W116/(LEN(W6)-LEN(SUBSTITUTE(W6,"*","")))-0.5)&lt;0,"",W116/(LEN(W6)-LEN(SUBSTITUTE(W6,"*","")))-0.5)</f>
        <v>14.5</v>
      </c>
      <c r="X117" s="1427">
        <f>IF((X116/(LEN(X6)-LEN(SUBSTITUTE(X6,"*","")))-0.5)&lt;0,"",X116/(LEN(X6)-LEN(SUBSTITUTE(X6,"*","")))-0.5)</f>
        <v>9.5</v>
      </c>
      <c r="Y117" s="1427">
        <v>7</v>
      </c>
      <c r="Z117" s="1427">
        <f>IF((Z116/(LEN(Z6)-LEN(SUBSTITUTE(Z6,"*","")))-0.5)&lt;0,"",Z116/(LEN(Z6)-LEN(SUBSTITUTE(Z6,"*","")))-0.5)</f>
        <v>13.5</v>
      </c>
      <c r="AA117" s="1346"/>
      <c r="AB117" s="1346"/>
      <c r="AC117" s="1346"/>
      <c r="AH117" s="1345"/>
    </row>
    <row r="118" spans="1:56" x14ac:dyDescent="0.2">
      <c r="A118" s="1345"/>
      <c r="B118" s="1345"/>
      <c r="C118" s="1353"/>
      <c r="D118" s="1353"/>
      <c r="E118" s="1345"/>
      <c r="F118" s="1345"/>
      <c r="G118" s="1345"/>
      <c r="H118" s="1345"/>
      <c r="I118" s="1404"/>
      <c r="J118" s="1404"/>
      <c r="K118" s="1404"/>
      <c r="L118" s="1404"/>
      <c r="M118" s="1404"/>
      <c r="N118" s="1404"/>
      <c r="O118" s="1404"/>
      <c r="P118" s="1353"/>
      <c r="Q118" s="1353"/>
      <c r="R118" s="1353"/>
      <c r="T118" s="1353"/>
      <c r="U118" s="1410"/>
      <c r="V118" s="1353"/>
      <c r="W118" s="1353"/>
      <c r="X118" s="1353"/>
      <c r="Y118" s="1353"/>
      <c r="Z118" s="1353"/>
      <c r="AA118" s="1345"/>
      <c r="AB118" s="1345"/>
      <c r="AC118" s="1345"/>
      <c r="AD118" s="1345"/>
      <c r="AE118" s="1345"/>
      <c r="AF118" s="1345"/>
      <c r="AG118" s="1345"/>
      <c r="AH118" s="1345"/>
    </row>
    <row r="119" spans="1:56" x14ac:dyDescent="0.2">
      <c r="A119" s="1353"/>
      <c r="B119" s="1353"/>
      <c r="C119" s="1345"/>
      <c r="D119" s="1345"/>
      <c r="E119" s="1345"/>
      <c r="F119" s="1428" t="s">
        <v>473</v>
      </c>
      <c r="G119" s="1345"/>
      <c r="H119" s="1345"/>
      <c r="I119" s="1353"/>
      <c r="J119" s="1353"/>
      <c r="K119" s="1353"/>
      <c r="L119" s="1353"/>
      <c r="M119" s="1353"/>
      <c r="N119" s="1353"/>
      <c r="O119" s="1353"/>
      <c r="P119" s="1353"/>
      <c r="Q119" s="1353"/>
      <c r="R119" s="1353"/>
      <c r="T119" s="1353"/>
      <c r="U119" s="1353"/>
      <c r="V119" s="1353"/>
      <c r="W119" s="1353"/>
      <c r="X119" s="1353"/>
      <c r="Y119" s="1353"/>
      <c r="Z119" s="1353"/>
      <c r="AA119" s="1345"/>
      <c r="AB119" s="1345"/>
      <c r="AC119" s="1345"/>
      <c r="AD119" s="1345"/>
      <c r="AE119" s="1345"/>
      <c r="AF119" s="1345"/>
      <c r="AG119" s="1345"/>
      <c r="AH119" s="1345"/>
    </row>
    <row r="120" spans="1:56" x14ac:dyDescent="0.2">
      <c r="A120" s="1353"/>
      <c r="B120" s="1353"/>
      <c r="C120" s="1345"/>
      <c r="D120" s="1345"/>
      <c r="E120" s="1345"/>
      <c r="F120" s="1428" t="s">
        <v>474</v>
      </c>
      <c r="G120" s="1345"/>
      <c r="H120" s="1345"/>
      <c r="I120" s="1353"/>
      <c r="J120" s="1353"/>
      <c r="K120" s="1353"/>
      <c r="L120" s="1353"/>
      <c r="M120" s="1353"/>
      <c r="N120" s="1353"/>
      <c r="O120" s="1353"/>
      <c r="P120" s="1353"/>
      <c r="Q120" s="1353"/>
      <c r="R120" s="1353"/>
      <c r="T120" s="1353"/>
      <c r="U120" s="1353"/>
      <c r="V120" s="1353"/>
      <c r="W120" s="1353"/>
      <c r="X120" s="1353"/>
      <c r="Y120" s="1353"/>
      <c r="Z120" s="1353"/>
      <c r="AA120" s="1345"/>
      <c r="AB120" s="1345"/>
      <c r="AC120" s="1345"/>
      <c r="AD120" s="1345"/>
      <c r="AE120" s="1345"/>
      <c r="AF120" s="1345"/>
      <c r="AG120" s="1345"/>
      <c r="AH120" s="1345"/>
    </row>
    <row r="121" spans="1:56" x14ac:dyDescent="0.2">
      <c r="A121" s="1353"/>
      <c r="B121" s="1353"/>
      <c r="C121" s="1345"/>
      <c r="D121" s="1345"/>
      <c r="E121" s="1345"/>
      <c r="F121" s="1429" t="s">
        <v>166</v>
      </c>
      <c r="G121" s="1345"/>
      <c r="H121" s="1345"/>
      <c r="I121" s="1353"/>
      <c r="J121" s="1353"/>
      <c r="K121" s="1353"/>
      <c r="L121" s="1353"/>
      <c r="M121" s="1353"/>
      <c r="N121" s="1353"/>
      <c r="O121" s="1353"/>
      <c r="P121" s="1353"/>
      <c r="Q121" s="1353"/>
      <c r="R121" s="1353"/>
      <c r="T121" s="1353"/>
      <c r="U121" s="1353"/>
      <c r="V121" s="1353"/>
      <c r="W121" s="1353"/>
      <c r="X121" s="1353"/>
      <c r="Y121" s="1353"/>
      <c r="Z121" s="1353"/>
      <c r="AA121" s="1345"/>
      <c r="AB121" s="1345"/>
      <c r="AC121" s="1345"/>
      <c r="AD121" s="1345"/>
      <c r="AE121" s="1345"/>
      <c r="AF121" s="1345"/>
      <c r="AG121" s="1345"/>
      <c r="AH121" s="1345"/>
    </row>
    <row r="122" spans="1:56" x14ac:dyDescent="0.2">
      <c r="A122" s="1353"/>
      <c r="B122" s="1353"/>
      <c r="C122" s="1345"/>
      <c r="D122" s="1345"/>
      <c r="E122" s="1345"/>
      <c r="F122" s="1345"/>
      <c r="G122" s="1345"/>
      <c r="H122" s="1345"/>
      <c r="I122" s="1353"/>
      <c r="J122" s="1353"/>
      <c r="K122" s="1353"/>
      <c r="L122" s="1353"/>
      <c r="M122" s="1353"/>
      <c r="N122" s="1353"/>
      <c r="O122" s="1353"/>
      <c r="P122" s="1353"/>
      <c r="Q122" s="1353"/>
      <c r="R122" s="1353"/>
      <c r="T122" s="1353"/>
      <c r="U122" s="1353"/>
      <c r="V122" s="1353"/>
      <c r="W122" s="1353"/>
      <c r="X122" s="1353"/>
      <c r="Y122" s="1353"/>
      <c r="Z122" s="1353"/>
      <c r="AA122" s="1345"/>
      <c r="AB122" s="1345"/>
      <c r="AC122" s="1345"/>
      <c r="AD122" s="1345"/>
      <c r="AE122" s="1345"/>
      <c r="AF122" s="1345"/>
      <c r="AG122" s="1345"/>
      <c r="AH122" s="1345"/>
    </row>
    <row r="123" spans="1:56" x14ac:dyDescent="0.2">
      <c r="A123" s="1353"/>
      <c r="B123" s="1353"/>
      <c r="C123" s="1345"/>
      <c r="D123" s="1345"/>
      <c r="E123" s="1345"/>
      <c r="F123" s="1430" t="s">
        <v>469</v>
      </c>
      <c r="G123" s="1345"/>
      <c r="H123" s="1345"/>
      <c r="I123" s="1353"/>
      <c r="J123" s="1353"/>
      <c r="K123" s="1353"/>
      <c r="L123" s="1353"/>
      <c r="M123" s="1353"/>
      <c r="N123" s="1353"/>
      <c r="O123" s="1353"/>
      <c r="P123" s="1353"/>
      <c r="Q123" s="1353"/>
      <c r="R123" s="1353"/>
      <c r="T123" s="1353"/>
      <c r="U123" s="1353"/>
      <c r="V123" s="1353"/>
      <c r="W123" s="1353"/>
      <c r="X123" s="1353"/>
      <c r="Y123" s="1353"/>
      <c r="Z123" s="1353"/>
      <c r="AA123" s="1345"/>
      <c r="AB123" s="1345"/>
      <c r="AC123" s="1345"/>
      <c r="AD123" s="1345"/>
      <c r="AE123" s="1345"/>
      <c r="AF123" s="1345"/>
      <c r="AG123" s="1345"/>
      <c r="AH123" s="1345"/>
    </row>
    <row r="124" spans="1:56" x14ac:dyDescent="0.2">
      <c r="A124" s="1345"/>
      <c r="B124" s="1345"/>
      <c r="C124" s="1353"/>
      <c r="D124" s="1353"/>
      <c r="E124" s="1345"/>
      <c r="F124" s="581" t="s">
        <v>95</v>
      </c>
      <c r="G124" s="1345"/>
      <c r="H124" s="1345"/>
      <c r="I124" s="581" t="s">
        <v>86</v>
      </c>
      <c r="J124" s="1404"/>
      <c r="K124" s="1404"/>
      <c r="L124" s="1404"/>
      <c r="M124" s="1404"/>
      <c r="N124" s="1404"/>
      <c r="O124" s="1404"/>
      <c r="P124" s="1353"/>
      <c r="Q124" s="1353"/>
      <c r="R124" s="1353"/>
      <c r="T124" s="581" t="s">
        <v>155</v>
      </c>
      <c r="U124" s="1353"/>
      <c r="V124" s="1353"/>
      <c r="W124" s="1353"/>
      <c r="X124" s="1353"/>
      <c r="Z124" s="581" t="s">
        <v>112</v>
      </c>
      <c r="AB124" s="1345"/>
      <c r="AC124" s="1345"/>
      <c r="AD124" s="1345"/>
      <c r="AE124" s="1345"/>
      <c r="AF124" s="1345"/>
      <c r="AG124" s="1345"/>
    </row>
    <row r="125" spans="1:56" x14ac:dyDescent="0.2">
      <c r="A125" s="1345"/>
      <c r="B125" s="1345"/>
      <c r="C125" s="1353"/>
      <c r="D125" s="1353"/>
      <c r="E125" s="1345"/>
      <c r="F125" s="581" t="s">
        <v>111</v>
      </c>
      <c r="G125" s="1345"/>
      <c r="H125" s="1345"/>
      <c r="I125" s="581" t="s">
        <v>94</v>
      </c>
      <c r="J125" s="1404"/>
      <c r="K125" s="1404"/>
      <c r="L125" s="1404"/>
      <c r="M125" s="1404"/>
      <c r="N125" s="1404"/>
      <c r="O125" s="1404"/>
      <c r="P125" s="1353"/>
      <c r="Q125" s="1353"/>
      <c r="R125" s="1353"/>
      <c r="T125" s="581" t="s">
        <v>87</v>
      </c>
      <c r="U125" s="1353"/>
      <c r="V125" s="1353"/>
      <c r="W125" s="1353"/>
      <c r="X125" s="1353"/>
      <c r="Z125" s="581" t="s">
        <v>128</v>
      </c>
      <c r="AB125" s="1345"/>
      <c r="AC125" s="1345"/>
      <c r="AD125" s="1345"/>
      <c r="AE125" s="1345"/>
      <c r="AF125" s="1345"/>
      <c r="AG125" s="1345"/>
    </row>
    <row r="126" spans="1:56" x14ac:dyDescent="0.2">
      <c r="A126" s="1345"/>
      <c r="B126" s="1345"/>
      <c r="C126" s="1353"/>
      <c r="D126" s="1353"/>
      <c r="E126" s="1345"/>
      <c r="F126" s="581" t="s">
        <v>97</v>
      </c>
      <c r="G126" s="1345"/>
      <c r="H126" s="1345"/>
      <c r="I126" s="581" t="s">
        <v>9</v>
      </c>
      <c r="J126" s="1404"/>
      <c r="K126" s="1404"/>
      <c r="L126" s="1404"/>
      <c r="M126" s="1404"/>
      <c r="N126" s="1404"/>
      <c r="O126" s="1404"/>
      <c r="P126" s="1353"/>
      <c r="Q126" s="1353"/>
      <c r="R126" s="1353"/>
      <c r="T126" s="581" t="s">
        <v>123</v>
      </c>
      <c r="U126" s="1353"/>
      <c r="V126" s="1353"/>
      <c r="W126" s="1353"/>
      <c r="X126" s="1353"/>
      <c r="Z126" s="581" t="s">
        <v>100</v>
      </c>
      <c r="AB126" s="1345"/>
      <c r="AC126" s="1345"/>
      <c r="AD126" s="1345"/>
      <c r="AE126" s="1345"/>
      <c r="AF126" s="1345"/>
      <c r="AG126" s="1345"/>
    </row>
    <row r="127" spans="1:56" x14ac:dyDescent="0.2">
      <c r="A127" s="1345"/>
      <c r="B127" s="1345"/>
      <c r="C127" s="1353"/>
      <c r="D127" s="1353"/>
      <c r="E127" s="1345"/>
      <c r="F127" s="581" t="s">
        <v>92</v>
      </c>
      <c r="G127" s="1345"/>
      <c r="H127" s="1345"/>
      <c r="I127" s="581" t="s">
        <v>108</v>
      </c>
      <c r="J127" s="1404"/>
      <c r="K127" s="1404"/>
      <c r="L127" s="1404"/>
      <c r="M127" s="1404"/>
      <c r="N127" s="1404"/>
      <c r="O127" s="1404"/>
      <c r="P127" s="1353"/>
      <c r="Q127" s="1353"/>
      <c r="R127" s="1353"/>
      <c r="T127" s="581" t="s">
        <v>107</v>
      </c>
      <c r="U127" s="1353"/>
      <c r="V127" s="1353"/>
      <c r="W127" s="1353"/>
      <c r="X127" s="1353"/>
      <c r="Z127" s="581" t="s">
        <v>91</v>
      </c>
      <c r="AB127" s="1345"/>
      <c r="AC127" s="1345"/>
      <c r="AD127" s="1345"/>
      <c r="AE127" s="1345"/>
      <c r="AF127" s="1345"/>
      <c r="AG127" s="1345"/>
    </row>
    <row r="128" spans="1:56" x14ac:dyDescent="0.2">
      <c r="A128" s="1345"/>
      <c r="B128" s="1345"/>
      <c r="C128" s="1353"/>
      <c r="D128" s="1353"/>
      <c r="E128" s="1345"/>
      <c r="F128" s="581" t="s">
        <v>101</v>
      </c>
      <c r="G128" s="1345"/>
      <c r="H128" s="1345"/>
      <c r="I128" s="581" t="s">
        <v>110</v>
      </c>
      <c r="J128" s="1404"/>
      <c r="K128" s="1404"/>
      <c r="L128" s="1404"/>
      <c r="M128" s="1404"/>
      <c r="N128" s="1404"/>
      <c r="O128" s="1404"/>
      <c r="P128" s="1353"/>
      <c r="Q128" s="1353"/>
      <c r="R128" s="1353"/>
      <c r="T128" s="581" t="s">
        <v>471</v>
      </c>
      <c r="U128" s="1353"/>
      <c r="V128" s="1353"/>
      <c r="W128" s="1353"/>
      <c r="X128" s="1353"/>
      <c r="Z128" s="581" t="s">
        <v>125</v>
      </c>
      <c r="AB128" s="1345"/>
      <c r="AC128" s="1345"/>
      <c r="AD128" s="1345"/>
      <c r="AE128" s="1345"/>
      <c r="AF128" s="1345"/>
      <c r="AG128" s="1345"/>
    </row>
    <row r="129" spans="1:33" x14ac:dyDescent="0.2">
      <c r="A129" s="1345"/>
      <c r="B129" s="1345"/>
      <c r="C129" s="1353"/>
      <c r="D129" s="1353"/>
      <c r="E129" s="1345"/>
      <c r="F129" s="581" t="s">
        <v>96</v>
      </c>
      <c r="G129" s="1345"/>
      <c r="H129" s="1345"/>
      <c r="I129" s="581" t="s">
        <v>116</v>
      </c>
      <c r="J129" s="1404"/>
      <c r="K129" s="1404"/>
      <c r="L129" s="1404"/>
      <c r="M129" s="1404"/>
      <c r="N129" s="1404"/>
      <c r="O129" s="1404"/>
      <c r="P129" s="1353"/>
      <c r="Q129" s="1353"/>
      <c r="R129" s="1353"/>
      <c r="T129" s="581" t="s">
        <v>88</v>
      </c>
      <c r="U129" s="1353"/>
      <c r="V129" s="1353"/>
      <c r="W129" s="1353"/>
      <c r="X129" s="1353"/>
      <c r="Z129" s="581" t="s">
        <v>106</v>
      </c>
      <c r="AB129" s="1345"/>
      <c r="AC129" s="1345"/>
      <c r="AD129" s="1345"/>
      <c r="AE129" s="1345"/>
      <c r="AF129" s="1345"/>
      <c r="AG129" s="1345"/>
    </row>
    <row r="130" spans="1:33" x14ac:dyDescent="0.2">
      <c r="A130" s="1345"/>
      <c r="B130" s="1345"/>
      <c r="C130" s="1353"/>
      <c r="D130" s="1353"/>
      <c r="E130" s="1345"/>
      <c r="F130" s="581" t="s">
        <v>89</v>
      </c>
      <c r="G130" s="1345"/>
      <c r="H130" s="1345"/>
      <c r="I130" s="581" t="s">
        <v>90</v>
      </c>
      <c r="J130" s="1404"/>
      <c r="K130" s="1404"/>
      <c r="L130" s="1404"/>
      <c r="M130" s="1404"/>
      <c r="N130" s="1404"/>
      <c r="O130" s="1404"/>
      <c r="P130" s="1353"/>
      <c r="Q130" s="1353"/>
      <c r="R130" s="1353"/>
      <c r="T130" s="581" t="s">
        <v>85</v>
      </c>
      <c r="U130" s="1353"/>
      <c r="V130" s="1353"/>
      <c r="W130" s="1353"/>
      <c r="X130" s="1353"/>
      <c r="Z130" s="581" t="s">
        <v>135</v>
      </c>
      <c r="AB130" s="1345"/>
      <c r="AC130" s="1345"/>
      <c r="AD130" s="1345"/>
      <c r="AE130" s="1345"/>
      <c r="AF130" s="1345"/>
      <c r="AG130" s="1345"/>
    </row>
    <row r="131" spans="1:33" x14ac:dyDescent="0.2">
      <c r="A131" s="1345"/>
      <c r="B131" s="1345"/>
      <c r="C131" s="1353"/>
      <c r="D131" s="1353"/>
      <c r="E131" s="1345"/>
      <c r="F131" s="581" t="s">
        <v>109</v>
      </c>
      <c r="G131" s="1345"/>
      <c r="H131" s="1345"/>
      <c r="I131" s="581" t="s">
        <v>103</v>
      </c>
      <c r="J131" s="1404"/>
      <c r="K131" s="1404"/>
      <c r="L131" s="1404"/>
      <c r="M131" s="1404"/>
      <c r="N131" s="1404"/>
      <c r="O131" s="1404"/>
      <c r="P131" s="1353"/>
      <c r="Q131" s="1353"/>
      <c r="R131" s="1353"/>
      <c r="T131" s="581" t="s">
        <v>114</v>
      </c>
      <c r="U131" s="1353"/>
      <c r="V131" s="1353"/>
      <c r="W131" s="1353"/>
      <c r="X131" s="1353"/>
      <c r="Z131" s="581" t="s">
        <v>119</v>
      </c>
      <c r="AB131" s="1345"/>
      <c r="AC131" s="1345"/>
      <c r="AD131" s="1345"/>
      <c r="AE131" s="1345"/>
      <c r="AF131" s="1345"/>
      <c r="AG131" s="1345"/>
    </row>
    <row r="132" spans="1:33" x14ac:dyDescent="0.2">
      <c r="A132" s="1345"/>
      <c r="B132" s="1345"/>
      <c r="C132" s="1353"/>
      <c r="D132" s="1353"/>
      <c r="E132" s="1345"/>
      <c r="F132" s="581" t="s">
        <v>104</v>
      </c>
      <c r="G132" s="1345"/>
      <c r="H132" s="1345"/>
      <c r="I132" s="581" t="s">
        <v>117</v>
      </c>
      <c r="J132" s="1404"/>
      <c r="K132" s="1404"/>
      <c r="L132" s="1404"/>
      <c r="M132" s="1404"/>
      <c r="N132" s="1404"/>
      <c r="O132" s="1404"/>
      <c r="P132" s="1353"/>
      <c r="Q132" s="1353"/>
      <c r="R132" s="1353"/>
      <c r="T132" s="581" t="s">
        <v>139</v>
      </c>
      <c r="U132" s="1353"/>
      <c r="V132" s="1353"/>
      <c r="W132" s="1353"/>
      <c r="X132" s="1353"/>
      <c r="Z132" s="581" t="s">
        <v>102</v>
      </c>
      <c r="AB132" s="1345"/>
      <c r="AC132" s="1345"/>
      <c r="AD132" s="1345"/>
      <c r="AE132" s="1345"/>
      <c r="AF132" s="1345"/>
      <c r="AG132" s="1345"/>
    </row>
    <row r="133" spans="1:33" x14ac:dyDescent="0.2">
      <c r="A133" s="1345"/>
      <c r="B133" s="1345"/>
      <c r="C133" s="1353"/>
      <c r="D133" s="1353"/>
      <c r="E133" s="1345"/>
      <c r="F133" s="581" t="s">
        <v>12</v>
      </c>
      <c r="G133" s="1345"/>
      <c r="H133" s="1345"/>
      <c r="I133" s="581" t="s">
        <v>118</v>
      </c>
      <c r="J133" s="1404"/>
      <c r="K133" s="1404"/>
      <c r="L133" s="1404"/>
      <c r="M133" s="1404"/>
      <c r="N133" s="1404"/>
      <c r="O133" s="1404"/>
      <c r="P133" s="1353"/>
      <c r="Q133" s="1353"/>
      <c r="R133" s="1353"/>
      <c r="S133" s="1345"/>
      <c r="T133" s="581" t="s">
        <v>98</v>
      </c>
      <c r="U133" s="1353"/>
      <c r="V133" s="1353"/>
      <c r="W133" s="1353"/>
      <c r="X133" s="1353"/>
      <c r="Y133" s="1353"/>
      <c r="Z133" s="1345"/>
      <c r="AB133" s="1345"/>
      <c r="AC133" s="1345"/>
      <c r="AD133" s="1345"/>
      <c r="AE133" s="1345"/>
      <c r="AF133" s="1345"/>
      <c r="AG133" s="1345"/>
    </row>
    <row r="134" spans="1:33" x14ac:dyDescent="0.2">
      <c r="F134" s="581" t="s">
        <v>120</v>
      </c>
      <c r="I134" s="581" t="s">
        <v>93</v>
      </c>
      <c r="T134" s="581" t="s">
        <v>113</v>
      </c>
    </row>
  </sheetData>
  <autoFilter ref="AA7:AC7"/>
  <sortState ref="A8:BD115">
    <sortCondition descending="1" ref="O8:O115"/>
  </sortState>
  <mergeCells count="3">
    <mergeCell ref="AA5:AA6"/>
    <mergeCell ref="AB5:AB6"/>
    <mergeCell ref="AC5:AC6"/>
  </mergeCells>
  <conditionalFormatting sqref="P116:Z116">
    <cfRule type="top10" dxfId="2336" priority="554" stopIfTrue="1" rank="1"/>
  </conditionalFormatting>
  <conditionalFormatting sqref="AB8:AB115">
    <cfRule type="top10" dxfId="2335" priority="2379" stopIfTrue="1" rank="1"/>
  </conditionalFormatting>
  <conditionalFormatting sqref="AC8:AC115">
    <cfRule type="top10" dxfId="2334" priority="2381" stopIfTrue="1" rank="1"/>
  </conditionalFormatting>
  <conditionalFormatting sqref="AA8:AA115">
    <cfRule type="top10" dxfId="2333" priority="2383" stopIfTrue="1" rank="1"/>
  </conditionalFormatting>
  <conditionalFormatting sqref="E8:E115">
    <cfRule type="expression" dxfId="2332" priority="2385">
      <formula>I8=0</formula>
    </cfRule>
    <cfRule type="duplicateValues" dxfId="2331" priority="2386" stopIfTrue="1"/>
  </conditionalFormatting>
  <conditionalFormatting sqref="I8:I115">
    <cfRule type="duplicateValues" dxfId="2330" priority="2389" stopIfTrue="1"/>
  </conditionalFormatting>
  <conditionalFormatting sqref="A8:A115">
    <cfRule type="expression" dxfId="2329" priority="2392">
      <formula>I8=0</formula>
    </cfRule>
    <cfRule type="duplicateValues" dxfId="2328" priority="2393"/>
  </conditionalFormatting>
  <conditionalFormatting sqref="C8:C115">
    <cfRule type="expression" dxfId="2327" priority="2409">
      <formula>AND(C8=SMALL(C$8:C$115,1),COUNT(#REF!)&gt;0)</formula>
    </cfRule>
    <cfRule type="expression" dxfId="2326" priority="2410">
      <formula>I8=0</formula>
    </cfRule>
    <cfRule type="duplicateValues" dxfId="2325" priority="2411"/>
  </conditionalFormatting>
  <conditionalFormatting sqref="S8:S115 U8:U115">
    <cfRule type="expression" dxfId="2324" priority="2427" stopIfTrue="1">
      <formula>COUNTIF(S$8:S$117,"&gt;0")=0</formula>
    </cfRule>
    <cfRule type="expression" dxfId="2323" priority="2428">
      <formula>IF(S8="  ",FALSE,S8)+S$7/10000=$AG8</formula>
    </cfRule>
    <cfRule type="expression" dxfId="2322" priority="2429">
      <formula>IF(S8="  ",FALSE,S8)+S$7/10000=$AF8</formula>
    </cfRule>
    <cfRule type="expression" dxfId="2321" priority="2430">
      <formula>IF(S8="  ",FALSE,S8)+S$7/10000=$AE8</formula>
    </cfRule>
    <cfRule type="expression" dxfId="2320" priority="2431">
      <formula>IF(S8="  ",FALSE,S8)+S$7/10000=$AD8</formula>
    </cfRule>
    <cfRule type="cellIs" dxfId="2319" priority="2432" operator="equal">
      <formula>30</formula>
    </cfRule>
    <cfRule type="cellIs" dxfId="2318" priority="2433" operator="equal">
      <formula>34</formula>
    </cfRule>
    <cfRule type="cellIs" dxfId="2317" priority="2434" operator="equal">
      <formula>40</formula>
    </cfRule>
  </conditionalFormatting>
  <conditionalFormatting sqref="F8:F115">
    <cfRule type="expression" dxfId="2316" priority="2523">
      <formula>AND(I8=LARGE(I$8:I$115,3),COUNT(Z$8:Z$11)&gt;0)</formula>
    </cfRule>
    <cfRule type="expression" dxfId="2315" priority="2524">
      <formula>AND(I8=LARGE(I$8:I$115,2),COUNT(Z$8:Z$115)&gt;0)</formula>
    </cfRule>
    <cfRule type="expression" dxfId="2314" priority="2525">
      <formula>AND(I8=LARGE(I$8:I$115,1),COUNT(Z$8:Z$115)&gt;0)</formula>
    </cfRule>
  </conditionalFormatting>
  <conditionalFormatting sqref="P8:Z115">
    <cfRule type="expression" dxfId="2313" priority="2541" stopIfTrue="1">
      <formula>COUNTIF(P$8:P$119,"&gt;0")=0</formula>
    </cfRule>
    <cfRule type="expression" dxfId="2312" priority="2542">
      <formula>MID(P$7,FIND("R",P$7)+1,256)/10000+IF(P8="  ",FALSE,P8)&lt;=$AS8</formula>
    </cfRule>
    <cfRule type="cellIs" dxfId="2311" priority="2543" operator="equal">
      <formula>30</formula>
    </cfRule>
    <cfRule type="cellIs" dxfId="2310" priority="2544" operator="equal">
      <formula>34</formula>
    </cfRule>
    <cfRule type="cellIs" dxfId="2309" priority="2545" operator="equal">
      <formula>40</formula>
    </cfRule>
  </conditionalFormatting>
  <conditionalFormatting sqref="F8:F78 F80:F115">
    <cfRule type="expression" dxfId="2308" priority="2571">
      <formula>IF(COUNTIF($F$124:$Z$134,"="&amp;F8),FALSE,TRUE)</formula>
    </cfRule>
    <cfRule type="expression" dxfId="2307" priority="2572">
      <formula>H8="j"</formula>
    </cfRule>
    <cfRule type="expression" dxfId="2306" priority="2573">
      <formula>G8="n"</formula>
    </cfRule>
    <cfRule type="duplicateValues" dxfId="2305" priority="2574" stopIfTrue="1"/>
  </conditionalFormatting>
  <conditionalFormatting sqref="A8:A115 C8:C115">
    <cfRule type="expression" dxfId="2304" priority="1">
      <formula>AND(A8=SMALL(A$8:A$115,1),COUNT($Z$8:$Z$115)&gt;0)</formula>
    </cfRule>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AF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3" width="4.7109375" style="581" customWidth="1"/>
    <col min="4" max="4" width="1.140625" style="581" customWidth="1"/>
    <col min="5" max="5" width="2.7109375" style="581" customWidth="1"/>
    <col min="6" max="6" width="6.28515625" style="581" customWidth="1"/>
    <col min="7" max="7" width="2.7109375" style="581" customWidth="1"/>
    <col min="8" max="8" width="1.140625" style="581" customWidth="1"/>
    <col min="9" max="9" width="2.7109375" style="581" customWidth="1"/>
    <col min="10" max="10" width="6.28515625" style="581" customWidth="1"/>
    <col min="11" max="11" width="2.7109375" style="581" customWidth="1"/>
    <col min="12" max="12" width="1.140625" style="581" customWidth="1"/>
    <col min="13" max="13" width="2.7109375" style="581" customWidth="1"/>
    <col min="14" max="14" width="6.28515625" style="581" customWidth="1"/>
    <col min="15" max="15" width="2.7109375" style="581" customWidth="1"/>
    <col min="16" max="16" width="1.140625" style="581" customWidth="1"/>
    <col min="17" max="17" width="2.7109375" style="581" customWidth="1"/>
    <col min="18" max="18" width="6.28515625" style="581" customWidth="1"/>
    <col min="19" max="19" width="2.7109375" style="581" hidden="1" customWidth="1"/>
    <col min="20" max="20" width="1.140625" style="581" hidden="1" customWidth="1"/>
    <col min="21" max="21" width="2.7109375" style="581" hidden="1" customWidth="1"/>
    <col min="22" max="22" width="6.28515625" style="581" hidden="1" customWidth="1"/>
    <col min="23" max="23" width="5.7109375" style="581" customWidth="1"/>
    <col min="24" max="24" width="5.5703125" style="581" hidden="1" customWidth="1"/>
    <col min="25" max="25" width="2.7109375" style="581" hidden="1" customWidth="1"/>
    <col min="26" max="26" width="1.140625" style="581" hidden="1" customWidth="1"/>
    <col min="27" max="27" width="2.7109375" style="581" hidden="1" customWidth="1"/>
    <col min="28" max="28" width="4.7109375" style="581" hidden="1" customWidth="1"/>
    <col min="29" max="29" width="9.140625" style="581"/>
    <col min="30" max="30" width="9.140625" style="581" hidden="1" customWidth="1"/>
    <col min="31" max="31" width="21" style="581" hidden="1" customWidth="1"/>
    <col min="32" max="32" width="9.140625" style="581" hidden="1" customWidth="1"/>
    <col min="33" max="16384" width="9.140625" style="581"/>
  </cols>
  <sheetData>
    <row r="1" spans="1:32" x14ac:dyDescent="0.2">
      <c r="A1" s="572" t="str">
        <f>UPPER((Kalend!E30)&amp;" - "&amp;(Kalend!C30)&amp;" - "&amp;(Kalend!D30))</f>
        <v>M3 - MAIDU KARIKAS, 3. ETAPP - ÜKSIK</v>
      </c>
      <c r="B1" s="573"/>
      <c r="C1" s="574"/>
      <c r="D1" s="573"/>
      <c r="E1" s="573"/>
      <c r="F1" s="575"/>
      <c r="G1" s="575"/>
      <c r="H1" s="575"/>
      <c r="I1" s="575"/>
      <c r="J1" s="576"/>
      <c r="K1" s="577"/>
      <c r="L1" s="578"/>
      <c r="M1" s="579"/>
      <c r="N1" s="579"/>
      <c r="O1" s="573"/>
      <c r="P1" s="573"/>
      <c r="Q1" s="577"/>
      <c r="R1" s="577"/>
      <c r="S1" s="577"/>
      <c r="T1" s="578"/>
      <c r="U1" s="578"/>
      <c r="V1" s="578"/>
      <c r="W1" s="573"/>
      <c r="X1" s="580"/>
      <c r="Y1" s="573"/>
      <c r="Z1" s="573"/>
      <c r="AA1" s="573"/>
      <c r="AB1" s="573"/>
      <c r="AD1" s="582" t="s">
        <v>53</v>
      </c>
      <c r="AE1" s="580"/>
      <c r="AF1" s="580"/>
    </row>
    <row r="2" spans="1:32" x14ac:dyDescent="0.2">
      <c r="A2" s="583" t="str">
        <f>"Toimumisaeg: "&amp;(Kalend!A30)&amp;" kell "&amp;(Kalend!B30)</f>
        <v>Toimumisaeg: L, 27.08.2022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84"/>
      <c r="AB2" s="573"/>
      <c r="AD2" s="573"/>
      <c r="AE2" s="573"/>
      <c r="AF2" s="573"/>
    </row>
    <row r="3" spans="1:32" x14ac:dyDescent="0.2">
      <c r="A3" s="583" t="str">
        <f>"Toimumiskoht: "&amp;(Kalend!F30)</f>
        <v>Toimumiskoht: K-Järve spordihoone</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row>
    <row r="4" spans="1:32" x14ac:dyDescent="0.2">
      <c r="A4" s="583" t="str">
        <f>"Korraldaja: "&amp;(Kalend!G30)</f>
        <v>Korraldaja: Ivar Viljaste</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591" t="s">
        <v>273</v>
      </c>
      <c r="AF4" s="583"/>
    </row>
    <row r="5" spans="1:32"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94" t="s">
        <v>310</v>
      </c>
      <c r="AE5" s="595" t="s">
        <v>77</v>
      </c>
      <c r="AF5" s="596"/>
    </row>
    <row r="6" spans="1:32" hidden="1"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94" t="s">
        <v>275</v>
      </c>
      <c r="AF6" s="595"/>
    </row>
    <row r="7" spans="1:32" hidden="1"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01"/>
      <c r="Z7" s="602" t="s">
        <v>286</v>
      </c>
      <c r="AA7" s="603"/>
      <c r="AB7" s="639" t="s">
        <v>344</v>
      </c>
      <c r="AD7" s="605"/>
      <c r="AE7" s="596"/>
      <c r="AF7" s="596"/>
    </row>
    <row r="8" spans="1:32" hidden="1" x14ac:dyDescent="0.2">
      <c r="A8" s="634">
        <v>1</v>
      </c>
      <c r="B8" s="635" t="s">
        <v>119</v>
      </c>
      <c r="C8" s="613"/>
      <c r="D8" s="614" t="s">
        <v>288</v>
      </c>
      <c r="E8" s="614"/>
      <c r="F8" s="636"/>
      <c r="G8" s="613"/>
      <c r="H8" s="614" t="s">
        <v>288</v>
      </c>
      <c r="I8" s="614"/>
      <c r="J8" s="636"/>
      <c r="K8" s="613"/>
      <c r="L8" s="614" t="s">
        <v>288</v>
      </c>
      <c r="M8" s="614"/>
      <c r="N8" s="636"/>
      <c r="O8" s="613"/>
      <c r="P8" s="614" t="s">
        <v>288</v>
      </c>
      <c r="Q8" s="614"/>
      <c r="R8" s="636"/>
      <c r="S8" s="613"/>
      <c r="T8" s="614" t="s">
        <v>288</v>
      </c>
      <c r="U8" s="614"/>
      <c r="V8" s="636"/>
      <c r="W8" s="637"/>
      <c r="X8" s="612"/>
      <c r="Y8" s="613">
        <f>C8+G8+K8+O8+S8</f>
        <v>0</v>
      </c>
      <c r="Z8" s="614" t="s">
        <v>288</v>
      </c>
      <c r="AA8" s="615">
        <f>E8+I8+M8+Q8+U8</f>
        <v>0</v>
      </c>
      <c r="AB8" s="616"/>
      <c r="AC8" s="617"/>
      <c r="AD8" s="618">
        <f t="shared" ref="AD8:AD21" si="0">SUM(AF8:AF8)</f>
        <v>102</v>
      </c>
      <c r="AE8" s="619" t="str">
        <f>$B8</f>
        <v>Viktor Švarõgin</v>
      </c>
      <c r="AF8" s="620">
        <f>IFERROR(INDEX(M!$E:$E,MATCH(AE8,M!$B:$B,0)),"")</f>
        <v>102</v>
      </c>
    </row>
    <row r="9" spans="1:32" hidden="1" x14ac:dyDescent="0.2">
      <c r="A9" s="634">
        <v>2</v>
      </c>
      <c r="B9" s="635" t="s">
        <v>666</v>
      </c>
      <c r="C9" s="613"/>
      <c r="D9" s="614" t="s">
        <v>288</v>
      </c>
      <c r="E9" s="614"/>
      <c r="F9" s="636"/>
      <c r="G9" s="613"/>
      <c r="H9" s="614" t="s">
        <v>288</v>
      </c>
      <c r="I9" s="614"/>
      <c r="J9" s="636"/>
      <c r="K9" s="613"/>
      <c r="L9" s="614" t="s">
        <v>288</v>
      </c>
      <c r="M9" s="614"/>
      <c r="N9" s="636"/>
      <c r="O9" s="613"/>
      <c r="P9" s="614" t="s">
        <v>288</v>
      </c>
      <c r="Q9" s="614"/>
      <c r="R9" s="636"/>
      <c r="S9" s="613"/>
      <c r="T9" s="614" t="s">
        <v>288</v>
      </c>
      <c r="U9" s="614"/>
      <c r="V9" s="636"/>
      <c r="W9" s="637"/>
      <c r="X9" s="612"/>
      <c r="Y9" s="613">
        <f t="shared" ref="Y9:Y21" si="1">C9+G9+K9+O9+S9</f>
        <v>0</v>
      </c>
      <c r="Z9" s="614" t="s">
        <v>288</v>
      </c>
      <c r="AA9" s="615">
        <f t="shared" ref="AA9:AA21" si="2">E9+I9+M9+Q9+U9</f>
        <v>0</v>
      </c>
      <c r="AB9" s="616"/>
      <c r="AC9" s="617"/>
      <c r="AD9" s="618">
        <f t="shared" si="0"/>
        <v>34</v>
      </c>
      <c r="AE9" s="619" t="str">
        <f t="shared" ref="AE9:AE21" si="3">$B9</f>
        <v xml:space="preserve">Kenneth Muusikus </v>
      </c>
      <c r="AF9" s="620">
        <f>IFERROR(INDEX(M!$E:$E,MATCH(AE9,M!$B:$B,0)),"")</f>
        <v>34</v>
      </c>
    </row>
    <row r="10" spans="1:32" hidden="1" x14ac:dyDescent="0.2">
      <c r="A10" s="634">
        <v>3</v>
      </c>
      <c r="B10" s="635" t="s">
        <v>12</v>
      </c>
      <c r="C10" s="613"/>
      <c r="D10" s="614" t="s">
        <v>288</v>
      </c>
      <c r="E10" s="614"/>
      <c r="F10" s="636"/>
      <c r="G10" s="613"/>
      <c r="H10" s="614" t="s">
        <v>288</v>
      </c>
      <c r="I10" s="614"/>
      <c r="J10" s="636"/>
      <c r="K10" s="613"/>
      <c r="L10" s="614" t="s">
        <v>288</v>
      </c>
      <c r="M10" s="614"/>
      <c r="N10" s="636"/>
      <c r="O10" s="613"/>
      <c r="P10" s="614" t="s">
        <v>288</v>
      </c>
      <c r="Q10" s="614"/>
      <c r="R10" s="636"/>
      <c r="S10" s="613"/>
      <c r="T10" s="614" t="s">
        <v>288</v>
      </c>
      <c r="U10" s="614"/>
      <c r="V10" s="636"/>
      <c r="W10" s="637"/>
      <c r="X10" s="612"/>
      <c r="Y10" s="613">
        <f t="shared" si="1"/>
        <v>0</v>
      </c>
      <c r="Z10" s="614" t="s">
        <v>288</v>
      </c>
      <c r="AA10" s="615">
        <f t="shared" si="2"/>
        <v>0</v>
      </c>
      <c r="AB10" s="616"/>
      <c r="AC10" s="617"/>
      <c r="AD10" s="618">
        <f t="shared" si="0"/>
        <v>126</v>
      </c>
      <c r="AE10" s="619" t="str">
        <f t="shared" si="3"/>
        <v>Ivar Viljaste</v>
      </c>
      <c r="AF10" s="620">
        <f>IFERROR(INDEX(M!$E:$E,MATCH(AE10,M!$B:$B,0)),"")</f>
        <v>126</v>
      </c>
    </row>
    <row r="11" spans="1:32" hidden="1" x14ac:dyDescent="0.2">
      <c r="A11" s="634">
        <v>4</v>
      </c>
      <c r="B11" s="635" t="s">
        <v>667</v>
      </c>
      <c r="C11" s="613"/>
      <c r="D11" s="614" t="s">
        <v>288</v>
      </c>
      <c r="E11" s="614"/>
      <c r="F11" s="636"/>
      <c r="G11" s="613"/>
      <c r="H11" s="614" t="s">
        <v>288</v>
      </c>
      <c r="I11" s="614"/>
      <c r="J11" s="636"/>
      <c r="K11" s="613"/>
      <c r="L11" s="614" t="s">
        <v>288</v>
      </c>
      <c r="M11" s="614"/>
      <c r="N11" s="636"/>
      <c r="O11" s="613"/>
      <c r="P11" s="614" t="s">
        <v>288</v>
      </c>
      <c r="Q11" s="614"/>
      <c r="R11" s="636"/>
      <c r="S11" s="613"/>
      <c r="T11" s="614" t="s">
        <v>288</v>
      </c>
      <c r="U11" s="614"/>
      <c r="V11" s="636"/>
      <c r="W11" s="637"/>
      <c r="X11" s="612"/>
      <c r="Y11" s="613">
        <f t="shared" si="1"/>
        <v>0</v>
      </c>
      <c r="Z11" s="614" t="s">
        <v>288</v>
      </c>
      <c r="AA11" s="615">
        <f t="shared" si="2"/>
        <v>0</v>
      </c>
      <c r="AB11" s="616"/>
      <c r="AC11" s="617"/>
      <c r="AD11" s="618">
        <f t="shared" si="0"/>
        <v>26</v>
      </c>
      <c r="AE11" s="619" t="str">
        <f t="shared" si="3"/>
        <v xml:space="preserve">Vello Vasser </v>
      </c>
      <c r="AF11" s="620">
        <f>IFERROR(INDEX(M!$E:$E,MATCH(AE11,M!$B:$B,0)),"")</f>
        <v>26</v>
      </c>
    </row>
    <row r="12" spans="1:32" hidden="1" x14ac:dyDescent="0.2">
      <c r="A12" s="634">
        <v>5</v>
      </c>
      <c r="B12" s="635" t="s">
        <v>107</v>
      </c>
      <c r="C12" s="613"/>
      <c r="D12" s="614" t="s">
        <v>288</v>
      </c>
      <c r="E12" s="614"/>
      <c r="F12" s="636"/>
      <c r="G12" s="613"/>
      <c r="H12" s="614" t="s">
        <v>288</v>
      </c>
      <c r="I12" s="614"/>
      <c r="J12" s="636"/>
      <c r="K12" s="613"/>
      <c r="L12" s="614" t="s">
        <v>288</v>
      </c>
      <c r="M12" s="614"/>
      <c r="N12" s="636"/>
      <c r="O12" s="613"/>
      <c r="P12" s="614" t="s">
        <v>288</v>
      </c>
      <c r="Q12" s="614"/>
      <c r="R12" s="636"/>
      <c r="S12" s="613"/>
      <c r="T12" s="614" t="s">
        <v>288</v>
      </c>
      <c r="U12" s="614"/>
      <c r="V12" s="636"/>
      <c r="W12" s="637"/>
      <c r="X12" s="612"/>
      <c r="Y12" s="613">
        <f t="shared" si="1"/>
        <v>0</v>
      </c>
      <c r="Z12" s="614" t="s">
        <v>288</v>
      </c>
      <c r="AA12" s="615">
        <f t="shared" si="2"/>
        <v>0</v>
      </c>
      <c r="AB12" s="616"/>
      <c r="AC12" s="617"/>
      <c r="AD12" s="618">
        <f t="shared" si="0"/>
        <v>24</v>
      </c>
      <c r="AE12" s="619" t="str">
        <f t="shared" si="3"/>
        <v>Oksana Rõndenkova</v>
      </c>
      <c r="AF12" s="620">
        <f>IFERROR(INDEX(M!$E:$E,MATCH(AE12,M!$B:$B,0)),"")</f>
        <v>24</v>
      </c>
    </row>
    <row r="13" spans="1:32" hidden="1" x14ac:dyDescent="0.2">
      <c r="A13" s="634">
        <v>6</v>
      </c>
      <c r="B13" s="635" t="s">
        <v>668</v>
      </c>
      <c r="C13" s="613"/>
      <c r="D13" s="614" t="s">
        <v>288</v>
      </c>
      <c r="E13" s="614"/>
      <c r="F13" s="636"/>
      <c r="G13" s="613"/>
      <c r="H13" s="614" t="s">
        <v>288</v>
      </c>
      <c r="I13" s="614"/>
      <c r="J13" s="636"/>
      <c r="K13" s="613"/>
      <c r="L13" s="614" t="s">
        <v>288</v>
      </c>
      <c r="M13" s="614"/>
      <c r="N13" s="636"/>
      <c r="O13" s="613"/>
      <c r="P13" s="614" t="s">
        <v>288</v>
      </c>
      <c r="Q13" s="614"/>
      <c r="R13" s="636"/>
      <c r="S13" s="613"/>
      <c r="T13" s="614" t="s">
        <v>288</v>
      </c>
      <c r="U13" s="614"/>
      <c r="V13" s="636"/>
      <c r="W13" s="637"/>
      <c r="X13" s="612"/>
      <c r="Y13" s="613">
        <f t="shared" si="1"/>
        <v>0</v>
      </c>
      <c r="Z13" s="614" t="s">
        <v>288</v>
      </c>
      <c r="AA13" s="615">
        <f t="shared" si="2"/>
        <v>0</v>
      </c>
      <c r="AB13" s="616"/>
      <c r="AC13" s="617"/>
      <c r="AD13" s="618">
        <f t="shared" si="0"/>
        <v>22</v>
      </c>
      <c r="AE13" s="619" t="str">
        <f t="shared" si="3"/>
        <v xml:space="preserve">Andres Veski </v>
      </c>
      <c r="AF13" s="620">
        <f>IFERROR(INDEX(M!$E:$E,MATCH(AE13,M!$B:$B,0)),"")</f>
        <v>22</v>
      </c>
    </row>
    <row r="14" spans="1:32" hidden="1" x14ac:dyDescent="0.2">
      <c r="A14" s="634">
        <v>7</v>
      </c>
      <c r="B14" s="638" t="s">
        <v>95</v>
      </c>
      <c r="C14" s="613"/>
      <c r="D14" s="614" t="s">
        <v>288</v>
      </c>
      <c r="E14" s="614"/>
      <c r="F14" s="636"/>
      <c r="G14" s="613"/>
      <c r="H14" s="614" t="s">
        <v>288</v>
      </c>
      <c r="I14" s="614"/>
      <c r="J14" s="636"/>
      <c r="K14" s="613"/>
      <c r="L14" s="614" t="s">
        <v>288</v>
      </c>
      <c r="M14" s="614"/>
      <c r="N14" s="636"/>
      <c r="O14" s="613"/>
      <c r="P14" s="614" t="s">
        <v>288</v>
      </c>
      <c r="Q14" s="614"/>
      <c r="R14" s="636"/>
      <c r="S14" s="613"/>
      <c r="T14" s="614" t="s">
        <v>288</v>
      </c>
      <c r="U14" s="614"/>
      <c r="V14" s="636"/>
      <c r="W14" s="637"/>
      <c r="X14" s="612"/>
      <c r="Y14" s="613">
        <f t="shared" si="1"/>
        <v>0</v>
      </c>
      <c r="Z14" s="614" t="s">
        <v>288</v>
      </c>
      <c r="AA14" s="615">
        <f t="shared" si="2"/>
        <v>0</v>
      </c>
      <c r="AB14" s="616"/>
      <c r="AC14" s="617"/>
      <c r="AD14" s="618">
        <f t="shared" si="0"/>
        <v>108</v>
      </c>
      <c r="AE14" s="619" t="str">
        <f t="shared" si="3"/>
        <v>Aarne Välja</v>
      </c>
      <c r="AF14" s="620">
        <f>IFERROR(INDEX(M!$E:$E,MATCH(AE14,M!$B:$B,0)),"")</f>
        <v>108</v>
      </c>
    </row>
    <row r="15" spans="1:32" hidden="1" x14ac:dyDescent="0.2">
      <c r="A15" s="634">
        <v>8</v>
      </c>
      <c r="B15" s="638" t="s">
        <v>669</v>
      </c>
      <c r="C15" s="613"/>
      <c r="D15" s="614" t="s">
        <v>288</v>
      </c>
      <c r="E15" s="614"/>
      <c r="F15" s="636"/>
      <c r="G15" s="613"/>
      <c r="H15" s="614" t="s">
        <v>288</v>
      </c>
      <c r="I15" s="614"/>
      <c r="J15" s="636"/>
      <c r="K15" s="613"/>
      <c r="L15" s="614" t="s">
        <v>288</v>
      </c>
      <c r="M15" s="614"/>
      <c r="N15" s="636"/>
      <c r="O15" s="613"/>
      <c r="P15" s="614" t="s">
        <v>288</v>
      </c>
      <c r="Q15" s="614"/>
      <c r="R15" s="636"/>
      <c r="S15" s="613"/>
      <c r="T15" s="614" t="s">
        <v>288</v>
      </c>
      <c r="U15" s="614"/>
      <c r="V15" s="636"/>
      <c r="W15" s="637"/>
      <c r="X15" s="612"/>
      <c r="Y15" s="613">
        <f t="shared" si="1"/>
        <v>0</v>
      </c>
      <c r="Z15" s="614" t="s">
        <v>288</v>
      </c>
      <c r="AA15" s="615">
        <f t="shared" si="2"/>
        <v>0</v>
      </c>
      <c r="AB15" s="616"/>
      <c r="AC15" s="617"/>
      <c r="AD15" s="618">
        <f t="shared" si="0"/>
        <v>18</v>
      </c>
      <c r="AE15" s="619" t="str">
        <f t="shared" si="3"/>
        <v xml:space="preserve">Ljudmila Varendi </v>
      </c>
      <c r="AF15" s="620">
        <f>IFERROR(INDEX(M!$E:$E,MATCH(AE15,M!$B:$B,0)),"")</f>
        <v>18</v>
      </c>
    </row>
    <row r="16" spans="1:32" hidden="1" x14ac:dyDescent="0.2">
      <c r="A16" s="634">
        <v>9</v>
      </c>
      <c r="B16" s="635" t="s">
        <v>670</v>
      </c>
      <c r="C16" s="613"/>
      <c r="D16" s="614" t="s">
        <v>288</v>
      </c>
      <c r="E16" s="614"/>
      <c r="F16" s="636"/>
      <c r="G16" s="613"/>
      <c r="H16" s="614" t="s">
        <v>288</v>
      </c>
      <c r="I16" s="614"/>
      <c r="J16" s="636"/>
      <c r="K16" s="613"/>
      <c r="L16" s="614" t="s">
        <v>288</v>
      </c>
      <c r="M16" s="614"/>
      <c r="N16" s="636"/>
      <c r="O16" s="613"/>
      <c r="P16" s="614" t="s">
        <v>288</v>
      </c>
      <c r="Q16" s="614"/>
      <c r="R16" s="636"/>
      <c r="S16" s="613"/>
      <c r="T16" s="614" t="s">
        <v>288</v>
      </c>
      <c r="U16" s="614"/>
      <c r="V16" s="636"/>
      <c r="W16" s="637"/>
      <c r="X16" s="612"/>
      <c r="Y16" s="613">
        <f t="shared" si="1"/>
        <v>0</v>
      </c>
      <c r="Z16" s="614" t="s">
        <v>288</v>
      </c>
      <c r="AA16" s="615">
        <f t="shared" si="2"/>
        <v>0</v>
      </c>
      <c r="AB16" s="616"/>
      <c r="AC16" s="617"/>
      <c r="AD16" s="618">
        <f t="shared" si="0"/>
        <v>16</v>
      </c>
      <c r="AE16" s="619" t="str">
        <f t="shared" si="3"/>
        <v xml:space="preserve">Vladimir Ogneštšikov </v>
      </c>
      <c r="AF16" s="620">
        <f>IFERROR(INDEX(M!$E:$E,MATCH(AE16,M!$B:$B,0)),"")</f>
        <v>16</v>
      </c>
    </row>
    <row r="17" spans="1:32" hidden="1" x14ac:dyDescent="0.2">
      <c r="A17" s="634">
        <v>10</v>
      </c>
      <c r="B17" s="635" t="s">
        <v>671</v>
      </c>
      <c r="C17" s="613"/>
      <c r="D17" s="614" t="s">
        <v>288</v>
      </c>
      <c r="E17" s="614"/>
      <c r="F17" s="636"/>
      <c r="G17" s="613"/>
      <c r="H17" s="614" t="s">
        <v>288</v>
      </c>
      <c r="I17" s="614"/>
      <c r="J17" s="636"/>
      <c r="K17" s="613"/>
      <c r="L17" s="614" t="s">
        <v>288</v>
      </c>
      <c r="M17" s="614"/>
      <c r="N17" s="636"/>
      <c r="O17" s="613"/>
      <c r="P17" s="614" t="s">
        <v>288</v>
      </c>
      <c r="Q17" s="614"/>
      <c r="R17" s="636"/>
      <c r="S17" s="613"/>
      <c r="T17" s="614" t="s">
        <v>288</v>
      </c>
      <c r="U17" s="614"/>
      <c r="V17" s="636"/>
      <c r="W17" s="637"/>
      <c r="X17" s="612"/>
      <c r="Y17" s="613">
        <f t="shared" si="1"/>
        <v>0</v>
      </c>
      <c r="Z17" s="614" t="s">
        <v>288</v>
      </c>
      <c r="AA17" s="615">
        <f t="shared" si="2"/>
        <v>0</v>
      </c>
      <c r="AB17" s="616"/>
      <c r="AC17" s="617"/>
      <c r="AD17" s="618">
        <f t="shared" si="0"/>
        <v>14</v>
      </c>
      <c r="AE17" s="619" t="str">
        <f t="shared" si="3"/>
        <v xml:space="preserve">Sirje Maala </v>
      </c>
      <c r="AF17" s="620">
        <f>IFERROR(INDEX(M!$E:$E,MATCH(AE17,M!$B:$B,0)),"")</f>
        <v>14</v>
      </c>
    </row>
    <row r="18" spans="1:32" hidden="1" x14ac:dyDescent="0.2">
      <c r="A18" s="634">
        <v>11</v>
      </c>
      <c r="B18" s="635" t="s">
        <v>88</v>
      </c>
      <c r="C18" s="613"/>
      <c r="D18" s="614" t="s">
        <v>288</v>
      </c>
      <c r="E18" s="614"/>
      <c r="F18" s="636"/>
      <c r="G18" s="613"/>
      <c r="H18" s="614" t="s">
        <v>288</v>
      </c>
      <c r="I18" s="614"/>
      <c r="J18" s="636"/>
      <c r="K18" s="613"/>
      <c r="L18" s="614" t="s">
        <v>288</v>
      </c>
      <c r="M18" s="614"/>
      <c r="N18" s="636"/>
      <c r="O18" s="613"/>
      <c r="P18" s="614" t="s">
        <v>288</v>
      </c>
      <c r="Q18" s="614"/>
      <c r="R18" s="636"/>
      <c r="S18" s="613"/>
      <c r="T18" s="614" t="s">
        <v>288</v>
      </c>
      <c r="U18" s="614"/>
      <c r="V18" s="636"/>
      <c r="W18" s="637"/>
      <c r="X18" s="612"/>
      <c r="Y18" s="613">
        <f t="shared" si="1"/>
        <v>0</v>
      </c>
      <c r="Z18" s="614" t="s">
        <v>288</v>
      </c>
      <c r="AA18" s="615">
        <f t="shared" si="2"/>
        <v>0</v>
      </c>
      <c r="AB18" s="616"/>
      <c r="AC18" s="617"/>
      <c r="AD18" s="618">
        <f t="shared" si="0"/>
        <v>52</v>
      </c>
      <c r="AE18" s="619" t="str">
        <f t="shared" si="3"/>
        <v>Oleg Rõndenkov</v>
      </c>
      <c r="AF18" s="620">
        <f>IFERROR(INDEX(M!$E:$E,MATCH(AE18,M!$B:$B,0)),"")</f>
        <v>52</v>
      </c>
    </row>
    <row r="19" spans="1:32" hidden="1" x14ac:dyDescent="0.2">
      <c r="A19" s="634">
        <v>12</v>
      </c>
      <c r="B19" s="635" t="s">
        <v>672</v>
      </c>
      <c r="C19" s="613"/>
      <c r="D19" s="614" t="s">
        <v>288</v>
      </c>
      <c r="E19" s="614"/>
      <c r="F19" s="636"/>
      <c r="G19" s="613"/>
      <c r="H19" s="614" t="s">
        <v>288</v>
      </c>
      <c r="I19" s="614"/>
      <c r="J19" s="636"/>
      <c r="K19" s="613"/>
      <c r="L19" s="614" t="s">
        <v>288</v>
      </c>
      <c r="M19" s="614"/>
      <c r="N19" s="636"/>
      <c r="O19" s="613"/>
      <c r="P19" s="614" t="s">
        <v>288</v>
      </c>
      <c r="Q19" s="614"/>
      <c r="R19" s="636"/>
      <c r="S19" s="613"/>
      <c r="T19" s="614" t="s">
        <v>288</v>
      </c>
      <c r="U19" s="614"/>
      <c r="V19" s="636"/>
      <c r="W19" s="637"/>
      <c r="X19" s="612"/>
      <c r="Y19" s="613">
        <f t="shared" si="1"/>
        <v>0</v>
      </c>
      <c r="Z19" s="614" t="s">
        <v>288</v>
      </c>
      <c r="AA19" s="615">
        <f t="shared" si="2"/>
        <v>0</v>
      </c>
      <c r="AB19" s="616"/>
      <c r="AC19" s="573"/>
      <c r="AD19" s="618">
        <f t="shared" si="0"/>
        <v>10</v>
      </c>
      <c r="AE19" s="619" t="str">
        <f t="shared" si="3"/>
        <v xml:space="preserve">Janek Tarto </v>
      </c>
      <c r="AF19" s="620">
        <f>IFERROR(INDEX(M!$E:$E,MATCH(AE19,M!$B:$B,0)),"")</f>
        <v>10</v>
      </c>
    </row>
    <row r="20" spans="1:32" hidden="1" x14ac:dyDescent="0.2">
      <c r="A20" s="634">
        <v>13</v>
      </c>
      <c r="B20" s="635" t="s">
        <v>673</v>
      </c>
      <c r="C20" s="613"/>
      <c r="D20" s="614" t="s">
        <v>288</v>
      </c>
      <c r="E20" s="614"/>
      <c r="F20" s="636"/>
      <c r="G20" s="613"/>
      <c r="H20" s="614" t="s">
        <v>288</v>
      </c>
      <c r="I20" s="614"/>
      <c r="J20" s="636"/>
      <c r="K20" s="613"/>
      <c r="L20" s="614" t="s">
        <v>288</v>
      </c>
      <c r="M20" s="614"/>
      <c r="N20" s="636"/>
      <c r="O20" s="613"/>
      <c r="P20" s="614" t="s">
        <v>288</v>
      </c>
      <c r="Q20" s="614"/>
      <c r="R20" s="636"/>
      <c r="S20" s="613"/>
      <c r="T20" s="614" t="s">
        <v>288</v>
      </c>
      <c r="U20" s="614"/>
      <c r="V20" s="636"/>
      <c r="W20" s="637"/>
      <c r="X20" s="612"/>
      <c r="Y20" s="613">
        <f t="shared" si="1"/>
        <v>0</v>
      </c>
      <c r="Z20" s="614" t="s">
        <v>288</v>
      </c>
      <c r="AA20" s="615">
        <f t="shared" si="2"/>
        <v>0</v>
      </c>
      <c r="AB20" s="616"/>
      <c r="AC20" s="573"/>
      <c r="AD20" s="618">
        <f t="shared" si="0"/>
        <v>8</v>
      </c>
      <c r="AE20" s="619" t="str">
        <f t="shared" si="3"/>
        <v xml:space="preserve">Marko Rooden </v>
      </c>
      <c r="AF20" s="620">
        <f>IFERROR(INDEX(M!$E:$E,MATCH(AE20,M!$B:$B,0)),"")</f>
        <v>8</v>
      </c>
    </row>
    <row r="21" spans="1:32" hidden="1" x14ac:dyDescent="0.2">
      <c r="A21" s="634">
        <v>14</v>
      </c>
      <c r="B21" s="635" t="s">
        <v>116</v>
      </c>
      <c r="C21" s="613"/>
      <c r="D21" s="614" t="s">
        <v>288</v>
      </c>
      <c r="E21" s="614"/>
      <c r="F21" s="636"/>
      <c r="G21" s="613"/>
      <c r="H21" s="614" t="s">
        <v>288</v>
      </c>
      <c r="I21" s="614"/>
      <c r="J21" s="636"/>
      <c r="K21" s="613"/>
      <c r="L21" s="614" t="s">
        <v>288</v>
      </c>
      <c r="M21" s="614"/>
      <c r="N21" s="636"/>
      <c r="O21" s="613"/>
      <c r="P21" s="614" t="s">
        <v>288</v>
      </c>
      <c r="Q21" s="614"/>
      <c r="R21" s="636"/>
      <c r="S21" s="613"/>
      <c r="T21" s="614" t="s">
        <v>288</v>
      </c>
      <c r="U21" s="614"/>
      <c r="V21" s="636"/>
      <c r="W21" s="637"/>
      <c r="X21" s="612"/>
      <c r="Y21" s="613">
        <f t="shared" si="1"/>
        <v>0</v>
      </c>
      <c r="Z21" s="614" t="s">
        <v>288</v>
      </c>
      <c r="AA21" s="615">
        <f t="shared" si="2"/>
        <v>0</v>
      </c>
      <c r="AB21" s="616"/>
      <c r="AC21" s="573"/>
      <c r="AD21" s="618">
        <f t="shared" si="0"/>
        <v>47</v>
      </c>
      <c r="AE21" s="619" t="str">
        <f t="shared" si="3"/>
        <v>Kaspar Mänd</v>
      </c>
      <c r="AF21" s="620">
        <f>IFERROR(INDEX(M!$E:$E,MATCH(AE21,M!$B:$B,0)),"")</f>
        <v>47</v>
      </c>
    </row>
    <row r="22" spans="1:32" hidden="1" x14ac:dyDescent="0.2"/>
    <row r="23" spans="1:32" hidden="1" x14ac:dyDescent="0.2"/>
    <row r="24" spans="1:32" hidden="1" x14ac:dyDescent="0.2"/>
    <row r="25" spans="1:32" hidden="1" x14ac:dyDescent="0.2"/>
    <row r="27" spans="1:32"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row>
    <row r="28" spans="1:32"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row>
    <row r="29" spans="1:32"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row>
    <row r="30" spans="1:32"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row>
    <row r="31" spans="1:32"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row>
    <row r="32" spans="1:32"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row>
    <row r="33" spans="1:32"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row>
    <row r="34" spans="1:32"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row>
    <row r="35" spans="1:32"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row>
    <row r="36" spans="1:32"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row>
    <row r="37" spans="1:32"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row>
    <row r="38" spans="1:32"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row>
    <row r="39" spans="1:32"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row>
    <row r="40" spans="1:32"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row>
    <row r="41" spans="1:32"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row>
    <row r="42" spans="1:32"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row>
    <row r="43" spans="1:32"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row>
    <row r="44" spans="1:32"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row>
    <row r="45" spans="1:32"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row>
    <row r="46" spans="1:32"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row>
    <row r="47" spans="1:32"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row>
    <row r="48" spans="1:32"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row>
    <row r="49" spans="1:32"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row>
    <row r="50" spans="1:32"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row>
    <row r="51" spans="1:32"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row>
    <row r="52" spans="1:32"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row>
    <row r="53" spans="1:32"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row>
    <row r="54" spans="1:32"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row>
    <row r="55" spans="1:32"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row>
    <row r="56" spans="1:32"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row>
    <row r="57" spans="1:32"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row>
    <row r="58" spans="1:32"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row>
    <row r="59" spans="1:32"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row>
    <row r="60" spans="1:32"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row>
    <row r="61" spans="1:32"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row>
    <row r="62" spans="1:32"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row>
    <row r="63" spans="1:32"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row>
    <row r="64" spans="1:32"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row>
    <row r="65" spans="1:32"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row>
    <row r="66" spans="1:32"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row>
    <row r="67" spans="1:32"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row>
    <row r="68" spans="1:32"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row>
    <row r="69" spans="1:32"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row>
    <row r="70" spans="1:32"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row>
    <row r="71" spans="1:32"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row>
    <row r="72" spans="1:32"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row>
    <row r="73" spans="1:32"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row>
    <row r="74" spans="1:32"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row>
    <row r="75" spans="1:32"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row>
    <row r="76" spans="1:32"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row>
    <row r="77" spans="1:32"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row>
    <row r="78" spans="1:32"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row>
    <row r="79" spans="1:32"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row>
    <row r="80" spans="1:32"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row>
    <row r="81" spans="1:32"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row>
    <row r="82" spans="1:32"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row>
    <row r="83" spans="1:32"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row>
    <row r="84" spans="1:32"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row>
    <row r="85" spans="1:32"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row>
    <row r="86" spans="1:32"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row>
    <row r="87" spans="1:32"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row>
    <row r="88" spans="1:32"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row>
    <row r="89" spans="1:32"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row>
    <row r="90" spans="1:32"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row>
    <row r="91" spans="1:32"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row>
    <row r="92" spans="1:32"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row>
    <row r="93" spans="1:32"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row>
    <row r="94" spans="1:32"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row>
    <row r="95" spans="1:32"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row>
    <row r="96" spans="1:32"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row>
    <row r="97" spans="1:32"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row>
    <row r="98" spans="1:32"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row>
    <row r="99" spans="1:32"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row>
    <row r="100" spans="1:32"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row>
    <row r="101" spans="1:32"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row>
    <row r="102" spans="1:32"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row>
    <row r="103" spans="1:32"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row>
    <row r="104" spans="1:32"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row>
    <row r="105" spans="1:32"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row>
    <row r="106" spans="1:32"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row>
    <row r="107" spans="1:32"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row>
    <row r="108" spans="1:32"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row>
    <row r="109" spans="1:32"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row>
    <row r="110" spans="1:32"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row>
    <row r="111" spans="1:32"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row>
    <row r="112" spans="1:32"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row>
    <row r="113" spans="1:32"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row>
    <row r="114" spans="1:32"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row>
    <row r="115" spans="1:32"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row>
    <row r="116" spans="1:32"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row>
    <row r="117" spans="1:32"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row>
    <row r="118" spans="1:32"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row>
    <row r="119" spans="1:32"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row>
    <row r="120" spans="1:32"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row>
    <row r="121" spans="1:32"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row>
    <row r="122" spans="1:32"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row>
    <row r="123" spans="1:32"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row>
    <row r="124" spans="1:32"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row>
    <row r="125" spans="1:32"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row>
    <row r="126" spans="1:32"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row>
    <row r="127" spans="1:32"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row>
    <row r="128" spans="1:32"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row>
    <row r="129" spans="1:32"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row>
    <row r="130" spans="1:32"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row>
    <row r="131" spans="1:32"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row>
    <row r="132" spans="1:32"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row>
    <row r="133" spans="1:32"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row>
    <row r="134" spans="1:32"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row>
    <row r="135" spans="1:32"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row>
    <row r="136" spans="1:32"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row>
    <row r="137" spans="1:32"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row>
    <row r="138" spans="1:32"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row>
    <row r="139" spans="1:32"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row>
    <row r="140" spans="1:32"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row>
    <row r="141" spans="1:32"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row>
    <row r="142" spans="1:32"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row>
    <row r="143" spans="1:32"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row>
    <row r="144" spans="1:32"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row>
    <row r="145" spans="1:32"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row>
    <row r="146" spans="1:32"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row>
    <row r="147" spans="1:32"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row>
    <row r="148" spans="1:32"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row>
    <row r="149" spans="1:32"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row>
    <row r="150" spans="1:32"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row>
    <row r="151" spans="1:32"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row>
    <row r="152" spans="1:32"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row>
    <row r="153" spans="1:32"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row>
    <row r="154" spans="1:32"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row>
    <row r="155" spans="1:32"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row>
    <row r="156" spans="1:32"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row>
    <row r="157" spans="1:32"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row>
    <row r="158" spans="1:32"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row>
    <row r="159" spans="1:32"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row>
    <row r="160" spans="1:32"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row>
    <row r="161" spans="1:32"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row>
    <row r="162" spans="1:32"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row>
    <row r="163" spans="1:32"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row>
    <row r="164" spans="1:32"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row>
    <row r="165" spans="1:32"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row>
    <row r="166" spans="1:32"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row>
    <row r="167" spans="1:32"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row>
    <row r="168" spans="1:32"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row>
    <row r="169" spans="1:32"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row>
    <row r="170" spans="1:32"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row>
    <row r="171" spans="1:32"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row>
    <row r="172" spans="1:32"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row>
    <row r="173" spans="1:32"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row>
    <row r="174" spans="1:32"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row>
    <row r="175" spans="1:32"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row>
    <row r="176" spans="1:32"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row>
    <row r="177" spans="1:32"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row>
    <row r="178" spans="1:32"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row>
    <row r="179" spans="1:32"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row>
    <row r="180" spans="1:32"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row>
    <row r="181" spans="1:32"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row>
    <row r="182" spans="1:32"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row>
    <row r="183" spans="1:32"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row>
    <row r="184" spans="1:32"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row>
    <row r="185" spans="1:32"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row>
    <row r="186" spans="1:32"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row>
    <row r="187" spans="1:32"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row>
    <row r="188" spans="1:32"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row>
    <row r="189" spans="1:32"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row>
    <row r="190" spans="1:32"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row>
    <row r="191" spans="1:32"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row>
    <row r="192" spans="1:32"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row>
    <row r="193" spans="1:32"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row>
    <row r="194" spans="1:32"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row>
    <row r="195" spans="1:32"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row>
    <row r="196" spans="1:32"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row>
    <row r="197" spans="1:32"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row>
    <row r="198" spans="1:32"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row>
    <row r="199" spans="1:32"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row>
    <row r="200" spans="1:32"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row>
    <row r="201" spans="1:32"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row>
    <row r="202" spans="1:32"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row>
    <row r="203" spans="1:32"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row>
    <row r="204" spans="1:32"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row>
    <row r="205" spans="1:32"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row>
    <row r="206" spans="1:32"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row>
    <row r="207" spans="1:32"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row>
    <row r="208" spans="1:32"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row>
    <row r="209" spans="1:32"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row>
    <row r="210" spans="1:32"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row>
    <row r="211" spans="1:32"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row>
    <row r="212" spans="1:32"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row>
    <row r="213" spans="1:32"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row>
    <row r="214" spans="1:32"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row>
    <row r="215" spans="1:32"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row>
    <row r="216" spans="1:32"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row>
    <row r="217" spans="1:32"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row>
    <row r="218" spans="1:32"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row>
    <row r="219" spans="1:32"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row>
    <row r="220" spans="1:32"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row>
    <row r="221" spans="1:32"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row>
    <row r="222" spans="1:32"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row>
    <row r="223" spans="1:32"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row>
    <row r="224" spans="1:32"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row>
    <row r="225" spans="1:32"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row>
    <row r="226" spans="1:32"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row>
    <row r="227" spans="1:32"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row>
    <row r="228" spans="1:32"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row>
    <row r="229" spans="1:32"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row>
    <row r="230" spans="1:32"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row>
    <row r="231" spans="1:32"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row>
    <row r="232" spans="1:32"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row>
    <row r="233" spans="1:32"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row>
    <row r="234" spans="1:32"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row>
    <row r="235" spans="1:32"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row>
    <row r="236" spans="1:32"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row>
    <row r="237" spans="1:32"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row>
    <row r="238" spans="1:32"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row>
    <row r="239" spans="1:32"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row>
    <row r="240" spans="1:32"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row>
    <row r="241" spans="1:32"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row>
    <row r="242" spans="1:32"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row>
    <row r="243" spans="1:32"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row>
    <row r="244" spans="1:32"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row>
    <row r="245" spans="1:32"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row>
    <row r="246" spans="1:32"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row>
    <row r="247" spans="1:32"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row>
    <row r="248" spans="1:32"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row>
    <row r="249" spans="1:32"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row>
    <row r="250" spans="1:32"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row>
    <row r="251" spans="1:32"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row>
    <row r="252" spans="1:32"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row>
    <row r="253" spans="1:32"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row>
    <row r="254" spans="1:32"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row>
    <row r="255" spans="1:32"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row>
    <row r="256" spans="1:32"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row>
    <row r="257" spans="1:32"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row>
    <row r="258" spans="1:32"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row>
    <row r="259" spans="1:32"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row>
    <row r="260" spans="1:32"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row>
    <row r="261" spans="1:32"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row>
    <row r="262" spans="1:32"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row>
    <row r="263" spans="1:32"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row>
    <row r="264" spans="1:32"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row>
    <row r="265" spans="1:32"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row>
    <row r="266" spans="1:32"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row>
    <row r="267" spans="1:32"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row>
    <row r="268" spans="1:32"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row>
    <row r="269" spans="1:32"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row>
    <row r="270" spans="1:32"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row>
    <row r="271" spans="1:32"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row>
    <row r="272" spans="1:32"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row>
    <row r="273" spans="1:32"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row>
    <row r="274" spans="1:32"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row>
    <row r="275" spans="1:32"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row>
    <row r="276" spans="1:32"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row>
    <row r="277" spans="1:32"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row>
    <row r="278" spans="1:32"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row>
    <row r="279" spans="1:32"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row>
    <row r="280" spans="1:32"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row>
    <row r="281" spans="1:32"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row>
    <row r="282" spans="1:32"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row>
    <row r="283" spans="1:32"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row>
    <row r="284" spans="1:32"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row>
    <row r="285" spans="1:32"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row>
    <row r="286" spans="1:32"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row>
    <row r="287" spans="1:32"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row>
    <row r="288" spans="1:32"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row>
    <row r="289" spans="1:32"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row>
    <row r="290" spans="1:32"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row>
    <row r="291" spans="1:32"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row>
    <row r="292" spans="1:32"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row>
    <row r="293" spans="1:32"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row>
    <row r="294" spans="1:32" hidden="1" x14ac:dyDescent="0.2"/>
    <row r="295" spans="1:32" hidden="1" x14ac:dyDescent="0.2"/>
    <row r="296" spans="1:32" hidden="1" x14ac:dyDescent="0.2"/>
    <row r="297" spans="1:32" hidden="1" x14ac:dyDescent="0.2"/>
    <row r="299" spans="1:32" x14ac:dyDescent="0.2">
      <c r="A299" s="573"/>
      <c r="B299" s="573"/>
      <c r="C299" s="584" t="s">
        <v>54</v>
      </c>
      <c r="F299" s="626" t="s">
        <v>68</v>
      </c>
    </row>
    <row r="300" spans="1:32" x14ac:dyDescent="0.2">
      <c r="A300" s="627">
        <v>1</v>
      </c>
      <c r="B300" s="628" t="str">
        <f t="shared" ref="B300:B313" si="4">IFERROR(INDEX(B$1:B$85,MATCH(A300,A$1:A$85,0)),"")</f>
        <v>Viktor Švarõgin</v>
      </c>
      <c r="C300" s="629">
        <v>40</v>
      </c>
      <c r="F300" s="626">
        <v>4</v>
      </c>
    </row>
    <row r="301" spans="1:32" x14ac:dyDescent="0.2">
      <c r="A301" s="627">
        <v>2</v>
      </c>
      <c r="B301" s="628" t="str">
        <f t="shared" si="4"/>
        <v xml:space="preserve">Kenneth Muusikus </v>
      </c>
      <c r="C301" s="629">
        <v>34</v>
      </c>
      <c r="F301" s="626">
        <v>3</v>
      </c>
    </row>
    <row r="302" spans="1:32" x14ac:dyDescent="0.2">
      <c r="A302" s="627">
        <v>3</v>
      </c>
      <c r="B302" s="628" t="str">
        <f t="shared" si="4"/>
        <v>Ivar Viljaste</v>
      </c>
      <c r="C302" s="629">
        <v>30</v>
      </c>
      <c r="F302" s="626">
        <v>3</v>
      </c>
    </row>
    <row r="303" spans="1:32" x14ac:dyDescent="0.2">
      <c r="A303" s="627">
        <v>4</v>
      </c>
      <c r="B303" s="628" t="str">
        <f t="shared" si="4"/>
        <v xml:space="preserve">Vello Vasser </v>
      </c>
      <c r="C303" s="629">
        <v>26</v>
      </c>
      <c r="F303" s="626">
        <v>3</v>
      </c>
    </row>
    <row r="304" spans="1:32" x14ac:dyDescent="0.2">
      <c r="A304" s="627">
        <v>5</v>
      </c>
      <c r="B304" s="628" t="str">
        <f t="shared" si="4"/>
        <v>Oksana Rõndenkova</v>
      </c>
      <c r="C304" s="629">
        <v>24</v>
      </c>
      <c r="F304" s="626">
        <v>3</v>
      </c>
    </row>
    <row r="305" spans="1:6" x14ac:dyDescent="0.2">
      <c r="A305" s="627">
        <v>6</v>
      </c>
      <c r="B305" s="628" t="str">
        <f t="shared" si="4"/>
        <v xml:space="preserve">Andres Veski </v>
      </c>
      <c r="C305" s="629">
        <v>22</v>
      </c>
      <c r="F305" s="626">
        <v>2</v>
      </c>
    </row>
    <row r="306" spans="1:6" x14ac:dyDescent="0.2">
      <c r="A306" s="627">
        <v>7</v>
      </c>
      <c r="B306" s="628" t="str">
        <f t="shared" si="4"/>
        <v>Aarne Välja</v>
      </c>
      <c r="C306" s="629">
        <v>20</v>
      </c>
      <c r="F306" s="626">
        <v>2</v>
      </c>
    </row>
    <row r="307" spans="1:6" x14ac:dyDescent="0.2">
      <c r="A307" s="627">
        <v>8</v>
      </c>
      <c r="B307" s="628" t="str">
        <f t="shared" si="4"/>
        <v xml:space="preserve">Ljudmila Varendi </v>
      </c>
      <c r="C307" s="629">
        <v>18</v>
      </c>
      <c r="F307" s="626">
        <v>2</v>
      </c>
    </row>
    <row r="308" spans="1:6" x14ac:dyDescent="0.2">
      <c r="A308" s="627">
        <v>9</v>
      </c>
      <c r="B308" s="628" t="str">
        <f t="shared" si="4"/>
        <v xml:space="preserve">Vladimir Ogneštšikov </v>
      </c>
      <c r="C308" s="629">
        <v>16</v>
      </c>
      <c r="F308" s="626">
        <v>2</v>
      </c>
    </row>
    <row r="309" spans="1:6" x14ac:dyDescent="0.2">
      <c r="A309" s="627">
        <v>10</v>
      </c>
      <c r="B309" s="628" t="str">
        <f t="shared" si="4"/>
        <v xml:space="preserve">Sirje Maala </v>
      </c>
      <c r="C309" s="616">
        <v>14</v>
      </c>
      <c r="F309" s="626">
        <v>1</v>
      </c>
    </row>
    <row r="310" spans="1:6" x14ac:dyDescent="0.2">
      <c r="A310" s="627">
        <v>11</v>
      </c>
      <c r="B310" s="628" t="str">
        <f t="shared" si="4"/>
        <v>Oleg Rõndenkov</v>
      </c>
      <c r="C310" s="616">
        <v>12</v>
      </c>
      <c r="F310" s="626">
        <v>1</v>
      </c>
    </row>
    <row r="311" spans="1:6" x14ac:dyDescent="0.2">
      <c r="A311" s="627">
        <v>12</v>
      </c>
      <c r="B311" s="628" t="str">
        <f t="shared" si="4"/>
        <v xml:space="preserve">Janek Tarto </v>
      </c>
      <c r="C311" s="616">
        <v>10</v>
      </c>
      <c r="F311" s="626">
        <v>1</v>
      </c>
    </row>
    <row r="312" spans="1:6" x14ac:dyDescent="0.2">
      <c r="A312" s="627">
        <v>13</v>
      </c>
      <c r="B312" s="628" t="str">
        <f t="shared" si="4"/>
        <v xml:space="preserve">Marko Rooden </v>
      </c>
      <c r="C312" s="616">
        <v>8</v>
      </c>
      <c r="F312" s="626">
        <v>1</v>
      </c>
    </row>
    <row r="313" spans="1:6" x14ac:dyDescent="0.2">
      <c r="A313" s="627">
        <v>14</v>
      </c>
      <c r="B313" s="628" t="str">
        <f t="shared" si="4"/>
        <v>Kaspar Mänd</v>
      </c>
      <c r="C313" s="616">
        <v>6</v>
      </c>
      <c r="F313" s="626">
        <v>0</v>
      </c>
    </row>
  </sheetData>
  <conditionalFormatting sqref="C8:C21">
    <cfRule type="expression" dxfId="114" priority="13">
      <formula>IF($C8&gt;$E8,TRUE)</formula>
    </cfRule>
  </conditionalFormatting>
  <conditionalFormatting sqref="E8:E21">
    <cfRule type="expression" dxfId="113" priority="14">
      <formula>IF($C8&lt;$E8,TRUE)</formula>
    </cfRule>
  </conditionalFormatting>
  <conditionalFormatting sqref="K8:K21">
    <cfRule type="expression" dxfId="112" priority="21">
      <formula>IF($K8&gt;$M8,TRUE)</formula>
    </cfRule>
  </conditionalFormatting>
  <conditionalFormatting sqref="M8:M21">
    <cfRule type="expression" dxfId="111" priority="22">
      <formula>IF($K8&lt;$M8,TRUE)</formula>
    </cfRule>
  </conditionalFormatting>
  <conditionalFormatting sqref="O8:O21">
    <cfRule type="expression" dxfId="110" priority="25">
      <formula>IF($O8&gt;$Q8,TRUE)</formula>
    </cfRule>
  </conditionalFormatting>
  <conditionalFormatting sqref="Q8:Q21">
    <cfRule type="expression" dxfId="109" priority="26">
      <formula>IF($O8&lt;$Q8,TRUE)</formula>
    </cfRule>
  </conditionalFormatting>
  <conditionalFormatting sqref="S8:S21">
    <cfRule type="expression" dxfId="108" priority="29">
      <formula>IF($S8&gt;$U8,TRUE)</formula>
    </cfRule>
  </conditionalFormatting>
  <conditionalFormatting sqref="U8:U21">
    <cfRule type="expression" dxfId="107" priority="30">
      <formula>IF($S8&lt;$U8,TRUE)</formula>
    </cfRule>
  </conditionalFormatting>
  <conditionalFormatting sqref="G8:G21">
    <cfRule type="expression" dxfId="106" priority="17">
      <formula>IF($G8&gt;$I8,TRUE)</formula>
    </cfRule>
  </conditionalFormatting>
  <conditionalFormatting sqref="I8:I21">
    <cfRule type="expression" dxfId="105" priority="18">
      <formula>IF($G8&lt;$I8,TRUE)</formula>
    </cfRule>
  </conditionalFormatting>
  <conditionalFormatting sqref="F8:F21">
    <cfRule type="containsText" dxfId="104" priority="4" operator="containsText" text="vaba voor">
      <formula>NOT(ISERROR(SEARCH("vaba voor",F8)))</formula>
    </cfRule>
  </conditionalFormatting>
  <conditionalFormatting sqref="N8:N21">
    <cfRule type="containsText" dxfId="103" priority="2" operator="containsText" text="vaba voor">
      <formula>NOT(ISERROR(SEARCH("vaba voor",N8)))</formula>
    </cfRule>
  </conditionalFormatting>
  <conditionalFormatting sqref="R8:R21">
    <cfRule type="containsText" dxfId="102" priority="5" operator="containsText" text="vaba voor">
      <formula>NOT(ISERROR(SEARCH("vaba voor",R8)))</formula>
    </cfRule>
  </conditionalFormatting>
  <conditionalFormatting sqref="V8:V21">
    <cfRule type="containsText" dxfId="101" priority="1" operator="containsText" text="vaba voor">
      <formula>NOT(ISERROR(SEARCH("vaba voor",V8)))</formula>
    </cfRule>
  </conditionalFormatting>
  <conditionalFormatting sqref="J8:J21">
    <cfRule type="containsText" dxfId="100" priority="3" operator="containsText" text="vaba voor">
      <formula>NOT(ISERROR(SEARCH("vaba voor",J8)))</formula>
    </cfRule>
  </conditionalFormatting>
  <conditionalFormatting sqref="C8:F21">
    <cfRule type="expression" dxfId="99" priority="9">
      <formula>IF(AND(ISNUMBER($C8),$C8=$E8),TRUE)</formula>
    </cfRule>
    <cfRule type="expression" dxfId="98" priority="11">
      <formula>IF($C8&gt;$E8,TRUE)</formula>
    </cfRule>
    <cfRule type="expression" dxfId="97" priority="12">
      <formula>IF($C8&lt;$E8,TRUE)</formula>
    </cfRule>
  </conditionalFormatting>
  <conditionalFormatting sqref="G8:J21">
    <cfRule type="expression" dxfId="96" priority="10">
      <formula>IF(AND(ISNUMBER($G8),$G8=$I8),TRUE)</formula>
    </cfRule>
    <cfRule type="expression" dxfId="95" priority="15">
      <formula>IF($G8&gt;$I8,TRUE)</formula>
    </cfRule>
    <cfRule type="expression" dxfId="94" priority="16">
      <formula>IF($G8&lt;$I8,TRUE)</formula>
    </cfRule>
  </conditionalFormatting>
  <conditionalFormatting sqref="K8:N21">
    <cfRule type="expression" dxfId="93" priority="8">
      <formula>IF(AND(ISNUMBER($K8),$K8=$M8),TRUE)</formula>
    </cfRule>
    <cfRule type="expression" dxfId="92" priority="19">
      <formula>IF($K8&gt;$M8,TRUE)</formula>
    </cfRule>
    <cfRule type="expression" dxfId="91" priority="20">
      <formula>IF($K8&lt;$M8,TRUE)</formula>
    </cfRule>
  </conditionalFormatting>
  <conditionalFormatting sqref="O8:R21">
    <cfRule type="expression" dxfId="90" priority="7">
      <formula>IF(AND(ISNUMBER($O8),$O8=$Q8),TRUE)</formula>
    </cfRule>
    <cfRule type="expression" dxfId="89" priority="23">
      <formula>IF($O8&gt;$Q8,TRUE)</formula>
    </cfRule>
    <cfRule type="expression" dxfId="88" priority="24">
      <formula>IF($O8&lt;$Q8,TRUE)</formula>
    </cfRule>
  </conditionalFormatting>
  <conditionalFormatting sqref="S8:V21">
    <cfRule type="expression" dxfId="87" priority="6">
      <formula>IF(AND(ISNUMBER($S8),$S8=$U8),TRUE)</formula>
    </cfRule>
    <cfRule type="expression" dxfId="86" priority="27">
      <formula>IF($S8&gt;$U8,TRUE)</formula>
    </cfRule>
    <cfRule type="expression" dxfId="85" priority="28">
      <formula>IF($S8&lt;$U8,TRUE)</formula>
    </cfRule>
  </conditionalFormatting>
  <conditionalFormatting sqref="A8:A21">
    <cfRule type="duplicateValues" dxfId="84" priority="32"/>
  </conditionalFormatting>
  <conditionalFormatting sqref="AE8:AE21">
    <cfRule type="expression" dxfId="83" priority="38">
      <formula>AND(AF8="",COUNTIF(AE8,"*,*")=0)</formula>
    </cfRule>
  </conditionalFormatting>
  <conditionalFormatting sqref="A300:A313">
    <cfRule type="duplicateValues" dxfId="82" priority="2366"/>
  </conditionalFormatting>
  <conditionalFormatting sqref="B300:B313">
    <cfRule type="expression" dxfId="81" priority="2367">
      <formula>A300=3</formula>
    </cfRule>
    <cfRule type="expression" dxfId="80" priority="2368">
      <formula>A300=2</formula>
    </cfRule>
    <cfRule type="expression" dxfId="79" priority="2369">
      <formula>A300=1</formula>
    </cfRule>
    <cfRule type="containsBlanks" dxfId="78" priority="2370">
      <formula>LEN(TRIM(B300))=0</formula>
    </cfRule>
    <cfRule type="duplicateValues" dxfId="77" priority="2371"/>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AF315"/>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3" width="4.7109375" style="581" customWidth="1"/>
    <col min="4" max="4" width="1.140625" style="581" customWidth="1"/>
    <col min="5" max="5" width="2.7109375" style="581" customWidth="1"/>
    <col min="6" max="6" width="6.28515625" style="581" customWidth="1"/>
    <col min="7" max="7" width="2.7109375" style="581" customWidth="1"/>
    <col min="8" max="8" width="1.140625" style="581" customWidth="1"/>
    <col min="9" max="9" width="2.7109375" style="581" customWidth="1"/>
    <col min="10" max="10" width="6.28515625" style="581" customWidth="1"/>
    <col min="11" max="11" width="2.7109375" style="581" customWidth="1"/>
    <col min="12" max="12" width="1.140625" style="581" customWidth="1"/>
    <col min="13" max="13" width="2.7109375" style="581" customWidth="1"/>
    <col min="14" max="14" width="6.28515625" style="581" customWidth="1"/>
    <col min="15" max="15" width="2.7109375" style="581" customWidth="1"/>
    <col min="16" max="16" width="1.140625" style="581" customWidth="1"/>
    <col min="17" max="17" width="2.7109375" style="581" customWidth="1"/>
    <col min="18" max="18" width="6.28515625" style="581" customWidth="1"/>
    <col min="19" max="19" width="2.7109375" style="581" customWidth="1"/>
    <col min="20" max="20" width="1.140625" style="581" customWidth="1"/>
    <col min="21" max="21" width="2.7109375" style="581" customWidth="1"/>
    <col min="22" max="22" width="6.28515625" style="581" customWidth="1"/>
    <col min="23" max="23" width="5.7109375" style="581" customWidth="1"/>
    <col min="24" max="24" width="5.5703125" style="581" hidden="1" customWidth="1"/>
    <col min="25" max="25" width="2.7109375" style="581" hidden="1" customWidth="1"/>
    <col min="26" max="26" width="1.140625" style="581" hidden="1" customWidth="1"/>
    <col min="27" max="27" width="2.7109375" style="581" hidden="1" customWidth="1"/>
    <col min="28" max="28" width="4.7109375" style="581" customWidth="1"/>
    <col min="29" max="29" width="9.140625" style="581"/>
    <col min="30" max="30" width="9.140625" style="581" hidden="1" customWidth="1"/>
    <col min="31" max="31" width="18.7109375" style="581" hidden="1" customWidth="1"/>
    <col min="32" max="32" width="9.140625" style="581" hidden="1" customWidth="1"/>
    <col min="33" max="16384" width="9.140625" style="581"/>
  </cols>
  <sheetData>
    <row r="1" spans="1:32" x14ac:dyDescent="0.2">
      <c r="A1" s="572" t="str">
        <f>UPPER((Kalend!E37)&amp;" - "&amp;(Kalend!C37)&amp;" - "&amp;(Kalend!D37))</f>
        <v>M4 - MAIDU KARIKAS, 4. ETAPP - ÜKSIK</v>
      </c>
      <c r="B1" s="573"/>
      <c r="C1" s="574"/>
      <c r="D1" s="573"/>
      <c r="E1" s="573"/>
      <c r="F1" s="575"/>
      <c r="G1" s="575"/>
      <c r="H1" s="575"/>
      <c r="I1" s="575"/>
      <c r="J1" s="576"/>
      <c r="K1" s="577"/>
      <c r="L1" s="578"/>
      <c r="M1" s="579"/>
      <c r="N1" s="579"/>
      <c r="O1" s="573"/>
      <c r="P1" s="573"/>
      <c r="Q1" s="577"/>
      <c r="R1" s="577"/>
      <c r="S1" s="577"/>
      <c r="T1" s="578"/>
      <c r="U1" s="578"/>
      <c r="V1" s="578"/>
      <c r="W1" s="573"/>
      <c r="X1" s="580"/>
      <c r="Y1" s="573"/>
      <c r="Z1" s="573"/>
      <c r="AA1" s="573"/>
      <c r="AB1" s="573"/>
      <c r="AD1" s="582" t="s">
        <v>53</v>
      </c>
      <c r="AE1" s="580"/>
      <c r="AF1" s="580"/>
    </row>
    <row r="2" spans="1:32" x14ac:dyDescent="0.2">
      <c r="A2" s="583" t="str">
        <f>"Toimumisaeg: "&amp;(Kalend!A37)&amp;" kell "&amp;(Kalend!B37)</f>
        <v>Toimumisaeg: L, 24.09.2022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84"/>
      <c r="AB2" s="573"/>
      <c r="AD2" s="573"/>
      <c r="AE2" s="573"/>
      <c r="AF2" s="573"/>
    </row>
    <row r="3" spans="1:32" x14ac:dyDescent="0.2">
      <c r="A3" s="583" t="str">
        <f>"Toimumiskoht: "&amp;(Kalend!F37)</f>
        <v>Toimumiskoht: K-Järve spordihoone</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row>
    <row r="4" spans="1:32" x14ac:dyDescent="0.2">
      <c r="A4" s="583" t="str">
        <f>"Korraldaja: "&amp;(Kalend!G37)</f>
        <v>Korraldaja: Ivar Viljaste</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591" t="s">
        <v>273</v>
      </c>
      <c r="AF4" s="583"/>
    </row>
    <row r="5" spans="1:32"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94" t="s">
        <v>310</v>
      </c>
      <c r="AE5" s="595" t="s">
        <v>77</v>
      </c>
      <c r="AF5" s="596"/>
    </row>
    <row r="6" spans="1:32" hidden="1"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94" t="s">
        <v>275</v>
      </c>
      <c r="AF6" s="595"/>
    </row>
    <row r="7" spans="1:32" hidden="1"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01"/>
      <c r="Z7" s="602" t="s">
        <v>286</v>
      </c>
      <c r="AA7" s="603"/>
      <c r="AD7" s="605"/>
      <c r="AE7" s="596"/>
      <c r="AF7" s="596"/>
    </row>
    <row r="8" spans="1:32" hidden="1" x14ac:dyDescent="0.2">
      <c r="A8" s="634">
        <v>1</v>
      </c>
      <c r="B8" s="635" t="s">
        <v>95</v>
      </c>
      <c r="C8" s="613"/>
      <c r="D8" s="614" t="s">
        <v>288</v>
      </c>
      <c r="E8" s="614"/>
      <c r="F8" s="636"/>
      <c r="G8" s="613"/>
      <c r="H8" s="614" t="s">
        <v>288</v>
      </c>
      <c r="I8" s="614"/>
      <c r="J8" s="636"/>
      <c r="K8" s="613"/>
      <c r="L8" s="614" t="s">
        <v>288</v>
      </c>
      <c r="M8" s="614"/>
      <c r="N8" s="636"/>
      <c r="O8" s="613"/>
      <c r="P8" s="614" t="s">
        <v>288</v>
      </c>
      <c r="Q8" s="614"/>
      <c r="R8" s="636"/>
      <c r="S8" s="613"/>
      <c r="T8" s="614" t="s">
        <v>288</v>
      </c>
      <c r="U8" s="614"/>
      <c r="V8" s="636"/>
      <c r="W8" s="637"/>
      <c r="X8" s="612"/>
      <c r="Y8" s="613">
        <f>C8+G8+K8+O8+S8</f>
        <v>0</v>
      </c>
      <c r="Z8" s="614" t="s">
        <v>288</v>
      </c>
      <c r="AA8" s="615">
        <f>E8+I8+M8+Q8+U8</f>
        <v>0</v>
      </c>
      <c r="AB8" s="616"/>
      <c r="AC8" s="617"/>
      <c r="AD8" s="618">
        <f t="shared" ref="AD8:AD23" si="0">SUM(AF8:AF8)</f>
        <v>108</v>
      </c>
      <c r="AE8" s="619" t="str">
        <f>$B8</f>
        <v>Aarne Välja</v>
      </c>
      <c r="AF8" s="620">
        <f>IFERROR(INDEX(M!$E:$E,MATCH(AE8,M!$B:$B,0)),"")</f>
        <v>108</v>
      </c>
    </row>
    <row r="9" spans="1:32" hidden="1" x14ac:dyDescent="0.2">
      <c r="A9" s="634">
        <v>2</v>
      </c>
      <c r="B9" s="635" t="s">
        <v>471</v>
      </c>
      <c r="C9" s="613"/>
      <c r="D9" s="614" t="s">
        <v>288</v>
      </c>
      <c r="E9" s="614"/>
      <c r="F9" s="636"/>
      <c r="G9" s="613"/>
      <c r="H9" s="614" t="s">
        <v>288</v>
      </c>
      <c r="I9" s="614"/>
      <c r="J9" s="636"/>
      <c r="K9" s="613"/>
      <c r="L9" s="614" t="s">
        <v>288</v>
      </c>
      <c r="M9" s="614"/>
      <c r="N9" s="636"/>
      <c r="O9" s="613"/>
      <c r="P9" s="614" t="s">
        <v>288</v>
      </c>
      <c r="Q9" s="614"/>
      <c r="R9" s="636"/>
      <c r="S9" s="613"/>
      <c r="T9" s="614" t="s">
        <v>288</v>
      </c>
      <c r="U9" s="614"/>
      <c r="V9" s="636"/>
      <c r="W9" s="637"/>
      <c r="X9" s="612"/>
      <c r="Y9" s="613">
        <f t="shared" ref="Y9:Y23" si="1">C9+G9+K9+O9+S9</f>
        <v>0</v>
      </c>
      <c r="Z9" s="614" t="s">
        <v>288</v>
      </c>
      <c r="AA9" s="615">
        <f t="shared" ref="AA9:AA23" si="2">E9+I9+M9+Q9+U9</f>
        <v>0</v>
      </c>
      <c r="AB9" s="616"/>
      <c r="AC9" s="617"/>
      <c r="AD9" s="618">
        <f t="shared" si="0"/>
        <v>85</v>
      </c>
      <c r="AE9" s="619" t="str">
        <f t="shared" ref="AE9:AE23" si="3">$B9</f>
        <v>Olav Türk</v>
      </c>
      <c r="AF9" s="620">
        <f>IFERROR(INDEX(M!$E:$E,MATCH(AE9,M!$B:$B,0)),"")</f>
        <v>85</v>
      </c>
    </row>
    <row r="10" spans="1:32" hidden="1" x14ac:dyDescent="0.2">
      <c r="A10" s="634">
        <v>3</v>
      </c>
      <c r="B10" s="635" t="s">
        <v>129</v>
      </c>
      <c r="C10" s="613"/>
      <c r="D10" s="614" t="s">
        <v>288</v>
      </c>
      <c r="E10" s="614"/>
      <c r="F10" s="636"/>
      <c r="G10" s="613"/>
      <c r="H10" s="614" t="s">
        <v>288</v>
      </c>
      <c r="I10" s="614"/>
      <c r="J10" s="636"/>
      <c r="K10" s="613"/>
      <c r="L10" s="614" t="s">
        <v>288</v>
      </c>
      <c r="M10" s="614"/>
      <c r="N10" s="636"/>
      <c r="O10" s="613"/>
      <c r="P10" s="614" t="s">
        <v>288</v>
      </c>
      <c r="Q10" s="614"/>
      <c r="R10" s="636"/>
      <c r="S10" s="613"/>
      <c r="T10" s="614" t="s">
        <v>288</v>
      </c>
      <c r="U10" s="614"/>
      <c r="V10" s="636"/>
      <c r="W10" s="637"/>
      <c r="X10" s="612"/>
      <c r="Y10" s="613">
        <f t="shared" si="1"/>
        <v>0</v>
      </c>
      <c r="Z10" s="614" t="s">
        <v>288</v>
      </c>
      <c r="AA10" s="615">
        <f t="shared" si="2"/>
        <v>0</v>
      </c>
      <c r="AB10" s="616"/>
      <c r="AC10" s="617"/>
      <c r="AD10" s="618">
        <f t="shared" si="0"/>
        <v>48</v>
      </c>
      <c r="AE10" s="619" t="str">
        <f t="shared" si="3"/>
        <v>Vadim Tihhonjuk</v>
      </c>
      <c r="AF10" s="620">
        <f>IFERROR(INDEX(M!$E:$E,MATCH(AE10,M!$B:$B,0)),"")</f>
        <v>48</v>
      </c>
    </row>
    <row r="11" spans="1:32" hidden="1" x14ac:dyDescent="0.2">
      <c r="A11" s="634">
        <v>4</v>
      </c>
      <c r="B11" s="635" t="s">
        <v>496</v>
      </c>
      <c r="C11" s="613"/>
      <c r="D11" s="614" t="s">
        <v>288</v>
      </c>
      <c r="E11" s="614"/>
      <c r="F11" s="636"/>
      <c r="G11" s="613"/>
      <c r="H11" s="614" t="s">
        <v>288</v>
      </c>
      <c r="I11" s="614"/>
      <c r="J11" s="636"/>
      <c r="K11" s="613"/>
      <c r="L11" s="614" t="s">
        <v>288</v>
      </c>
      <c r="M11" s="614"/>
      <c r="N11" s="636"/>
      <c r="O11" s="613"/>
      <c r="P11" s="614" t="s">
        <v>288</v>
      </c>
      <c r="Q11" s="614"/>
      <c r="R11" s="636"/>
      <c r="S11" s="613"/>
      <c r="T11" s="614" t="s">
        <v>288</v>
      </c>
      <c r="U11" s="614"/>
      <c r="V11" s="636"/>
      <c r="W11" s="637"/>
      <c r="X11" s="612"/>
      <c r="Y11" s="613">
        <f t="shared" si="1"/>
        <v>0</v>
      </c>
      <c r="Z11" s="614" t="s">
        <v>288</v>
      </c>
      <c r="AA11" s="615">
        <f t="shared" si="2"/>
        <v>0</v>
      </c>
      <c r="AB11" s="616"/>
      <c r="AC11" s="617"/>
      <c r="AD11" s="618">
        <f t="shared" si="0"/>
        <v>94</v>
      </c>
      <c r="AE11" s="619" t="str">
        <f t="shared" si="3"/>
        <v>Sirje Maala</v>
      </c>
      <c r="AF11" s="620">
        <f>IFERROR(INDEX(M!$E:$E,MATCH(AE11,M!$B:$B,0)),"")</f>
        <v>94</v>
      </c>
    </row>
    <row r="12" spans="1:32" hidden="1" x14ac:dyDescent="0.2">
      <c r="A12" s="634">
        <v>5</v>
      </c>
      <c r="B12" s="635" t="s">
        <v>92</v>
      </c>
      <c r="C12" s="613"/>
      <c r="D12" s="614" t="s">
        <v>288</v>
      </c>
      <c r="E12" s="614"/>
      <c r="F12" s="636"/>
      <c r="G12" s="613"/>
      <c r="H12" s="614" t="s">
        <v>288</v>
      </c>
      <c r="I12" s="614"/>
      <c r="J12" s="636"/>
      <c r="K12" s="613"/>
      <c r="L12" s="614" t="s">
        <v>288</v>
      </c>
      <c r="M12" s="614"/>
      <c r="N12" s="636"/>
      <c r="O12" s="613"/>
      <c r="P12" s="614" t="s">
        <v>288</v>
      </c>
      <c r="Q12" s="614"/>
      <c r="R12" s="636"/>
      <c r="S12" s="613"/>
      <c r="T12" s="614" t="s">
        <v>288</v>
      </c>
      <c r="U12" s="614"/>
      <c r="V12" s="636"/>
      <c r="W12" s="637"/>
      <c r="X12" s="612"/>
      <c r="Y12" s="613">
        <f t="shared" si="1"/>
        <v>0</v>
      </c>
      <c r="Z12" s="614" t="s">
        <v>288</v>
      </c>
      <c r="AA12" s="615">
        <f t="shared" si="2"/>
        <v>0</v>
      </c>
      <c r="AB12" s="616"/>
      <c r="AC12" s="617"/>
      <c r="AD12" s="618">
        <f t="shared" si="0"/>
        <v>81</v>
      </c>
      <c r="AE12" s="619" t="str">
        <f t="shared" si="3"/>
        <v>Andres Veski</v>
      </c>
      <c r="AF12" s="620">
        <f>IFERROR(INDEX(M!$E:$E,MATCH(AE12,M!$B:$B,0)),"")</f>
        <v>81</v>
      </c>
    </row>
    <row r="13" spans="1:32" hidden="1" x14ac:dyDescent="0.2">
      <c r="A13" s="634">
        <v>6</v>
      </c>
      <c r="B13" s="635" t="s">
        <v>135</v>
      </c>
      <c r="C13" s="613"/>
      <c r="D13" s="614" t="s">
        <v>288</v>
      </c>
      <c r="E13" s="614"/>
      <c r="F13" s="636"/>
      <c r="G13" s="613"/>
      <c r="H13" s="614" t="s">
        <v>288</v>
      </c>
      <c r="I13" s="614"/>
      <c r="J13" s="636"/>
      <c r="K13" s="613"/>
      <c r="L13" s="614" t="s">
        <v>288</v>
      </c>
      <c r="M13" s="614"/>
      <c r="N13" s="636"/>
      <c r="O13" s="613"/>
      <c r="P13" s="614" t="s">
        <v>288</v>
      </c>
      <c r="Q13" s="614"/>
      <c r="R13" s="636"/>
      <c r="S13" s="613"/>
      <c r="T13" s="614" t="s">
        <v>288</v>
      </c>
      <c r="U13" s="614"/>
      <c r="V13" s="636"/>
      <c r="W13" s="637"/>
      <c r="X13" s="612"/>
      <c r="Y13" s="613">
        <f t="shared" si="1"/>
        <v>0</v>
      </c>
      <c r="Z13" s="614" t="s">
        <v>288</v>
      </c>
      <c r="AA13" s="615">
        <f t="shared" si="2"/>
        <v>0</v>
      </c>
      <c r="AB13" s="616"/>
      <c r="AC13" s="617"/>
      <c r="AD13" s="618">
        <f t="shared" si="0"/>
        <v>68</v>
      </c>
      <c r="AE13" s="619" t="str">
        <f t="shared" si="3"/>
        <v>Vello Vasser</v>
      </c>
      <c r="AF13" s="620">
        <f>IFERROR(INDEX(M!$E:$E,MATCH(AE13,M!$B:$B,0)),"")</f>
        <v>68</v>
      </c>
    </row>
    <row r="14" spans="1:32" hidden="1" x14ac:dyDescent="0.2">
      <c r="A14" s="634">
        <v>7</v>
      </c>
      <c r="B14" s="638" t="s">
        <v>136</v>
      </c>
      <c r="C14" s="613"/>
      <c r="D14" s="614" t="s">
        <v>288</v>
      </c>
      <c r="E14" s="614"/>
      <c r="F14" s="636"/>
      <c r="G14" s="613"/>
      <c r="H14" s="614" t="s">
        <v>288</v>
      </c>
      <c r="I14" s="614"/>
      <c r="J14" s="636"/>
      <c r="K14" s="613"/>
      <c r="L14" s="614" t="s">
        <v>288</v>
      </c>
      <c r="M14" s="614"/>
      <c r="N14" s="636"/>
      <c r="O14" s="613"/>
      <c r="P14" s="614" t="s">
        <v>288</v>
      </c>
      <c r="Q14" s="614"/>
      <c r="R14" s="636"/>
      <c r="S14" s="613"/>
      <c r="T14" s="614" t="s">
        <v>288</v>
      </c>
      <c r="U14" s="614"/>
      <c r="V14" s="636"/>
      <c r="W14" s="637"/>
      <c r="X14" s="612"/>
      <c r="Y14" s="613">
        <f t="shared" si="1"/>
        <v>0</v>
      </c>
      <c r="Z14" s="614" t="s">
        <v>288</v>
      </c>
      <c r="AA14" s="615">
        <f t="shared" si="2"/>
        <v>0</v>
      </c>
      <c r="AB14" s="616"/>
      <c r="AC14" s="617"/>
      <c r="AD14" s="618">
        <f t="shared" si="0"/>
        <v>46</v>
      </c>
      <c r="AE14" s="619" t="str">
        <f t="shared" si="3"/>
        <v>Marko Rooden</v>
      </c>
      <c r="AF14" s="620">
        <f>IFERROR(INDEX(M!$E:$E,MATCH(AE14,M!$B:$B,0)),"")</f>
        <v>46</v>
      </c>
    </row>
    <row r="15" spans="1:32" hidden="1" x14ac:dyDescent="0.2">
      <c r="A15" s="634">
        <v>8</v>
      </c>
      <c r="B15" s="638" t="s">
        <v>86</v>
      </c>
      <c r="C15" s="613"/>
      <c r="D15" s="614" t="s">
        <v>288</v>
      </c>
      <c r="E15" s="614"/>
      <c r="F15" s="636"/>
      <c r="G15" s="613"/>
      <c r="H15" s="614" t="s">
        <v>288</v>
      </c>
      <c r="I15" s="614"/>
      <c r="J15" s="636"/>
      <c r="K15" s="613"/>
      <c r="L15" s="614" t="s">
        <v>288</v>
      </c>
      <c r="M15" s="614"/>
      <c r="N15" s="636"/>
      <c r="O15" s="613"/>
      <c r="P15" s="614" t="s">
        <v>288</v>
      </c>
      <c r="Q15" s="614"/>
      <c r="R15" s="636"/>
      <c r="S15" s="613"/>
      <c r="T15" s="614" t="s">
        <v>288</v>
      </c>
      <c r="U15" s="614"/>
      <c r="V15" s="636"/>
      <c r="W15" s="637"/>
      <c r="X15" s="612"/>
      <c r="Y15" s="613">
        <f t="shared" si="1"/>
        <v>0</v>
      </c>
      <c r="Z15" s="614" t="s">
        <v>288</v>
      </c>
      <c r="AA15" s="615">
        <f t="shared" si="2"/>
        <v>0</v>
      </c>
      <c r="AB15" s="616"/>
      <c r="AC15" s="617"/>
      <c r="AD15" s="618">
        <f t="shared" si="0"/>
        <v>30</v>
      </c>
      <c r="AE15" s="619" t="str">
        <f t="shared" si="3"/>
        <v>Jaan Sepp</v>
      </c>
      <c r="AF15" s="620">
        <f>IFERROR(INDEX(M!$E:$E,MATCH(AE15,M!$B:$B,0)),"")</f>
        <v>30</v>
      </c>
    </row>
    <row r="16" spans="1:32" hidden="1" x14ac:dyDescent="0.2">
      <c r="A16" s="634">
        <v>9</v>
      </c>
      <c r="B16" s="635" t="s">
        <v>102</v>
      </c>
      <c r="C16" s="613"/>
      <c r="D16" s="614" t="s">
        <v>288</v>
      </c>
      <c r="E16" s="614"/>
      <c r="F16" s="636"/>
      <c r="G16" s="613"/>
      <c r="H16" s="614" t="s">
        <v>288</v>
      </c>
      <c r="I16" s="614"/>
      <c r="J16" s="636"/>
      <c r="K16" s="613"/>
      <c r="L16" s="614" t="s">
        <v>288</v>
      </c>
      <c r="M16" s="614"/>
      <c r="N16" s="636"/>
      <c r="O16" s="613"/>
      <c r="P16" s="614" t="s">
        <v>288</v>
      </c>
      <c r="Q16" s="614"/>
      <c r="R16" s="636"/>
      <c r="S16" s="613"/>
      <c r="T16" s="614" t="s">
        <v>288</v>
      </c>
      <c r="U16" s="614"/>
      <c r="V16" s="636"/>
      <c r="W16" s="637"/>
      <c r="X16" s="612"/>
      <c r="Y16" s="613">
        <f t="shared" si="1"/>
        <v>0</v>
      </c>
      <c r="Z16" s="614" t="s">
        <v>288</v>
      </c>
      <c r="AA16" s="615">
        <f t="shared" si="2"/>
        <v>0</v>
      </c>
      <c r="AB16" s="616"/>
      <c r="AC16" s="617"/>
      <c r="AD16" s="618">
        <f t="shared" si="0"/>
        <v>49</v>
      </c>
      <c r="AE16" s="619" t="str">
        <f t="shared" si="3"/>
        <v>Vladimir Ogneštšikov</v>
      </c>
      <c r="AF16" s="620">
        <f>IFERROR(INDEX(M!$E:$E,MATCH(AE16,M!$B:$B,0)),"")</f>
        <v>49</v>
      </c>
    </row>
    <row r="17" spans="1:32" hidden="1" x14ac:dyDescent="0.2">
      <c r="A17" s="634">
        <v>10</v>
      </c>
      <c r="B17" s="635" t="s">
        <v>12</v>
      </c>
      <c r="C17" s="613"/>
      <c r="D17" s="614" t="s">
        <v>288</v>
      </c>
      <c r="E17" s="614"/>
      <c r="F17" s="636"/>
      <c r="G17" s="613"/>
      <c r="H17" s="614" t="s">
        <v>288</v>
      </c>
      <c r="I17" s="614"/>
      <c r="J17" s="636"/>
      <c r="K17" s="613"/>
      <c r="L17" s="614" t="s">
        <v>288</v>
      </c>
      <c r="M17" s="614"/>
      <c r="N17" s="636"/>
      <c r="O17" s="613"/>
      <c r="P17" s="614" t="s">
        <v>288</v>
      </c>
      <c r="Q17" s="614"/>
      <c r="R17" s="636"/>
      <c r="S17" s="613"/>
      <c r="T17" s="614" t="s">
        <v>288</v>
      </c>
      <c r="U17" s="614"/>
      <c r="V17" s="636"/>
      <c r="W17" s="637"/>
      <c r="X17" s="612"/>
      <c r="Y17" s="613">
        <f t="shared" si="1"/>
        <v>0</v>
      </c>
      <c r="Z17" s="614" t="s">
        <v>288</v>
      </c>
      <c r="AA17" s="615">
        <f t="shared" si="2"/>
        <v>0</v>
      </c>
      <c r="AB17" s="616"/>
      <c r="AC17" s="617"/>
      <c r="AD17" s="618">
        <f t="shared" si="0"/>
        <v>126</v>
      </c>
      <c r="AE17" s="619" t="str">
        <f t="shared" si="3"/>
        <v>Ivar Viljaste</v>
      </c>
      <c r="AF17" s="620">
        <f>IFERROR(INDEX(M!$E:$E,MATCH(AE17,M!$B:$B,0)),"")</f>
        <v>126</v>
      </c>
    </row>
    <row r="18" spans="1:32" hidden="1" x14ac:dyDescent="0.2">
      <c r="A18" s="634">
        <v>11</v>
      </c>
      <c r="B18" s="635" t="s">
        <v>150</v>
      </c>
      <c r="C18" s="613"/>
      <c r="D18" s="614" t="s">
        <v>288</v>
      </c>
      <c r="E18" s="614"/>
      <c r="F18" s="636"/>
      <c r="G18" s="613"/>
      <c r="H18" s="614" t="s">
        <v>288</v>
      </c>
      <c r="I18" s="614"/>
      <c r="J18" s="636"/>
      <c r="K18" s="613"/>
      <c r="L18" s="614" t="s">
        <v>288</v>
      </c>
      <c r="M18" s="614"/>
      <c r="N18" s="636"/>
      <c r="O18" s="613"/>
      <c r="P18" s="614" t="s">
        <v>288</v>
      </c>
      <c r="Q18" s="614"/>
      <c r="R18" s="636"/>
      <c r="S18" s="613"/>
      <c r="T18" s="614" t="s">
        <v>288</v>
      </c>
      <c r="U18" s="614"/>
      <c r="V18" s="636"/>
      <c r="W18" s="637"/>
      <c r="X18" s="612"/>
      <c r="Y18" s="613">
        <f t="shared" si="1"/>
        <v>0</v>
      </c>
      <c r="Z18" s="614" t="s">
        <v>288</v>
      </c>
      <c r="AA18" s="615">
        <f t="shared" si="2"/>
        <v>0</v>
      </c>
      <c r="AB18" s="616"/>
      <c r="AC18" s="617"/>
      <c r="AD18" s="618">
        <f t="shared" si="0"/>
        <v>12</v>
      </c>
      <c r="AE18" s="619" t="str">
        <f t="shared" si="3"/>
        <v>Heili Vasser</v>
      </c>
      <c r="AF18" s="620">
        <f>IFERROR(INDEX(M!$E:$E,MATCH(AE18,M!$B:$B,0)),"")</f>
        <v>12</v>
      </c>
    </row>
    <row r="19" spans="1:32" hidden="1" x14ac:dyDescent="0.2">
      <c r="A19" s="634">
        <v>12</v>
      </c>
      <c r="B19" s="635" t="s">
        <v>90</v>
      </c>
      <c r="C19" s="613"/>
      <c r="D19" s="614" t="s">
        <v>288</v>
      </c>
      <c r="E19" s="614"/>
      <c r="F19" s="636"/>
      <c r="G19" s="613"/>
      <c r="H19" s="614" t="s">
        <v>288</v>
      </c>
      <c r="I19" s="614"/>
      <c r="J19" s="636"/>
      <c r="K19" s="613"/>
      <c r="L19" s="614" t="s">
        <v>288</v>
      </c>
      <c r="M19" s="614"/>
      <c r="N19" s="636"/>
      <c r="O19" s="613"/>
      <c r="P19" s="614" t="s">
        <v>288</v>
      </c>
      <c r="Q19" s="614"/>
      <c r="R19" s="636"/>
      <c r="S19" s="613"/>
      <c r="T19" s="614" t="s">
        <v>288</v>
      </c>
      <c r="U19" s="614"/>
      <c r="V19" s="636"/>
      <c r="W19" s="637"/>
      <c r="X19" s="612"/>
      <c r="Y19" s="613">
        <f t="shared" si="1"/>
        <v>0</v>
      </c>
      <c r="Z19" s="614" t="s">
        <v>288</v>
      </c>
      <c r="AA19" s="615">
        <f t="shared" si="2"/>
        <v>0</v>
      </c>
      <c r="AB19" s="616"/>
      <c r="AC19" s="573"/>
      <c r="AD19" s="618">
        <f t="shared" si="0"/>
        <v>78</v>
      </c>
      <c r="AE19" s="619" t="str">
        <f t="shared" si="3"/>
        <v>Kenneth Muusikus</v>
      </c>
      <c r="AF19" s="620">
        <f>IFERROR(INDEX(M!$E:$E,MATCH(AE19,M!$B:$B,0)),"")</f>
        <v>78</v>
      </c>
    </row>
    <row r="20" spans="1:32" hidden="1" x14ac:dyDescent="0.2">
      <c r="A20" s="634">
        <v>13</v>
      </c>
      <c r="B20" s="635" t="s">
        <v>109</v>
      </c>
      <c r="C20" s="613"/>
      <c r="D20" s="614" t="s">
        <v>288</v>
      </c>
      <c r="E20" s="614"/>
      <c r="F20" s="636"/>
      <c r="G20" s="613"/>
      <c r="H20" s="614" t="s">
        <v>288</v>
      </c>
      <c r="I20" s="614"/>
      <c r="J20" s="636"/>
      <c r="K20" s="613"/>
      <c r="L20" s="614" t="s">
        <v>288</v>
      </c>
      <c r="M20" s="614"/>
      <c r="N20" s="636"/>
      <c r="O20" s="613"/>
      <c r="P20" s="614" t="s">
        <v>288</v>
      </c>
      <c r="Q20" s="614"/>
      <c r="R20" s="636"/>
      <c r="S20" s="613"/>
      <c r="T20" s="614" t="s">
        <v>288</v>
      </c>
      <c r="U20" s="614"/>
      <c r="V20" s="636"/>
      <c r="W20" s="637"/>
      <c r="X20" s="612"/>
      <c r="Y20" s="613">
        <f t="shared" si="1"/>
        <v>0</v>
      </c>
      <c r="Z20" s="614" t="s">
        <v>288</v>
      </c>
      <c r="AA20" s="615">
        <f t="shared" si="2"/>
        <v>0</v>
      </c>
      <c r="AB20" s="616"/>
      <c r="AC20" s="573"/>
      <c r="AD20" s="618">
        <f t="shared" si="0"/>
        <v>14</v>
      </c>
      <c r="AE20" s="619" t="str">
        <f t="shared" si="3"/>
        <v>Enn Tokman</v>
      </c>
      <c r="AF20" s="620">
        <f>IFERROR(INDEX(M!$E:$E,MATCH(AE20,M!$B:$B,0)),"")</f>
        <v>14</v>
      </c>
    </row>
    <row r="21" spans="1:32" hidden="1" x14ac:dyDescent="0.2">
      <c r="A21" s="634">
        <v>14</v>
      </c>
      <c r="B21" s="635" t="s">
        <v>122</v>
      </c>
      <c r="C21" s="613"/>
      <c r="D21" s="614" t="s">
        <v>288</v>
      </c>
      <c r="E21" s="614"/>
      <c r="F21" s="636"/>
      <c r="G21" s="613"/>
      <c r="H21" s="614" t="s">
        <v>288</v>
      </c>
      <c r="I21" s="614"/>
      <c r="J21" s="636"/>
      <c r="K21" s="613"/>
      <c r="L21" s="614" t="s">
        <v>288</v>
      </c>
      <c r="M21" s="614"/>
      <c r="N21" s="636"/>
      <c r="O21" s="613"/>
      <c r="P21" s="614" t="s">
        <v>288</v>
      </c>
      <c r="Q21" s="614"/>
      <c r="R21" s="636"/>
      <c r="S21" s="613"/>
      <c r="T21" s="614" t="s">
        <v>288</v>
      </c>
      <c r="U21" s="614"/>
      <c r="V21" s="636"/>
      <c r="W21" s="637"/>
      <c r="X21" s="612"/>
      <c r="Y21" s="613">
        <f t="shared" si="1"/>
        <v>0</v>
      </c>
      <c r="Z21" s="614" t="s">
        <v>288</v>
      </c>
      <c r="AA21" s="615">
        <f t="shared" si="2"/>
        <v>0</v>
      </c>
      <c r="AB21" s="616"/>
      <c r="AC21" s="573"/>
      <c r="AD21" s="618">
        <f t="shared" si="0"/>
        <v>15</v>
      </c>
      <c r="AE21" s="619" t="str">
        <f t="shared" si="3"/>
        <v>Liidia Põllu</v>
      </c>
      <c r="AF21" s="620">
        <f>IFERROR(INDEX(M!$E:$E,MATCH(AE21,M!$B:$B,0)),"")</f>
        <v>15</v>
      </c>
    </row>
    <row r="22" spans="1:32" hidden="1" x14ac:dyDescent="0.2">
      <c r="A22" s="634">
        <v>15</v>
      </c>
      <c r="B22" s="635" t="s">
        <v>124</v>
      </c>
      <c r="C22" s="613"/>
      <c r="D22" s="614" t="s">
        <v>288</v>
      </c>
      <c r="E22" s="614"/>
      <c r="F22" s="636"/>
      <c r="G22" s="613"/>
      <c r="H22" s="614" t="s">
        <v>288</v>
      </c>
      <c r="I22" s="614"/>
      <c r="J22" s="636"/>
      <c r="K22" s="613"/>
      <c r="L22" s="614" t="s">
        <v>288</v>
      </c>
      <c r="M22" s="614"/>
      <c r="N22" s="636"/>
      <c r="O22" s="613"/>
      <c r="P22" s="614" t="s">
        <v>288</v>
      </c>
      <c r="Q22" s="614"/>
      <c r="R22" s="636"/>
      <c r="S22" s="613"/>
      <c r="T22" s="614" t="s">
        <v>288</v>
      </c>
      <c r="U22" s="614"/>
      <c r="V22" s="636"/>
      <c r="W22" s="637"/>
      <c r="X22" s="612"/>
      <c r="Y22" s="613">
        <f t="shared" si="1"/>
        <v>0</v>
      </c>
      <c r="Z22" s="614" t="s">
        <v>288</v>
      </c>
      <c r="AA22" s="615">
        <f t="shared" si="2"/>
        <v>0</v>
      </c>
      <c r="AB22" s="616"/>
      <c r="AC22" s="573"/>
      <c r="AD22" s="618">
        <f t="shared" si="0"/>
        <v>4</v>
      </c>
      <c r="AE22" s="619" t="str">
        <f t="shared" si="3"/>
        <v>Illar Tõnurist</v>
      </c>
      <c r="AF22" s="620">
        <f>IFERROR(INDEX(M!$E:$E,MATCH(AE22,M!$B:$B,0)),"")</f>
        <v>4</v>
      </c>
    </row>
    <row r="23" spans="1:32" hidden="1" x14ac:dyDescent="0.2">
      <c r="A23" s="634">
        <v>16</v>
      </c>
      <c r="B23" s="635" t="s">
        <v>528</v>
      </c>
      <c r="C23" s="613"/>
      <c r="D23" s="614" t="s">
        <v>288</v>
      </c>
      <c r="E23" s="614"/>
      <c r="F23" s="636"/>
      <c r="G23" s="613"/>
      <c r="H23" s="614" t="s">
        <v>288</v>
      </c>
      <c r="I23" s="614"/>
      <c r="J23" s="636"/>
      <c r="K23" s="613"/>
      <c r="L23" s="614" t="s">
        <v>288</v>
      </c>
      <c r="M23" s="614"/>
      <c r="N23" s="636"/>
      <c r="O23" s="613"/>
      <c r="P23" s="614" t="s">
        <v>288</v>
      </c>
      <c r="Q23" s="614"/>
      <c r="R23" s="636"/>
      <c r="S23" s="613"/>
      <c r="T23" s="614" t="s">
        <v>288</v>
      </c>
      <c r="U23" s="614"/>
      <c r="V23" s="636"/>
      <c r="W23" s="637"/>
      <c r="X23" s="612"/>
      <c r="Y23" s="613">
        <f t="shared" si="1"/>
        <v>0</v>
      </c>
      <c r="Z23" s="614" t="s">
        <v>288</v>
      </c>
      <c r="AA23" s="615">
        <f t="shared" si="2"/>
        <v>0</v>
      </c>
      <c r="AB23" s="616"/>
      <c r="AC23" s="573"/>
      <c r="AD23" s="618">
        <f t="shared" si="0"/>
        <v>2</v>
      </c>
      <c r="AE23" s="619" t="str">
        <f t="shared" si="3"/>
        <v>Kristel Tihhonjuk</v>
      </c>
      <c r="AF23" s="620">
        <f>IFERROR(INDEX(M!$E:$E,MATCH(AE23,M!$B:$B,0)),"")</f>
        <v>2</v>
      </c>
    </row>
    <row r="25" spans="1:32" hidden="1" x14ac:dyDescent="0.2"/>
    <row r="26" spans="1:32" hidden="1" x14ac:dyDescent="0.2"/>
    <row r="27" spans="1:32"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row>
    <row r="28" spans="1:32"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row>
    <row r="29" spans="1:32"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row>
    <row r="30" spans="1:32"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row>
    <row r="31" spans="1:32"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row>
    <row r="32" spans="1:32"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row>
    <row r="33" spans="1:32"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row>
    <row r="34" spans="1:32"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row>
    <row r="35" spans="1:32"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row>
    <row r="36" spans="1:32"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row>
    <row r="37" spans="1:32"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row>
    <row r="38" spans="1:32"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row>
    <row r="39" spans="1:32"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row>
    <row r="40" spans="1:32"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row>
    <row r="41" spans="1:32"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row>
    <row r="42" spans="1:32"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row>
    <row r="43" spans="1:32"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row>
    <row r="44" spans="1:32"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row>
    <row r="45" spans="1:32"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row>
    <row r="46" spans="1:32"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row>
    <row r="47" spans="1:32"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row>
    <row r="48" spans="1:32"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row>
    <row r="49" spans="1:32"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row>
    <row r="50" spans="1:32"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row>
    <row r="51" spans="1:32"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row>
    <row r="52" spans="1:32"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row>
    <row r="53" spans="1:32"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row>
    <row r="54" spans="1:32"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row>
    <row r="55" spans="1:32"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row>
    <row r="56" spans="1:32"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row>
    <row r="57" spans="1:32"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row>
    <row r="58" spans="1:32"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row>
    <row r="59" spans="1:32"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row>
    <row r="60" spans="1:32"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row>
    <row r="61" spans="1:32"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row>
    <row r="62" spans="1:32"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row>
    <row r="63" spans="1:32"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row>
    <row r="64" spans="1:32"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row>
    <row r="65" spans="1:32"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row>
    <row r="66" spans="1:32"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row>
    <row r="67" spans="1:32"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row>
    <row r="68" spans="1:32"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row>
    <row r="69" spans="1:32"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row>
    <row r="70" spans="1:32"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row>
    <row r="71" spans="1:32"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row>
    <row r="72" spans="1:32"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row>
    <row r="73" spans="1:32"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row>
    <row r="74" spans="1:32"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row>
    <row r="75" spans="1:32"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row>
    <row r="76" spans="1:32"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row>
    <row r="77" spans="1:32"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row>
    <row r="78" spans="1:32"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row>
    <row r="79" spans="1:32"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row>
    <row r="80" spans="1:32"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row>
    <row r="81" spans="1:32"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row>
    <row r="82" spans="1:32"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row>
    <row r="83" spans="1:32"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row>
    <row r="84" spans="1:32"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row>
    <row r="85" spans="1:32"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row>
    <row r="86" spans="1:32"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row>
    <row r="87" spans="1:32"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row>
    <row r="88" spans="1:32"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row>
    <row r="89" spans="1:32"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row>
    <row r="90" spans="1:32"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row>
    <row r="91" spans="1:32"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row>
    <row r="92" spans="1:32"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row>
    <row r="93" spans="1:32"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row>
    <row r="94" spans="1:32"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row>
    <row r="95" spans="1:32"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row>
    <row r="96" spans="1:32"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row>
    <row r="97" spans="1:32"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row>
    <row r="98" spans="1:32"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row>
    <row r="99" spans="1:32"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row>
    <row r="100" spans="1:32"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row>
    <row r="101" spans="1:32"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row>
    <row r="102" spans="1:32"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row>
    <row r="103" spans="1:32"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row>
    <row r="104" spans="1:32"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row>
    <row r="105" spans="1:32"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row>
    <row r="106" spans="1:32"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row>
    <row r="107" spans="1:32"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row>
    <row r="108" spans="1:32"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row>
    <row r="109" spans="1:32"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row>
    <row r="110" spans="1:32"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row>
    <row r="111" spans="1:32"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row>
    <row r="112" spans="1:32"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row>
    <row r="113" spans="1:32"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row>
    <row r="114" spans="1:32"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row>
    <row r="115" spans="1:32"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row>
    <row r="116" spans="1:32"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row>
    <row r="117" spans="1:32"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row>
    <row r="118" spans="1:32"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row>
    <row r="119" spans="1:32"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row>
    <row r="120" spans="1:32"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row>
    <row r="121" spans="1:32"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row>
    <row r="122" spans="1:32"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row>
    <row r="123" spans="1:32"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row>
    <row r="124" spans="1:32"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row>
    <row r="125" spans="1:32"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row>
    <row r="126" spans="1:32"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row>
    <row r="127" spans="1:32"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row>
    <row r="128" spans="1:32"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row>
    <row r="129" spans="1:32"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row>
    <row r="130" spans="1:32"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row>
    <row r="131" spans="1:32"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row>
    <row r="132" spans="1:32"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row>
    <row r="133" spans="1:32"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row>
    <row r="134" spans="1:32"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row>
    <row r="135" spans="1:32"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row>
    <row r="136" spans="1:32"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row>
    <row r="137" spans="1:32"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row>
    <row r="138" spans="1:32"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row>
    <row r="139" spans="1:32"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row>
    <row r="140" spans="1:32"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row>
    <row r="141" spans="1:32"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row>
    <row r="142" spans="1:32"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row>
    <row r="143" spans="1:32"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row>
    <row r="144" spans="1:32"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row>
    <row r="145" spans="1:32"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row>
    <row r="146" spans="1:32"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row>
    <row r="147" spans="1:32"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row>
    <row r="148" spans="1:32"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row>
    <row r="149" spans="1:32"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row>
    <row r="150" spans="1:32"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row>
    <row r="151" spans="1:32"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row>
    <row r="152" spans="1:32"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row>
    <row r="153" spans="1:32"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row>
    <row r="154" spans="1:32"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row>
    <row r="155" spans="1:32"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row>
    <row r="156" spans="1:32"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row>
    <row r="157" spans="1:32"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row>
    <row r="158" spans="1:32"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row>
    <row r="159" spans="1:32"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row>
    <row r="160" spans="1:32"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row>
    <row r="161" spans="1:32"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row>
    <row r="162" spans="1:32"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row>
    <row r="163" spans="1:32"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row>
    <row r="164" spans="1:32"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row>
    <row r="165" spans="1:32"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row>
    <row r="166" spans="1:32"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row>
    <row r="167" spans="1:32"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row>
    <row r="168" spans="1:32"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row>
    <row r="169" spans="1:32"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row>
    <row r="170" spans="1:32"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row>
    <row r="171" spans="1:32"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row>
    <row r="172" spans="1:32"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row>
    <row r="173" spans="1:32"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row>
    <row r="174" spans="1:32"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row>
    <row r="175" spans="1:32"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row>
    <row r="176" spans="1:32"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row>
    <row r="177" spans="1:32"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row>
    <row r="178" spans="1:32"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row>
    <row r="179" spans="1:32"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row>
    <row r="180" spans="1:32"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row>
    <row r="181" spans="1:32"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row>
    <row r="182" spans="1:32"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row>
    <row r="183" spans="1:32"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row>
    <row r="184" spans="1:32"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row>
    <row r="185" spans="1:32"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row>
    <row r="186" spans="1:32"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row>
    <row r="187" spans="1:32"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row>
    <row r="188" spans="1:32"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row>
    <row r="189" spans="1:32"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row>
    <row r="190" spans="1:32"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row>
    <row r="191" spans="1:32"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row>
    <row r="192" spans="1:32"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row>
    <row r="193" spans="1:32"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row>
    <row r="194" spans="1:32"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row>
    <row r="195" spans="1:32"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row>
    <row r="196" spans="1:32"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row>
    <row r="197" spans="1:32"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row>
    <row r="198" spans="1:32"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row>
    <row r="199" spans="1:32"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row>
    <row r="200" spans="1:32"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row>
    <row r="201" spans="1:32"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row>
    <row r="202" spans="1:32"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row>
    <row r="203" spans="1:32"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row>
    <row r="204" spans="1:32"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row>
    <row r="205" spans="1:32"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row>
    <row r="206" spans="1:32"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row>
    <row r="207" spans="1:32"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row>
    <row r="208" spans="1:32"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row>
    <row r="209" spans="1:32"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row>
    <row r="210" spans="1:32"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row>
    <row r="211" spans="1:32"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row>
    <row r="212" spans="1:32"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row>
    <row r="213" spans="1:32"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row>
    <row r="214" spans="1:32"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row>
    <row r="215" spans="1:32"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row>
    <row r="216" spans="1:32"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row>
    <row r="217" spans="1:32"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row>
    <row r="218" spans="1:32"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row>
    <row r="219" spans="1:32"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row>
    <row r="220" spans="1:32"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row>
    <row r="221" spans="1:32"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row>
    <row r="222" spans="1:32"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row>
    <row r="223" spans="1:32"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row>
    <row r="224" spans="1:32"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row>
    <row r="225" spans="1:32"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row>
    <row r="226" spans="1:32"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row>
    <row r="227" spans="1:32"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row>
    <row r="228" spans="1:32"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row>
    <row r="229" spans="1:32"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row>
    <row r="230" spans="1:32"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row>
    <row r="231" spans="1:32"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row>
    <row r="232" spans="1:32"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row>
    <row r="233" spans="1:32"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row>
    <row r="234" spans="1:32"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row>
    <row r="235" spans="1:32"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row>
    <row r="236" spans="1:32"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row>
    <row r="237" spans="1:32"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row>
    <row r="238" spans="1:32"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row>
    <row r="239" spans="1:32"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row>
    <row r="240" spans="1:32"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row>
    <row r="241" spans="1:32"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row>
    <row r="242" spans="1:32"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row>
    <row r="243" spans="1:32"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row>
    <row r="244" spans="1:32"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row>
    <row r="245" spans="1:32"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row>
    <row r="246" spans="1:32"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row>
    <row r="247" spans="1:32"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row>
    <row r="248" spans="1:32"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row>
    <row r="249" spans="1:32"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row>
    <row r="250" spans="1:32"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row>
    <row r="251" spans="1:32"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row>
    <row r="252" spans="1:32"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row>
    <row r="253" spans="1:32"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row>
    <row r="254" spans="1:32"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row>
    <row r="255" spans="1:32"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row>
    <row r="256" spans="1:32"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row>
    <row r="257" spans="1:32"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row>
    <row r="258" spans="1:32"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row>
    <row r="259" spans="1:32"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row>
    <row r="260" spans="1:32"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row>
    <row r="261" spans="1:32"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row>
    <row r="262" spans="1:32"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row>
    <row r="263" spans="1:32"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row>
    <row r="264" spans="1:32"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row>
    <row r="265" spans="1:32"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row>
    <row r="266" spans="1:32"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row>
    <row r="267" spans="1:32"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row>
    <row r="268" spans="1:32"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row>
    <row r="269" spans="1:32"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row>
    <row r="270" spans="1:32"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row>
    <row r="271" spans="1:32"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row>
    <row r="272" spans="1:32"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row>
    <row r="273" spans="1:32"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row>
    <row r="274" spans="1:32"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row>
    <row r="275" spans="1:32"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row>
    <row r="276" spans="1:32"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row>
    <row r="277" spans="1:32"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row>
    <row r="278" spans="1:32"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row>
    <row r="279" spans="1:32"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row>
    <row r="280" spans="1:32"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row>
    <row r="281" spans="1:32"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row>
    <row r="282" spans="1:32"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row>
    <row r="283" spans="1:32"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row>
    <row r="284" spans="1:32"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row>
    <row r="285" spans="1:32"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row>
    <row r="286" spans="1:32"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row>
    <row r="287" spans="1:32"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row>
    <row r="288" spans="1:32"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row>
    <row r="289" spans="1:32"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row>
    <row r="290" spans="1:32"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row>
    <row r="291" spans="1:32"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row>
    <row r="292" spans="1:32"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row>
    <row r="293" spans="1:32"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row>
    <row r="294" spans="1:32" hidden="1" x14ac:dyDescent="0.2"/>
    <row r="295" spans="1:32" hidden="1" x14ac:dyDescent="0.2"/>
    <row r="296" spans="1:32" hidden="1" x14ac:dyDescent="0.2"/>
    <row r="297" spans="1:32" hidden="1" x14ac:dyDescent="0.2"/>
    <row r="299" spans="1:32" x14ac:dyDescent="0.2">
      <c r="A299" s="573"/>
      <c r="B299" s="573"/>
      <c r="C299" s="584" t="s">
        <v>54</v>
      </c>
      <c r="F299" s="626" t="s">
        <v>68</v>
      </c>
    </row>
    <row r="300" spans="1:32" x14ac:dyDescent="0.2">
      <c r="A300" s="627">
        <v>1</v>
      </c>
      <c r="B300" s="628" t="str">
        <f t="shared" ref="B300:B315" si="4">IFERROR(INDEX(B$1:B$85,MATCH(A300,A$1:A$85,0)),"")</f>
        <v>Aarne Välja</v>
      </c>
      <c r="C300" s="629">
        <v>40</v>
      </c>
      <c r="F300" s="626">
        <v>5</v>
      </c>
    </row>
    <row r="301" spans="1:32" x14ac:dyDescent="0.2">
      <c r="A301" s="627">
        <v>2</v>
      </c>
      <c r="B301" s="628" t="str">
        <f t="shared" si="4"/>
        <v>Olav Türk</v>
      </c>
      <c r="C301" s="629">
        <v>34</v>
      </c>
      <c r="F301" s="626">
        <v>4</v>
      </c>
    </row>
    <row r="302" spans="1:32" x14ac:dyDescent="0.2">
      <c r="A302" s="627">
        <v>3</v>
      </c>
      <c r="B302" s="628" t="str">
        <f t="shared" si="4"/>
        <v>Vadim Tihhonjuk</v>
      </c>
      <c r="C302" s="629">
        <v>30</v>
      </c>
      <c r="F302" s="626">
        <v>4</v>
      </c>
    </row>
    <row r="303" spans="1:32" x14ac:dyDescent="0.2">
      <c r="A303" s="627">
        <v>4</v>
      </c>
      <c r="B303" s="628" t="str">
        <f t="shared" si="4"/>
        <v>Sirje Maala</v>
      </c>
      <c r="C303" s="629">
        <v>26</v>
      </c>
      <c r="F303" s="626">
        <v>3</v>
      </c>
    </row>
    <row r="304" spans="1:32" x14ac:dyDescent="0.2">
      <c r="A304" s="627">
        <v>5</v>
      </c>
      <c r="B304" s="628" t="str">
        <f t="shared" si="4"/>
        <v>Andres Veski</v>
      </c>
      <c r="C304" s="629">
        <v>24</v>
      </c>
      <c r="F304" s="626">
        <v>3</v>
      </c>
    </row>
    <row r="305" spans="1:6" x14ac:dyDescent="0.2">
      <c r="A305" s="627">
        <v>6</v>
      </c>
      <c r="B305" s="628" t="str">
        <f t="shared" si="4"/>
        <v>Vello Vasser</v>
      </c>
      <c r="C305" s="629">
        <v>22</v>
      </c>
      <c r="F305" s="626">
        <v>3</v>
      </c>
    </row>
    <row r="306" spans="1:6" x14ac:dyDescent="0.2">
      <c r="A306" s="627">
        <v>7</v>
      </c>
      <c r="B306" s="628" t="str">
        <f t="shared" si="4"/>
        <v>Marko Rooden</v>
      </c>
      <c r="C306" s="629">
        <v>20</v>
      </c>
      <c r="F306" s="626">
        <v>3</v>
      </c>
    </row>
    <row r="307" spans="1:6" x14ac:dyDescent="0.2">
      <c r="A307" s="627">
        <v>8</v>
      </c>
      <c r="B307" s="628" t="str">
        <f t="shared" si="4"/>
        <v>Jaan Sepp</v>
      </c>
      <c r="C307" s="629">
        <v>18</v>
      </c>
      <c r="F307" s="626">
        <v>2</v>
      </c>
    </row>
    <row r="308" spans="1:6" x14ac:dyDescent="0.2">
      <c r="A308" s="627">
        <v>9</v>
      </c>
      <c r="B308" s="628" t="str">
        <f t="shared" si="4"/>
        <v>Vladimir Ogneštšikov</v>
      </c>
      <c r="C308" s="629">
        <v>16</v>
      </c>
      <c r="F308" s="626">
        <v>2</v>
      </c>
    </row>
    <row r="309" spans="1:6" x14ac:dyDescent="0.2">
      <c r="A309" s="627">
        <v>10</v>
      </c>
      <c r="B309" s="628" t="str">
        <f t="shared" si="4"/>
        <v>Ivar Viljaste</v>
      </c>
      <c r="C309" s="616">
        <v>14</v>
      </c>
      <c r="F309" s="626">
        <v>2</v>
      </c>
    </row>
    <row r="310" spans="1:6" x14ac:dyDescent="0.2">
      <c r="A310" s="627">
        <v>11</v>
      </c>
      <c r="B310" s="628" t="str">
        <f t="shared" si="4"/>
        <v>Heili Vasser</v>
      </c>
      <c r="C310" s="616">
        <v>12</v>
      </c>
      <c r="F310" s="626">
        <v>2</v>
      </c>
    </row>
    <row r="311" spans="1:6" x14ac:dyDescent="0.2">
      <c r="A311" s="627">
        <v>12</v>
      </c>
      <c r="B311" s="628" t="str">
        <f t="shared" si="4"/>
        <v>Kenneth Muusikus</v>
      </c>
      <c r="C311" s="616">
        <v>10</v>
      </c>
      <c r="F311" s="626">
        <v>2</v>
      </c>
    </row>
    <row r="312" spans="1:6" x14ac:dyDescent="0.2">
      <c r="A312" s="627">
        <v>13</v>
      </c>
      <c r="B312" s="628" t="str">
        <f t="shared" si="4"/>
        <v>Enn Tokman</v>
      </c>
      <c r="C312" s="616">
        <v>8</v>
      </c>
      <c r="F312" s="626">
        <v>2</v>
      </c>
    </row>
    <row r="313" spans="1:6" x14ac:dyDescent="0.2">
      <c r="A313" s="627">
        <v>14</v>
      </c>
      <c r="B313" s="628" t="str">
        <f t="shared" si="4"/>
        <v>Liidia Põllu</v>
      </c>
      <c r="C313" s="616">
        <v>6</v>
      </c>
      <c r="F313" s="626">
        <v>1</v>
      </c>
    </row>
    <row r="314" spans="1:6" x14ac:dyDescent="0.2">
      <c r="A314" s="627">
        <v>15</v>
      </c>
      <c r="B314" s="628" t="str">
        <f t="shared" si="4"/>
        <v>Illar Tõnurist</v>
      </c>
      <c r="C314" s="616">
        <v>4</v>
      </c>
      <c r="F314" s="626">
        <v>1</v>
      </c>
    </row>
    <row r="315" spans="1:6" x14ac:dyDescent="0.2">
      <c r="A315" s="627">
        <v>16</v>
      </c>
      <c r="B315" s="628" t="str">
        <f t="shared" si="4"/>
        <v>Kristel Tihhonjuk</v>
      </c>
      <c r="C315" s="616">
        <v>2</v>
      </c>
      <c r="F315" s="626">
        <v>1</v>
      </c>
    </row>
  </sheetData>
  <conditionalFormatting sqref="C8:C23">
    <cfRule type="expression" dxfId="76" priority="13">
      <formula>IF($C8&gt;$E8,TRUE)</formula>
    </cfRule>
  </conditionalFormatting>
  <conditionalFormatting sqref="E8:E23">
    <cfRule type="expression" dxfId="75" priority="14">
      <formula>IF($C8&lt;$E8,TRUE)</formula>
    </cfRule>
  </conditionalFormatting>
  <conditionalFormatting sqref="K8:K23">
    <cfRule type="expression" dxfId="74" priority="21">
      <formula>IF($K8&gt;$M8,TRUE)</formula>
    </cfRule>
  </conditionalFormatting>
  <conditionalFormatting sqref="M8:M23">
    <cfRule type="expression" dxfId="73" priority="22">
      <formula>IF($K8&lt;$M8,TRUE)</formula>
    </cfRule>
  </conditionalFormatting>
  <conditionalFormatting sqref="O8:O23">
    <cfRule type="expression" dxfId="72" priority="25">
      <formula>IF($O8&gt;$Q8,TRUE)</formula>
    </cfRule>
  </conditionalFormatting>
  <conditionalFormatting sqref="Q8:Q23">
    <cfRule type="expression" dxfId="71" priority="26">
      <formula>IF($O8&lt;$Q8,TRUE)</formula>
    </cfRule>
  </conditionalFormatting>
  <conditionalFormatting sqref="S8:S23">
    <cfRule type="expression" dxfId="70" priority="29">
      <formula>IF($S8&gt;$U8,TRUE)</formula>
    </cfRule>
  </conditionalFormatting>
  <conditionalFormatting sqref="U8:U23">
    <cfRule type="expression" dxfId="69" priority="30">
      <formula>IF($S8&lt;$U8,TRUE)</formula>
    </cfRule>
  </conditionalFormatting>
  <conditionalFormatting sqref="G8:G23">
    <cfRule type="expression" dxfId="68" priority="17">
      <formula>IF($G8&gt;$I8,TRUE)</formula>
    </cfRule>
  </conditionalFormatting>
  <conditionalFormatting sqref="I8:I23">
    <cfRule type="expression" dxfId="67" priority="18">
      <formula>IF($G8&lt;$I8,TRUE)</formula>
    </cfRule>
  </conditionalFormatting>
  <conditionalFormatting sqref="F8:F23">
    <cfRule type="containsText" dxfId="66" priority="4" operator="containsText" text="vaba voor">
      <formula>NOT(ISERROR(SEARCH("vaba voor",F8)))</formula>
    </cfRule>
  </conditionalFormatting>
  <conditionalFormatting sqref="N8:N23">
    <cfRule type="containsText" dxfId="65" priority="2" operator="containsText" text="vaba voor">
      <formula>NOT(ISERROR(SEARCH("vaba voor",N8)))</formula>
    </cfRule>
  </conditionalFormatting>
  <conditionalFormatting sqref="R8:R23">
    <cfRule type="containsText" dxfId="64" priority="5" operator="containsText" text="vaba voor">
      <formula>NOT(ISERROR(SEARCH("vaba voor",R8)))</formula>
    </cfRule>
  </conditionalFormatting>
  <conditionalFormatting sqref="V8:V23">
    <cfRule type="containsText" dxfId="63" priority="1" operator="containsText" text="vaba voor">
      <formula>NOT(ISERROR(SEARCH("vaba voor",V8)))</formula>
    </cfRule>
  </conditionalFormatting>
  <conditionalFormatting sqref="J8:J23">
    <cfRule type="containsText" dxfId="62" priority="3" operator="containsText" text="vaba voor">
      <formula>NOT(ISERROR(SEARCH("vaba voor",J8)))</formula>
    </cfRule>
  </conditionalFormatting>
  <conditionalFormatting sqref="C8:F23">
    <cfRule type="expression" dxfId="61" priority="9">
      <formula>IF(AND(ISNUMBER($C8),$C8=$E8),TRUE)</formula>
    </cfRule>
    <cfRule type="expression" dxfId="60" priority="11">
      <formula>IF($C8&gt;$E8,TRUE)</formula>
    </cfRule>
    <cfRule type="expression" dxfId="59" priority="12">
      <formula>IF($C8&lt;$E8,TRUE)</formula>
    </cfRule>
  </conditionalFormatting>
  <conditionalFormatting sqref="G8:J23">
    <cfRule type="expression" dxfId="58" priority="10">
      <formula>IF(AND(ISNUMBER($G8),$G8=$I8),TRUE)</formula>
    </cfRule>
    <cfRule type="expression" dxfId="57" priority="15">
      <formula>IF($G8&gt;$I8,TRUE)</formula>
    </cfRule>
    <cfRule type="expression" dxfId="56" priority="16">
      <formula>IF($G8&lt;$I8,TRUE)</formula>
    </cfRule>
  </conditionalFormatting>
  <conditionalFormatting sqref="K8:N23">
    <cfRule type="expression" dxfId="55" priority="8">
      <formula>IF(AND(ISNUMBER($K8),$K8=$M8),TRUE)</formula>
    </cfRule>
    <cfRule type="expression" dxfId="54" priority="19">
      <formula>IF($K8&gt;$M8,TRUE)</formula>
    </cfRule>
    <cfRule type="expression" dxfId="53" priority="20">
      <formula>IF($K8&lt;$M8,TRUE)</formula>
    </cfRule>
  </conditionalFormatting>
  <conditionalFormatting sqref="O8:R23">
    <cfRule type="expression" dxfId="52" priority="7">
      <formula>IF(AND(ISNUMBER($O8),$O8=$Q8),TRUE)</formula>
    </cfRule>
    <cfRule type="expression" dxfId="51" priority="23">
      <formula>IF($O8&gt;$Q8,TRUE)</formula>
    </cfRule>
    <cfRule type="expression" dxfId="50" priority="24">
      <formula>IF($O8&lt;$Q8,TRUE)</formula>
    </cfRule>
  </conditionalFormatting>
  <conditionalFormatting sqref="S8:V23">
    <cfRule type="expression" dxfId="49" priority="6">
      <formula>IF(AND(ISNUMBER($S8),$S8=$U8),TRUE)</formula>
    </cfRule>
    <cfRule type="expression" dxfId="48" priority="27">
      <formula>IF($S8&gt;$U8,TRUE)</formula>
    </cfRule>
    <cfRule type="expression" dxfId="47" priority="28">
      <formula>IF($S8&lt;$U8,TRUE)</formula>
    </cfRule>
  </conditionalFormatting>
  <conditionalFormatting sqref="A300:A315">
    <cfRule type="duplicateValues" dxfId="46" priority="31"/>
  </conditionalFormatting>
  <conditionalFormatting sqref="A8:A23">
    <cfRule type="duplicateValues" dxfId="45" priority="32"/>
  </conditionalFormatting>
  <conditionalFormatting sqref="B300:B315">
    <cfRule type="expression" dxfId="44" priority="33">
      <formula>A300=3</formula>
    </cfRule>
    <cfRule type="expression" dxfId="43" priority="34">
      <formula>A300=2</formula>
    </cfRule>
    <cfRule type="expression" dxfId="42" priority="35">
      <formula>A300=1</formula>
    </cfRule>
    <cfRule type="containsBlanks" dxfId="41" priority="36">
      <formula>LEN(TRIM(B300))=0</formula>
    </cfRule>
    <cfRule type="duplicateValues" dxfId="40" priority="37"/>
  </conditionalFormatting>
  <conditionalFormatting sqref="AE8:AE23">
    <cfRule type="expression" dxfId="39" priority="38">
      <formula>AND(AF8="",COUNTIF(AE8,"*,*")=0)</formula>
    </cfRule>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AF319"/>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3" width="4.7109375" style="581" customWidth="1"/>
    <col min="4" max="4" width="1.140625" style="581" customWidth="1"/>
    <col min="5" max="5" width="2.7109375" style="581" customWidth="1"/>
    <col min="6" max="6" width="6.28515625" style="581" customWidth="1"/>
    <col min="7" max="7" width="2.7109375" style="581" customWidth="1"/>
    <col min="8" max="8" width="1.140625" style="581" customWidth="1"/>
    <col min="9" max="9" width="2.7109375" style="581" customWidth="1"/>
    <col min="10" max="10" width="6.28515625" style="581" customWidth="1"/>
    <col min="11" max="11" width="2.7109375" style="581" customWidth="1"/>
    <col min="12" max="12" width="1.140625" style="581" customWidth="1"/>
    <col min="13" max="13" width="2.7109375" style="581" customWidth="1"/>
    <col min="14" max="14" width="6.28515625" style="581" customWidth="1"/>
    <col min="15" max="15" width="2.7109375" style="581" customWidth="1"/>
    <col min="16" max="16" width="1.140625" style="581" customWidth="1"/>
    <col min="17" max="17" width="2.7109375" style="581" customWidth="1"/>
    <col min="18" max="18" width="6.28515625" style="581" customWidth="1"/>
    <col min="19" max="19" width="2.7109375" style="581" customWidth="1"/>
    <col min="20" max="20" width="1.140625" style="581" customWidth="1"/>
    <col min="21" max="21" width="2.7109375" style="581" customWidth="1"/>
    <col min="22" max="22" width="6.28515625" style="581" customWidth="1"/>
    <col min="23" max="23" width="5.7109375" style="581" customWidth="1"/>
    <col min="24" max="24" width="5.5703125" style="581" hidden="1" customWidth="1"/>
    <col min="25" max="25" width="2.7109375" style="581" hidden="1" customWidth="1"/>
    <col min="26" max="26" width="1.140625" style="581" hidden="1" customWidth="1"/>
    <col min="27" max="27" width="2.7109375" style="581" hidden="1" customWidth="1"/>
    <col min="28" max="28" width="4.7109375" style="581" hidden="1" customWidth="1"/>
    <col min="29" max="29" width="9.140625" style="581"/>
    <col min="30" max="30" width="9.140625" style="581" hidden="1" customWidth="1"/>
    <col min="31" max="31" width="18.7109375" style="581" hidden="1" customWidth="1"/>
    <col min="32" max="32" width="9.140625" style="581" hidden="1" customWidth="1"/>
    <col min="33" max="16384" width="9.140625" style="581"/>
  </cols>
  <sheetData>
    <row r="1" spans="1:32" x14ac:dyDescent="0.2">
      <c r="A1" s="572" t="str">
        <f>UPPER((Kalend!E7)&amp;" - "&amp;(Kalend!C7)&amp;" - "&amp;(Kalend!D7))</f>
        <v>M1 - MAIDU KARIKAS, 1. ETAPP - ÜKSIK</v>
      </c>
      <c r="B1" s="573"/>
      <c r="C1" s="574"/>
      <c r="D1" s="573"/>
      <c r="E1" s="573"/>
      <c r="F1" s="575"/>
      <c r="G1" s="575"/>
      <c r="H1" s="575"/>
      <c r="I1" s="575"/>
      <c r="J1" s="576"/>
      <c r="K1" s="577"/>
      <c r="L1" s="578"/>
      <c r="M1" s="579"/>
      <c r="N1" s="579"/>
      <c r="O1" s="573"/>
      <c r="P1" s="573"/>
      <c r="Q1" s="577"/>
      <c r="R1" s="577"/>
      <c r="S1" s="577"/>
      <c r="T1" s="578"/>
      <c r="U1" s="578"/>
      <c r="V1" s="578"/>
      <c r="W1" s="573"/>
      <c r="X1" s="580"/>
      <c r="Y1" s="573"/>
      <c r="Z1" s="573"/>
      <c r="AA1" s="573"/>
      <c r="AB1" s="573"/>
      <c r="AD1" s="582" t="s">
        <v>53</v>
      </c>
      <c r="AE1" s="580"/>
      <c r="AF1" s="580"/>
    </row>
    <row r="2" spans="1:32" x14ac:dyDescent="0.2">
      <c r="A2" s="583" t="str">
        <f>"Toimumisaeg: "&amp;(Kalend!A7)&amp;" kell "&amp;(Kalend!B7)</f>
        <v>Toimumisaeg: L, 28.05.2022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84"/>
      <c r="AB2" s="573"/>
      <c r="AD2" s="573"/>
      <c r="AE2" s="573"/>
      <c r="AF2" s="573"/>
    </row>
    <row r="3" spans="1:32" x14ac:dyDescent="0.2">
      <c r="A3" s="583" t="str">
        <f>"Toimumiskoht: "&amp;(Kalend!F7)</f>
        <v>Toimumiskoht: K-Järve spordihoone</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D3" s="573"/>
      <c r="AE3" s="573"/>
      <c r="AF3" s="573"/>
    </row>
    <row r="4" spans="1:32" x14ac:dyDescent="0.2">
      <c r="A4" s="583" t="str">
        <f>"Korraldaja: "&amp;(Kalend!G7)</f>
        <v>Korraldaja: Ivar Viljaste</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D4" s="591" t="s">
        <v>273</v>
      </c>
      <c r="AF4" s="583"/>
    </row>
    <row r="5" spans="1:32"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94" t="s">
        <v>310</v>
      </c>
      <c r="AE5" s="595" t="s">
        <v>77</v>
      </c>
      <c r="AF5" s="596"/>
    </row>
    <row r="6" spans="1:32" hidden="1"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94" t="s">
        <v>275</v>
      </c>
      <c r="AF6" s="595"/>
    </row>
    <row r="7" spans="1:32" hidden="1" x14ac:dyDescent="0.2">
      <c r="A7" s="597" t="s">
        <v>78</v>
      </c>
      <c r="B7" s="597" t="s">
        <v>77</v>
      </c>
      <c r="C7" s="598" t="s">
        <v>280</v>
      </c>
      <c r="D7" s="599"/>
      <c r="E7" s="599"/>
      <c r="F7" s="600"/>
      <c r="G7" s="598" t="s">
        <v>281</v>
      </c>
      <c r="H7" s="599"/>
      <c r="I7" s="599"/>
      <c r="J7" s="600"/>
      <c r="K7" s="598" t="s">
        <v>282</v>
      </c>
      <c r="L7" s="599"/>
      <c r="M7" s="599"/>
      <c r="N7" s="600"/>
      <c r="O7" s="598" t="s">
        <v>283</v>
      </c>
      <c r="P7" s="599"/>
      <c r="Q7" s="599"/>
      <c r="R7" s="600"/>
      <c r="S7" s="598" t="s">
        <v>284</v>
      </c>
      <c r="T7" s="599"/>
      <c r="U7" s="599"/>
      <c r="V7" s="600"/>
      <c r="W7" s="597" t="s">
        <v>68</v>
      </c>
      <c r="X7" s="601" t="s">
        <v>285</v>
      </c>
      <c r="Y7" s="601"/>
      <c r="Z7" s="602" t="s">
        <v>286</v>
      </c>
      <c r="AA7" s="603"/>
      <c r="AB7" s="604" t="s">
        <v>344</v>
      </c>
      <c r="AD7" s="605"/>
      <c r="AE7" s="596"/>
      <c r="AF7" s="596"/>
    </row>
    <row r="8" spans="1:32" hidden="1" x14ac:dyDescent="0.2">
      <c r="A8" s="606">
        <v>1</v>
      </c>
      <c r="B8" s="607" t="s">
        <v>116</v>
      </c>
      <c r="C8" s="608"/>
      <c r="D8" s="609" t="s">
        <v>288</v>
      </c>
      <c r="E8" s="609"/>
      <c r="F8" s="610"/>
      <c r="G8" s="608"/>
      <c r="H8" s="609" t="s">
        <v>288</v>
      </c>
      <c r="I8" s="609"/>
      <c r="J8" s="610"/>
      <c r="K8" s="608"/>
      <c r="L8" s="609" t="s">
        <v>288</v>
      </c>
      <c r="M8" s="609"/>
      <c r="N8" s="610"/>
      <c r="O8" s="608"/>
      <c r="P8" s="609" t="s">
        <v>288</v>
      </c>
      <c r="Q8" s="609"/>
      <c r="R8" s="610"/>
      <c r="S8" s="608"/>
      <c r="T8" s="609" t="s">
        <v>288</v>
      </c>
      <c r="U8" s="609"/>
      <c r="V8" s="610"/>
      <c r="W8" s="611"/>
      <c r="X8" s="612"/>
      <c r="Y8" s="613">
        <f>C8+G8+K8+O8+S8</f>
        <v>0</v>
      </c>
      <c r="Z8" s="614" t="s">
        <v>288</v>
      </c>
      <c r="AA8" s="615">
        <f>E8+I8+M8+Q8+U8</f>
        <v>0</v>
      </c>
      <c r="AB8" s="616"/>
      <c r="AC8" s="617"/>
      <c r="AD8" s="618">
        <f t="shared" ref="AD8" si="0">SUM(AF8:AF8)</f>
        <v>47</v>
      </c>
      <c r="AE8" s="619" t="str">
        <f>$B8</f>
        <v>Kaspar Mänd</v>
      </c>
      <c r="AF8" s="620">
        <f>IFERROR(INDEX(M!$E:$E,MATCH(AE8,M!$B:$B,0)),"")</f>
        <v>47</v>
      </c>
    </row>
    <row r="9" spans="1:32" hidden="1" x14ac:dyDescent="0.2">
      <c r="A9" s="606">
        <v>2</v>
      </c>
      <c r="B9" s="607" t="s">
        <v>92</v>
      </c>
      <c r="C9" s="608"/>
      <c r="D9" s="609" t="s">
        <v>288</v>
      </c>
      <c r="E9" s="609"/>
      <c r="F9" s="610"/>
      <c r="G9" s="608"/>
      <c r="H9" s="609" t="s">
        <v>288</v>
      </c>
      <c r="I9" s="609"/>
      <c r="J9" s="610"/>
      <c r="K9" s="608"/>
      <c r="L9" s="609" t="s">
        <v>288</v>
      </c>
      <c r="M9" s="609"/>
      <c r="N9" s="610"/>
      <c r="O9" s="608"/>
      <c r="P9" s="609" t="s">
        <v>288</v>
      </c>
      <c r="Q9" s="609"/>
      <c r="R9" s="610"/>
      <c r="S9" s="608"/>
      <c r="T9" s="609" t="s">
        <v>288</v>
      </c>
      <c r="U9" s="609"/>
      <c r="V9" s="610"/>
      <c r="W9" s="611"/>
      <c r="X9" s="612"/>
      <c r="Y9" s="613">
        <f t="shared" ref="Y9:Y25" si="1">C9+G9+K9+O9+S9</f>
        <v>0</v>
      </c>
      <c r="Z9" s="614" t="s">
        <v>288</v>
      </c>
      <c r="AA9" s="615">
        <f t="shared" ref="AA9:AA25" si="2">E9+I9+M9+Q9+U9</f>
        <v>0</v>
      </c>
      <c r="AB9" s="616"/>
      <c r="AC9" s="617"/>
      <c r="AD9" s="618">
        <f t="shared" ref="AD9:AD27" si="3">SUM(AF9:AF9)</f>
        <v>81</v>
      </c>
      <c r="AE9" s="619" t="str">
        <f t="shared" ref="AE9:AE27" si="4">$B9</f>
        <v>Andres Veski</v>
      </c>
      <c r="AF9" s="620">
        <f>IFERROR(INDEX(M!$E:$E,MATCH(AE9,M!$B:$B,0)),"")</f>
        <v>81</v>
      </c>
    </row>
    <row r="10" spans="1:32" hidden="1" x14ac:dyDescent="0.2">
      <c r="A10" s="606">
        <v>3</v>
      </c>
      <c r="B10" s="607" t="s">
        <v>87</v>
      </c>
      <c r="C10" s="608"/>
      <c r="D10" s="609" t="s">
        <v>288</v>
      </c>
      <c r="E10" s="609"/>
      <c r="F10" s="610"/>
      <c r="G10" s="608"/>
      <c r="H10" s="609" t="s">
        <v>288</v>
      </c>
      <c r="I10" s="609"/>
      <c r="J10" s="610"/>
      <c r="K10" s="608"/>
      <c r="L10" s="609" t="s">
        <v>288</v>
      </c>
      <c r="M10" s="609"/>
      <c r="N10" s="610"/>
      <c r="O10" s="608"/>
      <c r="P10" s="609" t="s">
        <v>288</v>
      </c>
      <c r="Q10" s="609"/>
      <c r="R10" s="610"/>
      <c r="S10" s="608"/>
      <c r="T10" s="609" t="s">
        <v>288</v>
      </c>
      <c r="U10" s="609"/>
      <c r="V10" s="610"/>
      <c r="W10" s="611"/>
      <c r="X10" s="612"/>
      <c r="Y10" s="613">
        <f t="shared" si="1"/>
        <v>0</v>
      </c>
      <c r="Z10" s="614" t="s">
        <v>288</v>
      </c>
      <c r="AA10" s="615">
        <f t="shared" si="2"/>
        <v>0</v>
      </c>
      <c r="AB10" s="616"/>
      <c r="AC10" s="617"/>
      <c r="AD10" s="618">
        <f t="shared" si="3"/>
        <v>56</v>
      </c>
      <c r="AE10" s="619" t="str">
        <f t="shared" si="4"/>
        <v>Matti Vinni</v>
      </c>
      <c r="AF10" s="620">
        <f>IFERROR(INDEX(M!$E:$E,MATCH(AE10,M!$B:$B,0)),"")</f>
        <v>56</v>
      </c>
    </row>
    <row r="11" spans="1:32" hidden="1" x14ac:dyDescent="0.2">
      <c r="A11" s="606">
        <v>4</v>
      </c>
      <c r="B11" s="607" t="s">
        <v>12</v>
      </c>
      <c r="C11" s="608"/>
      <c r="D11" s="609" t="s">
        <v>288</v>
      </c>
      <c r="E11" s="609"/>
      <c r="F11" s="610"/>
      <c r="G11" s="608"/>
      <c r="H11" s="609" t="s">
        <v>288</v>
      </c>
      <c r="I11" s="609"/>
      <c r="J11" s="610"/>
      <c r="K11" s="608"/>
      <c r="L11" s="609" t="s">
        <v>288</v>
      </c>
      <c r="M11" s="609"/>
      <c r="N11" s="610"/>
      <c r="O11" s="608"/>
      <c r="P11" s="609" t="s">
        <v>288</v>
      </c>
      <c r="Q11" s="609"/>
      <c r="R11" s="610"/>
      <c r="S11" s="608"/>
      <c r="T11" s="609" t="s">
        <v>288</v>
      </c>
      <c r="U11" s="609"/>
      <c r="V11" s="610"/>
      <c r="W11" s="611"/>
      <c r="X11" s="612"/>
      <c r="Y11" s="613">
        <f t="shared" si="1"/>
        <v>0</v>
      </c>
      <c r="Z11" s="614" t="s">
        <v>288</v>
      </c>
      <c r="AA11" s="615">
        <f t="shared" si="2"/>
        <v>0</v>
      </c>
      <c r="AB11" s="616"/>
      <c r="AC11" s="617"/>
      <c r="AD11" s="618">
        <f t="shared" si="3"/>
        <v>126</v>
      </c>
      <c r="AE11" s="619" t="str">
        <f t="shared" si="4"/>
        <v>Ivar Viljaste</v>
      </c>
      <c r="AF11" s="620">
        <f>IFERROR(INDEX(M!$E:$E,MATCH(AE11,M!$B:$B,0)),"")</f>
        <v>126</v>
      </c>
    </row>
    <row r="12" spans="1:32" hidden="1" x14ac:dyDescent="0.2">
      <c r="A12" s="606">
        <v>5</v>
      </c>
      <c r="B12" s="607" t="s">
        <v>95</v>
      </c>
      <c r="C12" s="608"/>
      <c r="D12" s="609" t="s">
        <v>288</v>
      </c>
      <c r="E12" s="609"/>
      <c r="F12" s="610"/>
      <c r="G12" s="608"/>
      <c r="H12" s="609" t="s">
        <v>288</v>
      </c>
      <c r="I12" s="609"/>
      <c r="J12" s="610"/>
      <c r="K12" s="608"/>
      <c r="L12" s="609" t="s">
        <v>288</v>
      </c>
      <c r="M12" s="609"/>
      <c r="N12" s="610"/>
      <c r="O12" s="608"/>
      <c r="P12" s="609" t="s">
        <v>288</v>
      </c>
      <c r="Q12" s="609"/>
      <c r="R12" s="610"/>
      <c r="S12" s="608"/>
      <c r="T12" s="609" t="s">
        <v>288</v>
      </c>
      <c r="U12" s="609"/>
      <c r="V12" s="610"/>
      <c r="W12" s="611"/>
      <c r="X12" s="612"/>
      <c r="Y12" s="613">
        <f t="shared" si="1"/>
        <v>0</v>
      </c>
      <c r="Z12" s="614" t="s">
        <v>288</v>
      </c>
      <c r="AA12" s="615">
        <f t="shared" si="2"/>
        <v>0</v>
      </c>
      <c r="AB12" s="616"/>
      <c r="AC12" s="617"/>
      <c r="AD12" s="618">
        <f t="shared" si="3"/>
        <v>108</v>
      </c>
      <c r="AE12" s="619" t="str">
        <f t="shared" si="4"/>
        <v>Aarne Välja</v>
      </c>
      <c r="AF12" s="620">
        <f>IFERROR(INDEX(M!$E:$E,MATCH(AE12,M!$B:$B,0)),"")</f>
        <v>108</v>
      </c>
    </row>
    <row r="13" spans="1:32" hidden="1" x14ac:dyDescent="0.2">
      <c r="A13" s="606">
        <v>6</v>
      </c>
      <c r="B13" s="607" t="s">
        <v>119</v>
      </c>
      <c r="C13" s="608"/>
      <c r="D13" s="609" t="s">
        <v>288</v>
      </c>
      <c r="E13" s="609"/>
      <c r="F13" s="610"/>
      <c r="G13" s="608"/>
      <c r="H13" s="609" t="s">
        <v>288</v>
      </c>
      <c r="I13" s="609"/>
      <c r="J13" s="610"/>
      <c r="K13" s="608"/>
      <c r="L13" s="609" t="s">
        <v>288</v>
      </c>
      <c r="M13" s="609"/>
      <c r="N13" s="610"/>
      <c r="O13" s="608"/>
      <c r="P13" s="609" t="s">
        <v>288</v>
      </c>
      <c r="Q13" s="609"/>
      <c r="R13" s="610"/>
      <c r="S13" s="608"/>
      <c r="T13" s="609" t="s">
        <v>288</v>
      </c>
      <c r="U13" s="609"/>
      <c r="V13" s="610"/>
      <c r="W13" s="611"/>
      <c r="X13" s="612"/>
      <c r="Y13" s="613">
        <f t="shared" si="1"/>
        <v>0</v>
      </c>
      <c r="Z13" s="614" t="s">
        <v>288</v>
      </c>
      <c r="AA13" s="615">
        <f t="shared" si="2"/>
        <v>0</v>
      </c>
      <c r="AB13" s="616"/>
      <c r="AC13" s="617"/>
      <c r="AD13" s="618">
        <f t="shared" si="3"/>
        <v>102</v>
      </c>
      <c r="AE13" s="619" t="str">
        <f t="shared" si="4"/>
        <v>Viktor Švarõgin</v>
      </c>
      <c r="AF13" s="620">
        <f>IFERROR(INDEX(M!$E:$E,MATCH(AE13,M!$B:$B,0)),"")</f>
        <v>102</v>
      </c>
    </row>
    <row r="14" spans="1:32" hidden="1" x14ac:dyDescent="0.2">
      <c r="A14" s="606">
        <v>7</v>
      </c>
      <c r="B14" s="621" t="s">
        <v>471</v>
      </c>
      <c r="C14" s="608"/>
      <c r="D14" s="609" t="s">
        <v>288</v>
      </c>
      <c r="E14" s="609"/>
      <c r="F14" s="610"/>
      <c r="G14" s="608"/>
      <c r="H14" s="609" t="s">
        <v>288</v>
      </c>
      <c r="I14" s="609"/>
      <c r="J14" s="610"/>
      <c r="K14" s="608"/>
      <c r="L14" s="609" t="s">
        <v>288</v>
      </c>
      <c r="M14" s="609"/>
      <c r="N14" s="610"/>
      <c r="O14" s="608"/>
      <c r="P14" s="609" t="s">
        <v>288</v>
      </c>
      <c r="Q14" s="609"/>
      <c r="R14" s="610"/>
      <c r="S14" s="608"/>
      <c r="T14" s="609" t="s">
        <v>288</v>
      </c>
      <c r="U14" s="609"/>
      <c r="V14" s="610"/>
      <c r="W14" s="611"/>
      <c r="X14" s="612"/>
      <c r="Y14" s="613">
        <f t="shared" si="1"/>
        <v>0</v>
      </c>
      <c r="Z14" s="614" t="s">
        <v>288</v>
      </c>
      <c r="AA14" s="615">
        <f t="shared" si="2"/>
        <v>0</v>
      </c>
      <c r="AB14" s="616"/>
      <c r="AC14" s="617"/>
      <c r="AD14" s="618">
        <f t="shared" si="3"/>
        <v>85</v>
      </c>
      <c r="AE14" s="619" t="str">
        <f t="shared" si="4"/>
        <v>Olav Türk</v>
      </c>
      <c r="AF14" s="620">
        <f>IFERROR(INDEX(M!$E:$E,MATCH(AE14,M!$B:$B,0)),"")</f>
        <v>85</v>
      </c>
    </row>
    <row r="15" spans="1:32" hidden="1" x14ac:dyDescent="0.2">
      <c r="A15" s="606">
        <v>8</v>
      </c>
      <c r="B15" s="621" t="s">
        <v>129</v>
      </c>
      <c r="C15" s="608"/>
      <c r="D15" s="609" t="s">
        <v>288</v>
      </c>
      <c r="E15" s="609"/>
      <c r="F15" s="610"/>
      <c r="G15" s="608"/>
      <c r="H15" s="609" t="s">
        <v>288</v>
      </c>
      <c r="I15" s="609"/>
      <c r="J15" s="610"/>
      <c r="K15" s="608"/>
      <c r="L15" s="609" t="s">
        <v>288</v>
      </c>
      <c r="M15" s="609"/>
      <c r="N15" s="610"/>
      <c r="O15" s="608"/>
      <c r="P15" s="609" t="s">
        <v>288</v>
      </c>
      <c r="Q15" s="609"/>
      <c r="R15" s="610"/>
      <c r="S15" s="608"/>
      <c r="T15" s="609" t="s">
        <v>288</v>
      </c>
      <c r="U15" s="609"/>
      <c r="V15" s="610"/>
      <c r="W15" s="611"/>
      <c r="X15" s="612"/>
      <c r="Y15" s="613">
        <f t="shared" si="1"/>
        <v>0</v>
      </c>
      <c r="Z15" s="614" t="s">
        <v>288</v>
      </c>
      <c r="AA15" s="615">
        <f t="shared" si="2"/>
        <v>0</v>
      </c>
      <c r="AB15" s="616"/>
      <c r="AC15" s="617"/>
      <c r="AD15" s="618">
        <f t="shared" si="3"/>
        <v>48</v>
      </c>
      <c r="AE15" s="619" t="str">
        <f t="shared" si="4"/>
        <v>Vadim Tihhonjuk</v>
      </c>
      <c r="AF15" s="620">
        <f>IFERROR(INDEX(M!$E:$E,MATCH(AE15,M!$B:$B,0)),"")</f>
        <v>48</v>
      </c>
    </row>
    <row r="16" spans="1:32" hidden="1" x14ac:dyDescent="0.2">
      <c r="A16" s="606">
        <v>9</v>
      </c>
      <c r="B16" s="622" t="s">
        <v>139</v>
      </c>
      <c r="C16" s="608"/>
      <c r="D16" s="609" t="s">
        <v>288</v>
      </c>
      <c r="E16" s="609"/>
      <c r="F16" s="610"/>
      <c r="G16" s="608"/>
      <c r="H16" s="609" t="s">
        <v>288</v>
      </c>
      <c r="I16" s="609"/>
      <c r="J16" s="610"/>
      <c r="K16" s="608"/>
      <c r="L16" s="609" t="s">
        <v>288</v>
      </c>
      <c r="M16" s="609"/>
      <c r="N16" s="610"/>
      <c r="O16" s="608"/>
      <c r="P16" s="609" t="s">
        <v>288</v>
      </c>
      <c r="Q16" s="609"/>
      <c r="R16" s="610"/>
      <c r="S16" s="608"/>
      <c r="T16" s="609" t="s">
        <v>288</v>
      </c>
      <c r="U16" s="609"/>
      <c r="V16" s="610"/>
      <c r="W16" s="611"/>
      <c r="X16" s="612"/>
      <c r="Y16" s="613">
        <f t="shared" si="1"/>
        <v>0</v>
      </c>
      <c r="Z16" s="614" t="s">
        <v>288</v>
      </c>
      <c r="AA16" s="615">
        <f t="shared" si="2"/>
        <v>0</v>
      </c>
      <c r="AB16" s="616"/>
      <c r="AC16" s="617"/>
      <c r="AD16" s="618">
        <f t="shared" si="3"/>
        <v>18</v>
      </c>
      <c r="AE16" s="619" t="str">
        <f t="shared" si="4"/>
        <v>Sander Rose</v>
      </c>
      <c r="AF16" s="620">
        <f>IFERROR(INDEX(M!$E:$E,MATCH(AE16,M!$B:$B,0)),"")</f>
        <v>18</v>
      </c>
    </row>
    <row r="17" spans="1:32" hidden="1" x14ac:dyDescent="0.2">
      <c r="A17" s="606">
        <v>10</v>
      </c>
      <c r="B17" s="607" t="s">
        <v>120</v>
      </c>
      <c r="C17" s="608"/>
      <c r="D17" s="609" t="s">
        <v>288</v>
      </c>
      <c r="E17" s="609"/>
      <c r="F17" s="610"/>
      <c r="G17" s="608"/>
      <c r="H17" s="609" t="s">
        <v>288</v>
      </c>
      <c r="I17" s="609"/>
      <c r="J17" s="610"/>
      <c r="K17" s="608"/>
      <c r="L17" s="609" t="s">
        <v>288</v>
      </c>
      <c r="M17" s="609"/>
      <c r="N17" s="610"/>
      <c r="O17" s="608"/>
      <c r="P17" s="609" t="s">
        <v>288</v>
      </c>
      <c r="Q17" s="609"/>
      <c r="R17" s="610"/>
      <c r="S17" s="608"/>
      <c r="T17" s="609" t="s">
        <v>288</v>
      </c>
      <c r="U17" s="609"/>
      <c r="V17" s="610"/>
      <c r="W17" s="611"/>
      <c r="X17" s="612"/>
      <c r="Y17" s="613">
        <f t="shared" si="1"/>
        <v>0</v>
      </c>
      <c r="Z17" s="614" t="s">
        <v>288</v>
      </c>
      <c r="AA17" s="615">
        <f t="shared" si="2"/>
        <v>0</v>
      </c>
      <c r="AB17" s="616"/>
      <c r="AC17" s="617"/>
      <c r="AD17" s="618">
        <f t="shared" si="3"/>
        <v>14</v>
      </c>
      <c r="AE17" s="619" t="str">
        <f t="shared" si="4"/>
        <v>Jaan Saar</v>
      </c>
      <c r="AF17" s="620">
        <f>IFERROR(INDEX(M!$E:$E,MATCH(AE17,M!$B:$B,0)),"")</f>
        <v>14</v>
      </c>
    </row>
    <row r="18" spans="1:32" hidden="1" x14ac:dyDescent="0.2">
      <c r="A18" s="606">
        <v>11</v>
      </c>
      <c r="B18" s="607" t="s">
        <v>90</v>
      </c>
      <c r="C18" s="608"/>
      <c r="D18" s="609" t="s">
        <v>288</v>
      </c>
      <c r="E18" s="609"/>
      <c r="F18" s="610"/>
      <c r="G18" s="608"/>
      <c r="H18" s="609" t="s">
        <v>288</v>
      </c>
      <c r="I18" s="609"/>
      <c r="J18" s="610"/>
      <c r="K18" s="608"/>
      <c r="L18" s="609" t="s">
        <v>288</v>
      </c>
      <c r="M18" s="609"/>
      <c r="N18" s="610"/>
      <c r="O18" s="608"/>
      <c r="P18" s="609" t="s">
        <v>288</v>
      </c>
      <c r="Q18" s="609"/>
      <c r="R18" s="610"/>
      <c r="S18" s="608"/>
      <c r="T18" s="609" t="s">
        <v>288</v>
      </c>
      <c r="U18" s="609"/>
      <c r="V18" s="610"/>
      <c r="W18" s="611"/>
      <c r="X18" s="612"/>
      <c r="Y18" s="613">
        <f t="shared" si="1"/>
        <v>0</v>
      </c>
      <c r="Z18" s="614" t="s">
        <v>288</v>
      </c>
      <c r="AA18" s="615">
        <f t="shared" si="2"/>
        <v>0</v>
      </c>
      <c r="AB18" s="616"/>
      <c r="AC18" s="617"/>
      <c r="AD18" s="618">
        <f t="shared" si="3"/>
        <v>78</v>
      </c>
      <c r="AE18" s="619" t="str">
        <f t="shared" si="4"/>
        <v>Kenneth Muusikus</v>
      </c>
      <c r="AF18" s="620">
        <f>IFERROR(INDEX(M!$E:$E,MATCH(AE18,M!$B:$B,0)),"")</f>
        <v>78</v>
      </c>
    </row>
    <row r="19" spans="1:32" hidden="1" x14ac:dyDescent="0.2">
      <c r="A19" s="606">
        <v>12</v>
      </c>
      <c r="B19" s="607" t="s">
        <v>496</v>
      </c>
      <c r="C19" s="608"/>
      <c r="D19" s="609" t="s">
        <v>288</v>
      </c>
      <c r="E19" s="609"/>
      <c r="F19" s="610"/>
      <c r="G19" s="608"/>
      <c r="H19" s="609" t="s">
        <v>288</v>
      </c>
      <c r="I19" s="609"/>
      <c r="J19" s="610"/>
      <c r="K19" s="608"/>
      <c r="L19" s="609" t="s">
        <v>288</v>
      </c>
      <c r="M19" s="609"/>
      <c r="N19" s="610"/>
      <c r="O19" s="608"/>
      <c r="P19" s="609" t="s">
        <v>288</v>
      </c>
      <c r="Q19" s="609"/>
      <c r="R19" s="610"/>
      <c r="S19" s="608"/>
      <c r="T19" s="609" t="s">
        <v>288</v>
      </c>
      <c r="U19" s="609"/>
      <c r="V19" s="610"/>
      <c r="W19" s="611"/>
      <c r="X19" s="612"/>
      <c r="Y19" s="613">
        <f t="shared" si="1"/>
        <v>0</v>
      </c>
      <c r="Z19" s="614" t="s">
        <v>288</v>
      </c>
      <c r="AA19" s="615">
        <f t="shared" si="2"/>
        <v>0</v>
      </c>
      <c r="AB19" s="616"/>
      <c r="AC19" s="573"/>
      <c r="AD19" s="618">
        <f t="shared" si="3"/>
        <v>94</v>
      </c>
      <c r="AE19" s="619" t="str">
        <f t="shared" si="4"/>
        <v>Sirje Maala</v>
      </c>
      <c r="AF19" s="620">
        <f>IFERROR(INDEX(M!$E:$E,MATCH(AE19,M!$B:$B,0)),"")</f>
        <v>94</v>
      </c>
    </row>
    <row r="20" spans="1:32" hidden="1" x14ac:dyDescent="0.2">
      <c r="A20" s="606">
        <v>13</v>
      </c>
      <c r="B20" s="607" t="s">
        <v>118</v>
      </c>
      <c r="C20" s="608"/>
      <c r="D20" s="609" t="s">
        <v>288</v>
      </c>
      <c r="E20" s="609"/>
      <c r="F20" s="610"/>
      <c r="G20" s="608"/>
      <c r="H20" s="609" t="s">
        <v>288</v>
      </c>
      <c r="I20" s="609"/>
      <c r="J20" s="610"/>
      <c r="K20" s="608"/>
      <c r="L20" s="609" t="s">
        <v>288</v>
      </c>
      <c r="M20" s="609"/>
      <c r="N20" s="610"/>
      <c r="O20" s="608"/>
      <c r="P20" s="609" t="s">
        <v>288</v>
      </c>
      <c r="Q20" s="609"/>
      <c r="R20" s="610"/>
      <c r="S20" s="608"/>
      <c r="T20" s="609" t="s">
        <v>288</v>
      </c>
      <c r="U20" s="609"/>
      <c r="V20" s="610"/>
      <c r="W20" s="611"/>
      <c r="X20" s="612"/>
      <c r="Y20" s="613">
        <f t="shared" si="1"/>
        <v>0</v>
      </c>
      <c r="Z20" s="614" t="s">
        <v>288</v>
      </c>
      <c r="AA20" s="615">
        <f t="shared" si="2"/>
        <v>0</v>
      </c>
      <c r="AB20" s="616"/>
      <c r="AC20" s="573"/>
      <c r="AD20" s="618">
        <f t="shared" si="3"/>
        <v>39</v>
      </c>
      <c r="AE20" s="619" t="str">
        <f t="shared" si="4"/>
        <v>Ljudmila Varendi</v>
      </c>
      <c r="AF20" s="620">
        <f>IFERROR(INDEX(M!$E:$E,MATCH(AE20,M!$B:$B,0)),"")</f>
        <v>39</v>
      </c>
    </row>
    <row r="21" spans="1:32" hidden="1" x14ac:dyDescent="0.2">
      <c r="A21" s="606">
        <v>14</v>
      </c>
      <c r="B21" s="607" t="s">
        <v>98</v>
      </c>
      <c r="C21" s="608"/>
      <c r="D21" s="609" t="s">
        <v>288</v>
      </c>
      <c r="E21" s="609"/>
      <c r="F21" s="610"/>
      <c r="G21" s="608"/>
      <c r="H21" s="609" t="s">
        <v>288</v>
      </c>
      <c r="I21" s="609"/>
      <c r="J21" s="610"/>
      <c r="K21" s="608"/>
      <c r="L21" s="609" t="s">
        <v>288</v>
      </c>
      <c r="M21" s="609"/>
      <c r="N21" s="610"/>
      <c r="O21" s="608"/>
      <c r="P21" s="609" t="s">
        <v>288</v>
      </c>
      <c r="Q21" s="609"/>
      <c r="R21" s="610"/>
      <c r="S21" s="608"/>
      <c r="T21" s="609" t="s">
        <v>288</v>
      </c>
      <c r="U21" s="609"/>
      <c r="V21" s="610"/>
      <c r="W21" s="611"/>
      <c r="X21" s="612"/>
      <c r="Y21" s="613">
        <f t="shared" si="1"/>
        <v>0</v>
      </c>
      <c r="Z21" s="614" t="s">
        <v>288</v>
      </c>
      <c r="AA21" s="615">
        <f t="shared" si="2"/>
        <v>0</v>
      </c>
      <c r="AB21" s="616"/>
      <c r="AC21" s="573"/>
      <c r="AD21" s="618">
        <f t="shared" si="3"/>
        <v>22</v>
      </c>
      <c r="AE21" s="619" t="str">
        <f t="shared" si="4"/>
        <v>Svetlana Veski</v>
      </c>
      <c r="AF21" s="620">
        <f>IFERROR(INDEX(M!$E:$E,MATCH(AE21,M!$B:$B,0)),"")</f>
        <v>22</v>
      </c>
    </row>
    <row r="22" spans="1:32" hidden="1" x14ac:dyDescent="0.2">
      <c r="A22" s="606">
        <v>15</v>
      </c>
      <c r="B22" s="607" t="s">
        <v>133</v>
      </c>
      <c r="C22" s="608"/>
      <c r="D22" s="609" t="s">
        <v>288</v>
      </c>
      <c r="E22" s="609"/>
      <c r="F22" s="610"/>
      <c r="G22" s="608"/>
      <c r="H22" s="609" t="s">
        <v>288</v>
      </c>
      <c r="I22" s="609"/>
      <c r="J22" s="610"/>
      <c r="K22" s="608"/>
      <c r="L22" s="609" t="s">
        <v>288</v>
      </c>
      <c r="M22" s="609"/>
      <c r="N22" s="610"/>
      <c r="O22" s="608"/>
      <c r="P22" s="609" t="s">
        <v>288</v>
      </c>
      <c r="Q22" s="609"/>
      <c r="R22" s="610"/>
      <c r="S22" s="608"/>
      <c r="T22" s="609" t="s">
        <v>288</v>
      </c>
      <c r="U22" s="609"/>
      <c r="V22" s="610"/>
      <c r="W22" s="611"/>
      <c r="X22" s="612"/>
      <c r="Y22" s="613">
        <f t="shared" si="1"/>
        <v>0</v>
      </c>
      <c r="Z22" s="614" t="s">
        <v>288</v>
      </c>
      <c r="AA22" s="615">
        <f t="shared" si="2"/>
        <v>0</v>
      </c>
      <c r="AB22" s="616"/>
      <c r="AC22" s="573"/>
      <c r="AD22" s="618">
        <f t="shared" si="3"/>
        <v>4</v>
      </c>
      <c r="AE22" s="619" t="str">
        <f t="shared" si="4"/>
        <v>Sirje Viljaste</v>
      </c>
      <c r="AF22" s="620">
        <f>IFERROR(INDEX(M!$E:$E,MATCH(AE22,M!$B:$B,0)),"")</f>
        <v>4</v>
      </c>
    </row>
    <row r="23" spans="1:32" hidden="1" x14ac:dyDescent="0.2">
      <c r="A23" s="606">
        <v>16</v>
      </c>
      <c r="B23" s="607" t="s">
        <v>97</v>
      </c>
      <c r="C23" s="608"/>
      <c r="D23" s="609" t="s">
        <v>288</v>
      </c>
      <c r="E23" s="609"/>
      <c r="F23" s="610"/>
      <c r="G23" s="608"/>
      <c r="H23" s="609" t="s">
        <v>288</v>
      </c>
      <c r="I23" s="609"/>
      <c r="J23" s="610"/>
      <c r="K23" s="608"/>
      <c r="L23" s="609" t="s">
        <v>288</v>
      </c>
      <c r="M23" s="609"/>
      <c r="N23" s="610"/>
      <c r="O23" s="608"/>
      <c r="P23" s="609" t="s">
        <v>288</v>
      </c>
      <c r="Q23" s="609"/>
      <c r="R23" s="610"/>
      <c r="S23" s="608"/>
      <c r="T23" s="609" t="s">
        <v>288</v>
      </c>
      <c r="U23" s="609"/>
      <c r="V23" s="610"/>
      <c r="W23" s="611"/>
      <c r="X23" s="612"/>
      <c r="Y23" s="613">
        <f t="shared" si="1"/>
        <v>0</v>
      </c>
      <c r="Z23" s="614" t="s">
        <v>288</v>
      </c>
      <c r="AA23" s="615">
        <f t="shared" si="2"/>
        <v>0</v>
      </c>
      <c r="AB23" s="616"/>
      <c r="AC23" s="573"/>
      <c r="AD23" s="618">
        <f t="shared" si="3"/>
        <v>2</v>
      </c>
      <c r="AE23" s="619" t="str">
        <f t="shared" si="4"/>
        <v>Andrei Grintšak</v>
      </c>
      <c r="AF23" s="620">
        <f>IFERROR(INDEX(M!$E:$E,MATCH(AE23,M!$B:$B,0)),"")</f>
        <v>2</v>
      </c>
    </row>
    <row r="24" spans="1:32" hidden="1" x14ac:dyDescent="0.2">
      <c r="A24" s="606">
        <v>17</v>
      </c>
      <c r="B24" s="607" t="s">
        <v>694</v>
      </c>
      <c r="C24" s="608"/>
      <c r="D24" s="609" t="s">
        <v>288</v>
      </c>
      <c r="E24" s="609"/>
      <c r="F24" s="610"/>
      <c r="G24" s="608"/>
      <c r="H24" s="609" t="s">
        <v>288</v>
      </c>
      <c r="I24" s="609"/>
      <c r="J24" s="610"/>
      <c r="K24" s="608"/>
      <c r="L24" s="609" t="s">
        <v>288</v>
      </c>
      <c r="M24" s="609"/>
      <c r="N24" s="610"/>
      <c r="O24" s="608"/>
      <c r="P24" s="609" t="s">
        <v>288</v>
      </c>
      <c r="Q24" s="609"/>
      <c r="R24" s="610"/>
      <c r="S24" s="608"/>
      <c r="T24" s="609" t="s">
        <v>288</v>
      </c>
      <c r="U24" s="609"/>
      <c r="V24" s="610"/>
      <c r="W24" s="611"/>
      <c r="X24" s="612"/>
      <c r="Y24" s="613">
        <f t="shared" si="1"/>
        <v>0</v>
      </c>
      <c r="Z24" s="614" t="s">
        <v>288</v>
      </c>
      <c r="AA24" s="615">
        <f t="shared" si="2"/>
        <v>0</v>
      </c>
      <c r="AB24" s="616"/>
      <c r="AC24" s="573"/>
      <c r="AD24" s="618">
        <f t="shared" si="3"/>
        <v>1</v>
      </c>
      <c r="AE24" s="619" t="str">
        <f t="shared" si="4"/>
        <v>Taivo Toomel</v>
      </c>
      <c r="AF24" s="620">
        <f>IFERROR(INDEX(M!$E:$E,MATCH(AE24,M!$B:$B,0)),"")</f>
        <v>1</v>
      </c>
    </row>
    <row r="25" spans="1:32" hidden="1" x14ac:dyDescent="0.2">
      <c r="A25" s="606">
        <v>18</v>
      </c>
      <c r="B25" s="607" t="s">
        <v>122</v>
      </c>
      <c r="C25" s="608"/>
      <c r="D25" s="609" t="s">
        <v>288</v>
      </c>
      <c r="E25" s="609"/>
      <c r="F25" s="610"/>
      <c r="G25" s="608"/>
      <c r="H25" s="609" t="s">
        <v>288</v>
      </c>
      <c r="I25" s="609"/>
      <c r="J25" s="610"/>
      <c r="K25" s="608"/>
      <c r="L25" s="609" t="s">
        <v>288</v>
      </c>
      <c r="M25" s="609"/>
      <c r="N25" s="610"/>
      <c r="O25" s="608"/>
      <c r="P25" s="609" t="s">
        <v>288</v>
      </c>
      <c r="Q25" s="609"/>
      <c r="R25" s="610"/>
      <c r="S25" s="608"/>
      <c r="T25" s="609" t="s">
        <v>288</v>
      </c>
      <c r="U25" s="609"/>
      <c r="V25" s="610"/>
      <c r="W25" s="611"/>
      <c r="X25" s="612"/>
      <c r="Y25" s="613">
        <f t="shared" si="1"/>
        <v>0</v>
      </c>
      <c r="Z25" s="614" t="s">
        <v>288</v>
      </c>
      <c r="AA25" s="615">
        <f t="shared" si="2"/>
        <v>0</v>
      </c>
      <c r="AB25" s="616"/>
      <c r="AC25" s="573"/>
      <c r="AD25" s="618">
        <f t="shared" si="3"/>
        <v>15</v>
      </c>
      <c r="AE25" s="619" t="str">
        <f t="shared" si="4"/>
        <v>Liidia Põllu</v>
      </c>
      <c r="AF25" s="620">
        <f>IFERROR(INDEX(M!$E:$E,MATCH(AE25,M!$B:$B,0)),"")</f>
        <v>15</v>
      </c>
    </row>
    <row r="26" spans="1:32" hidden="1" x14ac:dyDescent="0.2">
      <c r="A26" s="606">
        <v>19</v>
      </c>
      <c r="B26" s="607" t="s">
        <v>127</v>
      </c>
      <c r="C26" s="608"/>
      <c r="D26" s="609" t="s">
        <v>288</v>
      </c>
      <c r="E26" s="609"/>
      <c r="F26" s="610"/>
      <c r="G26" s="608"/>
      <c r="H26" s="609" t="s">
        <v>288</v>
      </c>
      <c r="I26" s="609"/>
      <c r="J26" s="610"/>
      <c r="K26" s="608"/>
      <c r="L26" s="609" t="s">
        <v>288</v>
      </c>
      <c r="M26" s="609"/>
      <c r="N26" s="610"/>
      <c r="O26" s="608"/>
      <c r="P26" s="609" t="s">
        <v>288</v>
      </c>
      <c r="Q26" s="609"/>
      <c r="R26" s="610"/>
      <c r="S26" s="608"/>
      <c r="T26" s="609" t="s">
        <v>288</v>
      </c>
      <c r="U26" s="609"/>
      <c r="V26" s="610"/>
      <c r="W26" s="611"/>
      <c r="X26" s="612"/>
      <c r="Y26" s="613">
        <f t="shared" ref="Y26:Y27" si="5">C26+G26+K26+O26+S26</f>
        <v>0</v>
      </c>
      <c r="Z26" s="614" t="s">
        <v>288</v>
      </c>
      <c r="AA26" s="615">
        <f t="shared" ref="AA26:AA27" si="6">E26+I26+M26+Q26+U26</f>
        <v>0</v>
      </c>
      <c r="AB26" s="616"/>
      <c r="AC26" s="573"/>
      <c r="AD26" s="618">
        <f t="shared" si="3"/>
        <v>1</v>
      </c>
      <c r="AE26" s="619" t="str">
        <f t="shared" si="4"/>
        <v>Tarmo Bombe</v>
      </c>
      <c r="AF26" s="620">
        <f>IFERROR(INDEX(M!$E:$E,MATCH(AE26,M!$B:$B,0)),"")</f>
        <v>1</v>
      </c>
    </row>
    <row r="27" spans="1:32" hidden="1" x14ac:dyDescent="0.2">
      <c r="A27" s="606">
        <v>20</v>
      </c>
      <c r="B27" s="623" t="s">
        <v>109</v>
      </c>
      <c r="C27" s="608"/>
      <c r="D27" s="609" t="s">
        <v>288</v>
      </c>
      <c r="E27" s="609"/>
      <c r="F27" s="610"/>
      <c r="G27" s="608"/>
      <c r="H27" s="609" t="s">
        <v>288</v>
      </c>
      <c r="I27" s="609"/>
      <c r="J27" s="610"/>
      <c r="K27" s="608"/>
      <c r="L27" s="609" t="s">
        <v>288</v>
      </c>
      <c r="M27" s="609"/>
      <c r="N27" s="610"/>
      <c r="O27" s="608"/>
      <c r="P27" s="609" t="s">
        <v>288</v>
      </c>
      <c r="Q27" s="609"/>
      <c r="R27" s="610"/>
      <c r="S27" s="608"/>
      <c r="T27" s="609" t="s">
        <v>288</v>
      </c>
      <c r="U27" s="609"/>
      <c r="V27" s="610"/>
      <c r="W27" s="611"/>
      <c r="X27" s="612"/>
      <c r="Y27" s="613">
        <f t="shared" si="5"/>
        <v>0</v>
      </c>
      <c r="Z27" s="614" t="s">
        <v>288</v>
      </c>
      <c r="AA27" s="615">
        <f t="shared" si="6"/>
        <v>0</v>
      </c>
      <c r="AB27" s="616"/>
      <c r="AC27" s="573"/>
      <c r="AD27" s="618">
        <f t="shared" si="3"/>
        <v>14</v>
      </c>
      <c r="AE27" s="619" t="str">
        <f t="shared" si="4"/>
        <v>Enn Tokman</v>
      </c>
      <c r="AF27" s="620">
        <f>IFERROR(INDEX(M!$E:$E,MATCH(AE27,M!$B:$B,0)),"")</f>
        <v>14</v>
      </c>
    </row>
    <row r="28" spans="1:32"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row>
    <row r="29" spans="1:32"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row>
    <row r="30" spans="1:32"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row>
    <row r="31" spans="1:32"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row>
    <row r="32" spans="1:32"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row>
    <row r="33" spans="1:32"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row>
    <row r="34" spans="1:32"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row>
    <row r="35" spans="1:32"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row>
    <row r="36" spans="1:32"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row>
    <row r="37" spans="1:32"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row>
    <row r="38" spans="1:32"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row>
    <row r="39" spans="1:32"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row>
    <row r="40" spans="1:32"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row>
    <row r="41" spans="1:32"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row>
    <row r="42" spans="1:32"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row>
    <row r="43" spans="1:32"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row>
    <row r="44" spans="1:32"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row>
    <row r="45" spans="1:32"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row>
    <row r="46" spans="1:32"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row>
    <row r="47" spans="1:32"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row>
    <row r="48" spans="1:32"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row>
    <row r="49" spans="1:32"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row>
    <row r="50" spans="1:32"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row>
    <row r="51" spans="1:32"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row>
    <row r="52" spans="1:32"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row>
    <row r="53" spans="1:32"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row>
    <row r="54" spans="1:32"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row>
    <row r="55" spans="1:32"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row>
    <row r="56" spans="1:32"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row>
    <row r="57" spans="1:32"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row>
    <row r="58" spans="1:32"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row>
    <row r="59" spans="1:32"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row>
    <row r="60" spans="1:32"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row>
    <row r="61" spans="1:32"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row>
    <row r="62" spans="1:32"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row>
    <row r="63" spans="1:32"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row>
    <row r="64" spans="1:32"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row>
    <row r="65" spans="1:32"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row>
    <row r="66" spans="1:32"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row>
    <row r="67" spans="1:32"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row>
    <row r="68" spans="1:32"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row>
    <row r="69" spans="1:32"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row>
    <row r="70" spans="1:32"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row>
    <row r="71" spans="1:32"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row>
    <row r="72" spans="1:32"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row>
    <row r="73" spans="1:32"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row>
    <row r="74" spans="1:32"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row>
    <row r="75" spans="1:32"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row>
    <row r="76" spans="1:32"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row>
    <row r="77" spans="1:32"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row>
    <row r="78" spans="1:32"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row>
    <row r="79" spans="1:32"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row>
    <row r="80" spans="1:32"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row>
    <row r="81" spans="1:32"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row>
    <row r="82" spans="1:32"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row>
    <row r="83" spans="1:32"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row>
    <row r="84" spans="1:32"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row>
    <row r="85" spans="1:32"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row>
    <row r="86" spans="1:32"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row>
    <row r="87" spans="1:32"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row>
    <row r="88" spans="1:32"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row>
    <row r="89" spans="1:32"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row>
    <row r="90" spans="1:32"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row>
    <row r="91" spans="1:32"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row>
    <row r="92" spans="1:32"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row>
    <row r="93" spans="1:32"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row>
    <row r="94" spans="1:32"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row>
    <row r="95" spans="1:32"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row>
    <row r="96" spans="1:32"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row>
    <row r="97" spans="1:32"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row>
    <row r="98" spans="1:32"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row>
    <row r="99" spans="1:32"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row>
    <row r="100" spans="1:32"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row>
    <row r="101" spans="1:32"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row>
    <row r="102" spans="1:32"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row>
    <row r="103" spans="1:32"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row>
    <row r="104" spans="1:32"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row>
    <row r="105" spans="1:32"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row>
    <row r="106" spans="1:32"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row>
    <row r="107" spans="1:32"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row>
    <row r="108" spans="1:32"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row>
    <row r="109" spans="1:32"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row>
    <row r="110" spans="1:32"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row>
    <row r="111" spans="1:32"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row>
    <row r="112" spans="1:32"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row>
    <row r="113" spans="1:32"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row>
    <row r="114" spans="1:32"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row>
    <row r="115" spans="1:32"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row>
    <row r="116" spans="1:32"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row>
    <row r="117" spans="1:32"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row>
    <row r="118" spans="1:32"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row>
    <row r="119" spans="1:32"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row>
    <row r="120" spans="1:32"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row>
    <row r="121" spans="1:32"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row>
    <row r="122" spans="1:32"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row>
    <row r="123" spans="1:32"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row>
    <row r="124" spans="1:32"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row>
    <row r="125" spans="1:32"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row>
    <row r="126" spans="1:32"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row>
    <row r="127" spans="1:32"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row>
    <row r="128" spans="1:32"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row>
    <row r="129" spans="1:32"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row>
    <row r="130" spans="1:32"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row>
    <row r="131" spans="1:32"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row>
    <row r="132" spans="1:32"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row>
    <row r="133" spans="1:32"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row>
    <row r="134" spans="1:32"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row>
    <row r="135" spans="1:32"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row>
    <row r="136" spans="1:32"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row>
    <row r="137" spans="1:32"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row>
    <row r="138" spans="1:32"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row>
    <row r="139" spans="1:32"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row>
    <row r="140" spans="1:32"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row>
    <row r="141" spans="1:32"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row>
    <row r="142" spans="1:32"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row>
    <row r="143" spans="1:32"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row>
    <row r="144" spans="1:32"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row>
    <row r="145" spans="1:32"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row>
    <row r="146" spans="1:32"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row>
    <row r="147" spans="1:32"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row>
    <row r="148" spans="1:32"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row>
    <row r="149" spans="1:32"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row>
    <row r="150" spans="1:32"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row>
    <row r="151" spans="1:32"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row>
    <row r="152" spans="1:32"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row>
    <row r="153" spans="1:32"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row>
    <row r="154" spans="1:32"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row>
    <row r="155" spans="1:32"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row>
    <row r="156" spans="1:32"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row>
    <row r="157" spans="1:32"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row>
    <row r="158" spans="1:32"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row>
    <row r="159" spans="1:32"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row>
    <row r="160" spans="1:32"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row>
    <row r="161" spans="1:32"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row>
    <row r="162" spans="1:32"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row>
    <row r="163" spans="1:32"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row>
    <row r="164" spans="1:32"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row>
    <row r="165" spans="1:32"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row>
    <row r="166" spans="1:32"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row>
    <row r="167" spans="1:32"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row>
    <row r="168" spans="1:32"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row>
    <row r="169" spans="1:32"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row>
    <row r="170" spans="1:32"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row>
    <row r="171" spans="1:32"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row>
    <row r="172" spans="1:32"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row>
    <row r="173" spans="1:32"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row>
    <row r="174" spans="1:32"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row>
    <row r="175" spans="1:32"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row>
    <row r="176" spans="1:32"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row>
    <row r="177" spans="1:32"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row>
    <row r="178" spans="1:32"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row>
    <row r="179" spans="1:32"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row>
    <row r="180" spans="1:32"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row>
    <row r="181" spans="1:32"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row>
    <row r="182" spans="1:32"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row>
    <row r="183" spans="1:32"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row>
    <row r="184" spans="1:32"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row>
    <row r="185" spans="1:32"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row>
    <row r="186" spans="1:32"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row>
    <row r="187" spans="1:32"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row>
    <row r="188" spans="1:32"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row>
    <row r="189" spans="1:32"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row>
    <row r="190" spans="1:32"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row>
    <row r="191" spans="1:32"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row>
    <row r="192" spans="1:32"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row>
    <row r="193" spans="1:32"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row>
    <row r="194" spans="1:32"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row>
    <row r="195" spans="1:32"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row>
    <row r="196" spans="1:32"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row>
    <row r="197" spans="1:32"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row>
    <row r="198" spans="1:32"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row>
    <row r="199" spans="1:32"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row>
    <row r="200" spans="1:32"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row>
    <row r="201" spans="1:32"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row>
    <row r="202" spans="1:32"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row>
    <row r="203" spans="1:32"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row>
    <row r="204" spans="1:32"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row>
    <row r="205" spans="1:32"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row>
    <row r="206" spans="1:32"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row>
    <row r="207" spans="1:32"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row>
    <row r="208" spans="1:32"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row>
    <row r="209" spans="1:32"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row>
    <row r="210" spans="1:32"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row>
    <row r="211" spans="1:32"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row>
    <row r="212" spans="1:32"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row>
    <row r="213" spans="1:32"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row>
    <row r="214" spans="1:32"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row>
    <row r="215" spans="1:32"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row>
    <row r="216" spans="1:32"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row>
    <row r="217" spans="1:32"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row>
    <row r="218" spans="1:32"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row>
    <row r="219" spans="1:32"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row>
    <row r="220" spans="1:32"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row>
    <row r="221" spans="1:32"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row>
    <row r="222" spans="1:32"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row>
    <row r="223" spans="1:32"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row>
    <row r="224" spans="1:32"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row>
    <row r="225" spans="1:32"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row>
    <row r="226" spans="1:32"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row>
    <row r="227" spans="1:32"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row>
    <row r="228" spans="1:32"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row>
    <row r="229" spans="1:32"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row>
    <row r="230" spans="1:32"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row>
    <row r="231" spans="1:32"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row>
    <row r="232" spans="1:32"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row>
    <row r="233" spans="1:32"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row>
    <row r="234" spans="1:32"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row>
    <row r="235" spans="1:32"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row>
    <row r="236" spans="1:32"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row>
    <row r="237" spans="1:32"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row>
    <row r="238" spans="1:32"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row>
    <row r="239" spans="1:32"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row>
    <row r="240" spans="1:32"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row>
    <row r="241" spans="1:32"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row>
    <row r="242" spans="1:32"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row>
    <row r="243" spans="1:32"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row>
    <row r="244" spans="1:32"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row>
    <row r="245" spans="1:32"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row>
    <row r="246" spans="1:32"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row>
    <row r="247" spans="1:32"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row>
    <row r="248" spans="1:32"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row>
    <row r="249" spans="1:32"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row>
    <row r="250" spans="1:32"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row>
    <row r="251" spans="1:32"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row>
    <row r="252" spans="1:32"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row>
    <row r="253" spans="1:32"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row>
    <row r="254" spans="1:32"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row>
    <row r="255" spans="1:32"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row>
    <row r="256" spans="1:32"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row>
    <row r="257" spans="1:32"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row>
    <row r="258" spans="1:32"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row>
    <row r="259" spans="1:32"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row>
    <row r="260" spans="1:32"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row>
    <row r="261" spans="1:32"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row>
    <row r="262" spans="1:32"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row>
    <row r="263" spans="1:32"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row>
    <row r="264" spans="1:32"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row>
    <row r="265" spans="1:32"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row>
    <row r="266" spans="1:32"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row>
    <row r="267" spans="1:32"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row>
    <row r="268" spans="1:32"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row>
    <row r="269" spans="1:32"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row>
    <row r="270" spans="1:32"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row>
    <row r="271" spans="1:32"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row>
    <row r="272" spans="1:32"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row>
    <row r="273" spans="1:32"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row>
    <row r="274" spans="1:32"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row>
    <row r="275" spans="1:32"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row>
    <row r="276" spans="1:32"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row>
    <row r="277" spans="1:32"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row>
    <row r="278" spans="1:32"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row>
    <row r="279" spans="1:32"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row>
    <row r="280" spans="1:32"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row>
    <row r="281" spans="1:32"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row>
    <row r="282" spans="1:32"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row>
    <row r="283" spans="1:32"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row>
    <row r="284" spans="1:32"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row>
    <row r="285" spans="1:32"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row>
    <row r="286" spans="1:32"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row>
    <row r="287" spans="1:32"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row>
    <row r="288" spans="1:32"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row>
    <row r="289" spans="1:32"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row>
    <row r="290" spans="1:32"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row>
    <row r="291" spans="1:32"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row>
    <row r="292" spans="1:32"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row>
    <row r="293" spans="1:32"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row>
    <row r="294" spans="1:32" hidden="1" x14ac:dyDescent="0.2"/>
    <row r="295" spans="1:32" hidden="1" x14ac:dyDescent="0.2"/>
    <row r="296" spans="1:32" hidden="1" x14ac:dyDescent="0.2"/>
    <row r="297" spans="1:32" hidden="1" x14ac:dyDescent="0.2"/>
    <row r="298" spans="1:32" hidden="1" x14ac:dyDescent="0.2"/>
    <row r="299" spans="1:32" x14ac:dyDescent="0.2">
      <c r="A299" s="573"/>
      <c r="B299" s="573"/>
      <c r="C299" s="584" t="s">
        <v>54</v>
      </c>
      <c r="F299" s="626" t="s">
        <v>68</v>
      </c>
    </row>
    <row r="300" spans="1:32" x14ac:dyDescent="0.2">
      <c r="A300" s="627">
        <v>1</v>
      </c>
      <c r="B300" s="628" t="str">
        <f t="shared" ref="B300:B317" si="7">IFERROR(INDEX(B$1:B$85,MATCH(A300,A$1:A$85,0)),"")</f>
        <v>Kaspar Mänd</v>
      </c>
      <c r="C300" s="629">
        <v>40</v>
      </c>
      <c r="F300" s="626">
        <v>5</v>
      </c>
    </row>
    <row r="301" spans="1:32" x14ac:dyDescent="0.2">
      <c r="A301" s="627">
        <v>2</v>
      </c>
      <c r="B301" s="628" t="str">
        <f t="shared" si="7"/>
        <v>Andres Veski</v>
      </c>
      <c r="C301" s="629">
        <v>34</v>
      </c>
      <c r="F301" s="626">
        <v>4</v>
      </c>
    </row>
    <row r="302" spans="1:32" x14ac:dyDescent="0.2">
      <c r="A302" s="627">
        <v>3</v>
      </c>
      <c r="B302" s="628" t="str">
        <f t="shared" si="7"/>
        <v>Matti Vinni</v>
      </c>
      <c r="C302" s="629">
        <v>30</v>
      </c>
      <c r="F302" s="626">
        <v>4</v>
      </c>
    </row>
    <row r="303" spans="1:32" x14ac:dyDescent="0.2">
      <c r="A303" s="627">
        <v>4</v>
      </c>
      <c r="B303" s="628" t="str">
        <f t="shared" si="7"/>
        <v>Ivar Viljaste</v>
      </c>
      <c r="C303" s="629">
        <v>26</v>
      </c>
      <c r="F303" s="626">
        <v>3</v>
      </c>
    </row>
    <row r="304" spans="1:32" x14ac:dyDescent="0.2">
      <c r="A304" s="627">
        <v>5</v>
      </c>
      <c r="B304" s="628" t="str">
        <f t="shared" si="7"/>
        <v>Aarne Välja</v>
      </c>
      <c r="C304" s="629">
        <v>24</v>
      </c>
      <c r="F304" s="626">
        <v>3</v>
      </c>
    </row>
    <row r="305" spans="1:6" x14ac:dyDescent="0.2">
      <c r="A305" s="627">
        <v>6</v>
      </c>
      <c r="B305" s="628" t="str">
        <f t="shared" si="7"/>
        <v>Viktor Švarõgin</v>
      </c>
      <c r="C305" s="629">
        <v>22</v>
      </c>
      <c r="F305" s="626">
        <v>3</v>
      </c>
    </row>
    <row r="306" spans="1:6" x14ac:dyDescent="0.2">
      <c r="A306" s="627">
        <v>7</v>
      </c>
      <c r="B306" s="628" t="str">
        <f t="shared" si="7"/>
        <v>Olav Türk</v>
      </c>
      <c r="C306" s="629">
        <v>20</v>
      </c>
      <c r="F306" s="626">
        <v>3</v>
      </c>
    </row>
    <row r="307" spans="1:6" x14ac:dyDescent="0.2">
      <c r="A307" s="627">
        <v>8</v>
      </c>
      <c r="B307" s="628" t="str">
        <f t="shared" si="7"/>
        <v>Vadim Tihhonjuk</v>
      </c>
      <c r="C307" s="629">
        <v>18</v>
      </c>
      <c r="F307" s="626">
        <v>3</v>
      </c>
    </row>
    <row r="308" spans="1:6" x14ac:dyDescent="0.2">
      <c r="A308" s="627">
        <v>9</v>
      </c>
      <c r="B308" s="628" t="str">
        <f t="shared" si="7"/>
        <v>Sander Rose</v>
      </c>
      <c r="C308" s="629">
        <v>16</v>
      </c>
      <c r="F308" s="626">
        <v>2</v>
      </c>
    </row>
    <row r="309" spans="1:6" x14ac:dyDescent="0.2">
      <c r="A309" s="627">
        <v>10</v>
      </c>
      <c r="B309" s="628" t="str">
        <f t="shared" si="7"/>
        <v>Jaan Saar</v>
      </c>
      <c r="C309" s="616">
        <v>14</v>
      </c>
      <c r="F309" s="626">
        <v>2</v>
      </c>
    </row>
    <row r="310" spans="1:6" x14ac:dyDescent="0.2">
      <c r="A310" s="627">
        <v>11</v>
      </c>
      <c r="B310" s="628" t="str">
        <f t="shared" si="7"/>
        <v>Kenneth Muusikus</v>
      </c>
      <c r="C310" s="616">
        <v>12</v>
      </c>
      <c r="F310" s="626">
        <v>2</v>
      </c>
    </row>
    <row r="311" spans="1:6" x14ac:dyDescent="0.2">
      <c r="A311" s="627">
        <v>12</v>
      </c>
      <c r="B311" s="628" t="str">
        <f t="shared" si="7"/>
        <v>Sirje Maala</v>
      </c>
      <c r="C311" s="616">
        <v>10</v>
      </c>
      <c r="F311" s="626">
        <v>2</v>
      </c>
    </row>
    <row r="312" spans="1:6" x14ac:dyDescent="0.2">
      <c r="A312" s="627">
        <v>13</v>
      </c>
      <c r="B312" s="628" t="str">
        <f t="shared" si="7"/>
        <v>Ljudmila Varendi</v>
      </c>
      <c r="C312" s="616">
        <v>8</v>
      </c>
      <c r="F312" s="626">
        <v>2</v>
      </c>
    </row>
    <row r="313" spans="1:6" x14ac:dyDescent="0.2">
      <c r="A313" s="627">
        <v>14</v>
      </c>
      <c r="B313" s="628" t="str">
        <f t="shared" si="7"/>
        <v>Svetlana Veski</v>
      </c>
      <c r="C313" s="616">
        <v>6</v>
      </c>
      <c r="F313" s="626">
        <v>2</v>
      </c>
    </row>
    <row r="314" spans="1:6" x14ac:dyDescent="0.2">
      <c r="A314" s="627">
        <v>15</v>
      </c>
      <c r="B314" s="628" t="str">
        <f t="shared" si="7"/>
        <v>Sirje Viljaste</v>
      </c>
      <c r="C314" s="616">
        <v>4</v>
      </c>
      <c r="F314" s="626">
        <v>2</v>
      </c>
    </row>
    <row r="315" spans="1:6" x14ac:dyDescent="0.2">
      <c r="A315" s="627">
        <v>16</v>
      </c>
      <c r="B315" s="628" t="str">
        <f t="shared" si="7"/>
        <v>Andrei Grintšak</v>
      </c>
      <c r="C315" s="616">
        <v>2</v>
      </c>
      <c r="F315" s="626">
        <v>2</v>
      </c>
    </row>
    <row r="316" spans="1:6" x14ac:dyDescent="0.2">
      <c r="A316" s="627">
        <v>17</v>
      </c>
      <c r="B316" s="628" t="str">
        <f t="shared" si="7"/>
        <v>Taivo Toomel</v>
      </c>
      <c r="C316" s="616">
        <v>1</v>
      </c>
      <c r="F316" s="626">
        <v>2</v>
      </c>
    </row>
    <row r="317" spans="1:6" x14ac:dyDescent="0.2">
      <c r="A317" s="627">
        <v>18</v>
      </c>
      <c r="B317" s="628" t="str">
        <f t="shared" si="7"/>
        <v>Liidia Põllu</v>
      </c>
      <c r="C317" s="616">
        <v>1</v>
      </c>
      <c r="F317" s="626">
        <v>1</v>
      </c>
    </row>
    <row r="318" spans="1:6" x14ac:dyDescent="0.2">
      <c r="A318" s="627">
        <v>19</v>
      </c>
      <c r="B318" s="628" t="str">
        <f t="shared" ref="B318:B319" si="8">IFERROR(INDEX(B$1:B$85,MATCH(A318,A$1:A$85,0)),"")</f>
        <v>Tarmo Bombe</v>
      </c>
      <c r="C318" s="616">
        <v>1</v>
      </c>
      <c r="F318" s="626">
        <v>1</v>
      </c>
    </row>
    <row r="319" spans="1:6" x14ac:dyDescent="0.2">
      <c r="A319" s="627">
        <v>20</v>
      </c>
      <c r="B319" s="628" t="str">
        <f t="shared" si="8"/>
        <v>Enn Tokman</v>
      </c>
      <c r="C319" s="616">
        <v>1</v>
      </c>
      <c r="F319" s="626">
        <v>0</v>
      </c>
    </row>
  </sheetData>
  <conditionalFormatting sqref="C8:C27">
    <cfRule type="expression" dxfId="38" priority="13">
      <formula>IF($C8&gt;$E8,TRUE)</formula>
    </cfRule>
  </conditionalFormatting>
  <conditionalFormatting sqref="E8:E27">
    <cfRule type="expression" dxfId="37" priority="14">
      <formula>IF($C8&lt;$E8,TRUE)</formula>
    </cfRule>
  </conditionalFormatting>
  <conditionalFormatting sqref="K8:K27">
    <cfRule type="expression" dxfId="36" priority="21">
      <formula>IF($K8&gt;$M8,TRUE)</formula>
    </cfRule>
  </conditionalFormatting>
  <conditionalFormatting sqref="M8:M27">
    <cfRule type="expression" dxfId="35" priority="22">
      <formula>IF($K8&lt;$M8,TRUE)</formula>
    </cfRule>
  </conditionalFormatting>
  <conditionalFormatting sqref="O8:O27">
    <cfRule type="expression" dxfId="34" priority="25">
      <formula>IF($O8&gt;$Q8,TRUE)</formula>
    </cfRule>
  </conditionalFormatting>
  <conditionalFormatting sqref="Q8:Q27">
    <cfRule type="expression" dxfId="33" priority="26">
      <formula>IF($O8&lt;$Q8,TRUE)</formula>
    </cfRule>
  </conditionalFormatting>
  <conditionalFormatting sqref="S8:S27">
    <cfRule type="expression" dxfId="32" priority="29">
      <formula>IF($S8&gt;$U8,TRUE)</formula>
    </cfRule>
  </conditionalFormatting>
  <conditionalFormatting sqref="U8:U27">
    <cfRule type="expression" dxfId="31" priority="30">
      <formula>IF($S8&lt;$U8,TRUE)</formula>
    </cfRule>
  </conditionalFormatting>
  <conditionalFormatting sqref="G8:G27">
    <cfRule type="expression" dxfId="30" priority="17">
      <formula>IF($G8&gt;$I8,TRUE)</formula>
    </cfRule>
  </conditionalFormatting>
  <conditionalFormatting sqref="I8:I27">
    <cfRule type="expression" dxfId="29" priority="18">
      <formula>IF($G8&lt;$I8,TRUE)</formula>
    </cfRule>
  </conditionalFormatting>
  <conditionalFormatting sqref="F8:F27">
    <cfRule type="containsText" dxfId="28" priority="4" operator="containsText" text="vaba voor">
      <formula>NOT(ISERROR(SEARCH("vaba voor",F8)))</formula>
    </cfRule>
  </conditionalFormatting>
  <conditionalFormatting sqref="N8:N27">
    <cfRule type="containsText" dxfId="27" priority="2" operator="containsText" text="vaba voor">
      <formula>NOT(ISERROR(SEARCH("vaba voor",N8)))</formula>
    </cfRule>
  </conditionalFormatting>
  <conditionalFormatting sqref="R8:R27">
    <cfRule type="containsText" dxfId="26" priority="5" operator="containsText" text="vaba voor">
      <formula>NOT(ISERROR(SEARCH("vaba voor",R8)))</formula>
    </cfRule>
  </conditionalFormatting>
  <conditionalFormatting sqref="V8:V27">
    <cfRule type="containsText" dxfId="25" priority="1" operator="containsText" text="vaba voor">
      <formula>NOT(ISERROR(SEARCH("vaba voor",V8)))</formula>
    </cfRule>
  </conditionalFormatting>
  <conditionalFormatting sqref="J8:J27">
    <cfRule type="containsText" dxfId="24" priority="3" operator="containsText" text="vaba voor">
      <formula>NOT(ISERROR(SEARCH("vaba voor",J8)))</formula>
    </cfRule>
  </conditionalFormatting>
  <conditionalFormatting sqref="C8:F27">
    <cfRule type="expression" dxfId="23" priority="9">
      <formula>IF(AND(ISNUMBER($C8),$C8=$E8),TRUE)</formula>
    </cfRule>
    <cfRule type="expression" dxfId="22" priority="11">
      <formula>IF($C8&gt;$E8,TRUE)</formula>
    </cfRule>
    <cfRule type="expression" dxfId="21" priority="12">
      <formula>IF($C8&lt;$E8,TRUE)</formula>
    </cfRule>
  </conditionalFormatting>
  <conditionalFormatting sqref="G8:J27">
    <cfRule type="expression" dxfId="20" priority="10">
      <formula>IF(AND(ISNUMBER($G8),$G8=$I8),TRUE)</formula>
    </cfRule>
    <cfRule type="expression" dxfId="19" priority="15">
      <formula>IF($G8&gt;$I8,TRUE)</formula>
    </cfRule>
    <cfRule type="expression" dxfId="18" priority="16">
      <formula>IF($G8&lt;$I8,TRUE)</formula>
    </cfRule>
  </conditionalFormatting>
  <conditionalFormatting sqref="K8:N27">
    <cfRule type="expression" dxfId="17" priority="8">
      <formula>IF(AND(ISNUMBER($K8),$K8=$M8),TRUE)</formula>
    </cfRule>
    <cfRule type="expression" dxfId="16" priority="19">
      <formula>IF($K8&gt;$M8,TRUE)</formula>
    </cfRule>
    <cfRule type="expression" dxfId="15" priority="20">
      <formula>IF($K8&lt;$M8,TRUE)</formula>
    </cfRule>
  </conditionalFormatting>
  <conditionalFormatting sqref="O8:R27">
    <cfRule type="expression" dxfId="14" priority="7">
      <formula>IF(AND(ISNUMBER($O8),$O8=$Q8),TRUE)</formula>
    </cfRule>
    <cfRule type="expression" dxfId="13" priority="23">
      <formula>IF($O8&gt;$Q8,TRUE)</formula>
    </cfRule>
    <cfRule type="expression" dxfId="12" priority="24">
      <formula>IF($O8&lt;$Q8,TRUE)</formula>
    </cfRule>
  </conditionalFormatting>
  <conditionalFormatting sqref="S8:V27">
    <cfRule type="expression" dxfId="11" priority="6">
      <formula>IF(AND(ISNUMBER($S8),$S8=$U8),TRUE)</formula>
    </cfRule>
    <cfRule type="expression" dxfId="10" priority="27">
      <formula>IF($S8&gt;$U8,TRUE)</formula>
    </cfRule>
    <cfRule type="expression" dxfId="9" priority="28">
      <formula>IF($S8&lt;$U8,TRUE)</formula>
    </cfRule>
  </conditionalFormatting>
  <conditionalFormatting sqref="A300:A319">
    <cfRule type="duplicateValues" dxfId="8" priority="31"/>
  </conditionalFormatting>
  <conditionalFormatting sqref="A8:A27">
    <cfRule type="duplicateValues" dxfId="7" priority="32"/>
  </conditionalFormatting>
  <conditionalFormatting sqref="B300:B319">
    <cfRule type="expression" dxfId="6" priority="33">
      <formula>A300=3</formula>
    </cfRule>
    <cfRule type="expression" dxfId="5" priority="34">
      <formula>A300=2</formula>
    </cfRule>
    <cfRule type="expression" dxfId="4" priority="35">
      <formula>A300=1</formula>
    </cfRule>
    <cfRule type="containsBlanks" dxfId="3" priority="36">
      <formula>LEN(TRIM(B300))=0</formula>
    </cfRule>
    <cfRule type="duplicateValues" dxfId="2" priority="37"/>
  </conditionalFormatting>
  <conditionalFormatting sqref="AE8:AE27">
    <cfRule type="expression" dxfId="1" priority="38">
      <formula>AND(AF8="",COUNTIF(AE8,"*,*")=0)</formula>
    </cfRule>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U67" sqref="U67"/>
    </sheetView>
  </sheetViews>
  <sheetFormatPr defaultRowHeight="12.75" x14ac:dyDescent="0.2"/>
  <cols>
    <col min="1" max="16384" width="9.140625" style="1"/>
  </cols>
  <sheetData/>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3"/>
  <sheetViews>
    <sheetView zoomScaleNormal="100" workbookViewId="0">
      <selection activeCell="F1" sqref="F1"/>
    </sheetView>
  </sheetViews>
  <sheetFormatPr defaultRowHeight="12.75" x14ac:dyDescent="0.2"/>
  <cols>
    <col min="1" max="16384" width="9.140625" style="13"/>
  </cols>
  <sheetData>
    <row r="1" spans="1:2" x14ac:dyDescent="0.2">
      <c r="A1" s="13">
        <v>0</v>
      </c>
      <c r="B1" s="1449">
        <v>0</v>
      </c>
    </row>
    <row r="2" spans="1:2" x14ac:dyDescent="0.2">
      <c r="A2" s="13">
        <v>1</v>
      </c>
      <c r="B2" s="1449" t="s">
        <v>245</v>
      </c>
    </row>
    <row r="3" spans="1:2" x14ac:dyDescent="0.2">
      <c r="A3" s="13">
        <v>2</v>
      </c>
      <c r="B3" s="1449" t="s">
        <v>246</v>
      </c>
    </row>
    <row r="4" spans="1:2" x14ac:dyDescent="0.2">
      <c r="A4" s="13">
        <v>3</v>
      </c>
      <c r="B4" s="1449" t="s">
        <v>247</v>
      </c>
    </row>
    <row r="5" spans="1:2" x14ac:dyDescent="0.2">
      <c r="A5" s="13">
        <v>4</v>
      </c>
      <c r="B5" s="1449" t="s">
        <v>248</v>
      </c>
    </row>
    <row r="6" spans="1:2" x14ac:dyDescent="0.2">
      <c r="A6" s="13">
        <v>5</v>
      </c>
      <c r="B6" s="1449" t="s">
        <v>249</v>
      </c>
    </row>
    <row r="7" spans="1:2" x14ac:dyDescent="0.2">
      <c r="A7" s="13">
        <v>6</v>
      </c>
      <c r="B7" s="1449" t="s">
        <v>250</v>
      </c>
    </row>
    <row r="8" spans="1:2" x14ac:dyDescent="0.2">
      <c r="A8" s="13">
        <v>7</v>
      </c>
      <c r="B8" s="1449" t="s">
        <v>251</v>
      </c>
    </row>
    <row r="9" spans="1:2" x14ac:dyDescent="0.2">
      <c r="A9" s="13">
        <v>8</v>
      </c>
      <c r="B9" s="1449" t="s">
        <v>247</v>
      </c>
    </row>
    <row r="10" spans="1:2" x14ac:dyDescent="0.2">
      <c r="A10" s="13">
        <v>9</v>
      </c>
      <c r="B10" s="1449" t="s">
        <v>248</v>
      </c>
    </row>
    <row r="11" spans="1:2" x14ac:dyDescent="0.2">
      <c r="A11" s="13">
        <v>10</v>
      </c>
      <c r="B11" s="1449" t="s">
        <v>249</v>
      </c>
    </row>
    <row r="12" spans="1:2" x14ac:dyDescent="0.2">
      <c r="A12" s="13">
        <v>11</v>
      </c>
      <c r="B12" s="1449" t="s">
        <v>250</v>
      </c>
    </row>
    <row r="13" spans="1:2" x14ac:dyDescent="0.2">
      <c r="A13" s="13">
        <v>12</v>
      </c>
      <c r="B13" s="1449" t="s">
        <v>251</v>
      </c>
    </row>
    <row r="14" spans="1:2" x14ac:dyDescent="0.2">
      <c r="A14" s="13">
        <v>13</v>
      </c>
      <c r="B14" s="1449" t="s">
        <v>252</v>
      </c>
    </row>
    <row r="15" spans="1:2" x14ac:dyDescent="0.2">
      <c r="A15" s="13">
        <v>14</v>
      </c>
      <c r="B15" s="1449" t="s">
        <v>253</v>
      </c>
    </row>
    <row r="16" spans="1:2" x14ac:dyDescent="0.2">
      <c r="A16" s="13">
        <v>15</v>
      </c>
      <c r="B16" s="1449" t="s">
        <v>75</v>
      </c>
    </row>
    <row r="17" spans="1:2" x14ac:dyDescent="0.2">
      <c r="A17" s="13">
        <v>16</v>
      </c>
      <c r="B17" s="1449" t="s">
        <v>78</v>
      </c>
    </row>
    <row r="18" spans="1:2" x14ac:dyDescent="0.2">
      <c r="A18" s="13">
        <v>17</v>
      </c>
      <c r="B18" s="1449" t="s">
        <v>254</v>
      </c>
    </row>
    <row r="19" spans="1:2" x14ac:dyDescent="0.2">
      <c r="A19" s="13">
        <v>18</v>
      </c>
      <c r="B19" s="1449" t="s">
        <v>179</v>
      </c>
    </row>
    <row r="20" spans="1:2" x14ac:dyDescent="0.2">
      <c r="A20" s="13">
        <v>19</v>
      </c>
      <c r="B20" s="1449" t="s">
        <v>74</v>
      </c>
    </row>
    <row r="21" spans="1:2" x14ac:dyDescent="0.2">
      <c r="A21" s="13">
        <v>20</v>
      </c>
      <c r="B21" s="1449" t="s">
        <v>255</v>
      </c>
    </row>
    <row r="22" spans="1:2" x14ac:dyDescent="0.2">
      <c r="A22" s="13">
        <v>21</v>
      </c>
      <c r="B22" s="1449" t="s">
        <v>256</v>
      </c>
    </row>
    <row r="23" spans="1:2" x14ac:dyDescent="0.2">
      <c r="A23" s="13">
        <v>22</v>
      </c>
      <c r="B23" s="1449" t="s">
        <v>257</v>
      </c>
    </row>
    <row r="24" spans="1:2" x14ac:dyDescent="0.2">
      <c r="A24" s="13">
        <v>23</v>
      </c>
      <c r="B24" s="1449" t="s">
        <v>4</v>
      </c>
    </row>
    <row r="25" spans="1:2" x14ac:dyDescent="0.2">
      <c r="A25" s="13">
        <v>24</v>
      </c>
      <c r="B25" s="1449" t="s">
        <v>258</v>
      </c>
    </row>
    <row r="26" spans="1:2" x14ac:dyDescent="0.2">
      <c r="A26" s="13">
        <v>25</v>
      </c>
      <c r="B26" s="1449" t="s">
        <v>7</v>
      </c>
    </row>
    <row r="27" spans="1:2" x14ac:dyDescent="0.2">
      <c r="A27" s="13">
        <v>26</v>
      </c>
      <c r="B27" s="1449" t="s">
        <v>259</v>
      </c>
    </row>
    <row r="28" spans="1:2" x14ac:dyDescent="0.2">
      <c r="A28" s="13">
        <v>27</v>
      </c>
      <c r="B28" s="1449" t="s">
        <v>183</v>
      </c>
    </row>
    <row r="29" spans="1:2" x14ac:dyDescent="0.2">
      <c r="A29" s="13">
        <v>28</v>
      </c>
      <c r="B29" s="1449" t="s">
        <v>260</v>
      </c>
    </row>
    <row r="30" spans="1:2" x14ac:dyDescent="0.2">
      <c r="A30" s="13">
        <v>29</v>
      </c>
      <c r="B30" s="1449" t="s">
        <v>261</v>
      </c>
    </row>
    <row r="31" spans="1:2" x14ac:dyDescent="0.2">
      <c r="A31" s="13">
        <v>30</v>
      </c>
      <c r="B31" s="1449" t="s">
        <v>262</v>
      </c>
    </row>
    <row r="32" spans="1:2" x14ac:dyDescent="0.2">
      <c r="A32" s="13">
        <v>31</v>
      </c>
      <c r="B32" s="1449" t="s">
        <v>263</v>
      </c>
    </row>
    <row r="33" spans="2:2" x14ac:dyDescent="0.2">
      <c r="B33" s="13" t="s">
        <v>264</v>
      </c>
    </row>
  </sheetData>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zoomScaleNormal="100" workbookViewId="0">
      <selection activeCell="U67" sqref="U67"/>
    </sheetView>
  </sheetViews>
  <sheetFormatPr defaultRowHeight="12.75" x14ac:dyDescent="0.2"/>
  <cols>
    <col min="1" max="16384" width="9.140625" style="1"/>
  </cols>
  <sheetData>
    <row r="1" spans="1:9" x14ac:dyDescent="0.2">
      <c r="A1" s="3">
        <v>40</v>
      </c>
      <c r="E1" s="1" t="s">
        <v>265</v>
      </c>
    </row>
    <row r="2" spans="1:9" x14ac:dyDescent="0.2">
      <c r="A2" s="3">
        <v>34</v>
      </c>
    </row>
    <row r="3" spans="1:9" x14ac:dyDescent="0.2">
      <c r="A3" s="3">
        <v>30</v>
      </c>
      <c r="E3" s="2" t="s">
        <v>266</v>
      </c>
      <c r="F3" s="2"/>
      <c r="G3" s="2"/>
      <c r="H3" s="2"/>
      <c r="I3" s="2"/>
    </row>
    <row r="4" spans="1:9" x14ac:dyDescent="0.2">
      <c r="A4" s="3">
        <v>26</v>
      </c>
    </row>
    <row r="5" spans="1:9" x14ac:dyDescent="0.2">
      <c r="A5" s="3">
        <v>24</v>
      </c>
    </row>
    <row r="6" spans="1:9" x14ac:dyDescent="0.2">
      <c r="A6" s="3">
        <v>22</v>
      </c>
    </row>
    <row r="7" spans="1:9" x14ac:dyDescent="0.2">
      <c r="A7" s="3">
        <v>20</v>
      </c>
    </row>
    <row r="8" spans="1:9" x14ac:dyDescent="0.2">
      <c r="A8" s="3">
        <v>18</v>
      </c>
    </row>
    <row r="9" spans="1:9" x14ac:dyDescent="0.2">
      <c r="A9" s="3">
        <v>16</v>
      </c>
    </row>
    <row r="10" spans="1:9" x14ac:dyDescent="0.2">
      <c r="A10" s="3">
        <v>14</v>
      </c>
    </row>
    <row r="11" spans="1:9" x14ac:dyDescent="0.2">
      <c r="A11" s="3">
        <v>12</v>
      </c>
    </row>
    <row r="12" spans="1:9" x14ac:dyDescent="0.2">
      <c r="A12" s="3">
        <v>10</v>
      </c>
    </row>
    <row r="13" spans="1:9" x14ac:dyDescent="0.2">
      <c r="A13" s="3">
        <v>8</v>
      </c>
    </row>
    <row r="14" spans="1:9" x14ac:dyDescent="0.2">
      <c r="A14" s="3">
        <v>6</v>
      </c>
    </row>
    <row r="15" spans="1:9" x14ac:dyDescent="0.2">
      <c r="A15" s="3">
        <v>4</v>
      </c>
    </row>
    <row r="16" spans="1:9" x14ac:dyDescent="0.2">
      <c r="A16" s="3">
        <v>2</v>
      </c>
    </row>
    <row r="17" spans="1:2" x14ac:dyDescent="0.2">
      <c r="A17" s="3">
        <v>1</v>
      </c>
    </row>
    <row r="18" spans="1:2" x14ac:dyDescent="0.2">
      <c r="A18" s="4">
        <v>0</v>
      </c>
      <c r="B18" s="1" t="s">
        <v>267</v>
      </c>
    </row>
    <row r="19" spans="1:2" x14ac:dyDescent="0.2">
      <c r="A19" s="5" t="s">
        <v>167</v>
      </c>
      <c r="B19" s="1" t="s">
        <v>268</v>
      </c>
    </row>
  </sheetData>
  <conditionalFormatting sqref="A18">
    <cfRule type="duplicateValues" dxfId="0" priority="1"/>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09"/>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46" style="581" bestFit="1" customWidth="1"/>
    <col min="3" max="10" width="6.7109375" style="581" customWidth="1"/>
    <col min="11" max="12" width="4.7109375" style="581" hidden="1" customWidth="1"/>
    <col min="13" max="13" width="5" style="581" hidden="1" customWidth="1"/>
    <col min="14" max="14" width="5.5703125" style="581" bestFit="1" customWidth="1"/>
    <col min="15" max="15" width="5.5703125" style="581" hidden="1" customWidth="1"/>
    <col min="16" max="16" width="4.7109375" style="581" hidden="1" customWidth="1"/>
    <col min="17" max="17" width="5.28515625" style="581" hidden="1" customWidth="1"/>
    <col min="18" max="18" width="2.28515625" style="581" hidden="1" customWidth="1"/>
    <col min="19" max="19" width="7" style="581" hidden="1" customWidth="1"/>
    <col min="20" max="20" width="11.5703125" style="581" hidden="1" customWidth="1"/>
    <col min="21" max="21" width="5.28515625" style="581" hidden="1" customWidth="1"/>
    <col min="22" max="22" width="9.140625" style="581"/>
    <col min="23" max="28" width="0" style="581" hidden="1" customWidth="1"/>
    <col min="29" max="29" width="9.140625" style="581"/>
    <col min="30" max="30" width="9.140625" style="581" hidden="1" customWidth="1"/>
    <col min="31" max="31" width="18.85546875" style="581" hidden="1" customWidth="1"/>
    <col min="32" max="32" width="9.140625" style="581" hidden="1" customWidth="1"/>
    <col min="33" max="33" width="17.5703125" style="581" hidden="1" customWidth="1"/>
    <col min="34" max="34" width="9.140625" style="581" hidden="1" customWidth="1"/>
    <col min="35" max="35" width="18.7109375" style="581" hidden="1" customWidth="1"/>
    <col min="36" max="36" width="9.140625" style="581" hidden="1" customWidth="1"/>
    <col min="37" max="37" width="17.28515625" style="581" hidden="1" customWidth="1"/>
    <col min="38" max="38" width="9.140625" style="581" hidden="1" customWidth="1"/>
    <col min="39" max="39" width="13.85546875" style="581" hidden="1" customWidth="1"/>
    <col min="40" max="40" width="9.140625" style="581" hidden="1" customWidth="1"/>
    <col min="41" max="16384" width="9.140625" style="581"/>
  </cols>
  <sheetData>
    <row r="1" spans="1:40" x14ac:dyDescent="0.2">
      <c r="A1" s="572" t="str">
        <f>UPPER((Kalend!E5)&amp;" - "&amp;(Kalend!C5)&amp;" - "&amp;(Kalend!D5))</f>
        <v>1 - K-JÄRVE 21. MV - TRIO</v>
      </c>
      <c r="G1" s="577"/>
      <c r="K1" s="647"/>
      <c r="L1" s="1262"/>
      <c r="M1" s="647"/>
      <c r="O1" s="647"/>
      <c r="P1" s="647"/>
      <c r="Q1" s="1178" t="s">
        <v>53</v>
      </c>
      <c r="R1" s="647"/>
      <c r="S1" s="647"/>
      <c r="T1" s="647"/>
      <c r="U1" s="647"/>
      <c r="AD1" s="582" t="s">
        <v>53</v>
      </c>
      <c r="AE1" s="1263"/>
      <c r="AF1" s="1263"/>
      <c r="AG1" s="1263"/>
      <c r="AH1" s="1263"/>
      <c r="AI1" s="1263"/>
      <c r="AJ1" s="1263"/>
      <c r="AK1" s="1263"/>
      <c r="AL1" s="1263"/>
      <c r="AM1" s="1263"/>
      <c r="AN1" s="1263"/>
    </row>
    <row r="2" spans="1:40" x14ac:dyDescent="0.2">
      <c r="A2" s="583" t="str">
        <f>"Toimumisaeg: "&amp;(Kalend!A5)&amp;" kell "&amp;(Kalend!B5)</f>
        <v>Toimumisaeg: P, 15.05.2022 kell 11:00</v>
      </c>
      <c r="AD2" s="583"/>
      <c r="AE2" s="583"/>
      <c r="AF2" s="583"/>
      <c r="AG2" s="583"/>
      <c r="AH2" s="583"/>
      <c r="AI2" s="1264"/>
      <c r="AJ2" s="583"/>
      <c r="AK2" s="583"/>
      <c r="AL2" s="583"/>
      <c r="AM2" s="583"/>
      <c r="AN2" s="583"/>
    </row>
    <row r="3" spans="1:40" x14ac:dyDescent="0.2">
      <c r="A3" s="583" t="str">
        <f>"Toimumiskoht: "&amp;(Kalend!F5)</f>
        <v>Toimumiskoht: K-Järve spordihoone</v>
      </c>
      <c r="AD3" s="591" t="s">
        <v>273</v>
      </c>
      <c r="AF3" s="583"/>
      <c r="AG3" s="583"/>
      <c r="AH3" s="583"/>
      <c r="AI3" s="583"/>
      <c r="AJ3" s="583"/>
      <c r="AK3" s="583"/>
      <c r="AL3" s="583"/>
      <c r="AM3" s="583"/>
      <c r="AN3" s="583"/>
    </row>
    <row r="4" spans="1:40" x14ac:dyDescent="0.2">
      <c r="A4" s="583" t="str">
        <f>"Korraldaja: "&amp;(Kalend!G5)</f>
        <v>Korraldaja: Ivar Viljaste</v>
      </c>
      <c r="AD4" s="594" t="s">
        <v>11</v>
      </c>
      <c r="AE4" s="596"/>
      <c r="AF4" s="596"/>
      <c r="AG4" s="596"/>
      <c r="AH4" s="596"/>
      <c r="AI4" s="596"/>
      <c r="AJ4" s="596"/>
      <c r="AK4" s="596"/>
      <c r="AL4" s="596"/>
      <c r="AM4" s="596"/>
      <c r="AN4" s="596"/>
    </row>
    <row r="5" spans="1:40" x14ac:dyDescent="0.2">
      <c r="AD5" s="594" t="s">
        <v>275</v>
      </c>
      <c r="AE5" s="595" t="s">
        <v>276</v>
      </c>
      <c r="AF5" s="595"/>
      <c r="AG5" s="595" t="s">
        <v>278</v>
      </c>
      <c r="AH5" s="595"/>
      <c r="AI5" s="595" t="s">
        <v>279</v>
      </c>
      <c r="AJ5" s="618"/>
      <c r="AK5" s="618" t="s">
        <v>333</v>
      </c>
      <c r="AL5" s="618"/>
      <c r="AM5" s="618" t="s">
        <v>334</v>
      </c>
      <c r="AN5" s="1343"/>
    </row>
    <row r="6" spans="1:40" x14ac:dyDescent="0.2">
      <c r="A6" s="1265" t="s">
        <v>245</v>
      </c>
      <c r="B6" s="1266"/>
      <c r="C6" s="1267">
        <v>1</v>
      </c>
      <c r="D6" s="1267">
        <v>2</v>
      </c>
      <c r="E6" s="1267">
        <v>3</v>
      </c>
      <c r="F6" s="1267">
        <v>4</v>
      </c>
      <c r="G6" s="1267">
        <v>5</v>
      </c>
      <c r="H6" s="1267" t="s">
        <v>313</v>
      </c>
      <c r="I6" s="1268" t="s">
        <v>296</v>
      </c>
      <c r="J6" s="1269" t="s">
        <v>314</v>
      </c>
      <c r="K6" s="1270" t="s">
        <v>315</v>
      </c>
      <c r="L6" s="1271" t="s">
        <v>316</v>
      </c>
      <c r="M6" s="1271" t="s">
        <v>317</v>
      </c>
      <c r="N6" s="604" t="s">
        <v>344</v>
      </c>
      <c r="O6" s="604" t="s">
        <v>344</v>
      </c>
      <c r="P6" s="1272" t="s">
        <v>318</v>
      </c>
      <c r="Q6" s="1273" t="s">
        <v>183</v>
      </c>
      <c r="R6" s="1273" t="b">
        <f>OR(AND(COUNTA(B7:B11)=3,COUNTA(C7:G11)=6),AND(COUNTA(B7:B11)=4,COUNTA(C7:G11)=12),AND(COUNTA(B7:B11)=5,COUNTA(C7:G11)=20))</f>
        <v>1</v>
      </c>
      <c r="S6" s="1273" t="s">
        <v>319</v>
      </c>
      <c r="T6" s="1274" t="s">
        <v>320</v>
      </c>
      <c r="AD6" s="594" t="s">
        <v>287</v>
      </c>
      <c r="AE6" s="596"/>
      <c r="AF6" s="596"/>
      <c r="AG6" s="729"/>
      <c r="AH6" s="729"/>
      <c r="AI6" s="729"/>
      <c r="AJ6" s="729"/>
      <c r="AK6" s="729"/>
      <c r="AL6" s="729"/>
      <c r="AM6" s="729"/>
      <c r="AN6" s="729"/>
    </row>
    <row r="7" spans="1:40" x14ac:dyDescent="0.2">
      <c r="A7" s="1265">
        <v>1</v>
      </c>
      <c r="B7" s="1275" t="s">
        <v>463</v>
      </c>
      <c r="C7" s="1276"/>
      <c r="D7" s="1277">
        <v>8</v>
      </c>
      <c r="E7" s="1277">
        <v>13</v>
      </c>
      <c r="F7" s="1277">
        <v>3</v>
      </c>
      <c r="G7" s="1277">
        <v>12</v>
      </c>
      <c r="H7" s="1278" t="str">
        <f>(IF(D7-C8&gt;0,1)+IF(E7-C9&gt;0,1)+IF(F7-C10&gt;0,1)+IF(G7-C11&gt;0,1))&amp;"-"&amp;(IF(D7-C8&lt;0,1)+IF(E7-C9&lt;0,1)+IF(F7-C10&lt;0,1)+IF(G7-C11&lt;0,1))</f>
        <v>2-2</v>
      </c>
      <c r="I7" s="1277" t="str">
        <f>IF(AND(B7&lt;&gt;"",R$6=TRUE),A$6&amp;RANK(S7,S$7:S$11,0)," ")</f>
        <v>A4</v>
      </c>
      <c r="J7" s="1279">
        <f>IF(AND(Q7=1,Q8=1,D7&gt;C8),1)+IF(AND(Q7=1,Q9=1,E7&gt;C9),1)+IF(AND(Q7=1,Q10=1,F7&gt;C10),1)+IF(AND(Q7=1,Q11=1,G7&gt;C11),1)+IF(AND(Q7=2,Q8=2,D7&gt;C8),1)+IF(AND(Q7=2,Q9=2,E7&gt;C9),1)+IF(AND(Q7=2,Q10=2,F7&gt;C10),1)+IF(AND(Q7=2,Q11=2,G7&gt;C11),1)+IF(AND(Q7=3,Q8=3,D7&gt;C8),1)+IF(AND(Q7=3,Q9=3,E7&gt;C9),1)+IF(AND(Q7=3,Q10=3,F7&gt;C10),1)+IF(AND(Q7=3,Q11=3,G7&gt;C11),1)</f>
        <v>0</v>
      </c>
      <c r="K7" s="1280">
        <f>SUM(AND(T7=T8,D7&gt;C8),AND(T7=T9,E7&gt;C9),AND(T7=T10,F7&gt;C10),AND(T7=T11,G7&gt;C11))</f>
        <v>0</v>
      </c>
      <c r="L7" s="1281">
        <f>IF(AND(Q7=1,Q8=1),D7-C8)+IF(AND(Q7=1,Q9=1),E7-C9)+IF(AND(Q7=1,Q10=1),F7-C10)+IF(AND(Q7=1,Q11=1),G7-C11)+IF(AND(Q7=2,Q8=2),D7-C8)+IF(AND(Q7=2,Q9=2),E7-C9)+IF(AND(Q7=2,Q10=2),F7-C10)+IF(AND(Q7=2,Q11=2),G7-C11)+IF(AND(Q7=3,Q8=3),D7-C8)+IF(AND(Q7=3,Q9=3),E7-C9)+IF(AND(Q7=3,Q10=3),F7-C10)+IF(AND(Q7=3,Q11=3),G7-C11)+IF(AND(Q7=4,Q8=4),D7-C8)+IF(AND(Q7=4,Q9=4),E7-C9)+IF(AND(Q7=4,Q10=4),F7-C10)+IF(AND(Q7=4,Q11=4),G7-C11)</f>
        <v>-15</v>
      </c>
      <c r="M7" s="1282">
        <f>SUM(AND(R7=R8,D7&gt;C8),AND(R7=R9,E7&gt;C9),AND(R7=R10,F7&gt;C10),AND(R7=R11,G7&gt;C11))</f>
        <v>0</v>
      </c>
      <c r="N7" s="1283" t="str">
        <f>SUM(C7:G7)&amp;"-"&amp;SUM(C7:C11)</f>
        <v>36-41</v>
      </c>
      <c r="O7" s="1284">
        <f>D7+E7+F7+G7-C8-C9-C10-C11</f>
        <v>-5</v>
      </c>
      <c r="P7" s="1220">
        <f>SUM(C7:G7,C7:C11)/SUM(C7:C11)</f>
        <v>1.8780487804878048</v>
      </c>
      <c r="Q7" s="1285">
        <f>VALUE(LEFT(H7,1))</f>
        <v>2</v>
      </c>
      <c r="R7" s="1285">
        <f>Q7*100000+J7*10000+K7*1000+100*L7</f>
        <v>198500</v>
      </c>
      <c r="S7" s="1286">
        <f>R7+M7*0.1+IF(ISNONTEXT(B7),0,0.01)+0.0001*O7</f>
        <v>198500.00950000001</v>
      </c>
      <c r="T7" s="1287" t="str">
        <f>Q7&amp;J7</f>
        <v>20</v>
      </c>
      <c r="U7" s="1288"/>
      <c r="AD7" s="618">
        <f t="shared" ref="AD7:AD11" ca="1" si="0">SUM(AF7:AN7)</f>
        <v>203</v>
      </c>
      <c r="AE7" s="619" t="str">
        <f t="shared" ref="AE7:AE70" si="1">IFERROR(LEFT($B7,(FIND(",",$B7,1)-1)),"")</f>
        <v>Jaan Saar</v>
      </c>
      <c r="AF7" s="620">
        <f ca="1">IFERROR(INDEX(Reit!$I:$I,MATCH(AE7,Reit!$F:$F,0)),"")</f>
        <v>136</v>
      </c>
      <c r="AG7" s="619" t="str">
        <f t="shared" ref="AG7:AG70" si="2">IFERROR(MID($B7,FIND("^",SUBSTITUTE($B7,", ","^",1))+2,FIND("^",SUBSTITUTE($B7,", ","^",2))-FIND("^",SUBSTITUTE($B7,", ","^",1))-2),"")</f>
        <v>Raul Mõtus</v>
      </c>
      <c r="AH7" s="620">
        <f ca="1">IFERROR(INDEX(Reit!$I:$I,MATCH(AG7,Reit!$F:$F,0)),"")</f>
        <v>24</v>
      </c>
      <c r="AI7" s="619" t="str">
        <f t="shared" ref="AI7:AI70" si="3">IFERROR(MID($B7,FIND(", ",$B7,FIND(", ",$B7,FIND(", ",$B7))+1)+2,30000),"")</f>
        <v>Vello Vasser</v>
      </c>
      <c r="AJ7" s="620">
        <f ca="1">IFERROR(INDEX(Reit!$I:$I,MATCH(AI7,Reit!$F:$F,0)),"")</f>
        <v>43</v>
      </c>
      <c r="AK7" s="1344" t="str">
        <f t="shared" ref="AK7:AK70" si="4">IFERROR(MID($B7,FIND(", ",$B7,FIND(", ",$B7)+1)+2,FIND(", ",$B7,FIND(", ",$B7,FIND(", ",$B7)+1)+1)-FIND(", ",$B7,FIND(", ",$B7)+1)-2),"")</f>
        <v/>
      </c>
      <c r="AL7" s="620" t="str">
        <f>IFERROR(INDEX(Reit!$I:$I,MATCH(AK7,Reit!$F:$F,0)),"")</f>
        <v/>
      </c>
      <c r="AM7" s="619" t="str">
        <f t="shared" ref="AM7:AM70" si="5">IFERROR(MID($B7,FIND(", ",$B7,FIND(", ",$B7,FIND(", ",$B7)+1)+1)+2,30000),"")</f>
        <v/>
      </c>
      <c r="AN7" s="620" t="str">
        <f>IFERROR(INDEX(Reit!$I:$I,MATCH(AM7,Reit!$F:$F,0)),"")</f>
        <v/>
      </c>
    </row>
    <row r="8" spans="1:40" x14ac:dyDescent="0.2">
      <c r="A8" s="1265">
        <v>2</v>
      </c>
      <c r="B8" s="1289" t="s">
        <v>455</v>
      </c>
      <c r="C8" s="1277">
        <v>13</v>
      </c>
      <c r="D8" s="1276"/>
      <c r="E8" s="1277">
        <v>13</v>
      </c>
      <c r="F8" s="1277">
        <v>10</v>
      </c>
      <c r="G8" s="1277">
        <v>8</v>
      </c>
      <c r="H8" s="1278" t="str">
        <f>(IF(C8-D7&gt;0,1)+IF(E8-D9&gt;0,1)+IF(F8-D10&gt;0,1)+IF(G8-D11&gt;0,1))&amp;"-"&amp;(IF(C8-D7&lt;0,1)+IF(E8-D9&lt;0,1)+IF(F8-D10&lt;0,1)+IF(G8-D11&lt;0,1))</f>
        <v>2-2</v>
      </c>
      <c r="I8" s="1277" t="str">
        <f>IF(AND(B8&lt;&gt;"",R$6=TRUE),A$6&amp;RANK(S8,S$7:S$11,0)," ")</f>
        <v>A3</v>
      </c>
      <c r="J8" s="1196">
        <f>IF(AND(Q8=1,Q7=1,C8&gt;D7),1)+IF(AND(Q8=1,Q9=1,E8&gt;D9),1)+IF(AND(Q8=1,Q10=1,F8&gt;D10),1)+IF(AND(Q8=1,Q11=1,G8&gt;D11),1)+IF(AND(Q8=2,Q7=2,C8&gt;D7),1)+IF(AND(Q8=2,Q9=2,E8&gt;D9),1)+IF(AND(Q8=2,Q10=2,F8&gt;D10),1)+IF(AND(Q8=2,Q11=2,G8&gt;D11),1)+IF(AND(Q8=3,Q7=3,C8&gt;D7),1)+IF(AND(Q8=3,Q9=3,E8&gt;D9),1)+IF(AND(Q8=3,Q10=3,F8&gt;D10),1)+IF(AND(Q8=3,Q11=3,G8&gt;D11),1)</f>
        <v>1</v>
      </c>
      <c r="K8" s="1282">
        <f>SUM(AND(T8=T7,C8&gt;D7),AND(T8=T9,E8&gt;D9),AND(T8=T10,F8&gt;D10),AND(T8=T11,G8&gt;D11))</f>
        <v>0</v>
      </c>
      <c r="L8" s="1290">
        <f>IF(AND(Q8=1,Q7=1),C8-D7)+IF(AND(Q8=1,Q9=1),E8-D9)+IF(AND(Q8=1,Q10=1),F8-D10)+IF(AND(Q8=1,Q11=1),G8-D11)+IF(AND(Q8=2,Q7=2),C8-D7)+IF(AND(Q8=2,Q9=2),E8-D9)+IF(AND(Q8=2,Q10=2),F8-D10)+IF(AND(Q8=2,Q11=2),G8-D11)+IF(AND(Q8=3,Q7=3),C8-D7)+IF(AND(Q8=3,Q9=3),E8-D9)+IF(AND(Q8=3,Q10=3),F8-D10)+IF(AND(Q8=3,Q11=3),G8-D11)+IF(AND(Q8=4,Q7=4),C8-D7)+IF(AND(Q8=4,Q9=4),E8-D9)+IF(AND(Q8=4,Q10=4),F8-D10)+IF(AND(Q8=4,Q11=4),G8-D11)</f>
        <v>2</v>
      </c>
      <c r="M8" s="1282">
        <f>SUM(AND(R8=R7,C8&gt;D7),AND(R8=R9,E8&gt;D9),AND(R8=R10,F8&gt;D10),AND(R8=R11,G8&gt;D11))</f>
        <v>0</v>
      </c>
      <c r="N8" s="1283" t="str">
        <f>SUM(C8:G8)&amp;"-"&amp;SUM(D7:D11)</f>
        <v>44-42</v>
      </c>
      <c r="O8" s="1284">
        <f>C8+E8+F8+G8-D7-D9-D10-D11</f>
        <v>2</v>
      </c>
      <c r="P8" s="1220">
        <f>SUM(C8:G8,D7:D11)/SUM(D7:D11)</f>
        <v>2.0476190476190474</v>
      </c>
      <c r="Q8" s="1291">
        <f>VALUE(LEFT(H8,1))</f>
        <v>2</v>
      </c>
      <c r="R8" s="1285">
        <f>Q8*100000+J8*10000+K8*1000+100*L8</f>
        <v>210200</v>
      </c>
      <c r="S8" s="1286">
        <f t="shared" ref="S8:S9" si="6">R8+M8*0.1+IF(ISNONTEXT(B8),0,0.01)+0.0001*O8</f>
        <v>210200.01020000002</v>
      </c>
      <c r="T8" s="1287" t="str">
        <f>Q8&amp;J8</f>
        <v>21</v>
      </c>
      <c r="U8" s="1288"/>
      <c r="AD8" s="618">
        <f t="shared" ca="1" si="0"/>
        <v>75</v>
      </c>
      <c r="AE8" s="619" t="str">
        <f t="shared" si="1"/>
        <v>Boriss Klubov</v>
      </c>
      <c r="AF8" s="620">
        <f ca="1">IFERROR(INDEX(Reit!$I:$I,MATCH(AE8,Reit!$F:$F,0)),"")</f>
        <v>22</v>
      </c>
      <c r="AG8" s="619" t="str">
        <f t="shared" si="2"/>
        <v>Elmo Lageda</v>
      </c>
      <c r="AH8" s="620">
        <f ca="1">IFERROR(INDEX(Reit!$I:$I,MATCH(AG8,Reit!$F:$F,0)),"")</f>
        <v>21</v>
      </c>
      <c r="AI8" s="619" t="str">
        <f t="shared" si="3"/>
        <v>Kalle Orro</v>
      </c>
      <c r="AJ8" s="620">
        <f ca="1">IFERROR(INDEX(Reit!$I:$I,MATCH(AI8,Reit!$F:$F,0)),"")</f>
        <v>32</v>
      </c>
      <c r="AK8" s="1344" t="str">
        <f t="shared" si="4"/>
        <v/>
      </c>
      <c r="AL8" s="620" t="str">
        <f>IFERROR(INDEX(Reit!$I:$I,MATCH(AK8,Reit!$F:$F,0)),"")</f>
        <v/>
      </c>
      <c r="AM8" s="619" t="str">
        <f t="shared" si="5"/>
        <v/>
      </c>
      <c r="AN8" s="620" t="str">
        <f>IFERROR(INDEX(Reit!$I:$I,MATCH(AM8,Reit!$F:$F,0)),"")</f>
        <v/>
      </c>
    </row>
    <row r="9" spans="1:40" x14ac:dyDescent="0.2">
      <c r="A9" s="1265">
        <v>3</v>
      </c>
      <c r="B9" s="1289" t="s">
        <v>456</v>
      </c>
      <c r="C9" s="1277">
        <v>4</v>
      </c>
      <c r="D9" s="1292">
        <v>8</v>
      </c>
      <c r="E9" s="1276"/>
      <c r="F9" s="1277">
        <v>13</v>
      </c>
      <c r="G9" s="1277">
        <v>2</v>
      </c>
      <c r="H9" s="1278" t="str">
        <f>(IF(C9-E7&gt;0,1)+IF(D9-E8&gt;0,1)+IF(F9-E10&gt;0,1)+IF(G9-E11&gt;0,1))&amp;"-"&amp;(IF(C9-E7&lt;0,1)+IF(D9-E8&lt;0,1)+IF(F9-E10&lt;0,1)+IF(G9-E11&lt;0,1))</f>
        <v>1-3</v>
      </c>
      <c r="I9" s="1277" t="str">
        <f>IF(AND(B9&lt;&gt;"",R$6=TRUE),A$6&amp;RANK(S9,S$7:S$11,0)," ")</f>
        <v>A5</v>
      </c>
      <c r="J9" s="1196">
        <f>IF(AND(Q9=1,Q7=1,C9&gt;E7),1)+IF(AND(Q9=1,Q8=1,D9&gt;E8),1)+IF(AND(Q9=1,Q10=1,F9&gt;E10),1)+IF(AND(Q9=1,Q11=1,G9&gt;E11),1)+IF(AND(Q9=2,Q7=2,C9&gt;E7),1)+IF(AND(Q9=2,Q8=2,D9&gt;E8),1)+IF(AND(Q9=2,Q10=2,F9&gt;E10),1)+IF(AND(Q9=2,Q11=2,G9&gt;E11),1)+IF(AND(Q9=3,Q7=3,C9&gt;E7),1)+IF(AND(Q9=3,Q8=3,D9&gt;E8),1)+IF(AND(Q9=3,Q10=3,F9&gt;E10),1)+IF(AND(Q9=3,Q11=3,G9&gt;E11),1)</f>
        <v>0</v>
      </c>
      <c r="K9" s="1282">
        <f>SUM(AND(T9=T7,C9&gt;E7),AND(T9=T8,D9&gt;E8),AND(T9=T10,F9&gt;E10),AND(T9=T11,G9&gt;E11))</f>
        <v>0</v>
      </c>
      <c r="L9" s="1290">
        <f>IF(AND(Q9=1,Q7=1),C9-E7)+IF(AND(Q9=1,Q8=1),D9-E8)+IF(AND(Q9=1,Q10=1),F9-E10)+IF(AND(Q9=1,Q11=1),G9-E11)+IF(AND(Q9=2,Q7=2),C9-E7)+IF(AND(Q9=2,Q8=2),D9-E8)+IF(AND(Q9=2,Q10=2),F9-E10)+IF(AND(Q9=2,Q11=2),G9-E11)+IF(AND(Q9=3,Q7=3),C9-E7)+IF(AND(Q9=3,Q8=3),D9-E8)+IF(AND(Q9=3,Q10=3),F9-E10)+IF(AND(Q9=3,Q11=3),G9-E11)+IF(AND(Q9=4,Q7=4),C9-E7)+IF(AND(Q9=4,Q8=4),D9-E8)+IF(AND(Q9=4,Q10=4),F9-E10)+IF(AND(Q9=4,Q11=4),G9-E11)</f>
        <v>0</v>
      </c>
      <c r="M9" s="1282">
        <f>SUM(AND(R9=R7,C9&gt;E7),AND(R9=R8,D9&gt;E8),AND(R9=R10,F9&gt;E10),AND(R9=R11,G9&gt;E11))</f>
        <v>0</v>
      </c>
      <c r="N9" s="1283" t="str">
        <f>SUM(C9:G9)&amp;"-"&amp;SUM(E7:E11)</f>
        <v>27-43</v>
      </c>
      <c r="O9" s="1284">
        <f>C9+D9+F9+G9-E7-E8-E10-E11</f>
        <v>-16</v>
      </c>
      <c r="P9" s="1220">
        <f>SUM(C9:G9,E7:E11)/SUM(E7:E11)</f>
        <v>1.6279069767441861</v>
      </c>
      <c r="Q9" s="1291">
        <f>VALUE(LEFT(H9,1))</f>
        <v>1</v>
      </c>
      <c r="R9" s="1285">
        <f>Q9*100000+J9*10000+K9*1000+100*L9</f>
        <v>100000</v>
      </c>
      <c r="S9" s="1286">
        <f t="shared" si="6"/>
        <v>100000.00839999999</v>
      </c>
      <c r="T9" s="1287" t="str">
        <f>Q9&amp;J9</f>
        <v>10</v>
      </c>
      <c r="U9" s="1288"/>
      <c r="AD9" s="618">
        <f t="shared" ca="1" si="0"/>
        <v>162</v>
      </c>
      <c r="AE9" s="619" t="str">
        <f t="shared" si="1"/>
        <v>Henri Mitt</v>
      </c>
      <c r="AF9" s="620">
        <f ca="1">IFERROR(INDEX(Reit!$I:$I,MATCH(AE9,Reit!$F:$F,0)),"")</f>
        <v>110</v>
      </c>
      <c r="AG9" s="619" t="str">
        <f t="shared" si="2"/>
        <v>Oliver Ojasalu</v>
      </c>
      <c r="AH9" s="620">
        <f ca="1">IFERROR(INDEX(Reit!$I:$I,MATCH(AG9,Reit!$F:$F,0)),"")</f>
        <v>36</v>
      </c>
      <c r="AI9" s="619" t="str">
        <f t="shared" si="3"/>
        <v>Tõnis Neiland</v>
      </c>
      <c r="AJ9" s="620">
        <f ca="1">IFERROR(INDEX(Reit!$I:$I,MATCH(AI9,Reit!$F:$F,0)),"")</f>
        <v>16</v>
      </c>
      <c r="AK9" s="1344" t="str">
        <f t="shared" si="4"/>
        <v/>
      </c>
      <c r="AL9" s="620" t="str">
        <f>IFERROR(INDEX(Reit!$I:$I,MATCH(AK9,Reit!$F:$F,0)),"")</f>
        <v/>
      </c>
      <c r="AM9" s="619" t="str">
        <f t="shared" si="5"/>
        <v/>
      </c>
      <c r="AN9" s="620" t="str">
        <f>IFERROR(INDEX(Reit!$I:$I,MATCH(AM9,Reit!$F:$F,0)),"")</f>
        <v/>
      </c>
    </row>
    <row r="10" spans="1:40" x14ac:dyDescent="0.2">
      <c r="A10" s="1265">
        <v>4</v>
      </c>
      <c r="B10" s="1293" t="s">
        <v>457</v>
      </c>
      <c r="C10" s="1277">
        <v>13</v>
      </c>
      <c r="D10" s="1292">
        <v>13</v>
      </c>
      <c r="E10" s="1277">
        <v>4</v>
      </c>
      <c r="F10" s="1276"/>
      <c r="G10" s="1294">
        <v>2</v>
      </c>
      <c r="H10" s="1278" t="str">
        <f>(IF(C10-F7&gt;0,1)+IF(D10-F8&gt;0,1)+IF(E10-F9&gt;0,1)+IF(G10-F11&gt;0,1))&amp;"-"&amp;(IF(C10-F7&lt;0,1)+IF(D10-F8&lt;0,1)+IF(E10-F9&lt;0,1)+IF(G10-F11&lt;0,1))</f>
        <v>2-2</v>
      </c>
      <c r="I10" s="1277" t="str">
        <f>IF(AND(B10&lt;&gt;"",R$6=TRUE),A$6&amp;RANK(S10,S$7:S$11,0)," ")</f>
        <v>A2</v>
      </c>
      <c r="J10" s="1196">
        <f>IF(AND(Q10=1,Q7=1,C10&gt;F7),1)+IF(AND(Q10=1,Q8=1,D10&gt;F8),1)+IF(AND(Q10=1,Q9=1,E10&gt;F9),1)+IF(AND(Q10=1,Q11=1,G10&gt;F11),1)+IF(AND(Q10=2,Q7=2,C10&gt;F7),1)+IF(AND(Q10=2,Q8=2,D10&gt;F8),1)+IF(AND(Q10=2,Q9=2,E10&gt;F9),1)+IF(AND(Q10=2,Q11=2,G10&gt;F11),1)+IF(AND(Q10=3,Q7=3,C10&gt;F7),1)+IF(AND(Q10=3,Q8=3,D10&gt;F8),1)+IF(AND(Q10=3,Q9=3,E10&gt;F9),1)+IF(AND(Q10=3,Q11=3,G10&gt;F11),1)</f>
        <v>2</v>
      </c>
      <c r="K10" s="1282">
        <f>SUM(AND(T10=T7,C10&gt;F7),AND(T10=T8,D10&gt;F8),AND(T10=T9,E10&gt;F9),AND(T10=T11,G10&gt;F11))</f>
        <v>0</v>
      </c>
      <c r="L10" s="1290">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13</v>
      </c>
      <c r="M10" s="1282">
        <f>SUM(AND(R10=R7,C10&gt;F7),AND(R10=R8,D10&gt;F8),AND(R10=R9,E10&gt;F9),AND(R10=R11,G10&gt;F11))</f>
        <v>0</v>
      </c>
      <c r="N10" s="1283" t="str">
        <f>SUM(C10:G10)&amp;"-"&amp;SUM(F7:F11)</f>
        <v>32-39</v>
      </c>
      <c r="O10" s="1284">
        <f>C10+D10+E10+G10-F7-F8-F9-F11</f>
        <v>-7</v>
      </c>
      <c r="P10" s="1220">
        <f>SUM(C10:G10,F7:F11)/SUM(F7:F11)</f>
        <v>1.8205128205128205</v>
      </c>
      <c r="Q10" s="1291">
        <f>VALUE(LEFT(H10,1))</f>
        <v>2</v>
      </c>
      <c r="R10" s="1285">
        <f>Q10*100000+J10*10000+K10*1000+100*L10</f>
        <v>221300</v>
      </c>
      <c r="S10" s="1286">
        <f>R10+M10*0.1+IF(ISNONTEXT(B10),0,0.01)+0.0001*O10</f>
        <v>221300.00930000001</v>
      </c>
      <c r="T10" s="1287" t="str">
        <f>Q10&amp;J10</f>
        <v>22</v>
      </c>
      <c r="AD10" s="618">
        <f t="shared" ca="1" si="0"/>
        <v>467</v>
      </c>
      <c r="AE10" s="619" t="str">
        <f t="shared" si="1"/>
        <v>Enn Tokman</v>
      </c>
      <c r="AF10" s="620">
        <f ca="1">IFERROR(INDEX(Reit!$I:$I,MATCH(AE10,Reit!$F:$F,0)),"")</f>
        <v>139</v>
      </c>
      <c r="AG10" s="619" t="str">
        <f t="shared" si="2"/>
        <v>Kenneth Muusikus</v>
      </c>
      <c r="AH10" s="620">
        <f ca="1">IFERROR(INDEX(Reit!$I:$I,MATCH(AG10,Reit!$F:$F,0)),"")</f>
        <v>262</v>
      </c>
      <c r="AI10" s="619" t="str">
        <f t="shared" si="3"/>
        <v>Urmas Randlaine</v>
      </c>
      <c r="AJ10" s="620">
        <f ca="1">IFERROR(INDEX(Reit!$I:$I,MATCH(AI10,Reit!$F:$F,0)),"")</f>
        <v>66</v>
      </c>
      <c r="AK10" s="1344" t="str">
        <f t="shared" si="4"/>
        <v/>
      </c>
      <c r="AL10" s="620" t="str">
        <f>IFERROR(INDEX(Reit!$I:$I,MATCH(AK10,Reit!$F:$F,0)),"")</f>
        <v/>
      </c>
      <c r="AM10" s="619" t="str">
        <f t="shared" si="5"/>
        <v/>
      </c>
      <c r="AN10" s="620" t="str">
        <f>IFERROR(INDEX(Reit!$I:$I,MATCH(AM10,Reit!$F:$F,0)),"")</f>
        <v/>
      </c>
    </row>
    <row r="11" spans="1:40" x14ac:dyDescent="0.2">
      <c r="A11" s="1265">
        <v>5</v>
      </c>
      <c r="B11" s="1293" t="s">
        <v>458</v>
      </c>
      <c r="C11" s="1277">
        <v>11</v>
      </c>
      <c r="D11" s="1277">
        <v>13</v>
      </c>
      <c r="E11" s="1277">
        <v>13</v>
      </c>
      <c r="F11" s="1277">
        <v>13</v>
      </c>
      <c r="G11" s="1276"/>
      <c r="H11" s="1278" t="str">
        <f>(IF(C11-G7&gt;0,1)+IF(D11-G8&gt;0,1)+IF(E11-G9&gt;0,1)+IF(F11-G10&gt;0,1))&amp;"-"&amp;(IF(C11-G7&lt;0,1)+IF(D11-G8&lt;0,1)+IF(E11-G9&lt;0,1)+IF(F11-G10&lt;0,1))</f>
        <v>3-1</v>
      </c>
      <c r="I11" s="1277" t="str">
        <f>IF(AND(B11&lt;&gt;"",R$6=TRUE),A$6&amp;RANK(S11,S$7:S$11,0)," ")</f>
        <v>A1</v>
      </c>
      <c r="J11" s="1196">
        <f>IF(AND(Q11=1,Q7=1,C11&gt;G7),1)+IF(AND(Q11=1,Q8=1,D11&gt;G8),1)+IF(AND(Q11=1,Q9=1,E11&gt;G9),1)+IF(AND(Q11=1,Q10=1,F11&gt;G10),1)+IF(AND(Q11=2,Q7=2,C11&gt;G7),1)+IF(AND(Q11=2,Q8=2,D11&gt;G8),1)+IF(AND(Q11=2,Q9=2,E11&gt;G9),1)+IF(AND(Q11=2,Q10=2,F11&gt;G10),1)+IF(AND(Q11=3,Q7=3,C11&gt;G7),1)+IF(AND(Q11=3,Q8=3,D11&gt;G8),1)+IF(AND(Q11=3,Q9=3,E11&gt;G9),1)+IF(AND(Q11=3,Q10=3,F11&gt;G10),1)</f>
        <v>0</v>
      </c>
      <c r="K11" s="1282">
        <f>SUM(AND(T11=T7,C11&gt;G7),AND(T11=T8,D11&gt;G8),AND(T11=T9,E11&gt;G9),AND(T11=T10,F11&gt;G10))</f>
        <v>0</v>
      </c>
      <c r="L11" s="1290">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1282">
        <f>SUM(AND(R11=R7,C11&gt;G7),AND(R11=R8,D11&gt;G8),AND(R11=R9,E11&gt;G9),AND(R11=R10,F11&gt;G10))</f>
        <v>0</v>
      </c>
      <c r="N11" s="1283" t="str">
        <f>SUM(C11:G11)&amp;"-"&amp;SUM(G7:G11)</f>
        <v>50-24</v>
      </c>
      <c r="O11" s="1284">
        <f>C11+D11+E11+F11-G7-G8-G9-G10</f>
        <v>26</v>
      </c>
      <c r="P11" s="1220">
        <f>SUM(C11:G11,G7:G11)/SUM(G7:G11)</f>
        <v>3.0833333333333335</v>
      </c>
      <c r="Q11" s="1291">
        <f>VALUE(LEFT(H11,1))</f>
        <v>3</v>
      </c>
      <c r="R11" s="1285">
        <f>Q11*100000+J11*10000+K11*1000+100*L11</f>
        <v>300000</v>
      </c>
      <c r="S11" s="1286">
        <f>R11+M11*0.1+IF(ISNONTEXT(B11),0,0.01)+0.0001*O11</f>
        <v>300000.01260000002</v>
      </c>
      <c r="T11" s="1287" t="str">
        <f>Q11&amp;J11</f>
        <v>30</v>
      </c>
      <c r="AD11" s="618">
        <f t="shared" ca="1" si="0"/>
        <v>726</v>
      </c>
      <c r="AE11" s="619" t="str">
        <f t="shared" si="1"/>
        <v>Kaspar Mänd</v>
      </c>
      <c r="AF11" s="620">
        <f ca="1">IFERROR(INDEX(Reit!$I:$I,MATCH(AE11,Reit!$F:$F,0)),"")</f>
        <v>228</v>
      </c>
      <c r="AG11" s="619" t="str">
        <f t="shared" si="2"/>
        <v>Matti Vinni</v>
      </c>
      <c r="AH11" s="620">
        <f ca="1">IFERROR(INDEX(Reit!$I:$I,MATCH(AG11,Reit!$F:$F,0)),"")</f>
        <v>256</v>
      </c>
      <c r="AI11" s="619" t="str">
        <f t="shared" si="3"/>
        <v>Olav Türk</v>
      </c>
      <c r="AJ11" s="620">
        <f ca="1">IFERROR(INDEX(Reit!$I:$I,MATCH(AI11,Reit!$F:$F,0)),"")</f>
        <v>242</v>
      </c>
      <c r="AK11" s="1344" t="str">
        <f t="shared" si="4"/>
        <v/>
      </c>
      <c r="AL11" s="620" t="str">
        <f>IFERROR(INDEX(Reit!$I:$I,MATCH(AK11,Reit!$F:$F,0)),"")</f>
        <v/>
      </c>
      <c r="AM11" s="619" t="str">
        <f t="shared" si="5"/>
        <v/>
      </c>
      <c r="AN11" s="620" t="str">
        <f>IFERROR(INDEX(Reit!$I:$I,MATCH(AM11,Reit!$F:$F,0)),"")</f>
        <v/>
      </c>
    </row>
    <row r="12" spans="1:40" x14ac:dyDescent="0.2">
      <c r="A12" s="1295"/>
      <c r="B12" s="1296"/>
      <c r="C12" s="1297"/>
      <c r="D12" s="1297"/>
      <c r="E12" s="1297"/>
      <c r="F12" s="1298"/>
      <c r="G12" s="1299"/>
      <c r="H12" s="1298"/>
      <c r="I12" s="1300"/>
      <c r="J12" s="1177"/>
      <c r="K12" s="1177"/>
      <c r="L12" s="1177"/>
      <c r="M12" s="1177"/>
      <c r="N12" s="1177"/>
      <c r="O12" s="1177"/>
      <c r="P12" s="1177"/>
      <c r="Q12" s="1177"/>
      <c r="R12" s="1301" t="s">
        <v>335</v>
      </c>
      <c r="S12" s="1177"/>
      <c r="T12" s="1177"/>
    </row>
    <row r="13" spans="1:40" x14ac:dyDescent="0.2">
      <c r="A13" s="1265" t="s">
        <v>246</v>
      </c>
      <c r="B13" s="1266"/>
      <c r="C13" s="1267">
        <v>1</v>
      </c>
      <c r="D13" s="1267">
        <v>2</v>
      </c>
      <c r="E13" s="1267">
        <v>3</v>
      </c>
      <c r="F13" s="1267">
        <v>4</v>
      </c>
      <c r="G13" s="1267">
        <v>5</v>
      </c>
      <c r="H13" s="1268" t="s">
        <v>313</v>
      </c>
      <c r="I13" s="1268" t="s">
        <v>296</v>
      </c>
      <c r="J13" s="1269" t="s">
        <v>314</v>
      </c>
      <c r="K13" s="1270" t="s">
        <v>315</v>
      </c>
      <c r="L13" s="1271" t="s">
        <v>316</v>
      </c>
      <c r="M13" s="1271" t="s">
        <v>317</v>
      </c>
      <c r="N13" s="604" t="s">
        <v>344</v>
      </c>
      <c r="O13" s="604" t="s">
        <v>344</v>
      </c>
      <c r="P13" s="1272" t="s">
        <v>318</v>
      </c>
      <c r="Q13" s="1273" t="s">
        <v>183</v>
      </c>
      <c r="R13" s="1273" t="b">
        <f>OR(AND(COUNTA(B14:B18)=3,COUNTA(C14:G18)=6),AND(COUNTA(B14:B18)=4,COUNTA(C14:G18)=12),AND(COUNTA(B14:B18)=5,COUNTA(C14:G18)=20))</f>
        <v>1</v>
      </c>
      <c r="S13" s="1273" t="s">
        <v>319</v>
      </c>
      <c r="T13" s="1274" t="s">
        <v>320</v>
      </c>
    </row>
    <row r="14" spans="1:40" x14ac:dyDescent="0.2">
      <c r="A14" s="1265">
        <v>1</v>
      </c>
      <c r="B14" s="1302" t="s">
        <v>459</v>
      </c>
      <c r="C14" s="1276"/>
      <c r="D14" s="1277">
        <v>13</v>
      </c>
      <c r="E14" s="1277">
        <v>13</v>
      </c>
      <c r="F14" s="1277">
        <v>13</v>
      </c>
      <c r="G14" s="1277">
        <v>10</v>
      </c>
      <c r="H14" s="1278" t="str">
        <f>(IF(D14-C15&gt;0,1)+IF(E14-C16&gt;0,1)+IF(F14-C17&gt;0,1)+IF(G14-C18&gt;0,1))&amp;"-"&amp;(IF(D14-C15&lt;0,1)+IF(E14-C16&lt;0,1)+IF(F14-C17&lt;0,1)+IF(G14-C18&lt;0,1))</f>
        <v>3-1</v>
      </c>
      <c r="I14" s="1277" t="str">
        <f>IF(AND(B14&lt;&gt;"",R$13=TRUE),A$13&amp;RANK(S14,S$14:S$18,0)," ")</f>
        <v>B1</v>
      </c>
      <c r="J14" s="1279">
        <f>IF(AND(Q14=1,Q15=1,D14&gt;C15),1)+IF(AND(Q14=1,Q16=1,E14&gt;C16),1)+IF(AND(Q14=1,Q17=1,F14&gt;C17),1)+IF(AND(Q14=1,Q18=1,G14&gt;C18),1)+IF(AND(Q14=2,Q15=2,D14&gt;C15),1)+IF(AND(Q14=2,Q16=2,E14&gt;C16),1)+IF(AND(Q14=2,Q17=2,F14&gt;C17),1)+IF(AND(Q14=2,Q18=2,G14&gt;C18),1)+IF(AND(Q14=3,Q15=3,D14&gt;C15),1)+IF(AND(Q14=3,Q16=3,E14&gt;C16),1)+IF(AND(Q14=3,Q17=3,F14&gt;C17),1)+IF(AND(Q14=3,Q18=3,G14&gt;C18),1)</f>
        <v>1</v>
      </c>
      <c r="K14" s="1280">
        <f>SUM(AND(T14=T15,D14&gt;C15),AND(T14=T16,E14&gt;C16),AND(T14=T17,F14&gt;C17),AND(T14=T18,G14&gt;C18))</f>
        <v>0</v>
      </c>
      <c r="L14" s="1281">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8</v>
      </c>
      <c r="M14" s="1282">
        <f>SUM(AND(R14=R15,D14&gt;C15),AND(R14=R16,E14&gt;C16),AND(R14=R17,F14&gt;C17),AND(R14=R18,G14&gt;C18))</f>
        <v>0</v>
      </c>
      <c r="N14" s="1283" t="str">
        <f>SUM(C14:G14)&amp;"-"&amp;SUM(C14:C18)</f>
        <v>49-32</v>
      </c>
      <c r="O14" s="1284">
        <f>D14+E14+F14+G14-C15-C16-C17-C18</f>
        <v>17</v>
      </c>
      <c r="P14" s="1220">
        <f>SUM(C14:G14,C14:C18)/SUM(C14:C18)</f>
        <v>2.53125</v>
      </c>
      <c r="Q14" s="1285">
        <f>VALUE(LEFT(H14,1))</f>
        <v>3</v>
      </c>
      <c r="R14" s="1285">
        <f>Q14*100000+J14*10000+K14*1000+100*L14</f>
        <v>310800</v>
      </c>
      <c r="S14" s="1286">
        <f t="shared" ref="S14:S18" si="7">R14+M14*0.1+IF(ISNONTEXT(B14),0,0.01)+0.0001*O14</f>
        <v>310800.01170000003</v>
      </c>
      <c r="T14" s="1287" t="str">
        <f>Q14&amp;J14</f>
        <v>31</v>
      </c>
      <c r="U14" s="1288"/>
      <c r="AD14" s="618">
        <f t="shared" ref="AD14:AD76" ca="1" si="8">SUM(AF14:AN14)</f>
        <v>438</v>
      </c>
      <c r="AE14" s="619" t="str">
        <f t="shared" si="1"/>
        <v>Jaan Sepp</v>
      </c>
      <c r="AF14" s="620">
        <f ca="1">IFERROR(INDEX(Reit!$I:$I,MATCH(AE14,Reit!$F:$F,0)),"")</f>
        <v>179</v>
      </c>
      <c r="AG14" s="619" t="str">
        <f t="shared" si="2"/>
        <v>Oskar Sepp</v>
      </c>
      <c r="AH14" s="620">
        <f ca="1">IFERROR(INDEX(Reit!$I:$I,MATCH(AG14,Reit!$F:$F,0)),"")</f>
        <v>72</v>
      </c>
      <c r="AI14" s="619" t="str">
        <f t="shared" si="3"/>
        <v>Sander Rose</v>
      </c>
      <c r="AJ14" s="620">
        <f ca="1">IFERROR(INDEX(Reit!$I:$I,MATCH(AI14,Reit!$F:$F,0)),"")</f>
        <v>187</v>
      </c>
      <c r="AK14" s="1344" t="str">
        <f t="shared" si="4"/>
        <v/>
      </c>
      <c r="AL14" s="620" t="str">
        <f>IFERROR(INDEX(Reit!$I:$I,MATCH(AK14,Reit!$F:$F,0)),"")</f>
        <v/>
      </c>
      <c r="AM14" s="619" t="str">
        <f t="shared" si="5"/>
        <v/>
      </c>
      <c r="AN14" s="620" t="str">
        <f>IFERROR(INDEX(Reit!$I:$I,MATCH(AM14,Reit!$F:$F,0)),"")</f>
        <v/>
      </c>
    </row>
    <row r="15" spans="1:40" x14ac:dyDescent="0.2">
      <c r="A15" s="1265">
        <v>2</v>
      </c>
      <c r="B15" s="1275" t="s">
        <v>464</v>
      </c>
      <c r="C15" s="1277">
        <v>9</v>
      </c>
      <c r="D15" s="1276"/>
      <c r="E15" s="1277">
        <v>8</v>
      </c>
      <c r="F15" s="1277">
        <v>4</v>
      </c>
      <c r="G15" s="1277">
        <v>11</v>
      </c>
      <c r="H15" s="1278" t="str">
        <f>(IF(C15-D14&gt;0,1)+IF(E15-D16&gt;0,1)+IF(F15-D17&gt;0,1)+IF(G15-D18&gt;0,1))&amp;"-"&amp;(IF(C15-D14&lt;0,1)+IF(E15-D16&lt;0,1)+IF(F15-D17&lt;0,1)+IF(G15-D18&lt;0,1))</f>
        <v>1-3</v>
      </c>
      <c r="I15" s="1277" t="str">
        <f>IF(AND(B15&lt;&gt;"",R$13=TRUE),A$13&amp;RANK(S15,S$14:S$18,0)," ")</f>
        <v>B5</v>
      </c>
      <c r="J15" s="1196">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1282">
        <f>SUM(AND(T15=T14,C15&gt;D14),AND(T15=T16,E15&gt;D16),AND(T15=T17,F15&gt;D17),AND(T15=T18,G15&gt;D18))</f>
        <v>0</v>
      </c>
      <c r="L15" s="1290">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-5</v>
      </c>
      <c r="M15" s="1282">
        <f>SUM(AND(R15=R14,C15&gt;D14),AND(R15=R16,E15&gt;D16),AND(R15=R17,F15&gt;D17),AND(R15=R18,G15&gt;D18))</f>
        <v>0</v>
      </c>
      <c r="N15" s="1283" t="str">
        <f>SUM(C15:G15)&amp;"-"&amp;SUM(D14:D18)</f>
        <v>32-49</v>
      </c>
      <c r="O15" s="1284">
        <f>C15+E15+F15+G15-D14-D16-D17-D18</f>
        <v>-17</v>
      </c>
      <c r="P15" s="1220">
        <f>SUM(C15:G15,D14:D18)/SUM(D14:D18)</f>
        <v>1.653061224489796</v>
      </c>
      <c r="Q15" s="1291">
        <f>VALUE(LEFT(H15,1))</f>
        <v>1</v>
      </c>
      <c r="R15" s="1285">
        <f>Q15*100000+J15*10000+K15*1000+100*L15</f>
        <v>99500</v>
      </c>
      <c r="S15" s="1286">
        <f t="shared" si="7"/>
        <v>99500.008300000001</v>
      </c>
      <c r="T15" s="1287" t="str">
        <f>Q15&amp;J15</f>
        <v>10</v>
      </c>
      <c r="U15" s="1288"/>
      <c r="AD15" s="618">
        <f t="shared" ca="1" si="8"/>
        <v>440</v>
      </c>
      <c r="AE15" s="619" t="str">
        <f t="shared" si="1"/>
        <v>Andrei Grintšak</v>
      </c>
      <c r="AF15" s="620">
        <f ca="1">IFERROR(INDEX(Reit!$I:$I,MATCH(AE15,Reit!$F:$F,0)),"")</f>
        <v>124</v>
      </c>
      <c r="AG15" s="619" t="str">
        <f t="shared" si="2"/>
        <v>Ljudmila Varendi</v>
      </c>
      <c r="AH15" s="620">
        <f ca="1">IFERROR(INDEX(Reit!$I:$I,MATCH(AG15,Reit!$F:$F,0)),"")</f>
        <v>150</v>
      </c>
      <c r="AI15" s="619" t="str">
        <f t="shared" si="3"/>
        <v>Viktor Švarõgin</v>
      </c>
      <c r="AJ15" s="620">
        <f ca="1">IFERROR(INDEX(Reit!$I:$I,MATCH(AI15,Reit!$F:$F,0)),"")</f>
        <v>166</v>
      </c>
      <c r="AK15" s="1344" t="str">
        <f t="shared" si="4"/>
        <v/>
      </c>
      <c r="AL15" s="620" t="str">
        <f>IFERROR(INDEX(Reit!$I:$I,MATCH(AK15,Reit!$F:$F,0)),"")</f>
        <v/>
      </c>
      <c r="AM15" s="619" t="str">
        <f t="shared" si="5"/>
        <v/>
      </c>
      <c r="AN15" s="620" t="str">
        <f>IFERROR(INDEX(Reit!$I:$I,MATCH(AM15,Reit!$F:$F,0)),"")</f>
        <v/>
      </c>
    </row>
    <row r="16" spans="1:40" x14ac:dyDescent="0.2">
      <c r="A16" s="1265">
        <v>3</v>
      </c>
      <c r="B16" s="1289" t="s">
        <v>460</v>
      </c>
      <c r="C16" s="1277">
        <v>7</v>
      </c>
      <c r="D16" s="1292">
        <v>13</v>
      </c>
      <c r="E16" s="1276"/>
      <c r="F16" s="1277">
        <v>10</v>
      </c>
      <c r="G16" s="1277">
        <v>1</v>
      </c>
      <c r="H16" s="1278" t="str">
        <f>(IF(C16-E14&gt;0,1)+IF(D16-E15&gt;0,1)+IF(F16-E17&gt;0,1)+IF(G16-E18&gt;0,1))&amp;"-"&amp;(IF(C16-E14&lt;0,1)+IF(D16-E15&lt;0,1)+IF(F16-E17&lt;0,1)+IF(G16-E18&lt;0,1))</f>
        <v>1-3</v>
      </c>
      <c r="I16" s="1277" t="str">
        <f>IF(AND(B16&lt;&gt;"",R$13=TRUE),A$13&amp;RANK(S16,S$14:S$18,0)," ")</f>
        <v>B4</v>
      </c>
      <c r="J16" s="1196">
        <f>IF(AND(Q16=1,Q14=1,C16&gt;E14),1)+IF(AND(Q16=1,Q15=1,D16&gt;E15),1)+IF(AND(Q16=1,Q17=1,F16&gt;E17),1)+IF(AND(Q16=1,Q18=1,G16&gt;E18),1)+IF(AND(Q16=2,Q14=2,C16&gt;E14),1)+IF(AND(Q16=2,Q15=2,D16&gt;E15),1)+IF(AND(Q16=2,Q17=2,F16&gt;E17),1)+IF(AND(Q16=2,Q18=2,G16&gt;E18),1)+IF(AND(Q16=3,Q14=3,C16&gt;E14),1)+IF(AND(Q16=3,Q15=3,D16&gt;E15),1)+IF(AND(Q16=3,Q17=3,F16&gt;E17),1)+IF(AND(Q16=3,Q18=3,G16&gt;E18),1)</f>
        <v>1</v>
      </c>
      <c r="K16" s="1282">
        <f>SUM(AND(T16=T14,C16&gt;E14),AND(T16=T15,D16&gt;E15),AND(T16=T17,F16&gt;E17),AND(T16=T18,G16&gt;E18))</f>
        <v>0</v>
      </c>
      <c r="L16" s="1290">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5</v>
      </c>
      <c r="M16" s="1282">
        <f>SUM(AND(R16=R14,C16&gt;E14),AND(R16=R15,D16&gt;E15),AND(R16=R17,F16&gt;E17),AND(R16=R18,G16&gt;E18))</f>
        <v>0</v>
      </c>
      <c r="N16" s="1283" t="str">
        <f>SUM(C16:G16)&amp;"-"&amp;SUM(E14:E18)</f>
        <v>31-47</v>
      </c>
      <c r="O16" s="1284">
        <f>C16+D16+F16+G16-E14-E15-E17-E18</f>
        <v>-16</v>
      </c>
      <c r="P16" s="1220">
        <f>SUM(C16:G16,E14:E18)/SUM(E14:E18)</f>
        <v>1.6595744680851063</v>
      </c>
      <c r="Q16" s="1291">
        <f>VALUE(LEFT(H16,1))</f>
        <v>1</v>
      </c>
      <c r="R16" s="1285">
        <f>Q16*100000+J16*10000+K16*1000+100*L16</f>
        <v>110500</v>
      </c>
      <c r="S16" s="1286">
        <f t="shared" si="7"/>
        <v>110500.00839999999</v>
      </c>
      <c r="T16" s="1287" t="str">
        <f>Q16&amp;J16</f>
        <v>11</v>
      </c>
      <c r="U16" s="1288"/>
      <c r="AD16" s="618">
        <f t="shared" ca="1" si="8"/>
        <v>194</v>
      </c>
      <c r="AE16" s="619" t="str">
        <f t="shared" si="1"/>
        <v>Lemmit Toomra</v>
      </c>
      <c r="AF16" s="620">
        <f ca="1">IFERROR(INDEX(Reit!$I:$I,MATCH(AE16,Reit!$F:$F,0)),"")</f>
        <v>23</v>
      </c>
      <c r="AG16" s="619" t="str">
        <f t="shared" si="2"/>
        <v>Tõnu Kapper</v>
      </c>
      <c r="AH16" s="620">
        <f ca="1">IFERROR(INDEX(Reit!$I:$I,MATCH(AG16,Reit!$F:$F,0)),"")</f>
        <v>84</v>
      </c>
      <c r="AI16" s="619" t="str">
        <f t="shared" si="3"/>
        <v>Vladimir Ogneštšikov</v>
      </c>
      <c r="AJ16" s="620">
        <f ca="1">IFERROR(INDEX(Reit!$I:$I,MATCH(AI16,Reit!$F:$F,0)),"")</f>
        <v>87</v>
      </c>
      <c r="AK16" s="1344" t="str">
        <f t="shared" si="4"/>
        <v/>
      </c>
      <c r="AL16" s="620" t="str">
        <f>IFERROR(INDEX(Reit!$I:$I,MATCH(AK16,Reit!$F:$F,0)),"")</f>
        <v/>
      </c>
      <c r="AM16" s="619" t="str">
        <f t="shared" si="5"/>
        <v/>
      </c>
      <c r="AN16" s="620" t="str">
        <f>IFERROR(INDEX(Reit!$I:$I,MATCH(AM16,Reit!$F:$F,0)),"")</f>
        <v/>
      </c>
    </row>
    <row r="17" spans="1:40" x14ac:dyDescent="0.2">
      <c r="A17" s="1265">
        <v>4</v>
      </c>
      <c r="B17" s="1293" t="s">
        <v>461</v>
      </c>
      <c r="C17" s="1277">
        <v>5</v>
      </c>
      <c r="D17" s="1292">
        <v>13</v>
      </c>
      <c r="E17" s="1277">
        <v>13</v>
      </c>
      <c r="F17" s="1276"/>
      <c r="G17" s="1294">
        <v>13</v>
      </c>
      <c r="H17" s="1278" t="str">
        <f>(IF(C17-F14&gt;0,1)+IF(D17-F15&gt;0,1)+IF(E17-F16&gt;0,1)+IF(G17-F18&gt;0,1))&amp;"-"&amp;(IF(C17-F14&lt;0,1)+IF(D17-F15&lt;0,1)+IF(E17-F16&lt;0,1)+IF(G17-F18&lt;0,1))</f>
        <v>3-1</v>
      </c>
      <c r="I17" s="1277" t="str">
        <f>IF(AND(B17&lt;&gt;"",R$13=TRUE),A$13&amp;RANK(S17,S$14:S$18,0)," ")</f>
        <v>B2</v>
      </c>
      <c r="J17" s="1196">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1282">
        <f>SUM(AND(T17=T14,C17&gt;F14),AND(T17=T15,D17&gt;F15),AND(T17=T16,E17&gt;F16),AND(T17=T18,G17&gt;F18))</f>
        <v>0</v>
      </c>
      <c r="L17" s="1290">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-8</v>
      </c>
      <c r="M17" s="1282">
        <f>SUM(AND(R17=R14,C17&gt;F14),AND(R17=R15,D17&gt;F15),AND(R17=R16,E17&gt;F16),AND(R17=R18,G17&gt;F18))</f>
        <v>0</v>
      </c>
      <c r="N17" s="1283" t="str">
        <f>SUM(C17:G17)&amp;"-"&amp;SUM(F14:F18)</f>
        <v>44-39</v>
      </c>
      <c r="O17" s="1284">
        <f>C17+D17+E17+G17-F14-F15-F16-F18</f>
        <v>5</v>
      </c>
      <c r="P17" s="1220">
        <f>SUM(C17:G17,F14:F18)/SUM(F14:F18)</f>
        <v>2.1282051282051282</v>
      </c>
      <c r="Q17" s="1291">
        <f>VALUE(LEFT(H17,1))</f>
        <v>3</v>
      </c>
      <c r="R17" s="1285">
        <f>Q17*100000+J17*10000+K17*1000+100*L17</f>
        <v>299200</v>
      </c>
      <c r="S17" s="1286">
        <f t="shared" si="7"/>
        <v>299200.01050000003</v>
      </c>
      <c r="T17" s="1287" t="str">
        <f>Q17&amp;J17</f>
        <v>30</v>
      </c>
      <c r="AD17" s="618">
        <f t="shared" ca="1" si="8"/>
        <v>519</v>
      </c>
      <c r="AE17" s="619" t="str">
        <f t="shared" si="1"/>
        <v>Ivar Viljaste</v>
      </c>
      <c r="AF17" s="620">
        <f ca="1">IFERROR(INDEX(Reit!$I:$I,MATCH(AE17,Reit!$F:$F,0)),"")</f>
        <v>268</v>
      </c>
      <c r="AG17" s="619" t="str">
        <f t="shared" si="2"/>
        <v>Janek Tarto</v>
      </c>
      <c r="AH17" s="620">
        <f ca="1">IFERROR(INDEX(Reit!$I:$I,MATCH(AG17,Reit!$F:$F,0)),"")</f>
        <v>113</v>
      </c>
      <c r="AI17" s="619" t="str">
        <f t="shared" si="3"/>
        <v>Meelis Luud</v>
      </c>
      <c r="AJ17" s="620">
        <f ca="1">IFERROR(INDEX(Reit!$I:$I,MATCH(AI17,Reit!$F:$F,0)),"")</f>
        <v>138</v>
      </c>
      <c r="AK17" s="1344" t="str">
        <f t="shared" si="4"/>
        <v/>
      </c>
      <c r="AL17" s="620" t="str">
        <f>IFERROR(INDEX(Reit!$I:$I,MATCH(AK17,Reit!$F:$F,0)),"")</f>
        <v/>
      </c>
      <c r="AM17" s="619" t="str">
        <f t="shared" si="5"/>
        <v/>
      </c>
      <c r="AN17" s="620" t="str">
        <f>IFERROR(INDEX(Reit!$I:$I,MATCH(AM17,Reit!$F:$F,0)),"")</f>
        <v/>
      </c>
    </row>
    <row r="18" spans="1:40" x14ac:dyDescent="0.2">
      <c r="A18" s="1265">
        <v>5</v>
      </c>
      <c r="B18" s="1293" t="s">
        <v>462</v>
      </c>
      <c r="C18" s="1277">
        <v>11</v>
      </c>
      <c r="D18" s="1277">
        <v>10</v>
      </c>
      <c r="E18" s="1277">
        <v>13</v>
      </c>
      <c r="F18" s="1277">
        <v>12</v>
      </c>
      <c r="G18" s="1276"/>
      <c r="H18" s="1278" t="str">
        <f>(IF(C18-G14&gt;0,1)+IF(D18-G15&gt;0,1)+IF(E18-G16&gt;0,1)+IF(F18-G17&gt;0,1))&amp;"-"&amp;(IF(C18-G14&lt;0,1)+IF(D18-G15&lt;0,1)+IF(E18-G16&lt;0,1)+IF(F18-G17&lt;0,1))</f>
        <v>2-2</v>
      </c>
      <c r="I18" s="1277" t="str">
        <f>IF(AND(B18&lt;&gt;"",R$13=TRUE),A$13&amp;RANK(S18,S$14:S$18,0)," ")</f>
        <v>B3</v>
      </c>
      <c r="J18" s="1196">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1282">
        <f>SUM(AND(T18=T14,C18&gt;G14),AND(T18=T15,D18&gt;G15),AND(T18=T16,E18&gt;G16),AND(T18=T17,F18&gt;G17))</f>
        <v>0</v>
      </c>
      <c r="L18" s="1290">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1282">
        <f>SUM(AND(R18=R14,C18&gt;G14),AND(R18=R15,D18&gt;G15),AND(R18=R16,E18&gt;G16),AND(R18=R17,F18&gt;G17))</f>
        <v>0</v>
      </c>
      <c r="N18" s="1283" t="str">
        <f>SUM(C18:G18)&amp;"-"&amp;SUM(G14:G18)</f>
        <v>46-35</v>
      </c>
      <c r="O18" s="1284">
        <f>C18+D18+E18+F18-G14-G15-G16-G17</f>
        <v>11</v>
      </c>
      <c r="P18" s="1220">
        <f>SUM(C18:G18,G14:G18)/SUM(G14:G18)</f>
        <v>2.3142857142857145</v>
      </c>
      <c r="Q18" s="1291">
        <f>VALUE(LEFT(H18,1))</f>
        <v>2</v>
      </c>
      <c r="R18" s="1285">
        <f>Q18*100000+J18*10000+K18*1000+100*L18</f>
        <v>200000</v>
      </c>
      <c r="S18" s="1286">
        <f t="shared" si="7"/>
        <v>200000.0111</v>
      </c>
      <c r="T18" s="1287" t="str">
        <f>Q18&amp;J18</f>
        <v>20</v>
      </c>
      <c r="AD18" s="618">
        <f t="shared" ca="1" si="8"/>
        <v>363</v>
      </c>
      <c r="AE18" s="619" t="str">
        <f t="shared" si="1"/>
        <v>Aleksander Korikov</v>
      </c>
      <c r="AF18" s="620">
        <f ca="1">IFERROR(INDEX(Reit!$I:$I,MATCH(AE18,Reit!$F:$F,0)),"")</f>
        <v>30</v>
      </c>
      <c r="AG18" s="619" t="str">
        <f t="shared" si="2"/>
        <v>Oleg Rõndenkov</v>
      </c>
      <c r="AH18" s="620">
        <f ca="1">IFERROR(INDEX(Reit!$I:$I,MATCH(AG18,Reit!$F:$F,0)),"")</f>
        <v>232</v>
      </c>
      <c r="AI18" s="619" t="str">
        <f t="shared" si="3"/>
        <v>Svetlana Veski</v>
      </c>
      <c r="AJ18" s="620">
        <f ca="1">IFERROR(INDEX(Reit!$I:$I,MATCH(AI18,Reit!$F:$F,0)),"")</f>
        <v>101</v>
      </c>
      <c r="AK18" s="1344" t="str">
        <f t="shared" si="4"/>
        <v/>
      </c>
      <c r="AL18" s="620" t="str">
        <f>IFERROR(INDEX(Reit!$I:$I,MATCH(AK18,Reit!$F:$F,0)),"")</f>
        <v/>
      </c>
      <c r="AM18" s="619" t="str">
        <f t="shared" si="5"/>
        <v/>
      </c>
      <c r="AN18" s="620" t="str">
        <f>IFERROR(INDEX(Reit!$I:$I,MATCH(AM18,Reit!$F:$F,0)),"")</f>
        <v/>
      </c>
    </row>
    <row r="19" spans="1:40" hidden="1" x14ac:dyDescent="0.2">
      <c r="A19" s="1295"/>
      <c r="B19" s="1296"/>
      <c r="C19" s="1297"/>
      <c r="D19" s="1297"/>
      <c r="E19" s="1297"/>
      <c r="F19" s="1298"/>
      <c r="G19" s="1299"/>
      <c r="H19" s="1298"/>
      <c r="I19" s="1303"/>
      <c r="J19" s="1177"/>
      <c r="K19" s="1177"/>
      <c r="L19" s="1177"/>
      <c r="M19" s="1177"/>
      <c r="N19" s="1177"/>
      <c r="O19" s="1177"/>
      <c r="P19" s="1177"/>
      <c r="Q19" s="1177"/>
      <c r="R19" s="1301" t="s">
        <v>335</v>
      </c>
      <c r="S19" s="1177"/>
      <c r="T19" s="1177"/>
      <c r="AD19" s="618">
        <f t="shared" si="8"/>
        <v>0</v>
      </c>
      <c r="AE19" s="619" t="str">
        <f t="shared" si="1"/>
        <v/>
      </c>
      <c r="AF19" s="620" t="str">
        <f>IFERROR(INDEX(Reit!$I:$I,MATCH(AE19,Reit!$F:$F,0)),"")</f>
        <v/>
      </c>
      <c r="AG19" s="619" t="str">
        <f t="shared" si="2"/>
        <v/>
      </c>
      <c r="AH19" s="620" t="str">
        <f>IFERROR(INDEX(Reit!$I:$I,MATCH(AG19,Reit!$F:$F,0)),"")</f>
        <v/>
      </c>
      <c r="AI19" s="619" t="str">
        <f t="shared" si="3"/>
        <v/>
      </c>
      <c r="AJ19" s="620" t="str">
        <f>IFERROR(INDEX(Reit!$I:$I,MATCH(AI19,Reit!$F:$F,0)),"")</f>
        <v/>
      </c>
      <c r="AK19" s="1344" t="str">
        <f t="shared" si="4"/>
        <v/>
      </c>
      <c r="AL19" s="620" t="str">
        <f>IFERROR(INDEX(Reit!$I:$I,MATCH(AK19,Reit!$F:$F,0)),"")</f>
        <v/>
      </c>
      <c r="AM19" s="619" t="str">
        <f t="shared" si="5"/>
        <v/>
      </c>
      <c r="AN19" s="620" t="str">
        <f>IFERROR(INDEX(Reit!$I:$I,MATCH(AM19,Reit!$F:$F,0)),"")</f>
        <v/>
      </c>
    </row>
    <row r="20" spans="1:40" hidden="1" x14ac:dyDescent="0.2">
      <c r="A20" s="1265" t="s">
        <v>247</v>
      </c>
      <c r="B20" s="1266"/>
      <c r="C20" s="1267">
        <v>1</v>
      </c>
      <c r="D20" s="1267">
        <v>2</v>
      </c>
      <c r="E20" s="1267">
        <v>3</v>
      </c>
      <c r="F20" s="1267"/>
      <c r="G20" s="1267"/>
      <c r="H20" s="1268" t="s">
        <v>313</v>
      </c>
      <c r="I20" s="1268" t="s">
        <v>296</v>
      </c>
      <c r="J20" s="1269" t="s">
        <v>314</v>
      </c>
      <c r="K20" s="1270" t="s">
        <v>315</v>
      </c>
      <c r="L20" s="1271" t="s">
        <v>316</v>
      </c>
      <c r="M20" s="1271" t="s">
        <v>317</v>
      </c>
      <c r="N20" s="604" t="s">
        <v>344</v>
      </c>
      <c r="O20" s="604" t="s">
        <v>344</v>
      </c>
      <c r="P20" s="1272" t="s">
        <v>318</v>
      </c>
      <c r="Q20" s="1273" t="s">
        <v>183</v>
      </c>
      <c r="R20" s="1273" t="b">
        <f>OR(AND(COUNTA(B21:B25)=3,COUNTA(C21:G25)=6),AND(COUNTA(B21:B25)=4,COUNTA(C21:G25)=12),AND(COUNTA(B21:B25)=5,COUNTA(C21:G25)=20))</f>
        <v>0</v>
      </c>
      <c r="S20" s="1273" t="s">
        <v>319</v>
      </c>
      <c r="T20" s="1274" t="s">
        <v>320</v>
      </c>
      <c r="AD20" s="618">
        <f t="shared" si="8"/>
        <v>0</v>
      </c>
      <c r="AE20" s="619" t="str">
        <f t="shared" si="1"/>
        <v/>
      </c>
      <c r="AF20" s="620" t="str">
        <f>IFERROR(INDEX(Reit!$I:$I,MATCH(AE20,Reit!$F:$F,0)),"")</f>
        <v/>
      </c>
      <c r="AG20" s="619" t="str">
        <f t="shared" si="2"/>
        <v/>
      </c>
      <c r="AH20" s="620" t="str">
        <f>IFERROR(INDEX(Reit!$I:$I,MATCH(AG20,Reit!$F:$F,0)),"")</f>
        <v/>
      </c>
      <c r="AI20" s="619" t="str">
        <f t="shared" si="3"/>
        <v/>
      </c>
      <c r="AJ20" s="620" t="str">
        <f>IFERROR(INDEX(Reit!$I:$I,MATCH(AI20,Reit!$F:$F,0)),"")</f>
        <v/>
      </c>
      <c r="AK20" s="1344" t="str">
        <f t="shared" si="4"/>
        <v/>
      </c>
      <c r="AL20" s="620" t="str">
        <f>IFERROR(INDEX(Reit!$I:$I,MATCH(AK20,Reit!$F:$F,0)),"")</f>
        <v/>
      </c>
      <c r="AM20" s="619" t="str">
        <f t="shared" si="5"/>
        <v/>
      </c>
      <c r="AN20" s="620" t="str">
        <f>IFERROR(INDEX(Reit!$I:$I,MATCH(AM20,Reit!$F:$F,0)),"")</f>
        <v/>
      </c>
    </row>
    <row r="21" spans="1:40" hidden="1" x14ac:dyDescent="0.2">
      <c r="A21" s="1265">
        <v>1</v>
      </c>
      <c r="B21" s="1275"/>
      <c r="C21" s="1276"/>
      <c r="D21" s="1277"/>
      <c r="E21" s="1277"/>
      <c r="F21" s="1277"/>
      <c r="G21" s="1277"/>
      <c r="H21" s="1278" t="str">
        <f>(IF(D21-C22&gt;0,1)+IF(E21-C23&gt;0,1)+IF(F21-C24&gt;0,1)+IF(G21-C25&gt;0,1))&amp;"-"&amp;(IF(D21-C22&lt;0,1)+IF(E21-C23&lt;0,1)+IF(F21-C24&lt;0,1)+IF(G21-C25&lt;0,1))</f>
        <v>0-0</v>
      </c>
      <c r="I21" s="1277" t="str">
        <f>IF(AND(B21&lt;&gt;"",R$20=TRUE),A$20&amp;RANK(R21,R$21:R$25,0)," ")</f>
        <v xml:space="preserve"> </v>
      </c>
      <c r="J21" s="1279">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1280">
        <f>SUM(AND(T21=T22,D21&gt;C22),AND(T21=T23,E21&gt;C23),AND(T21=T24,F21&gt;C24),AND(T21=T25,G21&gt;C25))</f>
        <v>0</v>
      </c>
      <c r="L21" s="1281">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1282">
        <f>SUM(AND(R21=R22,D21&gt;C22),AND(R21=R23,E21&gt;C23),AND(R21=R24,F21&gt;C24),AND(R21=R25,G21&gt;C25))</f>
        <v>0</v>
      </c>
      <c r="N21" s="1283" t="str">
        <f>SUM(C21:G21)&amp;"-"&amp;SUM(C21:C25)</f>
        <v>0-0</v>
      </c>
      <c r="O21" s="1284">
        <f>D21+E21+F21+G21-C22-C23-C24-C25</f>
        <v>0</v>
      </c>
      <c r="P21" s="1220" t="e">
        <f>SUM(C21:G21,C21:C25)/SUM(C21:C25)</f>
        <v>#DIV/0!</v>
      </c>
      <c r="Q21" s="1285">
        <f>VALUE(LEFT(H21,1))</f>
        <v>0</v>
      </c>
      <c r="R21" s="1285">
        <f>Q21*100000+J21*10000+K21*1000+100*L21</f>
        <v>0</v>
      </c>
      <c r="S21" s="1286">
        <f t="shared" ref="S21:S25" si="9">R21+M21*0.1+IF(ISNONTEXT(B21),0,0.01)+0.0001*O21</f>
        <v>0</v>
      </c>
      <c r="T21" s="1287" t="str">
        <f>Q21&amp;J21</f>
        <v>00</v>
      </c>
      <c r="U21" s="1288"/>
      <c r="AD21" s="618">
        <f t="shared" si="8"/>
        <v>0</v>
      </c>
      <c r="AE21" s="619" t="str">
        <f t="shared" si="1"/>
        <v/>
      </c>
      <c r="AF21" s="620" t="str">
        <f>IFERROR(INDEX(Reit!$I:$I,MATCH(AE21,Reit!$F:$F,0)),"")</f>
        <v/>
      </c>
      <c r="AG21" s="619" t="str">
        <f t="shared" si="2"/>
        <v/>
      </c>
      <c r="AH21" s="620" t="str">
        <f>IFERROR(INDEX(Reit!$I:$I,MATCH(AG21,Reit!$F:$F,0)),"")</f>
        <v/>
      </c>
      <c r="AI21" s="619" t="str">
        <f t="shared" si="3"/>
        <v/>
      </c>
      <c r="AJ21" s="620" t="str">
        <f>IFERROR(INDEX(Reit!$I:$I,MATCH(AI21,Reit!$F:$F,0)),"")</f>
        <v/>
      </c>
      <c r="AK21" s="1344" t="str">
        <f t="shared" si="4"/>
        <v/>
      </c>
      <c r="AL21" s="620" t="str">
        <f>IFERROR(INDEX(Reit!$I:$I,MATCH(AK21,Reit!$F:$F,0)),"")</f>
        <v/>
      </c>
      <c r="AM21" s="619" t="str">
        <f t="shared" si="5"/>
        <v/>
      </c>
      <c r="AN21" s="620" t="str">
        <f>IFERROR(INDEX(Reit!$I:$I,MATCH(AM21,Reit!$F:$F,0)),"")</f>
        <v/>
      </c>
    </row>
    <row r="22" spans="1:40" hidden="1" x14ac:dyDescent="0.2">
      <c r="A22" s="1265">
        <v>2</v>
      </c>
      <c r="B22" s="1289"/>
      <c r="C22" s="1277"/>
      <c r="D22" s="1276"/>
      <c r="E22" s="1277"/>
      <c r="F22" s="1277"/>
      <c r="G22" s="1277"/>
      <c r="H22" s="1278" t="str">
        <f>(IF(C22-D21&gt;0,1)+IF(E22-D23&gt;0,1)+IF(F22-D24&gt;0,1)+IF(G22-D25&gt;0,1))&amp;"-"&amp;(IF(C22-D21&lt;0,1)+IF(E22-D23&lt;0,1)+IF(F22-D24&lt;0,1)+IF(G22-D25&lt;0,1))</f>
        <v>0-0</v>
      </c>
      <c r="I22" s="1277" t="str">
        <f>IF(AND(B22&lt;&gt;"",R$20=TRUE),A$20&amp;RANK(R22,R$21:R$25,0)," ")</f>
        <v xml:space="preserve"> </v>
      </c>
      <c r="J22" s="1196">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1282">
        <f>SUM(AND(T22=T21,C22&gt;D21),AND(T22=T23,E22&gt;D23),AND(T22=T24,F22&gt;D24),AND(T22=T25,G22&gt;D25))</f>
        <v>0</v>
      </c>
      <c r="L22" s="1290">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1282">
        <f>SUM(AND(R22=R21,C22&gt;D21),AND(R22=R23,E22&gt;D23),AND(R22=R24,F22&gt;D24),AND(R22=R25,G22&gt;D25))</f>
        <v>0</v>
      </c>
      <c r="N22" s="1283" t="str">
        <f>SUM(C22:G22)&amp;"-"&amp;SUM(D21:D25)</f>
        <v>0-0</v>
      </c>
      <c r="O22" s="1284">
        <f>C22+E22+F22+G22-D21-D23-D24-D25</f>
        <v>0</v>
      </c>
      <c r="P22" s="1220" t="e">
        <f>SUM(C22:G22,D21:D25)/SUM(D21:D25)</f>
        <v>#DIV/0!</v>
      </c>
      <c r="Q22" s="1291">
        <f>VALUE(LEFT(H22,1))</f>
        <v>0</v>
      </c>
      <c r="R22" s="1285">
        <f>Q22*100000+J22*10000+K22*1000+100*L22</f>
        <v>0</v>
      </c>
      <c r="S22" s="1286">
        <f t="shared" si="9"/>
        <v>0</v>
      </c>
      <c r="T22" s="1287" t="str">
        <f>Q22&amp;J22</f>
        <v>00</v>
      </c>
      <c r="U22" s="1288"/>
      <c r="AD22" s="618">
        <f t="shared" si="8"/>
        <v>0</v>
      </c>
      <c r="AE22" s="619" t="str">
        <f t="shared" si="1"/>
        <v/>
      </c>
      <c r="AF22" s="620" t="str">
        <f>IFERROR(INDEX(Reit!$I:$I,MATCH(AE22,Reit!$F:$F,0)),"")</f>
        <v/>
      </c>
      <c r="AG22" s="619" t="str">
        <f t="shared" si="2"/>
        <v/>
      </c>
      <c r="AH22" s="620" t="str">
        <f>IFERROR(INDEX(Reit!$I:$I,MATCH(AG22,Reit!$F:$F,0)),"")</f>
        <v/>
      </c>
      <c r="AI22" s="619" t="str">
        <f t="shared" si="3"/>
        <v/>
      </c>
      <c r="AJ22" s="620" t="str">
        <f>IFERROR(INDEX(Reit!$I:$I,MATCH(AI22,Reit!$F:$F,0)),"")</f>
        <v/>
      </c>
      <c r="AK22" s="1344" t="str">
        <f t="shared" si="4"/>
        <v/>
      </c>
      <c r="AL22" s="620" t="str">
        <f>IFERROR(INDEX(Reit!$I:$I,MATCH(AK22,Reit!$F:$F,0)),"")</f>
        <v/>
      </c>
      <c r="AM22" s="619" t="str">
        <f t="shared" si="5"/>
        <v/>
      </c>
      <c r="AN22" s="620" t="str">
        <f>IFERROR(INDEX(Reit!$I:$I,MATCH(AM22,Reit!$F:$F,0)),"")</f>
        <v/>
      </c>
    </row>
    <row r="23" spans="1:40" hidden="1" x14ac:dyDescent="0.2">
      <c r="A23" s="1265">
        <v>3</v>
      </c>
      <c r="B23" s="1289"/>
      <c r="C23" s="1277"/>
      <c r="D23" s="1292"/>
      <c r="E23" s="1276"/>
      <c r="F23" s="1277"/>
      <c r="G23" s="1277"/>
      <c r="H23" s="1278" t="str">
        <f>(IF(C23-E21&gt;0,1)+IF(D23-E22&gt;0,1)+IF(F23-E24&gt;0,1)+IF(G23-E25&gt;0,1))&amp;"-"&amp;(IF(C23-E21&lt;0,1)+IF(D23-E22&lt;0,1)+IF(F23-E24&lt;0,1)+IF(G23-E25&lt;0,1))</f>
        <v>0-0</v>
      </c>
      <c r="I23" s="1277" t="str">
        <f>IF(AND(B23&lt;&gt;"",R$20=TRUE),A$20&amp;RANK(R23,R$21:R$25,0)," ")</f>
        <v xml:space="preserve"> </v>
      </c>
      <c r="J23" s="1196">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1282">
        <f>SUM(AND(T23=T21,C23&gt;E21),AND(T23=T22,D23&gt;E22),AND(T23=T24,F23&gt;E24),AND(T23=T25,G23&gt;E25))</f>
        <v>0</v>
      </c>
      <c r="L23" s="1290">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1282">
        <f>SUM(AND(R23=R21,C23&gt;E21),AND(R23=R22,D23&gt;E22),AND(R23=R24,F23&gt;E24),AND(R23=R25,G23&gt;E25))</f>
        <v>0</v>
      </c>
      <c r="N23" s="1283" t="str">
        <f>SUM(C23:G23)&amp;"-"&amp;SUM(E21:E25)</f>
        <v>0-0</v>
      </c>
      <c r="O23" s="1284">
        <f>C23+D23+F23+G23-E21-E22-E24-E25</f>
        <v>0</v>
      </c>
      <c r="P23" s="1220" t="e">
        <f>SUM(C23:G23,E21:E25)/SUM(E21:E25)</f>
        <v>#DIV/0!</v>
      </c>
      <c r="Q23" s="1291">
        <f>VALUE(LEFT(H23,1))</f>
        <v>0</v>
      </c>
      <c r="R23" s="1285">
        <f>Q23*100000+J23*10000+K23*1000+100*L23</f>
        <v>0</v>
      </c>
      <c r="S23" s="1286">
        <f t="shared" si="9"/>
        <v>0</v>
      </c>
      <c r="T23" s="1287" t="str">
        <f>Q23&amp;J23</f>
        <v>00</v>
      </c>
      <c r="U23" s="1288"/>
      <c r="AD23" s="618">
        <f t="shared" si="8"/>
        <v>0</v>
      </c>
      <c r="AE23" s="619" t="str">
        <f t="shared" si="1"/>
        <v/>
      </c>
      <c r="AF23" s="620" t="str">
        <f>IFERROR(INDEX(Reit!$I:$I,MATCH(AE23,Reit!$F:$F,0)),"")</f>
        <v/>
      </c>
      <c r="AG23" s="619" t="str">
        <f t="shared" si="2"/>
        <v/>
      </c>
      <c r="AH23" s="620" t="str">
        <f>IFERROR(INDEX(Reit!$I:$I,MATCH(AG23,Reit!$F:$F,0)),"")</f>
        <v/>
      </c>
      <c r="AI23" s="619" t="str">
        <f t="shared" si="3"/>
        <v/>
      </c>
      <c r="AJ23" s="620" t="str">
        <f>IFERROR(INDEX(Reit!$I:$I,MATCH(AI23,Reit!$F:$F,0)),"")</f>
        <v/>
      </c>
      <c r="AK23" s="1344" t="str">
        <f t="shared" si="4"/>
        <v/>
      </c>
      <c r="AL23" s="620" t="str">
        <f>IFERROR(INDEX(Reit!$I:$I,MATCH(AK23,Reit!$F:$F,0)),"")</f>
        <v/>
      </c>
      <c r="AM23" s="619" t="str">
        <f t="shared" si="5"/>
        <v/>
      </c>
      <c r="AN23" s="620" t="str">
        <f>IFERROR(INDEX(Reit!$I:$I,MATCH(AM23,Reit!$F:$F,0)),"")</f>
        <v/>
      </c>
    </row>
    <row r="24" spans="1:40" hidden="1" x14ac:dyDescent="0.2">
      <c r="A24" s="1265">
        <v>4</v>
      </c>
      <c r="B24" s="1289"/>
      <c r="C24" s="1277"/>
      <c r="D24" s="1292"/>
      <c r="E24" s="1277"/>
      <c r="F24" s="1276"/>
      <c r="G24" s="1294"/>
      <c r="H24" s="1278" t="str">
        <f>(IF(C24-F21&gt;0,1)+IF(D24-F22&gt;0,1)+IF(E24-F23&gt;0,1)+IF(G24-F25&gt;0,1))&amp;"-"&amp;(IF(C24-F21&lt;0,1)+IF(D24-F22&lt;0,1)+IF(E24-F23&lt;0,1)+IF(G24-F25&lt;0,1))</f>
        <v>0-0</v>
      </c>
      <c r="I24" s="1277" t="str">
        <f>IF(AND(B24&lt;&gt;"",R$20=TRUE),A$20&amp;RANK(R24,R$21:R$25,0)," ")</f>
        <v xml:space="preserve"> </v>
      </c>
      <c r="J24" s="1196">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1282">
        <f>SUM(AND(T24=T21,C24&gt;F21),AND(T24=T22,D24&gt;F22),AND(T24=T23,E24&gt;F23),AND(T24=T25,G24&gt;F25))</f>
        <v>0</v>
      </c>
      <c r="L24" s="1290">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1282">
        <f>SUM(AND(R24=R21,C24&gt;F21),AND(R24=R22,D24&gt;F22),AND(R24=R23,E24&gt;F23),AND(R24=R25,G24&gt;F25))</f>
        <v>0</v>
      </c>
      <c r="N24" s="1283" t="str">
        <f>SUM(C24:G24)&amp;"-"&amp;SUM(F21:F25)</f>
        <v>0-0</v>
      </c>
      <c r="O24" s="1284">
        <f>C24+D24+E24+G24-F21-F22-F23-F25</f>
        <v>0</v>
      </c>
      <c r="P24" s="1220" t="e">
        <f>SUM(C24:G24,F21:F25)/SUM(F21:F25)</f>
        <v>#DIV/0!</v>
      </c>
      <c r="Q24" s="1291">
        <f>VALUE(LEFT(H24,1))</f>
        <v>0</v>
      </c>
      <c r="R24" s="1285">
        <f>Q24*100000+J24*10000+K24*1000+100*L24</f>
        <v>0</v>
      </c>
      <c r="S24" s="1286">
        <f t="shared" si="9"/>
        <v>0</v>
      </c>
      <c r="T24" s="1287" t="str">
        <f>Q24&amp;J24</f>
        <v>00</v>
      </c>
      <c r="AD24" s="618">
        <f t="shared" si="8"/>
        <v>0</v>
      </c>
      <c r="AE24" s="619" t="str">
        <f t="shared" si="1"/>
        <v/>
      </c>
      <c r="AF24" s="620" t="str">
        <f>IFERROR(INDEX(Reit!$I:$I,MATCH(AE24,Reit!$F:$F,0)),"")</f>
        <v/>
      </c>
      <c r="AG24" s="619" t="str">
        <f t="shared" si="2"/>
        <v/>
      </c>
      <c r="AH24" s="620" t="str">
        <f>IFERROR(INDEX(Reit!$I:$I,MATCH(AG24,Reit!$F:$F,0)),"")</f>
        <v/>
      </c>
      <c r="AI24" s="619" t="str">
        <f t="shared" si="3"/>
        <v/>
      </c>
      <c r="AJ24" s="620" t="str">
        <f>IFERROR(INDEX(Reit!$I:$I,MATCH(AI24,Reit!$F:$F,0)),"")</f>
        <v/>
      </c>
      <c r="AK24" s="1344" t="str">
        <f t="shared" si="4"/>
        <v/>
      </c>
      <c r="AL24" s="620" t="str">
        <f>IFERROR(INDEX(Reit!$I:$I,MATCH(AK24,Reit!$F:$F,0)),"")</f>
        <v/>
      </c>
      <c r="AM24" s="619" t="str">
        <f t="shared" si="5"/>
        <v/>
      </c>
      <c r="AN24" s="620" t="str">
        <f>IFERROR(INDEX(Reit!$I:$I,MATCH(AM24,Reit!$F:$F,0)),"")</f>
        <v/>
      </c>
    </row>
    <row r="25" spans="1:40" hidden="1" x14ac:dyDescent="0.2">
      <c r="A25" s="1265">
        <v>5</v>
      </c>
      <c r="B25" s="1293"/>
      <c r="C25" s="1277"/>
      <c r="D25" s="1277"/>
      <c r="E25" s="1277"/>
      <c r="F25" s="1277"/>
      <c r="G25" s="1276"/>
      <c r="H25" s="1278" t="str">
        <f>(IF(C25-G21&gt;0,1)+IF(D25-G22&gt;0,1)+IF(E25-G23&gt;0,1)+IF(F25-G24&gt;0,1))&amp;"-"&amp;(IF(C25-G21&lt;0,1)+IF(D25-G22&lt;0,1)+IF(E25-G23&lt;0,1)+IF(F25-G24&lt;0,1))</f>
        <v>0-0</v>
      </c>
      <c r="I25" s="1277" t="str">
        <f>IF(AND(B25&lt;&gt;"",R$20=TRUE),A$20&amp;RANK(R25,R$21:R$25,0)," ")</f>
        <v xml:space="preserve"> </v>
      </c>
      <c r="J25" s="1196">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1282">
        <f>SUM(AND(T25=T21,C25&gt;G21),AND(T25=T22,D25&gt;G22),AND(T25=T23,E25&gt;G23),AND(T25=T24,F25&gt;G24))</f>
        <v>0</v>
      </c>
      <c r="L25" s="1290">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1282">
        <f>SUM(AND(R25=R21,C25&gt;G21),AND(R25=R22,D25&gt;G22),AND(R25=R23,E25&gt;G23),AND(R25=R24,F25&gt;G24))</f>
        <v>0</v>
      </c>
      <c r="N25" s="1283" t="str">
        <f>SUM(C25:G25)&amp;"-"&amp;SUM(G21:G25)</f>
        <v>0-0</v>
      </c>
      <c r="O25" s="1284">
        <f>C25+D25+E25+F25-G21-G22-G23-G24</f>
        <v>0</v>
      </c>
      <c r="P25" s="1220" t="e">
        <f>SUM(C25:G25,G21:G25)/SUM(G21:G25)</f>
        <v>#DIV/0!</v>
      </c>
      <c r="Q25" s="1291">
        <f>VALUE(LEFT(H25,1))</f>
        <v>0</v>
      </c>
      <c r="R25" s="1285">
        <f>Q25*100000+J25*10000+K25*1000+100*L25</f>
        <v>0</v>
      </c>
      <c r="S25" s="1286">
        <f t="shared" si="9"/>
        <v>0</v>
      </c>
      <c r="T25" s="1287" t="str">
        <f>Q25&amp;J25</f>
        <v>00</v>
      </c>
      <c r="AD25" s="618">
        <f t="shared" si="8"/>
        <v>0</v>
      </c>
      <c r="AE25" s="619" t="str">
        <f t="shared" si="1"/>
        <v/>
      </c>
      <c r="AF25" s="620" t="str">
        <f>IFERROR(INDEX(Reit!$I:$I,MATCH(AE25,Reit!$F:$F,0)),"")</f>
        <v/>
      </c>
      <c r="AG25" s="619" t="str">
        <f t="shared" si="2"/>
        <v/>
      </c>
      <c r="AH25" s="620" t="str">
        <f>IFERROR(INDEX(Reit!$I:$I,MATCH(AG25,Reit!$F:$F,0)),"")</f>
        <v/>
      </c>
      <c r="AI25" s="619" t="str">
        <f t="shared" si="3"/>
        <v/>
      </c>
      <c r="AJ25" s="620" t="str">
        <f>IFERROR(INDEX(Reit!$I:$I,MATCH(AI25,Reit!$F:$F,0)),"")</f>
        <v/>
      </c>
      <c r="AK25" s="1344" t="str">
        <f t="shared" si="4"/>
        <v/>
      </c>
      <c r="AL25" s="620" t="str">
        <f>IFERROR(INDEX(Reit!$I:$I,MATCH(AK25,Reit!$F:$F,0)),"")</f>
        <v/>
      </c>
      <c r="AM25" s="619" t="str">
        <f t="shared" si="5"/>
        <v/>
      </c>
      <c r="AN25" s="620" t="str">
        <f>IFERROR(INDEX(Reit!$I:$I,MATCH(AM25,Reit!$F:$F,0)),"")</f>
        <v/>
      </c>
    </row>
    <row r="26" spans="1:40" hidden="1" x14ac:dyDescent="0.2">
      <c r="A26" s="1304"/>
      <c r="B26" s="1305"/>
      <c r="C26" s="1299"/>
      <c r="D26" s="1299"/>
      <c r="E26" s="1299"/>
      <c r="F26" s="811"/>
      <c r="G26" s="811"/>
      <c r="H26" s="1305"/>
      <c r="I26" s="1305"/>
      <c r="J26" s="1177"/>
      <c r="K26" s="1177"/>
      <c r="L26" s="1177"/>
      <c r="M26" s="1177"/>
      <c r="N26" s="1177"/>
      <c r="O26" s="1177"/>
      <c r="P26" s="1177"/>
      <c r="Q26" s="1177"/>
      <c r="R26" s="1301" t="s">
        <v>335</v>
      </c>
      <c r="S26" s="1177"/>
      <c r="T26" s="1177"/>
      <c r="AD26" s="618">
        <f t="shared" si="8"/>
        <v>0</v>
      </c>
      <c r="AE26" s="619" t="str">
        <f t="shared" si="1"/>
        <v/>
      </c>
      <c r="AF26" s="620" t="str">
        <f>IFERROR(INDEX(Reit!$I:$I,MATCH(AE26,Reit!$F:$F,0)),"")</f>
        <v/>
      </c>
      <c r="AG26" s="619" t="str">
        <f t="shared" si="2"/>
        <v/>
      </c>
      <c r="AH26" s="620" t="str">
        <f>IFERROR(INDEX(Reit!$I:$I,MATCH(AG26,Reit!$F:$F,0)),"")</f>
        <v/>
      </c>
      <c r="AI26" s="619" t="str">
        <f t="shared" si="3"/>
        <v/>
      </c>
      <c r="AJ26" s="620" t="str">
        <f>IFERROR(INDEX(Reit!$I:$I,MATCH(AI26,Reit!$F:$F,0)),"")</f>
        <v/>
      </c>
      <c r="AK26" s="1344" t="str">
        <f t="shared" si="4"/>
        <v/>
      </c>
      <c r="AL26" s="620" t="str">
        <f>IFERROR(INDEX(Reit!$I:$I,MATCH(AK26,Reit!$F:$F,0)),"")</f>
        <v/>
      </c>
      <c r="AM26" s="619" t="str">
        <f t="shared" si="5"/>
        <v/>
      </c>
      <c r="AN26" s="620" t="str">
        <f>IFERROR(INDEX(Reit!$I:$I,MATCH(AM26,Reit!$F:$F,0)),"")</f>
        <v/>
      </c>
    </row>
    <row r="27" spans="1:40" hidden="1" x14ac:dyDescent="0.2">
      <c r="A27" s="1265" t="s">
        <v>248</v>
      </c>
      <c r="B27" s="1266"/>
      <c r="C27" s="1267">
        <v>1</v>
      </c>
      <c r="D27" s="1267">
        <v>2</v>
      </c>
      <c r="E27" s="1267">
        <v>3</v>
      </c>
      <c r="F27" s="1267"/>
      <c r="G27" s="1267"/>
      <c r="H27" s="1268" t="s">
        <v>313</v>
      </c>
      <c r="I27" s="1268" t="s">
        <v>296</v>
      </c>
      <c r="J27" s="1269" t="s">
        <v>314</v>
      </c>
      <c r="K27" s="1270" t="s">
        <v>315</v>
      </c>
      <c r="L27" s="1271" t="s">
        <v>316</v>
      </c>
      <c r="M27" s="1271" t="s">
        <v>317</v>
      </c>
      <c r="N27" s="604" t="s">
        <v>344</v>
      </c>
      <c r="O27" s="604" t="s">
        <v>344</v>
      </c>
      <c r="P27" s="1272" t="s">
        <v>318</v>
      </c>
      <c r="Q27" s="1273" t="s">
        <v>183</v>
      </c>
      <c r="R27" s="1273" t="b">
        <f>OR(AND(COUNTA(B28:B32)=3,COUNTA(C28:G32)=6),AND(COUNTA(B28:B32)=4,COUNTA(C28:G32)=12),AND(COUNTA(B28:B32)=5,COUNTA(C28:G32)=20))</f>
        <v>0</v>
      </c>
      <c r="S27" s="1273" t="s">
        <v>319</v>
      </c>
      <c r="T27" s="1274" t="s">
        <v>320</v>
      </c>
      <c r="U27" s="1288"/>
      <c r="AD27" s="618">
        <f t="shared" si="8"/>
        <v>0</v>
      </c>
      <c r="AE27" s="619" t="str">
        <f t="shared" si="1"/>
        <v/>
      </c>
      <c r="AF27" s="620" t="str">
        <f>IFERROR(INDEX(Reit!$I:$I,MATCH(AE27,Reit!$F:$F,0)),"")</f>
        <v/>
      </c>
      <c r="AG27" s="619" t="str">
        <f t="shared" si="2"/>
        <v/>
      </c>
      <c r="AH27" s="620" t="str">
        <f>IFERROR(INDEX(Reit!$I:$I,MATCH(AG27,Reit!$F:$F,0)),"")</f>
        <v/>
      </c>
      <c r="AI27" s="619" t="str">
        <f t="shared" si="3"/>
        <v/>
      </c>
      <c r="AJ27" s="620" t="str">
        <f>IFERROR(INDEX(Reit!$I:$I,MATCH(AI27,Reit!$F:$F,0)),"")</f>
        <v/>
      </c>
      <c r="AK27" s="1344" t="str">
        <f t="shared" si="4"/>
        <v/>
      </c>
      <c r="AL27" s="620" t="str">
        <f>IFERROR(INDEX(Reit!$I:$I,MATCH(AK27,Reit!$F:$F,0)),"")</f>
        <v/>
      </c>
      <c r="AM27" s="619" t="str">
        <f t="shared" si="5"/>
        <v/>
      </c>
      <c r="AN27" s="620" t="str">
        <f>IFERROR(INDEX(Reit!$I:$I,MATCH(AM27,Reit!$F:$F,0)),"")</f>
        <v/>
      </c>
    </row>
    <row r="28" spans="1:40" hidden="1" x14ac:dyDescent="0.2">
      <c r="A28" s="1265">
        <v>1</v>
      </c>
      <c r="B28" s="1306"/>
      <c r="C28" s="1276"/>
      <c r="D28" s="1277"/>
      <c r="E28" s="1277"/>
      <c r="F28" s="1277"/>
      <c r="G28" s="1277"/>
      <c r="H28" s="1278" t="str">
        <f>(IF(D28-C29&gt;0,1)+IF(E28-C30&gt;0,1)+IF(F28-C31&gt;0,1)+IF(G28-C32&gt;0,1))&amp;"-"&amp;(IF(D28-C29&lt;0,1)+IF(E28-C30&lt;0,1)+IF(F28-C31&lt;0,1)+IF(G28-C32&lt;0,1))</f>
        <v>0-0</v>
      </c>
      <c r="I28" s="1277" t="str">
        <f>IF(AND(B28&lt;&gt;"",R$27=TRUE),A$27&amp;RANK(R28,R$28:R$32,0)," ")</f>
        <v xml:space="preserve"> </v>
      </c>
      <c r="J28" s="1279">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1280">
        <f>SUM(AND(T28=T29,D28&gt;C29),AND(T28=T30,E28&gt;C30),AND(T28=T31,F28&gt;C31),AND(T28=T32,G28&gt;C32))</f>
        <v>0</v>
      </c>
      <c r="L28" s="1281">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1282">
        <f>SUM(AND(R28=R29,D28&gt;C29),AND(R28=R30,E28&gt;C30),AND(R28=R31,F28&gt;C31),AND(R28=R32,G28&gt;C32))</f>
        <v>0</v>
      </c>
      <c r="N28" s="1283" t="str">
        <f>SUM(C28:G28)&amp;"-"&amp;SUM(C28:C32)</f>
        <v>0-0</v>
      </c>
      <c r="O28" s="1284">
        <f>D28+E28+F28+G28-C29-C30-C31-C32</f>
        <v>0</v>
      </c>
      <c r="P28" s="1220" t="e">
        <f>SUM(C28:G28,C28:C32)/SUM(C28:C32)</f>
        <v>#DIV/0!</v>
      </c>
      <c r="Q28" s="1285">
        <f>VALUE(LEFT(H28,1))</f>
        <v>0</v>
      </c>
      <c r="R28" s="1285">
        <f>Q28*100000+J28*10000+K28*1000+100*L28</f>
        <v>0</v>
      </c>
      <c r="S28" s="1286">
        <f t="shared" ref="S28:S32" si="10">R28+M28*0.1+IF(ISNONTEXT(B28),0,0.01)+0.0001*O28</f>
        <v>0</v>
      </c>
      <c r="T28" s="1287" t="str">
        <f>Q28&amp;J28</f>
        <v>00</v>
      </c>
      <c r="U28" s="1288"/>
      <c r="AD28" s="618">
        <f t="shared" si="8"/>
        <v>0</v>
      </c>
      <c r="AE28" s="619" t="str">
        <f t="shared" si="1"/>
        <v/>
      </c>
      <c r="AF28" s="620" t="str">
        <f>IFERROR(INDEX(Reit!$I:$I,MATCH(AE28,Reit!$F:$F,0)),"")</f>
        <v/>
      </c>
      <c r="AG28" s="619" t="str">
        <f t="shared" si="2"/>
        <v/>
      </c>
      <c r="AH28" s="620" t="str">
        <f>IFERROR(INDEX(Reit!$I:$I,MATCH(AG28,Reit!$F:$F,0)),"")</f>
        <v/>
      </c>
      <c r="AI28" s="619" t="str">
        <f t="shared" si="3"/>
        <v/>
      </c>
      <c r="AJ28" s="620" t="str">
        <f>IFERROR(INDEX(Reit!$I:$I,MATCH(AI28,Reit!$F:$F,0)),"")</f>
        <v/>
      </c>
      <c r="AK28" s="1344" t="str">
        <f t="shared" si="4"/>
        <v/>
      </c>
      <c r="AL28" s="620" t="str">
        <f>IFERROR(INDEX(Reit!$I:$I,MATCH(AK28,Reit!$F:$F,0)),"")</f>
        <v/>
      </c>
      <c r="AM28" s="619" t="str">
        <f t="shared" si="5"/>
        <v/>
      </c>
      <c r="AN28" s="620" t="str">
        <f>IFERROR(INDEX(Reit!$I:$I,MATCH(AM28,Reit!$F:$F,0)),"")</f>
        <v/>
      </c>
    </row>
    <row r="29" spans="1:40" hidden="1" x14ac:dyDescent="0.2">
      <c r="A29" s="1265">
        <v>2</v>
      </c>
      <c r="B29" s="1289"/>
      <c r="C29" s="1277"/>
      <c r="D29" s="1276"/>
      <c r="E29" s="1277"/>
      <c r="F29" s="1277"/>
      <c r="G29" s="1277"/>
      <c r="H29" s="1278" t="str">
        <f>(IF(C29-D28&gt;0,1)+IF(E29-D30&gt;0,1)+IF(F29-D31&gt;0,1)+IF(G29-D32&gt;0,1))&amp;"-"&amp;(IF(C29-D28&lt;0,1)+IF(E29-D30&lt;0,1)+IF(F29-D31&lt;0,1)+IF(G29-D32&lt;0,1))</f>
        <v>0-0</v>
      </c>
      <c r="I29" s="1277" t="str">
        <f>IF(AND(B29&lt;&gt;"",R$27=TRUE),A$27&amp;RANK(R29,R$28:R$32,0)," ")</f>
        <v xml:space="preserve"> </v>
      </c>
      <c r="J29" s="1196">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1282">
        <f>SUM(AND(T29=T28,C29&gt;D28),AND(T29=T30,E29&gt;D30),AND(T29=T31,F29&gt;D31),AND(T29=T32,G29&gt;D32))</f>
        <v>0</v>
      </c>
      <c r="L29" s="1290">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1282">
        <f>SUM(AND(R29=R28,C29&gt;D28),AND(R29=R30,E29&gt;D30),AND(R29=R31,F29&gt;D31),AND(R29=R32,G29&gt;D32))</f>
        <v>0</v>
      </c>
      <c r="N29" s="1283" t="str">
        <f>SUM(C29:G29)&amp;"-"&amp;SUM(D28:D32)</f>
        <v>0-0</v>
      </c>
      <c r="O29" s="1284">
        <f>C29+E29+F29+G29-D28-D30-D31-D32</f>
        <v>0</v>
      </c>
      <c r="P29" s="1220" t="e">
        <f>SUM(C29:G29,D28:D32)/SUM(D28:D32)</f>
        <v>#DIV/0!</v>
      </c>
      <c r="Q29" s="1291">
        <f>VALUE(LEFT(H29,1))</f>
        <v>0</v>
      </c>
      <c r="R29" s="1285">
        <f>Q29*100000+J29*10000+K29*1000+100*L29</f>
        <v>0</v>
      </c>
      <c r="S29" s="1286">
        <f t="shared" si="10"/>
        <v>0</v>
      </c>
      <c r="T29" s="1287" t="str">
        <f>Q29&amp;J29</f>
        <v>00</v>
      </c>
      <c r="AD29" s="618">
        <f t="shared" si="8"/>
        <v>0</v>
      </c>
      <c r="AE29" s="619" t="str">
        <f t="shared" si="1"/>
        <v/>
      </c>
      <c r="AF29" s="620" t="str">
        <f>IFERROR(INDEX(Reit!$I:$I,MATCH(AE29,Reit!$F:$F,0)),"")</f>
        <v/>
      </c>
      <c r="AG29" s="619" t="str">
        <f t="shared" si="2"/>
        <v/>
      </c>
      <c r="AH29" s="620" t="str">
        <f>IFERROR(INDEX(Reit!$I:$I,MATCH(AG29,Reit!$F:$F,0)),"")</f>
        <v/>
      </c>
      <c r="AI29" s="619" t="str">
        <f t="shared" si="3"/>
        <v/>
      </c>
      <c r="AJ29" s="620" t="str">
        <f>IFERROR(INDEX(Reit!$I:$I,MATCH(AI29,Reit!$F:$F,0)),"")</f>
        <v/>
      </c>
      <c r="AK29" s="1344" t="str">
        <f t="shared" si="4"/>
        <v/>
      </c>
      <c r="AL29" s="620" t="str">
        <f>IFERROR(INDEX(Reit!$I:$I,MATCH(AK29,Reit!$F:$F,0)),"")</f>
        <v/>
      </c>
      <c r="AM29" s="619" t="str">
        <f t="shared" si="5"/>
        <v/>
      </c>
      <c r="AN29" s="620" t="str">
        <f>IFERROR(INDEX(Reit!$I:$I,MATCH(AM29,Reit!$F:$F,0)),"")</f>
        <v/>
      </c>
    </row>
    <row r="30" spans="1:40" hidden="1" x14ac:dyDescent="0.2">
      <c r="A30" s="1265">
        <v>3</v>
      </c>
      <c r="B30" s="1289"/>
      <c r="C30" s="1277"/>
      <c r="D30" s="1292"/>
      <c r="E30" s="1276"/>
      <c r="F30" s="1277"/>
      <c r="G30" s="1277"/>
      <c r="H30" s="1278" t="str">
        <f>(IF(C30-E28&gt;0,1)+IF(D30-E29&gt;0,1)+IF(F30-E31&gt;0,1)+IF(G30-E32&gt;0,1))&amp;"-"&amp;(IF(C30-E28&lt;0,1)+IF(D30-E29&lt;0,1)+IF(F30-E31&lt;0,1)+IF(G30-E32&lt;0,1))</f>
        <v>0-0</v>
      </c>
      <c r="I30" s="1277" t="str">
        <f>IF(AND(B30&lt;&gt;"",R$27=TRUE),A$27&amp;RANK(R30,R$28:R$32,0)," ")</f>
        <v xml:space="preserve"> </v>
      </c>
      <c r="J30" s="1196">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1282">
        <f>SUM(AND(T30=T28,C30&gt;E28),AND(T30=T29,D30&gt;E29),AND(T30=T31,F30&gt;E31),AND(T30=T32,G30&gt;E32))</f>
        <v>0</v>
      </c>
      <c r="L30" s="1290">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1282">
        <f>SUM(AND(R30=R28,C30&gt;E28),AND(R30=R29,D30&gt;E29),AND(R30=R31,F30&gt;E31),AND(R30=R32,G30&gt;E32))</f>
        <v>0</v>
      </c>
      <c r="N30" s="1283" t="str">
        <f>SUM(C30:G30)&amp;"-"&amp;SUM(E28:E32)</f>
        <v>0-0</v>
      </c>
      <c r="O30" s="1284">
        <f>C30+D30+F30+G30-E28-E29-E31-E32</f>
        <v>0</v>
      </c>
      <c r="P30" s="1220" t="e">
        <f>SUM(C30:G30,E28:E32)/SUM(E28:E32)</f>
        <v>#DIV/0!</v>
      </c>
      <c r="Q30" s="1291">
        <f>VALUE(LEFT(H30,1))</f>
        <v>0</v>
      </c>
      <c r="R30" s="1285">
        <f>Q30*100000+J30*10000+K30*1000+100*L30</f>
        <v>0</v>
      </c>
      <c r="S30" s="1286">
        <f t="shared" si="10"/>
        <v>0</v>
      </c>
      <c r="T30" s="1287" t="str">
        <f>Q30&amp;J30</f>
        <v>00</v>
      </c>
      <c r="U30" s="1307"/>
      <c r="V30" s="1307"/>
      <c r="AD30" s="618">
        <f t="shared" si="8"/>
        <v>0</v>
      </c>
      <c r="AE30" s="619" t="str">
        <f t="shared" si="1"/>
        <v/>
      </c>
      <c r="AF30" s="620" t="str">
        <f>IFERROR(INDEX(Reit!$I:$I,MATCH(AE30,Reit!$F:$F,0)),"")</f>
        <v/>
      </c>
      <c r="AG30" s="619" t="str">
        <f t="shared" si="2"/>
        <v/>
      </c>
      <c r="AH30" s="620" t="str">
        <f>IFERROR(INDEX(Reit!$I:$I,MATCH(AG30,Reit!$F:$F,0)),"")</f>
        <v/>
      </c>
      <c r="AI30" s="619" t="str">
        <f t="shared" si="3"/>
        <v/>
      </c>
      <c r="AJ30" s="620" t="str">
        <f>IFERROR(INDEX(Reit!$I:$I,MATCH(AI30,Reit!$F:$F,0)),"")</f>
        <v/>
      </c>
      <c r="AK30" s="1344" t="str">
        <f t="shared" si="4"/>
        <v/>
      </c>
      <c r="AL30" s="620" t="str">
        <f>IFERROR(INDEX(Reit!$I:$I,MATCH(AK30,Reit!$F:$F,0)),"")</f>
        <v/>
      </c>
      <c r="AM30" s="619" t="str">
        <f t="shared" si="5"/>
        <v/>
      </c>
      <c r="AN30" s="620" t="str">
        <f>IFERROR(INDEX(Reit!$I:$I,MATCH(AM30,Reit!$F:$F,0)),"")</f>
        <v/>
      </c>
    </row>
    <row r="31" spans="1:40" hidden="1" x14ac:dyDescent="0.2">
      <c r="A31" s="1265">
        <v>4</v>
      </c>
      <c r="B31" s="1293"/>
      <c r="C31" s="1277"/>
      <c r="D31" s="1292"/>
      <c r="E31" s="1277"/>
      <c r="F31" s="1276"/>
      <c r="G31" s="1294"/>
      <c r="H31" s="1278" t="str">
        <f>(IF(C31-F28&gt;0,1)+IF(D31-F29&gt;0,1)+IF(E31-F30&gt;0,1)+IF(G31-F32&gt;0,1))&amp;"-"&amp;(IF(C31-F28&lt;0,1)+IF(D31-F29&lt;0,1)+IF(E31-F30&lt;0,1)+IF(G31-F32&lt;0,1))</f>
        <v>0-0</v>
      </c>
      <c r="I31" s="1277" t="str">
        <f>IF(AND(B31&lt;&gt;"",R$27=TRUE),A$27&amp;RANK(R31,R$28:R$32,0)," ")</f>
        <v xml:space="preserve"> </v>
      </c>
      <c r="J31" s="1196">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1282">
        <f>SUM(AND(T31=T28,C31&gt;F28),AND(T31=T29,D31&gt;F29),AND(T31=T30,E31&gt;F30),AND(T31=T32,G31&gt;F32))</f>
        <v>0</v>
      </c>
      <c r="L31" s="1290">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1282">
        <f>SUM(AND(R31=R28,C31&gt;F28),AND(R31=R29,D31&gt;F29),AND(R31=R30,E31&gt;F30),AND(R31=R32,G31&gt;F32))</f>
        <v>0</v>
      </c>
      <c r="N31" s="1283" t="str">
        <f>SUM(C31:G31)&amp;"-"&amp;SUM(F28:F32)</f>
        <v>0-0</v>
      </c>
      <c r="O31" s="1284">
        <f>C31+D31+E31+G31-F28-F29-F30-F32</f>
        <v>0</v>
      </c>
      <c r="P31" s="1220" t="e">
        <f>SUM(C31:G31,F28:F32)/SUM(F28:F32)</f>
        <v>#DIV/0!</v>
      </c>
      <c r="Q31" s="1291">
        <f>VALUE(LEFT(H31,1))</f>
        <v>0</v>
      </c>
      <c r="R31" s="1285">
        <f>Q31*100000+J31*10000+K31*1000+100*L31</f>
        <v>0</v>
      </c>
      <c r="S31" s="1286">
        <f t="shared" si="10"/>
        <v>0</v>
      </c>
      <c r="T31" s="1287" t="str">
        <f>Q31&amp;J31</f>
        <v>00</v>
      </c>
      <c r="AD31" s="618">
        <f t="shared" si="8"/>
        <v>0</v>
      </c>
      <c r="AE31" s="619" t="str">
        <f t="shared" si="1"/>
        <v/>
      </c>
      <c r="AF31" s="620" t="str">
        <f>IFERROR(INDEX(Reit!$I:$I,MATCH(AE31,Reit!$F:$F,0)),"")</f>
        <v/>
      </c>
      <c r="AG31" s="619" t="str">
        <f t="shared" si="2"/>
        <v/>
      </c>
      <c r="AH31" s="620" t="str">
        <f>IFERROR(INDEX(Reit!$I:$I,MATCH(AG31,Reit!$F:$F,0)),"")</f>
        <v/>
      </c>
      <c r="AI31" s="619" t="str">
        <f t="shared" si="3"/>
        <v/>
      </c>
      <c r="AJ31" s="620" t="str">
        <f>IFERROR(INDEX(Reit!$I:$I,MATCH(AI31,Reit!$F:$F,0)),"")</f>
        <v/>
      </c>
      <c r="AK31" s="1344" t="str">
        <f t="shared" si="4"/>
        <v/>
      </c>
      <c r="AL31" s="620" t="str">
        <f>IFERROR(INDEX(Reit!$I:$I,MATCH(AK31,Reit!$F:$F,0)),"")</f>
        <v/>
      </c>
      <c r="AM31" s="619" t="str">
        <f t="shared" si="5"/>
        <v/>
      </c>
      <c r="AN31" s="620" t="str">
        <f>IFERROR(INDEX(Reit!$I:$I,MATCH(AM31,Reit!$F:$F,0)),"")</f>
        <v/>
      </c>
    </row>
    <row r="32" spans="1:40" hidden="1" x14ac:dyDescent="0.2">
      <c r="A32" s="1265">
        <v>5</v>
      </c>
      <c r="B32" s="1293"/>
      <c r="C32" s="1277"/>
      <c r="D32" s="1277"/>
      <c r="E32" s="1277"/>
      <c r="F32" s="1277"/>
      <c r="G32" s="1276"/>
      <c r="H32" s="1278" t="str">
        <f>(IF(C32-G28&gt;0,1)+IF(D32-G29&gt;0,1)+IF(E32-G30&gt;0,1)+IF(F32-G31&gt;0,1))&amp;"-"&amp;(IF(C32-G28&lt;0,1)+IF(D32-G29&lt;0,1)+IF(E32-G30&lt;0,1)+IF(F32-G31&lt;0,1))</f>
        <v>0-0</v>
      </c>
      <c r="I32" s="1277" t="str">
        <f>IF(AND(B32&lt;&gt;"",R$27=TRUE),A$27&amp;RANK(R32,R$28:R$32,0)," ")</f>
        <v xml:space="preserve"> </v>
      </c>
      <c r="J32" s="1196">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1282">
        <f>SUM(AND(T32=T28,C32&gt;G28),AND(T32=T29,D32&gt;G29),AND(T32=T30,E32&gt;G30),AND(T32=T31,F32&gt;G31))</f>
        <v>0</v>
      </c>
      <c r="L32" s="1290">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1282">
        <f>SUM(AND(R32=R28,C32&gt;G28),AND(R32=R29,D32&gt;G29),AND(R32=R30,E32&gt;G30),AND(R32=R31,F32&gt;G31))</f>
        <v>0</v>
      </c>
      <c r="N32" s="1283" t="str">
        <f>SUM(C32:G32)&amp;"-"&amp;SUM(G28:G32)</f>
        <v>0-0</v>
      </c>
      <c r="O32" s="1284">
        <f>C32+D32+E32+F32-G28-G29-G30-G31</f>
        <v>0</v>
      </c>
      <c r="P32" s="1220" t="e">
        <f>SUM(C32:G32,G28:G32)/SUM(G28:G32)</f>
        <v>#DIV/0!</v>
      </c>
      <c r="Q32" s="1291">
        <f>VALUE(LEFT(H32,1))</f>
        <v>0</v>
      </c>
      <c r="R32" s="1285">
        <f>Q32*100000+J32*10000+K32*1000+100*L32</f>
        <v>0</v>
      </c>
      <c r="S32" s="1286">
        <f t="shared" si="10"/>
        <v>0</v>
      </c>
      <c r="T32" s="1287" t="str">
        <f>Q32&amp;J32</f>
        <v>00</v>
      </c>
      <c r="AD32" s="618">
        <f t="shared" si="8"/>
        <v>0</v>
      </c>
      <c r="AE32" s="619" t="str">
        <f t="shared" si="1"/>
        <v/>
      </c>
      <c r="AF32" s="620" t="str">
        <f>IFERROR(INDEX(Reit!$I:$I,MATCH(AE32,Reit!$F:$F,0)),"")</f>
        <v/>
      </c>
      <c r="AG32" s="619" t="str">
        <f t="shared" si="2"/>
        <v/>
      </c>
      <c r="AH32" s="620" t="str">
        <f>IFERROR(INDEX(Reit!$I:$I,MATCH(AG32,Reit!$F:$F,0)),"")</f>
        <v/>
      </c>
      <c r="AI32" s="619" t="str">
        <f t="shared" si="3"/>
        <v/>
      </c>
      <c r="AJ32" s="620" t="str">
        <f>IFERROR(INDEX(Reit!$I:$I,MATCH(AI32,Reit!$F:$F,0)),"")</f>
        <v/>
      </c>
      <c r="AK32" s="1344" t="str">
        <f t="shared" si="4"/>
        <v/>
      </c>
      <c r="AL32" s="620" t="str">
        <f>IFERROR(INDEX(Reit!$I:$I,MATCH(AK32,Reit!$F:$F,0)),"")</f>
        <v/>
      </c>
      <c r="AM32" s="619" t="str">
        <f t="shared" si="5"/>
        <v/>
      </c>
      <c r="AN32" s="620" t="str">
        <f>IFERROR(INDEX(Reit!$I:$I,MATCH(AM32,Reit!$F:$F,0)),"")</f>
        <v/>
      </c>
    </row>
    <row r="33" spans="1:40" hidden="1" x14ac:dyDescent="0.2">
      <c r="A33" s="1295"/>
      <c r="B33" s="1299"/>
      <c r="C33" s="1299"/>
      <c r="D33" s="1299"/>
      <c r="E33" s="1299"/>
      <c r="F33" s="1297"/>
      <c r="G33" s="1299"/>
      <c r="H33" s="1308"/>
      <c r="I33" s="1309"/>
      <c r="J33" s="1177"/>
      <c r="K33" s="1177"/>
      <c r="L33" s="1177"/>
      <c r="M33" s="1177"/>
      <c r="N33" s="1177"/>
      <c r="O33" s="1177"/>
      <c r="P33" s="1177"/>
      <c r="Q33" s="1177"/>
      <c r="R33" s="1301" t="s">
        <v>335</v>
      </c>
      <c r="S33" s="1177"/>
      <c r="T33" s="1177"/>
      <c r="AD33" s="618">
        <f t="shared" si="8"/>
        <v>0</v>
      </c>
      <c r="AE33" s="619" t="str">
        <f t="shared" si="1"/>
        <v/>
      </c>
      <c r="AF33" s="620" t="str">
        <f>IFERROR(INDEX(Reit!$I:$I,MATCH(AE33,Reit!$F:$F,0)),"")</f>
        <v/>
      </c>
      <c r="AG33" s="619" t="str">
        <f t="shared" si="2"/>
        <v/>
      </c>
      <c r="AH33" s="620" t="str">
        <f>IFERROR(INDEX(Reit!$I:$I,MATCH(AG33,Reit!$F:$F,0)),"")</f>
        <v/>
      </c>
      <c r="AI33" s="619" t="str">
        <f t="shared" si="3"/>
        <v/>
      </c>
      <c r="AJ33" s="620" t="str">
        <f>IFERROR(INDEX(Reit!$I:$I,MATCH(AI33,Reit!$F:$F,0)),"")</f>
        <v/>
      </c>
      <c r="AK33" s="1344" t="str">
        <f t="shared" si="4"/>
        <v/>
      </c>
      <c r="AL33" s="620" t="str">
        <f>IFERROR(INDEX(Reit!$I:$I,MATCH(AK33,Reit!$F:$F,0)),"")</f>
        <v/>
      </c>
      <c r="AM33" s="619" t="str">
        <f t="shared" si="5"/>
        <v/>
      </c>
      <c r="AN33" s="620" t="str">
        <f>IFERROR(INDEX(Reit!$I:$I,MATCH(AM33,Reit!$F:$F,0)),"")</f>
        <v/>
      </c>
    </row>
    <row r="34" spans="1:40" hidden="1" x14ac:dyDescent="0.2">
      <c r="A34" s="1265" t="s">
        <v>249</v>
      </c>
      <c r="B34" s="1266"/>
      <c r="C34" s="1267">
        <v>1</v>
      </c>
      <c r="D34" s="1267">
        <v>2</v>
      </c>
      <c r="E34" s="1267">
        <v>3</v>
      </c>
      <c r="F34" s="1267">
        <v>4</v>
      </c>
      <c r="G34" s="1267">
        <v>5</v>
      </c>
      <c r="H34" s="1267" t="s">
        <v>313</v>
      </c>
      <c r="I34" s="1268" t="s">
        <v>296</v>
      </c>
      <c r="J34" s="1269" t="s">
        <v>314</v>
      </c>
      <c r="K34" s="1270" t="s">
        <v>315</v>
      </c>
      <c r="L34" s="1271" t="s">
        <v>316</v>
      </c>
      <c r="M34" s="1271" t="s">
        <v>317</v>
      </c>
      <c r="N34" s="604" t="s">
        <v>344</v>
      </c>
      <c r="O34" s="604" t="s">
        <v>344</v>
      </c>
      <c r="P34" s="1272" t="s">
        <v>318</v>
      </c>
      <c r="Q34" s="1273" t="s">
        <v>183</v>
      </c>
      <c r="R34" s="1273" t="b">
        <f>OR(AND(COUNTA(B35:B39)=3,COUNTA(C35:G39)=6),AND(COUNTA(B35:B39)=4,COUNTA(C35:G39)=12),AND(COUNTA(B35:B39)=5,COUNTA(C35:G39)=20))</f>
        <v>0</v>
      </c>
      <c r="S34" s="1273" t="s">
        <v>319</v>
      </c>
      <c r="T34" s="1274" t="s">
        <v>320</v>
      </c>
      <c r="AD34" s="618">
        <f t="shared" si="8"/>
        <v>0</v>
      </c>
      <c r="AE34" s="619" t="str">
        <f t="shared" si="1"/>
        <v/>
      </c>
      <c r="AF34" s="620" t="str">
        <f>IFERROR(INDEX(Reit!$I:$I,MATCH(AE34,Reit!$F:$F,0)),"")</f>
        <v/>
      </c>
      <c r="AG34" s="619" t="str">
        <f t="shared" si="2"/>
        <v/>
      </c>
      <c r="AH34" s="620" t="str">
        <f>IFERROR(INDEX(Reit!$I:$I,MATCH(AG34,Reit!$F:$F,0)),"")</f>
        <v/>
      </c>
      <c r="AI34" s="619" t="str">
        <f t="shared" si="3"/>
        <v/>
      </c>
      <c r="AJ34" s="620" t="str">
        <f>IFERROR(INDEX(Reit!$I:$I,MATCH(AI34,Reit!$F:$F,0)),"")</f>
        <v/>
      </c>
      <c r="AK34" s="1344" t="str">
        <f t="shared" si="4"/>
        <v/>
      </c>
      <c r="AL34" s="620" t="str">
        <f>IFERROR(INDEX(Reit!$I:$I,MATCH(AK34,Reit!$F:$F,0)),"")</f>
        <v/>
      </c>
      <c r="AM34" s="619" t="str">
        <f t="shared" si="5"/>
        <v/>
      </c>
      <c r="AN34" s="620" t="str">
        <f>IFERROR(INDEX(Reit!$I:$I,MATCH(AM34,Reit!$F:$F,0)),"")</f>
        <v/>
      </c>
    </row>
    <row r="35" spans="1:40" hidden="1" x14ac:dyDescent="0.2">
      <c r="A35" s="1265">
        <v>1</v>
      </c>
      <c r="B35" s="1306"/>
      <c r="C35" s="1276"/>
      <c r="D35" s="1277"/>
      <c r="E35" s="1277"/>
      <c r="F35" s="1277"/>
      <c r="G35" s="1277"/>
      <c r="H35" s="1278" t="str">
        <f>(IF(D35-C36&gt;0,1)+IF(E35-C37&gt;0,1)+IF(F35-C38&gt;0,1)+IF(G35-C39&gt;0,1))&amp;"-"&amp;(IF(D35-C36&lt;0,1)+IF(E35-C37&lt;0,1)+IF(F35-C38&lt;0,1)+IF(G35-C39&lt;0,1))</f>
        <v>0-0</v>
      </c>
      <c r="I35" s="1277" t="str">
        <f>IF(AND(B35&lt;&gt;"",R$34=TRUE),A$34&amp;RANK(R35,R$35:R$39,0)," ")</f>
        <v xml:space="preserve"> </v>
      </c>
      <c r="J35" s="1279">
        <f>IF(AND(Q35=1,Q36=1,D35&gt;C36),1)+IF(AND(Q35=1,Q37=1,E35&gt;C37),1)+IF(AND(Q35=1,Q38=1,F35&gt;C38),1)+IF(AND(Q35=1,Q39=1,G35&gt;C39),1)+IF(AND(Q35=2,Q36=2,D35&gt;C36),1)+IF(AND(Q35=2,Q37=2,E35&gt;C37),1)+IF(AND(Q35=2,Q38=2,F35&gt;C38),1)+IF(AND(Q35=2,Q39=2,G35&gt;C39),1)+IF(AND(Q35=3,Q36=3,D35&gt;C36),1)+IF(AND(Q35=3,Q37=3,E35&gt;C37),1)+IF(AND(Q35=3,Q38=3,F35&gt;C38),1)+IF(AND(Q35=3,Q39=3,G35&gt;C39),1)</f>
        <v>0</v>
      </c>
      <c r="K35" s="1280">
        <f>SUM(AND(T35=T36,D35&gt;C36),AND(T35=T37,E35&gt;C37),AND(T35=T38,F35&gt;C38),AND(T35=T39,G35&gt;C39))</f>
        <v>0</v>
      </c>
      <c r="L35" s="1281">
        <f>IF(AND(Q35=1,Q36=1),D35-C36)+IF(AND(Q35=1,Q37=1),E35-C37)+IF(AND(Q35=1,Q38=1),F35-C38)+IF(AND(Q35=1,Q39=1),G35-C39)+IF(AND(Q35=2,Q36=2),D35-C36)+IF(AND(Q35=2,Q37=2),E35-C37)+IF(AND(Q35=2,Q38=2),F35-C38)+IF(AND(Q35=2,Q39=2),G35-C39)+IF(AND(Q35=3,Q36=3),D35-C36)+IF(AND(Q35=3,Q37=3),E35-C37)+IF(AND(Q35=3,Q38=3),F35-C38)+IF(AND(Q35=3,Q39=3),G35-C39)+IF(AND(Q35=4,Q36=4),D35-C36)+IF(AND(Q35=4,Q37=4),E35-C37)+IF(AND(Q35=4,Q38=4),F35-C38)+IF(AND(Q35=4,Q39=4),G35-C39)</f>
        <v>0</v>
      </c>
      <c r="M35" s="1282">
        <f>SUM(AND(R35=R36,D35&gt;C36),AND(R35=R37,E35&gt;C37),AND(R35=R38,F35&gt;C38),AND(R35=R39,G35&gt;C39))</f>
        <v>0</v>
      </c>
      <c r="N35" s="1283" t="str">
        <f>SUM(C35:G35)&amp;"-"&amp;SUM(C35:C39)</f>
        <v>0-0</v>
      </c>
      <c r="O35" s="1284">
        <f>D35+E35+F35+G35-C36-C37-C38-C39</f>
        <v>0</v>
      </c>
      <c r="P35" s="1220" t="e">
        <f>SUM(C35:G35,C35:C39)/SUM(C35:C39)</f>
        <v>#DIV/0!</v>
      </c>
      <c r="Q35" s="1285">
        <f>VALUE(LEFT(H35,1))</f>
        <v>0</v>
      </c>
      <c r="R35" s="1285">
        <f>Q35*100000+J35*10000+K35*1000+100*L35</f>
        <v>0</v>
      </c>
      <c r="S35" s="1286">
        <f t="shared" ref="S35:S39" si="11">R35+M35*0.1+IF(ISNONTEXT(B35),0,0.01)+0.0001*O35</f>
        <v>0</v>
      </c>
      <c r="T35" s="1287" t="str">
        <f>Q35&amp;J35</f>
        <v>00</v>
      </c>
      <c r="AD35" s="618">
        <f t="shared" si="8"/>
        <v>0</v>
      </c>
      <c r="AE35" s="619" t="str">
        <f t="shared" si="1"/>
        <v/>
      </c>
      <c r="AF35" s="620" t="str">
        <f>IFERROR(INDEX(Reit!$I:$I,MATCH(AE35,Reit!$F:$F,0)),"")</f>
        <v/>
      </c>
      <c r="AG35" s="619" t="str">
        <f t="shared" si="2"/>
        <v/>
      </c>
      <c r="AH35" s="620" t="str">
        <f>IFERROR(INDEX(Reit!$I:$I,MATCH(AG35,Reit!$F:$F,0)),"")</f>
        <v/>
      </c>
      <c r="AI35" s="619" t="str">
        <f t="shared" si="3"/>
        <v/>
      </c>
      <c r="AJ35" s="620" t="str">
        <f>IFERROR(INDEX(Reit!$I:$I,MATCH(AI35,Reit!$F:$F,0)),"")</f>
        <v/>
      </c>
      <c r="AK35" s="1344" t="str">
        <f t="shared" si="4"/>
        <v/>
      </c>
      <c r="AL35" s="620" t="str">
        <f>IFERROR(INDEX(Reit!$I:$I,MATCH(AK35,Reit!$F:$F,0)),"")</f>
        <v/>
      </c>
      <c r="AM35" s="619" t="str">
        <f t="shared" si="5"/>
        <v/>
      </c>
      <c r="AN35" s="620" t="str">
        <f>IFERROR(INDEX(Reit!$I:$I,MATCH(AM35,Reit!$F:$F,0)),"")</f>
        <v/>
      </c>
    </row>
    <row r="36" spans="1:40" hidden="1" x14ac:dyDescent="0.2">
      <c r="A36" s="1265">
        <v>2</v>
      </c>
      <c r="B36" s="1289"/>
      <c r="C36" s="1277"/>
      <c r="D36" s="1276"/>
      <c r="E36" s="1277"/>
      <c r="F36" s="1277"/>
      <c r="G36" s="1277"/>
      <c r="H36" s="1278" t="str">
        <f>(IF(C36-D35&gt;0,1)+IF(E36-D37&gt;0,1)+IF(F36-D38&gt;0,1)+IF(G36-D39&gt;0,1))&amp;"-"&amp;(IF(C36-D35&lt;0,1)+IF(E36-D37&lt;0,1)+IF(F36-D38&lt;0,1)+IF(G36-D39&lt;0,1))</f>
        <v>0-0</v>
      </c>
      <c r="I36" s="1277" t="str">
        <f>IF(AND(B36&lt;&gt;"",R$34=TRUE),A$34&amp;RANK(R36,R$35:R$39,0)," ")</f>
        <v xml:space="preserve"> </v>
      </c>
      <c r="J36" s="1196">
        <f>IF(AND(Q36=1,Q35=1,C36&gt;D35),1)+IF(AND(Q36=1,Q37=1,E36&gt;D37),1)+IF(AND(Q36=1,Q38=1,F36&gt;D38),1)+IF(AND(Q36=1,Q39=1,G36&gt;D39),1)+IF(AND(Q36=2,Q35=2,C36&gt;D35),1)+IF(AND(Q36=2,Q37=2,E36&gt;D37),1)+IF(AND(Q36=2,Q38=2,F36&gt;D38),1)+IF(AND(Q36=2,Q39=2,G36&gt;D39),1)+IF(AND(Q36=3,Q35=3,C36&gt;D35),1)+IF(AND(Q36=3,Q37=3,E36&gt;D37),1)+IF(AND(Q36=3,Q38=3,F36&gt;D38),1)+IF(AND(Q36=3,Q39=3,G36&gt;D39),1)</f>
        <v>0</v>
      </c>
      <c r="K36" s="1282">
        <f>SUM(AND(T36=T35,C36&gt;D35),AND(T36=T37,E36&gt;D37),AND(T36=T38,F36&gt;D38),AND(T36=T39,G36&gt;D39))</f>
        <v>0</v>
      </c>
      <c r="L36" s="1290">
        <f>IF(AND(Q36=1,Q35=1),C36-D35)+IF(AND(Q36=1,Q37=1),E36-D37)+IF(AND(Q36=1,Q38=1),F36-D38)+IF(AND(Q36=1,Q39=1),G36-D39)+IF(AND(Q36=2,Q35=2),C36-D35)+IF(AND(Q36=2,Q37=2),E36-D37)+IF(AND(Q36=2,Q38=2),F36-D38)+IF(AND(Q36=2,Q39=2),G36-D39)+IF(AND(Q36=3,Q35=3),C36-D35)+IF(AND(Q36=3,Q37=3),E36-D37)+IF(AND(Q36=3,Q38=3),F36-D38)+IF(AND(Q36=3,Q39=3),G36-D39)+IF(AND(Q36=4,Q35=4),C36-D35)+IF(AND(Q36=4,Q37=4),E36-D37)+IF(AND(Q36=4,Q38=4),F36-D38)+IF(AND(Q36=4,Q39=4),G36-D39)</f>
        <v>0</v>
      </c>
      <c r="M36" s="1282">
        <f>SUM(AND(R36=R35,C36&gt;D35),AND(R36=R37,E36&gt;D37),AND(R36=R38,F36&gt;D38),AND(R36=R39,G36&gt;D39))</f>
        <v>0</v>
      </c>
      <c r="N36" s="1283" t="str">
        <f>SUM(C36:G36)&amp;"-"&amp;SUM(D35:D39)</f>
        <v>0-0</v>
      </c>
      <c r="O36" s="1284">
        <f>C36+E36+F36+G36-D35-D37-D38-D39</f>
        <v>0</v>
      </c>
      <c r="P36" s="1220" t="e">
        <f>SUM(C36:G36,D35:D39)/SUM(D35:D39)</f>
        <v>#DIV/0!</v>
      </c>
      <c r="Q36" s="1291">
        <f>VALUE(LEFT(H36,1))</f>
        <v>0</v>
      </c>
      <c r="R36" s="1285">
        <f>Q36*100000+J36*10000+K36*1000+100*L36</f>
        <v>0</v>
      </c>
      <c r="S36" s="1286">
        <f t="shared" si="11"/>
        <v>0</v>
      </c>
      <c r="T36" s="1287" t="str">
        <f>Q36&amp;J36</f>
        <v>00</v>
      </c>
      <c r="AD36" s="618">
        <f t="shared" si="8"/>
        <v>0</v>
      </c>
      <c r="AE36" s="619" t="str">
        <f t="shared" si="1"/>
        <v/>
      </c>
      <c r="AF36" s="620" t="str">
        <f>IFERROR(INDEX(Reit!$I:$I,MATCH(AE36,Reit!$F:$F,0)),"")</f>
        <v/>
      </c>
      <c r="AG36" s="619" t="str">
        <f t="shared" si="2"/>
        <v/>
      </c>
      <c r="AH36" s="620" t="str">
        <f>IFERROR(INDEX(Reit!$I:$I,MATCH(AG36,Reit!$F:$F,0)),"")</f>
        <v/>
      </c>
      <c r="AI36" s="619" t="str">
        <f t="shared" si="3"/>
        <v/>
      </c>
      <c r="AJ36" s="620" t="str">
        <f>IFERROR(INDEX(Reit!$I:$I,MATCH(AI36,Reit!$F:$F,0)),"")</f>
        <v/>
      </c>
      <c r="AK36" s="1344" t="str">
        <f t="shared" si="4"/>
        <v/>
      </c>
      <c r="AL36" s="620" t="str">
        <f>IFERROR(INDEX(Reit!$I:$I,MATCH(AK36,Reit!$F:$F,0)),"")</f>
        <v/>
      </c>
      <c r="AM36" s="619" t="str">
        <f t="shared" si="5"/>
        <v/>
      </c>
      <c r="AN36" s="620" t="str">
        <f>IFERROR(INDEX(Reit!$I:$I,MATCH(AM36,Reit!$F:$F,0)),"")</f>
        <v/>
      </c>
    </row>
    <row r="37" spans="1:40" hidden="1" x14ac:dyDescent="0.2">
      <c r="A37" s="1265">
        <v>3</v>
      </c>
      <c r="B37" s="1289"/>
      <c r="C37" s="1277"/>
      <c r="D37" s="1292"/>
      <c r="E37" s="1276"/>
      <c r="F37" s="1277"/>
      <c r="G37" s="1277"/>
      <c r="H37" s="1278" t="str">
        <f>(IF(C37-E35&gt;0,1)+IF(D37-E36&gt;0,1)+IF(F37-E38&gt;0,1)+IF(G37-E39&gt;0,1))&amp;"-"&amp;(IF(C37-E35&lt;0,1)+IF(D37-E36&lt;0,1)+IF(F37-E38&lt;0,1)+IF(G37-E39&lt;0,1))</f>
        <v>0-0</v>
      </c>
      <c r="I37" s="1277" t="str">
        <f>IF(AND(B37&lt;&gt;"",R$34=TRUE),A$34&amp;RANK(R37,R$35:R$39,0)," ")</f>
        <v xml:space="preserve"> </v>
      </c>
      <c r="J37" s="1196">
        <f>IF(AND(Q37=1,Q35=1,C37&gt;E35),1)+IF(AND(Q37=1,Q36=1,D37&gt;E36),1)+IF(AND(Q37=1,Q38=1,F37&gt;E38),1)+IF(AND(Q37=1,Q39=1,G37&gt;E39),1)+IF(AND(Q37=2,Q35=2,C37&gt;E35),1)+IF(AND(Q37=2,Q36=2,D37&gt;E36),1)+IF(AND(Q37=2,Q38=2,F37&gt;E38),1)+IF(AND(Q37=2,Q39=2,G37&gt;E39),1)+IF(AND(Q37=3,Q35=3,C37&gt;E35),1)+IF(AND(Q37=3,Q36=3,D37&gt;E36),1)+IF(AND(Q37=3,Q38=3,F37&gt;E38),1)+IF(AND(Q37=3,Q39=3,G37&gt;E39),1)</f>
        <v>0</v>
      </c>
      <c r="K37" s="1282">
        <f>SUM(AND(T37=T35,C37&gt;E35),AND(T37=T36,D37&gt;E36),AND(T37=T38,F37&gt;E38),AND(T37=T39,G37&gt;E39))</f>
        <v>0</v>
      </c>
      <c r="L37" s="1290">
        <f>IF(AND(Q37=1,Q35=1),C37-E35)+IF(AND(Q37=1,Q36=1),D37-E36)+IF(AND(Q37=1,Q38=1),F37-E38)+IF(AND(Q37=1,Q39=1),G37-E39)+IF(AND(Q37=2,Q35=2),C37-E35)+IF(AND(Q37=2,Q36=2),D37-E36)+IF(AND(Q37=2,Q38=2),F37-E38)+IF(AND(Q37=2,Q39=2),G37-E39)+IF(AND(Q37=3,Q35=3),C37-E35)+IF(AND(Q37=3,Q36=3),D37-E36)+IF(AND(Q37=3,Q38=3),F37-E38)+IF(AND(Q37=3,Q39=3),G37-E39)+IF(AND(Q37=4,Q35=4),C37-E35)+IF(AND(Q37=4,Q36=4),D37-E36)+IF(AND(Q37=4,Q38=4),F37-E38)+IF(AND(Q37=4,Q39=4),G37-E39)</f>
        <v>0</v>
      </c>
      <c r="M37" s="1282">
        <f>SUM(AND(R37=R35,C37&gt;E35),AND(R37=R36,D37&gt;E36),AND(R37=R38,F37&gt;E38),AND(R37=R39,G37&gt;E39))</f>
        <v>0</v>
      </c>
      <c r="N37" s="1283" t="str">
        <f>SUM(C37:G37)&amp;"-"&amp;SUM(E35:E39)</f>
        <v>0-0</v>
      </c>
      <c r="O37" s="1284">
        <f>C37+D37+F37+G37-E35-E36-E38-E39</f>
        <v>0</v>
      </c>
      <c r="P37" s="1220" t="e">
        <f>SUM(C37:G37,E35:E39)/SUM(E35:E39)</f>
        <v>#DIV/0!</v>
      </c>
      <c r="Q37" s="1291">
        <f>VALUE(LEFT(H37,1))</f>
        <v>0</v>
      </c>
      <c r="R37" s="1285">
        <f>Q37*100000+J37*10000+K37*1000+100*L37</f>
        <v>0</v>
      </c>
      <c r="S37" s="1286">
        <f t="shared" si="11"/>
        <v>0</v>
      </c>
      <c r="T37" s="1287" t="str">
        <f>Q37&amp;J37</f>
        <v>00</v>
      </c>
      <c r="AD37" s="618">
        <f t="shared" si="8"/>
        <v>0</v>
      </c>
      <c r="AE37" s="619" t="str">
        <f t="shared" si="1"/>
        <v/>
      </c>
      <c r="AF37" s="620" t="str">
        <f>IFERROR(INDEX(Reit!$I:$I,MATCH(AE37,Reit!$F:$F,0)),"")</f>
        <v/>
      </c>
      <c r="AG37" s="619" t="str">
        <f t="shared" si="2"/>
        <v/>
      </c>
      <c r="AH37" s="620" t="str">
        <f>IFERROR(INDEX(Reit!$I:$I,MATCH(AG37,Reit!$F:$F,0)),"")</f>
        <v/>
      </c>
      <c r="AI37" s="619" t="str">
        <f t="shared" si="3"/>
        <v/>
      </c>
      <c r="AJ37" s="620" t="str">
        <f>IFERROR(INDEX(Reit!$I:$I,MATCH(AI37,Reit!$F:$F,0)),"")</f>
        <v/>
      </c>
      <c r="AK37" s="1344" t="str">
        <f t="shared" si="4"/>
        <v/>
      </c>
      <c r="AL37" s="620" t="str">
        <f>IFERROR(INDEX(Reit!$I:$I,MATCH(AK37,Reit!$F:$F,0)),"")</f>
        <v/>
      </c>
      <c r="AM37" s="619" t="str">
        <f t="shared" si="5"/>
        <v/>
      </c>
      <c r="AN37" s="620" t="str">
        <f>IFERROR(INDEX(Reit!$I:$I,MATCH(AM37,Reit!$F:$F,0)),"")</f>
        <v/>
      </c>
    </row>
    <row r="38" spans="1:40" hidden="1" x14ac:dyDescent="0.2">
      <c r="A38" s="1265">
        <v>4</v>
      </c>
      <c r="B38" s="1293"/>
      <c r="C38" s="1277"/>
      <c r="D38" s="1292"/>
      <c r="E38" s="1277"/>
      <c r="F38" s="1276"/>
      <c r="G38" s="1294"/>
      <c r="H38" s="1278" t="str">
        <f>(IF(C38-F35&gt;0,1)+IF(D38-F36&gt;0,1)+IF(E38-F37&gt;0,1)+IF(G38-F39&gt;0,1))&amp;"-"&amp;(IF(C38-F35&lt;0,1)+IF(D38-F36&lt;0,1)+IF(E38-F37&lt;0,1)+IF(G38-F39&lt;0,1))</f>
        <v>0-0</v>
      </c>
      <c r="I38" s="1277" t="str">
        <f>IF(AND(B38&lt;&gt;"",R$34=TRUE),A$34&amp;RANK(R38,R$35:R$39,0)," ")</f>
        <v xml:space="preserve"> </v>
      </c>
      <c r="J38" s="1196">
        <f>IF(AND(Q38=1,Q35=1,C38&gt;F35),1)+IF(AND(Q38=1,Q36=1,D38&gt;F36),1)+IF(AND(Q38=1,Q37=1,E38&gt;F37),1)+IF(AND(Q38=1,Q39=1,G38&gt;F39),1)+IF(AND(Q38=2,Q35=2,C38&gt;F35),1)+IF(AND(Q38=2,Q36=2,D38&gt;F36),1)+IF(AND(Q38=2,Q37=2,E38&gt;F37),1)+IF(AND(Q38=2,Q39=2,G38&gt;F39),1)+IF(AND(Q38=3,Q35=3,C38&gt;F35),1)+IF(AND(Q38=3,Q36=3,D38&gt;F36),1)+IF(AND(Q38=3,Q37=3,E38&gt;F37),1)+IF(AND(Q38=3,Q39=3,G38&gt;F39),1)</f>
        <v>0</v>
      </c>
      <c r="K38" s="1282">
        <f>SUM(AND(T38=T35,C38&gt;F35),AND(T38=T36,D38&gt;F36),AND(T38=T37,E38&gt;F37),AND(T38=T39,G38&gt;F39))</f>
        <v>0</v>
      </c>
      <c r="L38" s="1290">
        <f>IF(AND(Q38=1,Q35=1),C38-F35)+IF(AND(Q38=1,Q36=1),D38-F36)+IF(AND(Q38=1,Q37=1),E38-F37)+IF(AND(Q38=1,Q39=1),G38-F39)+IF(AND(Q38=2,Q35=2),C38-F35)+IF(AND(Q38=2,Q36=2),D38-F36)+IF(AND(Q38=2,Q37=2),E38-F37)+IF(AND(Q38=2,Q39=2),G38-F39)+IF(AND(Q38=3,Q35=3),C38-F35)+IF(AND(Q38=3,Q36=3),D38-F36)+IF(AND(Q38=3,Q37=3),E38-F37)+IF(AND(Q38=3,Q39=3),G38-F39)+IF(AND(Q38=4,Q35=4),C38-F35)+IF(AND(Q38=4,Q36=4),D38-F36)+IF(AND(Q38=4,Q37=4),E38-F37)+IF(AND(Q38=4,Q39=4),G38-F39)</f>
        <v>0</v>
      </c>
      <c r="M38" s="1282">
        <f>SUM(AND(R38=R35,C38&gt;F35),AND(R38=R36,D38&gt;F36),AND(R38=R37,E38&gt;F37),AND(R38=R39,G38&gt;F39))</f>
        <v>0</v>
      </c>
      <c r="N38" s="1283" t="str">
        <f>SUM(C38:G38)&amp;"-"&amp;SUM(F35:F39)</f>
        <v>0-0</v>
      </c>
      <c r="O38" s="1284">
        <f>C38+D38+E38+G38-F35-F36-F37-F39</f>
        <v>0</v>
      </c>
      <c r="P38" s="1220" t="e">
        <f>SUM(C38:G38,F35:F39)/SUM(F35:F39)</f>
        <v>#DIV/0!</v>
      </c>
      <c r="Q38" s="1291">
        <f>VALUE(LEFT(H38,1))</f>
        <v>0</v>
      </c>
      <c r="R38" s="1285">
        <f>Q38*100000+J38*10000+K38*1000+100*L38</f>
        <v>0</v>
      </c>
      <c r="S38" s="1286">
        <f t="shared" si="11"/>
        <v>0</v>
      </c>
      <c r="T38" s="1287" t="str">
        <f>Q38&amp;J38</f>
        <v>00</v>
      </c>
      <c r="AD38" s="618">
        <f t="shared" si="8"/>
        <v>0</v>
      </c>
      <c r="AE38" s="619" t="str">
        <f t="shared" si="1"/>
        <v/>
      </c>
      <c r="AF38" s="620" t="str">
        <f>IFERROR(INDEX(Reit!$I:$I,MATCH(AE38,Reit!$F:$F,0)),"")</f>
        <v/>
      </c>
      <c r="AG38" s="619" t="str">
        <f t="shared" si="2"/>
        <v/>
      </c>
      <c r="AH38" s="620" t="str">
        <f>IFERROR(INDEX(Reit!$I:$I,MATCH(AG38,Reit!$F:$F,0)),"")</f>
        <v/>
      </c>
      <c r="AI38" s="619" t="str">
        <f t="shared" si="3"/>
        <v/>
      </c>
      <c r="AJ38" s="620" t="str">
        <f>IFERROR(INDEX(Reit!$I:$I,MATCH(AI38,Reit!$F:$F,0)),"")</f>
        <v/>
      </c>
      <c r="AK38" s="1344" t="str">
        <f t="shared" si="4"/>
        <v/>
      </c>
      <c r="AL38" s="620" t="str">
        <f>IFERROR(INDEX(Reit!$I:$I,MATCH(AK38,Reit!$F:$F,0)),"")</f>
        <v/>
      </c>
      <c r="AM38" s="619" t="str">
        <f t="shared" si="5"/>
        <v/>
      </c>
      <c r="AN38" s="620" t="str">
        <f>IFERROR(INDEX(Reit!$I:$I,MATCH(AM38,Reit!$F:$F,0)),"")</f>
        <v/>
      </c>
    </row>
    <row r="39" spans="1:40" hidden="1" x14ac:dyDescent="0.2">
      <c r="A39" s="1265">
        <v>5</v>
      </c>
      <c r="B39" s="1293"/>
      <c r="C39" s="1277"/>
      <c r="D39" s="1277"/>
      <c r="E39" s="1277"/>
      <c r="F39" s="1277"/>
      <c r="G39" s="1276"/>
      <c r="H39" s="1278" t="str">
        <f>(IF(C39-G35&gt;0,1)+IF(D39-G36&gt;0,1)+IF(E39-G37&gt;0,1)+IF(F39-G38&gt;0,1))&amp;"-"&amp;(IF(C39-G35&lt;0,1)+IF(D39-G36&lt;0,1)+IF(E39-G37&lt;0,1)+IF(F39-G38&lt;0,1))</f>
        <v>0-0</v>
      </c>
      <c r="I39" s="1277" t="str">
        <f>IF(AND(B39&lt;&gt;"",R$34=TRUE),A$34&amp;RANK(R39,R$35:R$39,0)," ")</f>
        <v xml:space="preserve"> </v>
      </c>
      <c r="J39" s="1196">
        <f>IF(AND(Q39=1,Q35=1,C39&gt;G35),1)+IF(AND(Q39=1,Q36=1,D39&gt;G36),1)+IF(AND(Q39=1,Q37=1,E39&gt;G37),1)+IF(AND(Q39=1,Q38=1,F39&gt;G38),1)+IF(AND(Q39=2,Q35=2,C39&gt;G35),1)+IF(AND(Q39=2,Q36=2,D39&gt;G36),1)+IF(AND(Q39=2,Q37=2,E39&gt;G37),1)+IF(AND(Q39=2,Q38=2,F39&gt;G38),1)+IF(AND(Q39=3,Q35=3,C39&gt;G35),1)+IF(AND(Q39=3,Q36=3,D39&gt;G36),1)+IF(AND(Q39=3,Q37=3,E39&gt;G37),1)+IF(AND(Q39=3,Q38=3,F39&gt;G38),1)</f>
        <v>0</v>
      </c>
      <c r="K39" s="1282">
        <f>SUM(AND(T39=T35,C39&gt;G35),AND(T39=T36,D39&gt;G36),AND(T39=T37,E39&gt;G37),AND(T39=T38,F39&gt;G38))</f>
        <v>0</v>
      </c>
      <c r="L39" s="1290">
        <f>IF(AND(Q39=1,Q35=1),C39-G35)+IF(AND(Q39=1,Q36=1),D39-G36)+IF(AND(Q39=1,Q37=1),E39-G37)+IF(AND(Q39=1,Q38=1),F39-G38)+IF(AND(Q39=2,Q35=2),C39-G35)+IF(AND(Q39=2,Q36=2),D39-G36)+IF(AND(Q39=2,Q37=2),E39-G37)+IF(AND(Q39=2,Q38=2),F39-G38)+IF(AND(Q39=3,Q35=3),C39-G35)+IF(AND(Q39=3,Q36=3),D39-G36)+IF(AND(Q39=3,Q37=3),E39-G37)+IF(AND(Q39=3,Q38=3),F39-G38)+IF(AND(Q39=4,Q35=4),C39-G35)+IF(AND(Q39=4,Q36=4),D39-G36)+IF(AND(Q39=4,Q37=4),E39-G37)+IF(AND(Q39=4,Q38=4),F39-G38)</f>
        <v>0</v>
      </c>
      <c r="M39" s="1282">
        <f>SUM(AND(R39=R35,C39&gt;G35),AND(R39=R36,D39&gt;G36),AND(R39=R37,E39&gt;G37),AND(R39=R38,F39&gt;G38))</f>
        <v>0</v>
      </c>
      <c r="N39" s="1283" t="str">
        <f>SUM(C39:G39)&amp;"-"&amp;SUM(G35:G39)</f>
        <v>0-0</v>
      </c>
      <c r="O39" s="1284">
        <f>C39+D39+E39+F39-G35-G36-G37-G38</f>
        <v>0</v>
      </c>
      <c r="P39" s="1220" t="e">
        <f>SUM(C39:G39,G35:G39)/SUM(G35:G39)</f>
        <v>#DIV/0!</v>
      </c>
      <c r="Q39" s="1291">
        <f>VALUE(LEFT(H39,1))</f>
        <v>0</v>
      </c>
      <c r="R39" s="1285">
        <f>Q39*100000+J39*10000+K39*1000+100*L39</f>
        <v>0</v>
      </c>
      <c r="S39" s="1286">
        <f t="shared" si="11"/>
        <v>0</v>
      </c>
      <c r="T39" s="1287" t="str">
        <f>Q39&amp;J39</f>
        <v>00</v>
      </c>
      <c r="AD39" s="618">
        <f t="shared" si="8"/>
        <v>0</v>
      </c>
      <c r="AE39" s="619" t="str">
        <f t="shared" si="1"/>
        <v/>
      </c>
      <c r="AF39" s="620" t="str">
        <f>IFERROR(INDEX(Reit!$I:$I,MATCH(AE39,Reit!$F:$F,0)),"")</f>
        <v/>
      </c>
      <c r="AG39" s="619" t="str">
        <f t="shared" si="2"/>
        <v/>
      </c>
      <c r="AH39" s="620" t="str">
        <f>IFERROR(INDEX(Reit!$I:$I,MATCH(AG39,Reit!$F:$F,0)),"")</f>
        <v/>
      </c>
      <c r="AI39" s="619" t="str">
        <f t="shared" si="3"/>
        <v/>
      </c>
      <c r="AJ39" s="620" t="str">
        <f>IFERROR(INDEX(Reit!$I:$I,MATCH(AI39,Reit!$F:$F,0)),"")</f>
        <v/>
      </c>
      <c r="AK39" s="1344" t="str">
        <f t="shared" si="4"/>
        <v/>
      </c>
      <c r="AL39" s="620" t="str">
        <f>IFERROR(INDEX(Reit!$I:$I,MATCH(AK39,Reit!$F:$F,0)),"")</f>
        <v/>
      </c>
      <c r="AM39" s="619" t="str">
        <f t="shared" si="5"/>
        <v/>
      </c>
      <c r="AN39" s="620" t="str">
        <f>IFERROR(INDEX(Reit!$I:$I,MATCH(AM39,Reit!$F:$F,0)),"")</f>
        <v/>
      </c>
    </row>
    <row r="40" spans="1:40" hidden="1" x14ac:dyDescent="0.2">
      <c r="A40" s="1295"/>
      <c r="B40" s="1296"/>
      <c r="C40" s="1297"/>
      <c r="D40" s="1297"/>
      <c r="E40" s="1297"/>
      <c r="F40" s="1298"/>
      <c r="G40" s="1299"/>
      <c r="H40" s="1298"/>
      <c r="I40" s="1303"/>
      <c r="J40" s="1177"/>
      <c r="K40" s="1177"/>
      <c r="L40" s="1177"/>
      <c r="M40" s="1177"/>
      <c r="N40" s="1177"/>
      <c r="O40" s="1177"/>
      <c r="P40" s="1177"/>
      <c r="Q40" s="1177"/>
      <c r="R40" s="1301" t="s">
        <v>335</v>
      </c>
      <c r="S40" s="1177"/>
      <c r="T40" s="1177"/>
      <c r="AD40" s="618">
        <f t="shared" si="8"/>
        <v>0</v>
      </c>
      <c r="AE40" s="619" t="str">
        <f t="shared" si="1"/>
        <v/>
      </c>
      <c r="AF40" s="620" t="str">
        <f>IFERROR(INDEX(Reit!$I:$I,MATCH(AE40,Reit!$F:$F,0)),"")</f>
        <v/>
      </c>
      <c r="AG40" s="619" t="str">
        <f t="shared" si="2"/>
        <v/>
      </c>
      <c r="AH40" s="620" t="str">
        <f>IFERROR(INDEX(Reit!$I:$I,MATCH(AG40,Reit!$F:$F,0)),"")</f>
        <v/>
      </c>
      <c r="AI40" s="619" t="str">
        <f t="shared" si="3"/>
        <v/>
      </c>
      <c r="AJ40" s="620" t="str">
        <f>IFERROR(INDEX(Reit!$I:$I,MATCH(AI40,Reit!$F:$F,0)),"")</f>
        <v/>
      </c>
      <c r="AK40" s="1344" t="str">
        <f t="shared" si="4"/>
        <v/>
      </c>
      <c r="AL40" s="620" t="str">
        <f>IFERROR(INDEX(Reit!$I:$I,MATCH(AK40,Reit!$F:$F,0)),"")</f>
        <v/>
      </c>
      <c r="AM40" s="619" t="str">
        <f t="shared" si="5"/>
        <v/>
      </c>
      <c r="AN40" s="620" t="str">
        <f>IFERROR(INDEX(Reit!$I:$I,MATCH(AM40,Reit!$F:$F,0)),"")</f>
        <v/>
      </c>
    </row>
    <row r="41" spans="1:40" hidden="1" x14ac:dyDescent="0.2">
      <c r="A41" s="1265" t="s">
        <v>250</v>
      </c>
      <c r="B41" s="1266"/>
      <c r="C41" s="1267">
        <v>1</v>
      </c>
      <c r="D41" s="1267">
        <v>2</v>
      </c>
      <c r="E41" s="1267">
        <v>3</v>
      </c>
      <c r="F41" s="1267">
        <v>4</v>
      </c>
      <c r="G41" s="1267">
        <v>5</v>
      </c>
      <c r="H41" s="1268" t="s">
        <v>313</v>
      </c>
      <c r="I41" s="1268" t="s">
        <v>296</v>
      </c>
      <c r="J41" s="1269" t="s">
        <v>314</v>
      </c>
      <c r="K41" s="1270" t="s">
        <v>315</v>
      </c>
      <c r="L41" s="1271" t="s">
        <v>316</v>
      </c>
      <c r="M41" s="1271" t="s">
        <v>317</v>
      </c>
      <c r="N41" s="604" t="s">
        <v>344</v>
      </c>
      <c r="O41" s="604" t="s">
        <v>344</v>
      </c>
      <c r="P41" s="1272" t="s">
        <v>318</v>
      </c>
      <c r="Q41" s="1273" t="s">
        <v>183</v>
      </c>
      <c r="R41" s="1273" t="b">
        <f>OR(AND(COUNTA(B42:B46)=3,COUNTA(C42:G46)=6),AND(COUNTA(B42:B46)=4,COUNTA(C42:G46)=12),AND(COUNTA(B42:B46)=5,COUNTA(C42:G46)=20))</f>
        <v>0</v>
      </c>
      <c r="S41" s="1273" t="s">
        <v>319</v>
      </c>
      <c r="T41" s="1274" t="s">
        <v>320</v>
      </c>
      <c r="AD41" s="618">
        <f t="shared" si="8"/>
        <v>0</v>
      </c>
      <c r="AE41" s="619" t="str">
        <f t="shared" si="1"/>
        <v/>
      </c>
      <c r="AF41" s="620" t="str">
        <f>IFERROR(INDEX(Reit!$I:$I,MATCH(AE41,Reit!$F:$F,0)),"")</f>
        <v/>
      </c>
      <c r="AG41" s="619" t="str">
        <f t="shared" si="2"/>
        <v/>
      </c>
      <c r="AH41" s="620" t="str">
        <f>IFERROR(INDEX(Reit!$I:$I,MATCH(AG41,Reit!$F:$F,0)),"")</f>
        <v/>
      </c>
      <c r="AI41" s="619" t="str">
        <f t="shared" si="3"/>
        <v/>
      </c>
      <c r="AJ41" s="620" t="str">
        <f>IFERROR(INDEX(Reit!$I:$I,MATCH(AI41,Reit!$F:$F,0)),"")</f>
        <v/>
      </c>
      <c r="AK41" s="1344" t="str">
        <f t="shared" si="4"/>
        <v/>
      </c>
      <c r="AL41" s="620" t="str">
        <f>IFERROR(INDEX(Reit!$I:$I,MATCH(AK41,Reit!$F:$F,0)),"")</f>
        <v/>
      </c>
      <c r="AM41" s="619" t="str">
        <f t="shared" si="5"/>
        <v/>
      </c>
      <c r="AN41" s="620" t="str">
        <f>IFERROR(INDEX(Reit!$I:$I,MATCH(AM41,Reit!$F:$F,0)),"")</f>
        <v/>
      </c>
    </row>
    <row r="42" spans="1:40" hidden="1" x14ac:dyDescent="0.2">
      <c r="A42" s="1265">
        <v>1</v>
      </c>
      <c r="B42" s="1306"/>
      <c r="C42" s="1276"/>
      <c r="D42" s="1277"/>
      <c r="E42" s="1277"/>
      <c r="F42" s="1277"/>
      <c r="G42" s="1277"/>
      <c r="H42" s="1278" t="str">
        <f>(IF(D42-C43&gt;0,1)+IF(E42-C44&gt;0,1)+IF(F42-C45&gt;0,1)+IF(G42-C46&gt;0,1))&amp;"-"&amp;(IF(D42-C43&lt;0,1)+IF(E42-C44&lt;0,1)+IF(F42-C45&lt;0,1)+IF(G42-C46&lt;0,1))</f>
        <v>0-0</v>
      </c>
      <c r="I42" s="1277" t="str">
        <f>IF(AND(B42&lt;&gt;"",R$41=TRUE),A$41&amp;RANK(R42,R$42:R$46,0)," ")</f>
        <v xml:space="preserve"> </v>
      </c>
      <c r="J42" s="1279">
        <f>IF(AND(Q42=1,Q43=1,D42&gt;C43),1)+IF(AND(Q42=1,Q44=1,E42&gt;C44),1)+IF(AND(Q42=1,Q45=1,F42&gt;C45),1)+IF(AND(Q42=1,Q46=1,G42&gt;C46),1)+IF(AND(Q42=2,Q43=2,D42&gt;C43),1)+IF(AND(Q42=2,Q44=2,E42&gt;C44),1)+IF(AND(Q42=2,Q45=2,F42&gt;C45),1)+IF(AND(Q42=2,Q46=2,G42&gt;C46),1)+IF(AND(Q42=3,Q43=3,D42&gt;C43),1)+IF(AND(Q42=3,Q44=3,E42&gt;C44),1)+IF(AND(Q42=3,Q45=3,F42&gt;C45),1)+IF(AND(Q42=3,Q46=3,G42&gt;C46),1)</f>
        <v>0</v>
      </c>
      <c r="K42" s="1280">
        <f>SUM(AND(T42=T43,D42&gt;C43),AND(T42=T44,E42&gt;C44),AND(T42=T45,F42&gt;C45),AND(T42=T46,G42&gt;C46))</f>
        <v>0</v>
      </c>
      <c r="L42" s="1281">
        <f>IF(AND(Q42=1,Q43=1),D42-C43)+IF(AND(Q42=1,Q44=1),E42-C44)+IF(AND(Q42=1,Q45=1),F42-C45)+IF(AND(Q42=1,Q46=1),G42-C46)+IF(AND(Q42=2,Q43=2),D42-C43)+IF(AND(Q42=2,Q44=2),E42-C44)+IF(AND(Q42=2,Q45=2),F42-C45)+IF(AND(Q42=2,Q46=2),G42-C46)+IF(AND(Q42=3,Q43=3),D42-C43)+IF(AND(Q42=3,Q44=3),E42-C44)+IF(AND(Q42=3,Q45=3),F42-C45)+IF(AND(Q42=3,Q46=3),G42-C46)+IF(AND(Q42=4,Q43=4),D42-C43)+IF(AND(Q42=4,Q44=4),E42-C44)+IF(AND(Q42=4,Q45=4),F42-C45)+IF(AND(Q42=4,Q46=4),G42-C46)</f>
        <v>0</v>
      </c>
      <c r="M42" s="1282">
        <f>SUM(AND(R42=R43,D42&gt;C43),AND(R42=R44,E42&gt;C44),AND(R42=R45,F42&gt;C45),AND(R42=R46,G42&gt;C46))</f>
        <v>0</v>
      </c>
      <c r="N42" s="1283" t="str">
        <f>SUM(C42:G42)&amp;"-"&amp;SUM(C42:C46)</f>
        <v>0-0</v>
      </c>
      <c r="O42" s="1284">
        <f>D42+E42+F42+G42-C43-C44-C45-C46</f>
        <v>0</v>
      </c>
      <c r="P42" s="1220" t="e">
        <f>SUM(C42:G42,C42:C46)/SUM(C42:C46)</f>
        <v>#DIV/0!</v>
      </c>
      <c r="Q42" s="1285">
        <f>VALUE(LEFT(H42,1))</f>
        <v>0</v>
      </c>
      <c r="R42" s="1285">
        <f>Q42*100000+J42*10000+K42*1000+100*L42</f>
        <v>0</v>
      </c>
      <c r="S42" s="1286">
        <f t="shared" ref="S42:S46" si="12">R42+M42*0.1+IF(ISNONTEXT(B42),0,0.01)+0.0001*O42</f>
        <v>0</v>
      </c>
      <c r="T42" s="1287" t="str">
        <f>Q42&amp;J42</f>
        <v>00</v>
      </c>
      <c r="AD42" s="618">
        <f t="shared" si="8"/>
        <v>0</v>
      </c>
      <c r="AE42" s="619" t="str">
        <f t="shared" si="1"/>
        <v/>
      </c>
      <c r="AF42" s="620" t="str">
        <f>IFERROR(INDEX(Reit!$I:$I,MATCH(AE42,Reit!$F:$F,0)),"")</f>
        <v/>
      </c>
      <c r="AG42" s="619" t="str">
        <f t="shared" si="2"/>
        <v/>
      </c>
      <c r="AH42" s="620" t="str">
        <f>IFERROR(INDEX(Reit!$I:$I,MATCH(AG42,Reit!$F:$F,0)),"")</f>
        <v/>
      </c>
      <c r="AI42" s="619" t="str">
        <f t="shared" si="3"/>
        <v/>
      </c>
      <c r="AJ42" s="620" t="str">
        <f>IFERROR(INDEX(Reit!$I:$I,MATCH(AI42,Reit!$F:$F,0)),"")</f>
        <v/>
      </c>
      <c r="AK42" s="1344" t="str">
        <f t="shared" si="4"/>
        <v/>
      </c>
      <c r="AL42" s="620" t="str">
        <f>IFERROR(INDEX(Reit!$I:$I,MATCH(AK42,Reit!$F:$F,0)),"")</f>
        <v/>
      </c>
      <c r="AM42" s="619" t="str">
        <f t="shared" si="5"/>
        <v/>
      </c>
      <c r="AN42" s="620" t="str">
        <f>IFERROR(INDEX(Reit!$I:$I,MATCH(AM42,Reit!$F:$F,0)),"")</f>
        <v/>
      </c>
    </row>
    <row r="43" spans="1:40" hidden="1" x14ac:dyDescent="0.2">
      <c r="A43" s="1265">
        <v>2</v>
      </c>
      <c r="B43" s="1289"/>
      <c r="C43" s="1277"/>
      <c r="D43" s="1276"/>
      <c r="E43" s="1277"/>
      <c r="F43" s="1277"/>
      <c r="G43" s="1277"/>
      <c r="H43" s="1278" t="str">
        <f>(IF(C43-D42&gt;0,1)+IF(E43-D44&gt;0,1)+IF(F43-D45&gt;0,1)+IF(G43-D46&gt;0,1))&amp;"-"&amp;(IF(C43-D42&lt;0,1)+IF(E43-D44&lt;0,1)+IF(F43-D45&lt;0,1)+IF(G43-D46&lt;0,1))</f>
        <v>0-0</v>
      </c>
      <c r="I43" s="1277" t="str">
        <f>IF(AND(B43&lt;&gt;"",R$41=TRUE),A$41&amp;RANK(R43,R$42:R$46,0)," ")</f>
        <v xml:space="preserve"> </v>
      </c>
      <c r="J43" s="1196">
        <f>IF(AND(Q43=1,Q42=1,C43&gt;D42),1)+IF(AND(Q43=1,Q44=1,E43&gt;D44),1)+IF(AND(Q43=1,Q45=1,F43&gt;D45),1)+IF(AND(Q43=1,Q46=1,G43&gt;D46),1)+IF(AND(Q43=2,Q42=2,C43&gt;D42),1)+IF(AND(Q43=2,Q44=2,E43&gt;D44),1)+IF(AND(Q43=2,Q45=2,F43&gt;D45),1)+IF(AND(Q43=2,Q46=2,G43&gt;D46),1)+IF(AND(Q43=3,Q42=3,C43&gt;D42),1)+IF(AND(Q43=3,Q44=3,E43&gt;D44),1)+IF(AND(Q43=3,Q45=3,F43&gt;D45),1)+IF(AND(Q43=3,Q46=3,G43&gt;D46),1)</f>
        <v>0</v>
      </c>
      <c r="K43" s="1282">
        <f>SUM(AND(T43=T42,C43&gt;D42),AND(T43=T44,E43&gt;D44),AND(T43=T45,F43&gt;D45),AND(T43=T46,G43&gt;D46))</f>
        <v>0</v>
      </c>
      <c r="L43" s="1290">
        <f>IF(AND(Q43=1,Q42=1),C43-D42)+IF(AND(Q43=1,Q44=1),E43-D44)+IF(AND(Q43=1,Q45=1),F43-D45)+IF(AND(Q43=1,Q46=1),G43-D46)+IF(AND(Q43=2,Q42=2),C43-D42)+IF(AND(Q43=2,Q44=2),E43-D44)+IF(AND(Q43=2,Q45=2),F43-D45)+IF(AND(Q43=2,Q46=2),G43-D46)+IF(AND(Q43=3,Q42=3),C43-D42)+IF(AND(Q43=3,Q44=3),E43-D44)+IF(AND(Q43=3,Q45=3),F43-D45)+IF(AND(Q43=3,Q46=3),G43-D46)+IF(AND(Q43=4,Q42=4),C43-D42)+IF(AND(Q43=4,Q44=4),E43-D44)+IF(AND(Q43=4,Q45=4),F43-D45)+IF(AND(Q43=4,Q46=4),G43-D46)</f>
        <v>0</v>
      </c>
      <c r="M43" s="1282">
        <f>SUM(AND(R43=R42,C43&gt;D42),AND(R43=R44,E43&gt;D44),AND(R43=R45,F43&gt;D45),AND(R43=R46,G43&gt;D46))</f>
        <v>0</v>
      </c>
      <c r="N43" s="1283" t="str">
        <f>SUM(C43:G43)&amp;"-"&amp;SUM(D42:D46)</f>
        <v>0-0</v>
      </c>
      <c r="O43" s="1284">
        <f>C43+E43+F43+G43-D42-D44-D45-D46</f>
        <v>0</v>
      </c>
      <c r="P43" s="1220" t="e">
        <f>SUM(C43:G43,D42:D46)/SUM(D42:D46)</f>
        <v>#DIV/0!</v>
      </c>
      <c r="Q43" s="1291">
        <f>VALUE(LEFT(H43,1))</f>
        <v>0</v>
      </c>
      <c r="R43" s="1285">
        <f>Q43*100000+J43*10000+K43*1000+100*L43</f>
        <v>0</v>
      </c>
      <c r="S43" s="1286">
        <f t="shared" si="12"/>
        <v>0</v>
      </c>
      <c r="T43" s="1287" t="str">
        <f>Q43&amp;J43</f>
        <v>00</v>
      </c>
      <c r="AD43" s="618">
        <f t="shared" si="8"/>
        <v>0</v>
      </c>
      <c r="AE43" s="619" t="str">
        <f t="shared" si="1"/>
        <v/>
      </c>
      <c r="AF43" s="620" t="str">
        <f>IFERROR(INDEX(Reit!$I:$I,MATCH(AE43,Reit!$F:$F,0)),"")</f>
        <v/>
      </c>
      <c r="AG43" s="619" t="str">
        <f t="shared" si="2"/>
        <v/>
      </c>
      <c r="AH43" s="620" t="str">
        <f>IFERROR(INDEX(Reit!$I:$I,MATCH(AG43,Reit!$F:$F,0)),"")</f>
        <v/>
      </c>
      <c r="AI43" s="619" t="str">
        <f t="shared" si="3"/>
        <v/>
      </c>
      <c r="AJ43" s="620" t="str">
        <f>IFERROR(INDEX(Reit!$I:$I,MATCH(AI43,Reit!$F:$F,0)),"")</f>
        <v/>
      </c>
      <c r="AK43" s="1344" t="str">
        <f t="shared" si="4"/>
        <v/>
      </c>
      <c r="AL43" s="620" t="str">
        <f>IFERROR(INDEX(Reit!$I:$I,MATCH(AK43,Reit!$F:$F,0)),"")</f>
        <v/>
      </c>
      <c r="AM43" s="619" t="str">
        <f t="shared" si="5"/>
        <v/>
      </c>
      <c r="AN43" s="620" t="str">
        <f>IFERROR(INDEX(Reit!$I:$I,MATCH(AM43,Reit!$F:$F,0)),"")</f>
        <v/>
      </c>
    </row>
    <row r="44" spans="1:40" hidden="1" x14ac:dyDescent="0.2">
      <c r="A44" s="1265">
        <v>3</v>
      </c>
      <c r="B44" s="1289"/>
      <c r="C44" s="1277"/>
      <c r="D44" s="1292"/>
      <c r="E44" s="1276"/>
      <c r="F44" s="1277"/>
      <c r="G44" s="1277"/>
      <c r="H44" s="1278" t="str">
        <f>(IF(C44-E42&gt;0,1)+IF(D44-E43&gt;0,1)+IF(F44-E45&gt;0,1)+IF(G44-E46&gt;0,1))&amp;"-"&amp;(IF(C44-E42&lt;0,1)+IF(D44-E43&lt;0,1)+IF(F44-E45&lt;0,1)+IF(G44-E46&lt;0,1))</f>
        <v>0-0</v>
      </c>
      <c r="I44" s="1277" t="str">
        <f>IF(AND(B44&lt;&gt;"",R$41=TRUE),A$41&amp;RANK(R44,R$42:R$46,0)," ")</f>
        <v xml:space="preserve"> </v>
      </c>
      <c r="J44" s="1196">
        <f>IF(AND(Q44=1,Q42=1,C44&gt;E42),1)+IF(AND(Q44=1,Q43=1,D44&gt;E43),1)+IF(AND(Q44=1,Q45=1,F44&gt;E45),1)+IF(AND(Q44=1,Q46=1,G44&gt;E46),1)+IF(AND(Q44=2,Q42=2,C44&gt;E42),1)+IF(AND(Q44=2,Q43=2,D44&gt;E43),1)+IF(AND(Q44=2,Q45=2,F44&gt;E45),1)+IF(AND(Q44=2,Q46=2,G44&gt;E46),1)+IF(AND(Q44=3,Q42=3,C44&gt;E42),1)+IF(AND(Q44=3,Q43=3,D44&gt;E43),1)+IF(AND(Q44=3,Q45=3,F44&gt;E45),1)+IF(AND(Q44=3,Q46=3,G44&gt;E46),1)</f>
        <v>0</v>
      </c>
      <c r="K44" s="1282">
        <f>SUM(AND(T44=T42,C44&gt;E42),AND(T44=T43,D44&gt;E43),AND(T44=T45,F44&gt;E45),AND(T44=T46,G44&gt;E46))</f>
        <v>0</v>
      </c>
      <c r="L44" s="1290">
        <f>IF(AND(Q44=1,Q42=1),C44-E42)+IF(AND(Q44=1,Q43=1),D44-E43)+IF(AND(Q44=1,Q45=1),F44-E45)+IF(AND(Q44=1,Q46=1),G44-E46)+IF(AND(Q44=2,Q42=2),C44-E42)+IF(AND(Q44=2,Q43=2),D44-E43)+IF(AND(Q44=2,Q45=2),F44-E45)+IF(AND(Q44=2,Q46=2),G44-E46)+IF(AND(Q44=3,Q42=3),C44-E42)+IF(AND(Q44=3,Q43=3),D44-E43)+IF(AND(Q44=3,Q45=3),F44-E45)+IF(AND(Q44=3,Q46=3),G44-E46)+IF(AND(Q44=4,Q42=4),C44-E42)+IF(AND(Q44=4,Q43=4),D44-E43)+IF(AND(Q44=4,Q45=4),F44-E45)+IF(AND(Q44=4,Q46=4),G44-E46)</f>
        <v>0</v>
      </c>
      <c r="M44" s="1282">
        <f>SUM(AND(R44=R42,C44&gt;E42),AND(R44=R43,D44&gt;E43),AND(R44=R45,F44&gt;E45),AND(R44=R46,G44&gt;E46))</f>
        <v>0</v>
      </c>
      <c r="N44" s="1283" t="str">
        <f>SUM(C44:G44)&amp;"-"&amp;SUM(E42:E46)</f>
        <v>0-0</v>
      </c>
      <c r="O44" s="1284">
        <f>C44+D44+F44+G44-E42-E43-E45-E46</f>
        <v>0</v>
      </c>
      <c r="P44" s="1220" t="e">
        <f>SUM(C44:G44,E42:E46)/SUM(E42:E46)</f>
        <v>#DIV/0!</v>
      </c>
      <c r="Q44" s="1291">
        <f>VALUE(LEFT(H44,1))</f>
        <v>0</v>
      </c>
      <c r="R44" s="1285">
        <f>Q44*100000+J44*10000+K44*1000+100*L44</f>
        <v>0</v>
      </c>
      <c r="S44" s="1286">
        <f t="shared" si="12"/>
        <v>0</v>
      </c>
      <c r="T44" s="1287" t="str">
        <f>Q44&amp;J44</f>
        <v>00</v>
      </c>
      <c r="AD44" s="618">
        <f t="shared" si="8"/>
        <v>0</v>
      </c>
      <c r="AE44" s="619" t="str">
        <f t="shared" si="1"/>
        <v/>
      </c>
      <c r="AF44" s="620" t="str">
        <f>IFERROR(INDEX(Reit!$I:$I,MATCH(AE44,Reit!$F:$F,0)),"")</f>
        <v/>
      </c>
      <c r="AG44" s="619" t="str">
        <f t="shared" si="2"/>
        <v/>
      </c>
      <c r="AH44" s="620" t="str">
        <f>IFERROR(INDEX(Reit!$I:$I,MATCH(AG44,Reit!$F:$F,0)),"")</f>
        <v/>
      </c>
      <c r="AI44" s="619" t="str">
        <f t="shared" si="3"/>
        <v/>
      </c>
      <c r="AJ44" s="620" t="str">
        <f>IFERROR(INDEX(Reit!$I:$I,MATCH(AI44,Reit!$F:$F,0)),"")</f>
        <v/>
      </c>
      <c r="AK44" s="1344" t="str">
        <f t="shared" si="4"/>
        <v/>
      </c>
      <c r="AL44" s="620" t="str">
        <f>IFERROR(INDEX(Reit!$I:$I,MATCH(AK44,Reit!$F:$F,0)),"")</f>
        <v/>
      </c>
      <c r="AM44" s="619" t="str">
        <f t="shared" si="5"/>
        <v/>
      </c>
      <c r="AN44" s="620" t="str">
        <f>IFERROR(INDEX(Reit!$I:$I,MATCH(AM44,Reit!$F:$F,0)),"")</f>
        <v/>
      </c>
    </row>
    <row r="45" spans="1:40" hidden="1" x14ac:dyDescent="0.2">
      <c r="A45" s="1265">
        <v>4</v>
      </c>
      <c r="B45" s="1293"/>
      <c r="C45" s="1277"/>
      <c r="D45" s="1292"/>
      <c r="E45" s="1277"/>
      <c r="F45" s="1276"/>
      <c r="G45" s="1294"/>
      <c r="H45" s="1278" t="str">
        <f>(IF(C45-F42&gt;0,1)+IF(D45-F43&gt;0,1)+IF(E45-F44&gt;0,1)+IF(G45-F46&gt;0,1))&amp;"-"&amp;(IF(C45-F42&lt;0,1)+IF(D45-F43&lt;0,1)+IF(E45-F44&lt;0,1)+IF(G45-F46&lt;0,1))</f>
        <v>0-0</v>
      </c>
      <c r="I45" s="1277" t="str">
        <f>IF(AND(B45&lt;&gt;"",R$41=TRUE),A$41&amp;RANK(R45,R$42:R$46,0)," ")</f>
        <v xml:space="preserve"> </v>
      </c>
      <c r="J45" s="1196">
        <f>IF(AND(Q45=1,Q42=1,C45&gt;F42),1)+IF(AND(Q45=1,Q43=1,D45&gt;F43),1)+IF(AND(Q45=1,Q44=1,E45&gt;F44),1)+IF(AND(Q45=1,Q46=1,G45&gt;F46),1)+IF(AND(Q45=2,Q42=2,C45&gt;F42),1)+IF(AND(Q45=2,Q43=2,D45&gt;F43),1)+IF(AND(Q45=2,Q44=2,E45&gt;F44),1)+IF(AND(Q45=2,Q46=2,G45&gt;F46),1)+IF(AND(Q45=3,Q42=3,C45&gt;F42),1)+IF(AND(Q45=3,Q43=3,D45&gt;F43),1)+IF(AND(Q45=3,Q44=3,E45&gt;F44),1)+IF(AND(Q45=3,Q46=3,G45&gt;F46),1)</f>
        <v>0</v>
      </c>
      <c r="K45" s="1282">
        <f>SUM(AND(T45=T42,C45&gt;F42),AND(T45=T43,D45&gt;F43),AND(T45=T44,E45&gt;F44),AND(T45=T46,G45&gt;F46))</f>
        <v>0</v>
      </c>
      <c r="L45" s="1290">
        <f>IF(AND(Q45=1,Q42=1),C45-F42)+IF(AND(Q45=1,Q43=1),D45-F43)+IF(AND(Q45=1,Q44=1),E45-F44)+IF(AND(Q45=1,Q46=1),G45-F46)+IF(AND(Q45=2,Q42=2),C45-F42)+IF(AND(Q45=2,Q43=2),D45-F43)+IF(AND(Q45=2,Q44=2),E45-F44)+IF(AND(Q45=2,Q46=2),G45-F46)+IF(AND(Q45=3,Q42=3),C45-F42)+IF(AND(Q45=3,Q43=3),D45-F43)+IF(AND(Q45=3,Q44=3),E45-F44)+IF(AND(Q45=3,Q46=3),G45-F46)+IF(AND(Q45=4,Q42=4),C45-F42)+IF(AND(Q45=4,Q43=4),D45-F43)+IF(AND(Q45=4,Q44=4),E45-F44)+IF(AND(Q45=4,Q46=4),G45-F46)</f>
        <v>0</v>
      </c>
      <c r="M45" s="1282">
        <f>SUM(AND(R45=R42,C45&gt;F42),AND(R45=R43,D45&gt;F43),AND(R45=R44,E45&gt;F44),AND(R45=R46,G45&gt;F46))</f>
        <v>0</v>
      </c>
      <c r="N45" s="1283" t="str">
        <f>SUM(C45:G45)&amp;"-"&amp;SUM(F42:F46)</f>
        <v>0-0</v>
      </c>
      <c r="O45" s="1284">
        <f>C45+D45+E45+G45-F42-F43-F44-F46</f>
        <v>0</v>
      </c>
      <c r="P45" s="1220" t="e">
        <f>SUM(C45:G45,F42:F46)/SUM(F42:F46)</f>
        <v>#DIV/0!</v>
      </c>
      <c r="Q45" s="1291">
        <f>VALUE(LEFT(H45,1))</f>
        <v>0</v>
      </c>
      <c r="R45" s="1285">
        <f>Q45*100000+J45*10000+K45*1000+100*L45</f>
        <v>0</v>
      </c>
      <c r="S45" s="1286">
        <f t="shared" si="12"/>
        <v>0</v>
      </c>
      <c r="T45" s="1287" t="str">
        <f>Q45&amp;J45</f>
        <v>00</v>
      </c>
      <c r="AD45" s="618">
        <f t="shared" si="8"/>
        <v>0</v>
      </c>
      <c r="AE45" s="619" t="str">
        <f t="shared" si="1"/>
        <v/>
      </c>
      <c r="AF45" s="620" t="str">
        <f>IFERROR(INDEX(Reit!$I:$I,MATCH(AE45,Reit!$F:$F,0)),"")</f>
        <v/>
      </c>
      <c r="AG45" s="619" t="str">
        <f t="shared" si="2"/>
        <v/>
      </c>
      <c r="AH45" s="620" t="str">
        <f>IFERROR(INDEX(Reit!$I:$I,MATCH(AG45,Reit!$F:$F,0)),"")</f>
        <v/>
      </c>
      <c r="AI45" s="619" t="str">
        <f t="shared" si="3"/>
        <v/>
      </c>
      <c r="AJ45" s="620" t="str">
        <f>IFERROR(INDEX(Reit!$I:$I,MATCH(AI45,Reit!$F:$F,0)),"")</f>
        <v/>
      </c>
      <c r="AK45" s="1344" t="str">
        <f t="shared" si="4"/>
        <v/>
      </c>
      <c r="AL45" s="620" t="str">
        <f>IFERROR(INDEX(Reit!$I:$I,MATCH(AK45,Reit!$F:$F,0)),"")</f>
        <v/>
      </c>
      <c r="AM45" s="619" t="str">
        <f t="shared" si="5"/>
        <v/>
      </c>
      <c r="AN45" s="620" t="str">
        <f>IFERROR(INDEX(Reit!$I:$I,MATCH(AM45,Reit!$F:$F,0)),"")</f>
        <v/>
      </c>
    </row>
    <row r="46" spans="1:40" hidden="1" x14ac:dyDescent="0.2">
      <c r="A46" s="1265">
        <v>5</v>
      </c>
      <c r="B46" s="1293"/>
      <c r="C46" s="1277"/>
      <c r="D46" s="1277"/>
      <c r="E46" s="1277"/>
      <c r="F46" s="1277"/>
      <c r="G46" s="1276"/>
      <c r="H46" s="1278" t="str">
        <f>(IF(C46-G42&gt;0,1)+IF(D46-G43&gt;0,1)+IF(E46-G44&gt;0,1)+IF(F46-G45&gt;0,1))&amp;"-"&amp;(IF(C46-G42&lt;0,1)+IF(D46-G43&lt;0,1)+IF(E46-G44&lt;0,1)+IF(F46-G45&lt;0,1))</f>
        <v>0-0</v>
      </c>
      <c r="I46" s="1277" t="str">
        <f>IF(AND(B46&lt;&gt;"",R$41=TRUE),A$41&amp;RANK(R46,R$42:R$46,0)," ")</f>
        <v xml:space="preserve"> </v>
      </c>
      <c r="J46" s="1196">
        <f>IF(AND(Q46=1,Q42=1,C46&gt;G42),1)+IF(AND(Q46=1,Q43=1,D46&gt;G43),1)+IF(AND(Q46=1,Q44=1,E46&gt;G44),1)+IF(AND(Q46=1,Q45=1,F46&gt;G45),1)+IF(AND(Q46=2,Q42=2,C46&gt;G42),1)+IF(AND(Q46=2,Q43=2,D46&gt;G43),1)+IF(AND(Q46=2,Q44=2,E46&gt;G44),1)+IF(AND(Q46=2,Q45=2,F46&gt;G45),1)+IF(AND(Q46=3,Q42=3,C46&gt;G42),1)+IF(AND(Q46=3,Q43=3,D46&gt;G43),1)+IF(AND(Q46=3,Q44=3,E46&gt;G44),1)+IF(AND(Q46=3,Q45=3,F46&gt;G45),1)</f>
        <v>0</v>
      </c>
      <c r="K46" s="1282">
        <f>SUM(AND(T46=T42,C46&gt;G42),AND(T46=T43,D46&gt;G43),AND(T46=T44,E46&gt;G44),AND(T46=T45,F46&gt;G45))</f>
        <v>0</v>
      </c>
      <c r="L46" s="1290">
        <f>IF(AND(Q46=1,Q42=1),C46-G42)+IF(AND(Q46=1,Q43=1),D46-G43)+IF(AND(Q46=1,Q44=1),E46-G44)+IF(AND(Q46=1,Q45=1),F46-G45)+IF(AND(Q46=2,Q42=2),C46-G42)+IF(AND(Q46=2,Q43=2),D46-G43)+IF(AND(Q46=2,Q44=2),E46-G44)+IF(AND(Q46=2,Q45=2),F46-G45)+IF(AND(Q46=3,Q42=3),C46-G42)+IF(AND(Q46=3,Q43=3),D46-G43)+IF(AND(Q46=3,Q44=3),E46-G44)+IF(AND(Q46=3,Q45=3),F46-G45)+IF(AND(Q46=4,Q42=4),C46-G42)+IF(AND(Q46=4,Q43=4),D46-G43)+IF(AND(Q46=4,Q44=4),E46-G44)+IF(AND(Q46=4,Q45=4),F46-G45)</f>
        <v>0</v>
      </c>
      <c r="M46" s="1282">
        <f>SUM(AND(R46=R42,C46&gt;G42),AND(R46=R43,D46&gt;G43),AND(R46=R44,E46&gt;G44),AND(R46=R45,F46&gt;G45))</f>
        <v>0</v>
      </c>
      <c r="N46" s="1283" t="str">
        <f>SUM(C46:G46)&amp;"-"&amp;SUM(G42:G46)</f>
        <v>0-0</v>
      </c>
      <c r="O46" s="1284">
        <f>C46+D46+E46+F46-G42-G43-G44-G45</f>
        <v>0</v>
      </c>
      <c r="P46" s="1220" t="e">
        <f>SUM(C46:G46,G42:G46)/SUM(G42:G46)</f>
        <v>#DIV/0!</v>
      </c>
      <c r="Q46" s="1291">
        <f>VALUE(LEFT(H46,1))</f>
        <v>0</v>
      </c>
      <c r="R46" s="1285">
        <f>Q46*100000+J46*10000+K46*1000+100*L46</f>
        <v>0</v>
      </c>
      <c r="S46" s="1286">
        <f t="shared" si="12"/>
        <v>0</v>
      </c>
      <c r="T46" s="1287" t="str">
        <f>Q46&amp;J46</f>
        <v>00</v>
      </c>
      <c r="AD46" s="618">
        <f t="shared" si="8"/>
        <v>0</v>
      </c>
      <c r="AE46" s="619" t="str">
        <f t="shared" si="1"/>
        <v/>
      </c>
      <c r="AF46" s="620" t="str">
        <f>IFERROR(INDEX(Reit!$I:$I,MATCH(AE46,Reit!$F:$F,0)),"")</f>
        <v/>
      </c>
      <c r="AG46" s="619" t="str">
        <f t="shared" si="2"/>
        <v/>
      </c>
      <c r="AH46" s="620" t="str">
        <f>IFERROR(INDEX(Reit!$I:$I,MATCH(AG46,Reit!$F:$F,0)),"")</f>
        <v/>
      </c>
      <c r="AI46" s="619" t="str">
        <f t="shared" si="3"/>
        <v/>
      </c>
      <c r="AJ46" s="620" t="str">
        <f>IFERROR(INDEX(Reit!$I:$I,MATCH(AI46,Reit!$F:$F,0)),"")</f>
        <v/>
      </c>
      <c r="AK46" s="1344" t="str">
        <f t="shared" si="4"/>
        <v/>
      </c>
      <c r="AL46" s="620" t="str">
        <f>IFERROR(INDEX(Reit!$I:$I,MATCH(AK46,Reit!$F:$F,0)),"")</f>
        <v/>
      </c>
      <c r="AM46" s="619" t="str">
        <f t="shared" si="5"/>
        <v/>
      </c>
      <c r="AN46" s="620" t="str">
        <f>IFERROR(INDEX(Reit!$I:$I,MATCH(AM46,Reit!$F:$F,0)),"")</f>
        <v/>
      </c>
    </row>
    <row r="47" spans="1:40" hidden="1" x14ac:dyDescent="0.2">
      <c r="A47" s="1295"/>
      <c r="B47" s="1296"/>
      <c r="C47" s="1297"/>
      <c r="D47" s="1297"/>
      <c r="E47" s="1297"/>
      <c r="F47" s="1298"/>
      <c r="G47" s="1299"/>
      <c r="H47" s="1298"/>
      <c r="I47" s="1303"/>
      <c r="J47" s="1177"/>
      <c r="K47" s="1177"/>
      <c r="L47" s="1177"/>
      <c r="M47" s="1177"/>
      <c r="N47" s="1177"/>
      <c r="O47" s="1177"/>
      <c r="P47" s="1177"/>
      <c r="Q47" s="1177"/>
      <c r="R47" s="1301" t="s">
        <v>335</v>
      </c>
      <c r="S47" s="1177"/>
      <c r="T47" s="1177"/>
      <c r="AD47" s="618">
        <f t="shared" si="8"/>
        <v>0</v>
      </c>
      <c r="AE47" s="619" t="str">
        <f t="shared" si="1"/>
        <v/>
      </c>
      <c r="AF47" s="620" t="str">
        <f>IFERROR(INDEX(Reit!$I:$I,MATCH(AE47,Reit!$F:$F,0)),"")</f>
        <v/>
      </c>
      <c r="AG47" s="619" t="str">
        <f t="shared" si="2"/>
        <v/>
      </c>
      <c r="AH47" s="620" t="str">
        <f>IFERROR(INDEX(Reit!$I:$I,MATCH(AG47,Reit!$F:$F,0)),"")</f>
        <v/>
      </c>
      <c r="AI47" s="619" t="str">
        <f t="shared" si="3"/>
        <v/>
      </c>
      <c r="AJ47" s="620" t="str">
        <f>IFERROR(INDEX(Reit!$I:$I,MATCH(AI47,Reit!$F:$F,0)),"")</f>
        <v/>
      </c>
      <c r="AK47" s="1344" t="str">
        <f t="shared" si="4"/>
        <v/>
      </c>
      <c r="AL47" s="620" t="str">
        <f>IFERROR(INDEX(Reit!$I:$I,MATCH(AK47,Reit!$F:$F,0)),"")</f>
        <v/>
      </c>
      <c r="AM47" s="619" t="str">
        <f t="shared" si="5"/>
        <v/>
      </c>
      <c r="AN47" s="620" t="str">
        <f>IFERROR(INDEX(Reit!$I:$I,MATCH(AM47,Reit!$F:$F,0)),"")</f>
        <v/>
      </c>
    </row>
    <row r="48" spans="1:40" hidden="1" x14ac:dyDescent="0.2">
      <c r="A48" s="1265" t="s">
        <v>251</v>
      </c>
      <c r="B48" s="1266"/>
      <c r="C48" s="1267">
        <v>1</v>
      </c>
      <c r="D48" s="1267">
        <v>2</v>
      </c>
      <c r="E48" s="1267">
        <v>3</v>
      </c>
      <c r="F48" s="1267">
        <v>4</v>
      </c>
      <c r="G48" s="1267">
        <v>5</v>
      </c>
      <c r="H48" s="1268" t="s">
        <v>313</v>
      </c>
      <c r="I48" s="1268" t="s">
        <v>296</v>
      </c>
      <c r="J48" s="1269" t="s">
        <v>314</v>
      </c>
      <c r="K48" s="1270" t="s">
        <v>315</v>
      </c>
      <c r="L48" s="1271" t="s">
        <v>316</v>
      </c>
      <c r="M48" s="1271" t="s">
        <v>317</v>
      </c>
      <c r="N48" s="604" t="s">
        <v>344</v>
      </c>
      <c r="O48" s="604" t="s">
        <v>344</v>
      </c>
      <c r="P48" s="1272" t="s">
        <v>318</v>
      </c>
      <c r="Q48" s="1273" t="s">
        <v>183</v>
      </c>
      <c r="R48" s="1273" t="b">
        <f>OR(AND(COUNTA(B49:B53)=3,COUNTA(C49:G53)=6),AND(COUNTA(B49:B53)=4,COUNTA(C49:G53)=12),AND(COUNTA(B49:B53)=5,COUNTA(C49:G53)=20))</f>
        <v>0</v>
      </c>
      <c r="S48" s="1273" t="s">
        <v>319</v>
      </c>
      <c r="T48" s="1274" t="s">
        <v>320</v>
      </c>
      <c r="AD48" s="618">
        <f t="shared" si="8"/>
        <v>0</v>
      </c>
      <c r="AE48" s="619" t="str">
        <f t="shared" si="1"/>
        <v/>
      </c>
      <c r="AF48" s="620" t="str">
        <f>IFERROR(INDEX(Reit!$I:$I,MATCH(AE48,Reit!$F:$F,0)),"")</f>
        <v/>
      </c>
      <c r="AG48" s="619" t="str">
        <f t="shared" si="2"/>
        <v/>
      </c>
      <c r="AH48" s="620" t="str">
        <f>IFERROR(INDEX(Reit!$I:$I,MATCH(AG48,Reit!$F:$F,0)),"")</f>
        <v/>
      </c>
      <c r="AI48" s="619" t="str">
        <f t="shared" si="3"/>
        <v/>
      </c>
      <c r="AJ48" s="620" t="str">
        <f>IFERROR(INDEX(Reit!$I:$I,MATCH(AI48,Reit!$F:$F,0)),"")</f>
        <v/>
      </c>
      <c r="AK48" s="1344" t="str">
        <f t="shared" si="4"/>
        <v/>
      </c>
      <c r="AL48" s="620" t="str">
        <f>IFERROR(INDEX(Reit!$I:$I,MATCH(AK48,Reit!$F:$F,0)),"")</f>
        <v/>
      </c>
      <c r="AM48" s="619" t="str">
        <f t="shared" si="5"/>
        <v/>
      </c>
      <c r="AN48" s="620" t="str">
        <f>IFERROR(INDEX(Reit!$I:$I,MATCH(AM48,Reit!$F:$F,0)),"")</f>
        <v/>
      </c>
    </row>
    <row r="49" spans="1:40" hidden="1" x14ac:dyDescent="0.2">
      <c r="A49" s="1265">
        <v>1</v>
      </c>
      <c r="B49" s="1306"/>
      <c r="C49" s="1276"/>
      <c r="D49" s="1277"/>
      <c r="E49" s="1277"/>
      <c r="F49" s="1277"/>
      <c r="G49" s="1277"/>
      <c r="H49" s="1278" t="str">
        <f>(IF(D49-C50&gt;0,1)+IF(E49-C51&gt;0,1)+IF(F49-C52&gt;0,1)+IF(G49-C53&gt;0,1))&amp;"-"&amp;(IF(D49-C50&lt;0,1)+IF(E49-C51&lt;0,1)+IF(F49-C52&lt;0,1)+IF(G49-C53&lt;0,1))</f>
        <v>0-0</v>
      </c>
      <c r="I49" s="1277" t="str">
        <f>IF(AND(B49&lt;&gt;"",R$48=TRUE),A$48&amp;RANK(R49,R$49:R$53,0)," ")</f>
        <v xml:space="preserve"> </v>
      </c>
      <c r="J49" s="1279">
        <f>IF(AND(Q49=1,Q50=1,D49&gt;C50),1)+IF(AND(Q49=1,Q51=1,E49&gt;C51),1)+IF(AND(Q49=1,Q52=1,F49&gt;C52),1)+IF(AND(Q49=1,Q53=1,G49&gt;C53),1)+IF(AND(Q49=2,Q50=2,D49&gt;C50),1)+IF(AND(Q49=2,Q51=2,E49&gt;C51),1)+IF(AND(Q49=2,Q52=2,F49&gt;C52),1)+IF(AND(Q49=2,Q53=2,G49&gt;C53),1)+IF(AND(Q49=3,Q50=3,D49&gt;C50),1)+IF(AND(Q49=3,Q51=3,E49&gt;C51),1)+IF(AND(Q49=3,Q52=3,F49&gt;C52),1)+IF(AND(Q49=3,Q53=3,G49&gt;C53),1)</f>
        <v>0</v>
      </c>
      <c r="K49" s="1280">
        <f>SUM(AND(T49=T50,D49&gt;C50),AND(T49=T51,E49&gt;C51),AND(T49=T52,F49&gt;C52),AND(T49=T53,G49&gt;C53))</f>
        <v>0</v>
      </c>
      <c r="L49" s="1281">
        <f>IF(AND(Q49=1,Q50=1),D49-C50)+IF(AND(Q49=1,Q51=1),E49-C51)+IF(AND(Q49=1,Q52=1),F49-C52)+IF(AND(Q49=1,Q53=1),G49-C53)+IF(AND(Q49=2,Q50=2),D49-C50)+IF(AND(Q49=2,Q51=2),E49-C51)+IF(AND(Q49=2,Q52=2),F49-C52)+IF(AND(Q49=2,Q53=2),G49-C53)+IF(AND(Q49=3,Q50=3),D49-C50)+IF(AND(Q49=3,Q51=3),E49-C51)+IF(AND(Q49=3,Q52=3),F49-C52)+IF(AND(Q49=3,Q53=3),G49-C53)+IF(AND(Q49=4,Q50=4),D49-C50)+IF(AND(Q49=4,Q51=4),E49-C51)+IF(AND(Q49=4,Q52=4),F49-C52)+IF(AND(Q49=4,Q53=4),G49-C53)</f>
        <v>0</v>
      </c>
      <c r="M49" s="1282">
        <f>SUM(AND(R49=R50,D49&gt;C50),AND(R49=R51,E49&gt;C51),AND(R49=R52,F49&gt;C52),AND(R49=R53,G49&gt;C53))</f>
        <v>0</v>
      </c>
      <c r="N49" s="1283" t="str">
        <f>SUM(C49:G49)&amp;"-"&amp;SUM(C49:C53)</f>
        <v>0-0</v>
      </c>
      <c r="O49" s="1284">
        <f>D49+E49+F49+G49-C50-C51-C52-C53</f>
        <v>0</v>
      </c>
      <c r="P49" s="1220" t="e">
        <f>SUM(C49:G49,C49:C53)/SUM(C49:C53)</f>
        <v>#DIV/0!</v>
      </c>
      <c r="Q49" s="1285">
        <f>VALUE(LEFT(H49,1))</f>
        <v>0</v>
      </c>
      <c r="R49" s="1285">
        <f>Q49*100000+J49*10000+K49*1000+100*L49</f>
        <v>0</v>
      </c>
      <c r="S49" s="1286">
        <f t="shared" ref="S49:S53" si="13">R49+M49*0.1+IF(ISNONTEXT(B49),0,0.01)+0.0001*O49</f>
        <v>0</v>
      </c>
      <c r="T49" s="1287" t="str">
        <f>Q49&amp;J49</f>
        <v>00</v>
      </c>
      <c r="AD49" s="618">
        <f t="shared" si="8"/>
        <v>0</v>
      </c>
      <c r="AE49" s="619" t="str">
        <f t="shared" si="1"/>
        <v/>
      </c>
      <c r="AF49" s="620" t="str">
        <f>IFERROR(INDEX(Reit!$I:$I,MATCH(AE49,Reit!$F:$F,0)),"")</f>
        <v/>
      </c>
      <c r="AG49" s="619" t="str">
        <f t="shared" si="2"/>
        <v/>
      </c>
      <c r="AH49" s="620" t="str">
        <f>IFERROR(INDEX(Reit!$I:$I,MATCH(AG49,Reit!$F:$F,0)),"")</f>
        <v/>
      </c>
      <c r="AI49" s="619" t="str">
        <f t="shared" si="3"/>
        <v/>
      </c>
      <c r="AJ49" s="620" t="str">
        <f>IFERROR(INDEX(Reit!$I:$I,MATCH(AI49,Reit!$F:$F,0)),"")</f>
        <v/>
      </c>
      <c r="AK49" s="1344" t="str">
        <f t="shared" si="4"/>
        <v/>
      </c>
      <c r="AL49" s="620" t="str">
        <f>IFERROR(INDEX(Reit!$I:$I,MATCH(AK49,Reit!$F:$F,0)),"")</f>
        <v/>
      </c>
      <c r="AM49" s="619" t="str">
        <f t="shared" si="5"/>
        <v/>
      </c>
      <c r="AN49" s="620" t="str">
        <f>IFERROR(INDEX(Reit!$I:$I,MATCH(AM49,Reit!$F:$F,0)),"")</f>
        <v/>
      </c>
    </row>
    <row r="50" spans="1:40" hidden="1" x14ac:dyDescent="0.2">
      <c r="A50" s="1265">
        <v>2</v>
      </c>
      <c r="B50" s="1289"/>
      <c r="C50" s="1277"/>
      <c r="D50" s="1276"/>
      <c r="E50" s="1277"/>
      <c r="F50" s="1277"/>
      <c r="G50" s="1277"/>
      <c r="H50" s="1278" t="str">
        <f>(IF(C50-D49&gt;0,1)+IF(E50-D51&gt;0,1)+IF(F50-D52&gt;0,1)+IF(G50-D53&gt;0,1))&amp;"-"&amp;(IF(C50-D49&lt;0,1)+IF(E50-D51&lt;0,1)+IF(F50-D52&lt;0,1)+IF(G50-D53&lt;0,1))</f>
        <v>0-0</v>
      </c>
      <c r="I50" s="1277" t="str">
        <f>IF(AND(B50&lt;&gt;"",R$48=TRUE),A$48&amp;RANK(R50,R$49:R$53,0)," ")</f>
        <v xml:space="preserve"> </v>
      </c>
      <c r="J50" s="1196">
        <f>IF(AND(Q50=1,Q49=1,C50&gt;D49),1)+IF(AND(Q50=1,Q51=1,E50&gt;D51),1)+IF(AND(Q50=1,Q52=1,F50&gt;D52),1)+IF(AND(Q50=1,Q53=1,G50&gt;D53),1)+IF(AND(Q50=2,Q49=2,C50&gt;D49),1)+IF(AND(Q50=2,Q51=2,E50&gt;D51),1)+IF(AND(Q50=2,Q52=2,F50&gt;D52),1)+IF(AND(Q50=2,Q53=2,G50&gt;D53),1)+IF(AND(Q50=3,Q49=3,C50&gt;D49),1)+IF(AND(Q50=3,Q51=3,E50&gt;D51),1)+IF(AND(Q50=3,Q52=3,F50&gt;D52),1)+IF(AND(Q50=3,Q53=3,G50&gt;D53),1)</f>
        <v>0</v>
      </c>
      <c r="K50" s="1282">
        <f>SUM(AND(T50=T49,C50&gt;D49),AND(T50=T51,E50&gt;D51),AND(T50=T52,F50&gt;D52),AND(T50=T53,G50&gt;D53))</f>
        <v>0</v>
      </c>
      <c r="L50" s="1290">
        <f>IF(AND(Q50=1,Q49=1),C50-D49)+IF(AND(Q50=1,Q51=1),E50-D51)+IF(AND(Q50=1,Q52=1),F50-D52)+IF(AND(Q50=1,Q53=1),G50-D53)+IF(AND(Q50=2,Q49=2),C50-D49)+IF(AND(Q50=2,Q51=2),E50-D51)+IF(AND(Q50=2,Q52=2),F50-D52)+IF(AND(Q50=2,Q53=2),G50-D53)+IF(AND(Q50=3,Q49=3),C50-D49)+IF(AND(Q50=3,Q51=3),E50-D51)+IF(AND(Q50=3,Q52=3),F50-D52)+IF(AND(Q50=3,Q53=3),G50-D53)+IF(AND(Q50=4,Q49=4),C50-D49)+IF(AND(Q50=4,Q51=4),E50-D51)+IF(AND(Q50=4,Q52=4),F50-D52)+IF(AND(Q50=4,Q53=4),G50-D53)</f>
        <v>0</v>
      </c>
      <c r="M50" s="1282">
        <f>SUM(AND(R50=R49,C50&gt;D49),AND(R50=R51,E50&gt;D51),AND(R50=R52,F50&gt;D52),AND(R50=R53,G50&gt;D53))</f>
        <v>0</v>
      </c>
      <c r="N50" s="1283" t="str">
        <f>SUM(C50:G50)&amp;"-"&amp;SUM(D49:D53)</f>
        <v>0-0</v>
      </c>
      <c r="O50" s="1284">
        <f>C50+E50+F50+G50-D49-D51-D52-D53</f>
        <v>0</v>
      </c>
      <c r="P50" s="1220" t="e">
        <f>SUM(C50:G50,D49:D53)/SUM(D49:D53)</f>
        <v>#DIV/0!</v>
      </c>
      <c r="Q50" s="1291">
        <f>VALUE(LEFT(H50,1))</f>
        <v>0</v>
      </c>
      <c r="R50" s="1285">
        <f>Q50*100000+J50*10000+K50*1000+100*L50</f>
        <v>0</v>
      </c>
      <c r="S50" s="1286">
        <f t="shared" si="13"/>
        <v>0</v>
      </c>
      <c r="T50" s="1287" t="str">
        <f>Q50&amp;J50</f>
        <v>00</v>
      </c>
      <c r="AD50" s="618">
        <f t="shared" si="8"/>
        <v>0</v>
      </c>
      <c r="AE50" s="619" t="str">
        <f t="shared" si="1"/>
        <v/>
      </c>
      <c r="AF50" s="620" t="str">
        <f>IFERROR(INDEX(Reit!$I:$I,MATCH(AE50,Reit!$F:$F,0)),"")</f>
        <v/>
      </c>
      <c r="AG50" s="619" t="str">
        <f t="shared" si="2"/>
        <v/>
      </c>
      <c r="AH50" s="620" t="str">
        <f>IFERROR(INDEX(Reit!$I:$I,MATCH(AG50,Reit!$F:$F,0)),"")</f>
        <v/>
      </c>
      <c r="AI50" s="619" t="str">
        <f t="shared" si="3"/>
        <v/>
      </c>
      <c r="AJ50" s="620" t="str">
        <f>IFERROR(INDEX(Reit!$I:$I,MATCH(AI50,Reit!$F:$F,0)),"")</f>
        <v/>
      </c>
      <c r="AK50" s="1344" t="str">
        <f t="shared" si="4"/>
        <v/>
      </c>
      <c r="AL50" s="620" t="str">
        <f>IFERROR(INDEX(Reit!$I:$I,MATCH(AK50,Reit!$F:$F,0)),"")</f>
        <v/>
      </c>
      <c r="AM50" s="619" t="str">
        <f t="shared" si="5"/>
        <v/>
      </c>
      <c r="AN50" s="620" t="str">
        <f>IFERROR(INDEX(Reit!$I:$I,MATCH(AM50,Reit!$F:$F,0)),"")</f>
        <v/>
      </c>
    </row>
    <row r="51" spans="1:40" hidden="1" x14ac:dyDescent="0.2">
      <c r="A51" s="1265">
        <v>3</v>
      </c>
      <c r="B51" s="1289"/>
      <c r="C51" s="1277"/>
      <c r="D51" s="1292"/>
      <c r="E51" s="1276"/>
      <c r="F51" s="1277"/>
      <c r="G51" s="1277"/>
      <c r="H51" s="1278" t="str">
        <f>(IF(C51-E49&gt;0,1)+IF(D51-E50&gt;0,1)+IF(F51-E52&gt;0,1)+IF(G51-E53&gt;0,1))&amp;"-"&amp;(IF(C51-E49&lt;0,1)+IF(D51-E50&lt;0,1)+IF(F51-E52&lt;0,1)+IF(G51-E53&lt;0,1))</f>
        <v>0-0</v>
      </c>
      <c r="I51" s="1277" t="str">
        <f>IF(AND(B51&lt;&gt;"",R$48=TRUE),A$48&amp;RANK(R51,R$49:R$53,0)," ")</f>
        <v xml:space="preserve"> </v>
      </c>
      <c r="J51" s="1196">
        <f>IF(AND(Q51=1,Q49=1,C51&gt;E49),1)+IF(AND(Q51=1,Q50=1,D51&gt;E50),1)+IF(AND(Q51=1,Q52=1,F51&gt;E52),1)+IF(AND(Q51=1,Q53=1,G51&gt;E53),1)+IF(AND(Q51=2,Q49=2,C51&gt;E49),1)+IF(AND(Q51=2,Q50=2,D51&gt;E50),1)+IF(AND(Q51=2,Q52=2,F51&gt;E52),1)+IF(AND(Q51=2,Q53=2,G51&gt;E53),1)+IF(AND(Q51=3,Q49=3,C51&gt;E49),1)+IF(AND(Q51=3,Q50=3,D51&gt;E50),1)+IF(AND(Q51=3,Q52=3,F51&gt;E52),1)+IF(AND(Q51=3,Q53=3,G51&gt;E53),1)</f>
        <v>0</v>
      </c>
      <c r="K51" s="1282">
        <f>SUM(AND(T51=T49,C51&gt;E49),AND(T51=T50,D51&gt;E50),AND(T51=T52,F51&gt;E52),AND(T51=T53,G51&gt;E53))</f>
        <v>0</v>
      </c>
      <c r="L51" s="1290">
        <f>IF(AND(Q51=1,Q49=1),C51-E49)+IF(AND(Q51=1,Q50=1),D51-E50)+IF(AND(Q51=1,Q52=1),F51-E52)+IF(AND(Q51=1,Q53=1),G51-E53)+IF(AND(Q51=2,Q49=2),C51-E49)+IF(AND(Q51=2,Q50=2),D51-E50)+IF(AND(Q51=2,Q52=2),F51-E52)+IF(AND(Q51=2,Q53=2),G51-E53)+IF(AND(Q51=3,Q49=3),C51-E49)+IF(AND(Q51=3,Q50=3),D51-E50)+IF(AND(Q51=3,Q52=3),F51-E52)+IF(AND(Q51=3,Q53=3),G51-E53)+IF(AND(Q51=4,Q49=4),C51-E49)+IF(AND(Q51=4,Q50=4),D51-E50)+IF(AND(Q51=4,Q52=4),F51-E52)+IF(AND(Q51=4,Q53=4),G51-E53)</f>
        <v>0</v>
      </c>
      <c r="M51" s="1282">
        <f>SUM(AND(R51=R49,C51&gt;E49),AND(R51=R50,D51&gt;E50),AND(R51=R52,F51&gt;E52),AND(R51=R53,G51&gt;E53))</f>
        <v>0</v>
      </c>
      <c r="N51" s="1283" t="str">
        <f>SUM(C51:G51)&amp;"-"&amp;SUM(E49:E53)</f>
        <v>0-0</v>
      </c>
      <c r="O51" s="1284">
        <f>C51+D51+F51+G51-E49-E50-E52-E53</f>
        <v>0</v>
      </c>
      <c r="P51" s="1220" t="e">
        <f>SUM(C51:G51,E49:E53)/SUM(E49:E53)</f>
        <v>#DIV/0!</v>
      </c>
      <c r="Q51" s="1291">
        <f>VALUE(LEFT(H51,1))</f>
        <v>0</v>
      </c>
      <c r="R51" s="1285">
        <f>Q51*100000+J51*10000+K51*1000+100*L51</f>
        <v>0</v>
      </c>
      <c r="S51" s="1286">
        <f t="shared" si="13"/>
        <v>0</v>
      </c>
      <c r="T51" s="1287" t="str">
        <f>Q51&amp;J51</f>
        <v>00</v>
      </c>
      <c r="AD51" s="618">
        <f t="shared" si="8"/>
        <v>0</v>
      </c>
      <c r="AE51" s="619" t="str">
        <f t="shared" si="1"/>
        <v/>
      </c>
      <c r="AF51" s="620" t="str">
        <f>IFERROR(INDEX(Reit!$I:$I,MATCH(AE51,Reit!$F:$F,0)),"")</f>
        <v/>
      </c>
      <c r="AG51" s="619" t="str">
        <f t="shared" si="2"/>
        <v/>
      </c>
      <c r="AH51" s="620" t="str">
        <f>IFERROR(INDEX(Reit!$I:$I,MATCH(AG51,Reit!$F:$F,0)),"")</f>
        <v/>
      </c>
      <c r="AI51" s="619" t="str">
        <f t="shared" si="3"/>
        <v/>
      </c>
      <c r="AJ51" s="620" t="str">
        <f>IFERROR(INDEX(Reit!$I:$I,MATCH(AI51,Reit!$F:$F,0)),"")</f>
        <v/>
      </c>
      <c r="AK51" s="1344" t="str">
        <f t="shared" si="4"/>
        <v/>
      </c>
      <c r="AL51" s="620" t="str">
        <f>IFERROR(INDEX(Reit!$I:$I,MATCH(AK51,Reit!$F:$F,0)),"")</f>
        <v/>
      </c>
      <c r="AM51" s="619" t="str">
        <f t="shared" si="5"/>
        <v/>
      </c>
      <c r="AN51" s="620" t="str">
        <f>IFERROR(INDEX(Reit!$I:$I,MATCH(AM51,Reit!$F:$F,0)),"")</f>
        <v/>
      </c>
    </row>
    <row r="52" spans="1:40" hidden="1" x14ac:dyDescent="0.2">
      <c r="A52" s="1265">
        <v>4</v>
      </c>
      <c r="B52" s="1293"/>
      <c r="C52" s="1277"/>
      <c r="D52" s="1292"/>
      <c r="E52" s="1277"/>
      <c r="F52" s="1276"/>
      <c r="G52" s="1294"/>
      <c r="H52" s="1278" t="str">
        <f>(IF(C52-F49&gt;0,1)+IF(D52-F50&gt;0,1)+IF(E52-F51&gt;0,1)+IF(G52-F53&gt;0,1))&amp;"-"&amp;(IF(C52-F49&lt;0,1)+IF(D52-F50&lt;0,1)+IF(E52-F51&lt;0,1)+IF(G52-F53&lt;0,1))</f>
        <v>0-0</v>
      </c>
      <c r="I52" s="1277" t="str">
        <f>IF(AND(B52&lt;&gt;"",R$48=TRUE),A$48&amp;RANK(R52,R$49:R$53,0)," ")</f>
        <v xml:space="preserve"> </v>
      </c>
      <c r="J52" s="1196">
        <f>IF(AND(Q52=1,Q49=1,C52&gt;F49),1)+IF(AND(Q52=1,Q50=1,D52&gt;F50),1)+IF(AND(Q52=1,Q51=1,E52&gt;F51),1)+IF(AND(Q52=1,Q53=1,G52&gt;F53),1)+IF(AND(Q52=2,Q49=2,C52&gt;F49),1)+IF(AND(Q52=2,Q50=2,D52&gt;F50),1)+IF(AND(Q52=2,Q51=2,E52&gt;F51),1)+IF(AND(Q52=2,Q53=2,G52&gt;F53),1)+IF(AND(Q52=3,Q49=3,C52&gt;F49),1)+IF(AND(Q52=3,Q50=3,D52&gt;F50),1)+IF(AND(Q52=3,Q51=3,E52&gt;F51),1)+IF(AND(Q52=3,Q53=3,G52&gt;F53),1)</f>
        <v>0</v>
      </c>
      <c r="K52" s="1282">
        <f>SUM(AND(T52=T49,C52&gt;F49),AND(T52=T50,D52&gt;F50),AND(T52=T51,E52&gt;F51),AND(T52=T53,G52&gt;F53))</f>
        <v>0</v>
      </c>
      <c r="L52" s="1290">
        <f>IF(AND(Q52=1,Q49=1),C52-F49)+IF(AND(Q52=1,Q50=1),D52-F50)+IF(AND(Q52=1,Q51=1),E52-F51)+IF(AND(Q52=1,Q53=1),G52-F53)+IF(AND(Q52=2,Q49=2),C52-F49)+IF(AND(Q52=2,Q50=2),D52-F50)+IF(AND(Q52=2,Q51=2),E52-F51)+IF(AND(Q52=2,Q53=2),G52-F53)+IF(AND(Q52=3,Q49=3),C52-F49)+IF(AND(Q52=3,Q50=3),D52-F50)+IF(AND(Q52=3,Q51=3),E52-F51)+IF(AND(Q52=3,Q53=3),G52-F53)+IF(AND(Q52=4,Q49=4),C52-F49)+IF(AND(Q52=4,Q50=4),D52-F50)+IF(AND(Q52=4,Q51=4),E52-F51)+IF(AND(Q52=4,Q53=4),G52-F53)</f>
        <v>0</v>
      </c>
      <c r="M52" s="1282">
        <f>SUM(AND(R52=R49,C52&gt;F49),AND(R52=R50,D52&gt;F50),AND(R52=R51,E52&gt;F51),AND(R52=R53,G52&gt;F53))</f>
        <v>0</v>
      </c>
      <c r="N52" s="1283" t="str">
        <f>SUM(C52:G52)&amp;"-"&amp;SUM(F49:F53)</f>
        <v>0-0</v>
      </c>
      <c r="O52" s="1284">
        <f>C52+D52+E52+G52-F49-F50-F51-F53</f>
        <v>0</v>
      </c>
      <c r="P52" s="1220" t="e">
        <f>SUM(C52:G52,F49:F53)/SUM(F49:F53)</f>
        <v>#DIV/0!</v>
      </c>
      <c r="Q52" s="1291">
        <f>VALUE(LEFT(H52,1))</f>
        <v>0</v>
      </c>
      <c r="R52" s="1285">
        <f>Q52*100000+J52*10000+K52*1000+100*L52</f>
        <v>0</v>
      </c>
      <c r="S52" s="1286">
        <f t="shared" si="13"/>
        <v>0</v>
      </c>
      <c r="T52" s="1287" t="str">
        <f>Q52&amp;J52</f>
        <v>00</v>
      </c>
      <c r="AD52" s="618">
        <f t="shared" si="8"/>
        <v>0</v>
      </c>
      <c r="AE52" s="619" t="str">
        <f t="shared" si="1"/>
        <v/>
      </c>
      <c r="AF52" s="620" t="str">
        <f>IFERROR(INDEX(Reit!$I:$I,MATCH(AE52,Reit!$F:$F,0)),"")</f>
        <v/>
      </c>
      <c r="AG52" s="619" t="str">
        <f t="shared" si="2"/>
        <v/>
      </c>
      <c r="AH52" s="620" t="str">
        <f>IFERROR(INDEX(Reit!$I:$I,MATCH(AG52,Reit!$F:$F,0)),"")</f>
        <v/>
      </c>
      <c r="AI52" s="619" t="str">
        <f t="shared" si="3"/>
        <v/>
      </c>
      <c r="AJ52" s="620" t="str">
        <f>IFERROR(INDEX(Reit!$I:$I,MATCH(AI52,Reit!$F:$F,0)),"")</f>
        <v/>
      </c>
      <c r="AK52" s="1344" t="str">
        <f t="shared" si="4"/>
        <v/>
      </c>
      <c r="AL52" s="620" t="str">
        <f>IFERROR(INDEX(Reit!$I:$I,MATCH(AK52,Reit!$F:$F,0)),"")</f>
        <v/>
      </c>
      <c r="AM52" s="619" t="str">
        <f t="shared" si="5"/>
        <v/>
      </c>
      <c r="AN52" s="620" t="str">
        <f>IFERROR(INDEX(Reit!$I:$I,MATCH(AM52,Reit!$F:$F,0)),"")</f>
        <v/>
      </c>
    </row>
    <row r="53" spans="1:40" hidden="1" x14ac:dyDescent="0.2">
      <c r="A53" s="1265">
        <v>5</v>
      </c>
      <c r="B53" s="1293"/>
      <c r="C53" s="1277"/>
      <c r="D53" s="1277"/>
      <c r="E53" s="1277"/>
      <c r="F53" s="1277"/>
      <c r="G53" s="1276"/>
      <c r="H53" s="1278" t="str">
        <f>(IF(C53-G49&gt;0,1)+IF(D53-G50&gt;0,1)+IF(E53-G51&gt;0,1)+IF(F53-G52&gt;0,1))&amp;"-"&amp;(IF(C53-G49&lt;0,1)+IF(D53-G50&lt;0,1)+IF(E53-G51&lt;0,1)+IF(F53-G52&lt;0,1))</f>
        <v>0-0</v>
      </c>
      <c r="I53" s="1277" t="str">
        <f>IF(AND(B53&lt;&gt;"",R$48=TRUE),A$48&amp;RANK(R53,R$49:R$53,0)," ")</f>
        <v xml:space="preserve"> </v>
      </c>
      <c r="J53" s="1196">
        <f>IF(AND(Q53=1,Q49=1,C53&gt;G49),1)+IF(AND(Q53=1,Q50=1,D53&gt;G50),1)+IF(AND(Q53=1,Q51=1,E53&gt;G51),1)+IF(AND(Q53=1,Q52=1,F53&gt;G52),1)+IF(AND(Q53=2,Q49=2,C53&gt;G49),1)+IF(AND(Q53=2,Q50=2,D53&gt;G50),1)+IF(AND(Q53=2,Q51=2,E53&gt;G51),1)+IF(AND(Q53=2,Q52=2,F53&gt;G52),1)+IF(AND(Q53=3,Q49=3,C53&gt;G49),1)+IF(AND(Q53=3,Q50=3,D53&gt;G50),1)+IF(AND(Q53=3,Q51=3,E53&gt;G51),1)+IF(AND(Q53=3,Q52=3,F53&gt;G52),1)</f>
        <v>0</v>
      </c>
      <c r="K53" s="1282">
        <f>SUM(AND(T53=T49,C53&gt;G49),AND(T53=T50,D53&gt;G50),AND(T53=T51,E53&gt;G51),AND(T53=T52,F53&gt;G52))</f>
        <v>0</v>
      </c>
      <c r="L53" s="1290">
        <f>IF(AND(Q53=1,Q49=1),C53-G49)+IF(AND(Q53=1,Q50=1),D53-G50)+IF(AND(Q53=1,Q51=1),E53-G51)+IF(AND(Q53=1,Q52=1),F53-G52)+IF(AND(Q53=2,Q49=2),C53-G49)+IF(AND(Q53=2,Q50=2),D53-G50)+IF(AND(Q53=2,Q51=2),E53-G51)+IF(AND(Q53=2,Q52=2),F53-G52)+IF(AND(Q53=3,Q49=3),C53-G49)+IF(AND(Q53=3,Q50=3),D53-G50)+IF(AND(Q53=3,Q51=3),E53-G51)+IF(AND(Q53=3,Q52=3),F53-G52)+IF(AND(Q53=4,Q49=4),C53-G49)+IF(AND(Q53=4,Q50=4),D53-G50)+IF(AND(Q53=4,Q51=4),E53-G51)+IF(AND(Q53=4,Q52=4),F53-G52)</f>
        <v>0</v>
      </c>
      <c r="M53" s="1282">
        <f>SUM(AND(R53=R49,C53&gt;G49),AND(R53=R50,D53&gt;G50),AND(R53=R51,E53&gt;G51),AND(R53=R52,F53&gt;G52))</f>
        <v>0</v>
      </c>
      <c r="N53" s="1283" t="str">
        <f>SUM(C53:G53)&amp;"-"&amp;SUM(G49:G53)</f>
        <v>0-0</v>
      </c>
      <c r="O53" s="1284">
        <f>C53+D53+E53+F53-G49-G50-G51-G52</f>
        <v>0</v>
      </c>
      <c r="P53" s="1220" t="e">
        <f>SUM(C53:G53,G49:G53)/SUM(G49:G53)</f>
        <v>#DIV/0!</v>
      </c>
      <c r="Q53" s="1291">
        <f>VALUE(LEFT(H53,1))</f>
        <v>0</v>
      </c>
      <c r="R53" s="1285">
        <f>Q53*100000+J53*10000+K53*1000+100*L53</f>
        <v>0</v>
      </c>
      <c r="S53" s="1286">
        <f t="shared" si="13"/>
        <v>0</v>
      </c>
      <c r="T53" s="1287" t="str">
        <f>Q53&amp;J53</f>
        <v>00</v>
      </c>
      <c r="AD53" s="618">
        <f t="shared" si="8"/>
        <v>0</v>
      </c>
      <c r="AE53" s="619" t="str">
        <f t="shared" si="1"/>
        <v/>
      </c>
      <c r="AF53" s="620" t="str">
        <f>IFERROR(INDEX(Reit!$I:$I,MATCH(AE53,Reit!$F:$F,0)),"")</f>
        <v/>
      </c>
      <c r="AG53" s="619" t="str">
        <f t="shared" si="2"/>
        <v/>
      </c>
      <c r="AH53" s="620" t="str">
        <f>IFERROR(INDEX(Reit!$I:$I,MATCH(AG53,Reit!$F:$F,0)),"")</f>
        <v/>
      </c>
      <c r="AI53" s="619" t="str">
        <f t="shared" si="3"/>
        <v/>
      </c>
      <c r="AJ53" s="620" t="str">
        <f>IFERROR(INDEX(Reit!$I:$I,MATCH(AI53,Reit!$F:$F,0)),"")</f>
        <v/>
      </c>
      <c r="AK53" s="1344" t="str">
        <f t="shared" si="4"/>
        <v/>
      </c>
      <c r="AL53" s="620" t="str">
        <f>IFERROR(INDEX(Reit!$I:$I,MATCH(AK53,Reit!$F:$F,0)),"")</f>
        <v/>
      </c>
      <c r="AM53" s="619" t="str">
        <f t="shared" si="5"/>
        <v/>
      </c>
      <c r="AN53" s="620" t="str">
        <f>IFERROR(INDEX(Reit!$I:$I,MATCH(AM53,Reit!$F:$F,0)),"")</f>
        <v/>
      </c>
    </row>
    <row r="54" spans="1:40" hidden="1" x14ac:dyDescent="0.2">
      <c r="A54" s="1304"/>
      <c r="B54" s="1305"/>
      <c r="C54" s="1299"/>
      <c r="D54" s="1299"/>
      <c r="E54" s="1299"/>
      <c r="F54" s="811"/>
      <c r="G54" s="811"/>
      <c r="H54" s="1305"/>
      <c r="I54" s="1305"/>
      <c r="J54" s="1177"/>
      <c r="K54" s="1177"/>
      <c r="L54" s="1177"/>
      <c r="M54" s="1177"/>
      <c r="N54" s="1177"/>
      <c r="O54" s="1177"/>
      <c r="P54" s="1177"/>
      <c r="Q54" s="1177"/>
      <c r="R54" s="1301" t="s">
        <v>335</v>
      </c>
      <c r="S54" s="1177"/>
      <c r="T54" s="1177"/>
      <c r="AD54" s="618">
        <f t="shared" si="8"/>
        <v>0</v>
      </c>
      <c r="AE54" s="619" t="str">
        <f t="shared" si="1"/>
        <v/>
      </c>
      <c r="AF54" s="620" t="str">
        <f>IFERROR(INDEX(Reit!$I:$I,MATCH(AE54,Reit!$F:$F,0)),"")</f>
        <v/>
      </c>
      <c r="AG54" s="619" t="str">
        <f t="shared" si="2"/>
        <v/>
      </c>
      <c r="AH54" s="620" t="str">
        <f>IFERROR(INDEX(Reit!$I:$I,MATCH(AG54,Reit!$F:$F,0)),"")</f>
        <v/>
      </c>
      <c r="AI54" s="619" t="str">
        <f t="shared" si="3"/>
        <v/>
      </c>
      <c r="AJ54" s="620" t="str">
        <f>IFERROR(INDEX(Reit!$I:$I,MATCH(AI54,Reit!$F:$F,0)),"")</f>
        <v/>
      </c>
      <c r="AK54" s="1344" t="str">
        <f t="shared" si="4"/>
        <v/>
      </c>
      <c r="AL54" s="620" t="str">
        <f>IFERROR(INDEX(Reit!$I:$I,MATCH(AK54,Reit!$F:$F,0)),"")</f>
        <v/>
      </c>
      <c r="AM54" s="619" t="str">
        <f t="shared" si="5"/>
        <v/>
      </c>
      <c r="AN54" s="620" t="str">
        <f>IFERROR(INDEX(Reit!$I:$I,MATCH(AM54,Reit!$F:$F,0)),"")</f>
        <v/>
      </c>
    </row>
    <row r="55" spans="1:40" hidden="1" x14ac:dyDescent="0.2">
      <c r="A55" s="1265" t="s">
        <v>252</v>
      </c>
      <c r="B55" s="1266"/>
      <c r="C55" s="1267">
        <v>1</v>
      </c>
      <c r="D55" s="1267">
        <v>2</v>
      </c>
      <c r="E55" s="1267">
        <v>3</v>
      </c>
      <c r="F55" s="1267">
        <v>4</v>
      </c>
      <c r="G55" s="1267">
        <v>5</v>
      </c>
      <c r="H55" s="1268" t="s">
        <v>313</v>
      </c>
      <c r="I55" s="1268" t="s">
        <v>296</v>
      </c>
      <c r="J55" s="1269" t="s">
        <v>314</v>
      </c>
      <c r="K55" s="1270" t="s">
        <v>315</v>
      </c>
      <c r="L55" s="1271" t="s">
        <v>316</v>
      </c>
      <c r="M55" s="1271" t="s">
        <v>317</v>
      </c>
      <c r="N55" s="604" t="s">
        <v>344</v>
      </c>
      <c r="O55" s="604" t="s">
        <v>344</v>
      </c>
      <c r="P55" s="1272" t="s">
        <v>318</v>
      </c>
      <c r="Q55" s="1273" t="s">
        <v>183</v>
      </c>
      <c r="R55" s="1273" t="b">
        <f>OR(AND(COUNTA(B56:B60)=3,COUNTA(C56:G60)=6),AND(COUNTA(B56:B60)=4,COUNTA(C56:G60)=12),AND(COUNTA(B56:B60)=5,COUNTA(C56:G60)=20))</f>
        <v>0</v>
      </c>
      <c r="S55" s="1273" t="s">
        <v>319</v>
      </c>
      <c r="T55" s="1274" t="s">
        <v>320</v>
      </c>
      <c r="AD55" s="618">
        <f t="shared" si="8"/>
        <v>0</v>
      </c>
      <c r="AE55" s="619" t="str">
        <f t="shared" si="1"/>
        <v/>
      </c>
      <c r="AF55" s="620" t="str">
        <f>IFERROR(INDEX(Reit!$I:$I,MATCH(AE55,Reit!$F:$F,0)),"")</f>
        <v/>
      </c>
      <c r="AG55" s="619" t="str">
        <f t="shared" si="2"/>
        <v/>
      </c>
      <c r="AH55" s="620" t="str">
        <f>IFERROR(INDEX(Reit!$I:$I,MATCH(AG55,Reit!$F:$F,0)),"")</f>
        <v/>
      </c>
      <c r="AI55" s="619" t="str">
        <f t="shared" si="3"/>
        <v/>
      </c>
      <c r="AJ55" s="620" t="str">
        <f>IFERROR(INDEX(Reit!$I:$I,MATCH(AI55,Reit!$F:$F,0)),"")</f>
        <v/>
      </c>
      <c r="AK55" s="1344" t="str">
        <f t="shared" si="4"/>
        <v/>
      </c>
      <c r="AL55" s="620" t="str">
        <f>IFERROR(INDEX(Reit!$I:$I,MATCH(AK55,Reit!$F:$F,0)),"")</f>
        <v/>
      </c>
      <c r="AM55" s="619" t="str">
        <f t="shared" si="5"/>
        <v/>
      </c>
      <c r="AN55" s="620" t="str">
        <f>IFERROR(INDEX(Reit!$I:$I,MATCH(AM55,Reit!$F:$F,0)),"")</f>
        <v/>
      </c>
    </row>
    <row r="56" spans="1:40" hidden="1" x14ac:dyDescent="0.2">
      <c r="A56" s="1265">
        <v>1</v>
      </c>
      <c r="B56" s="1306"/>
      <c r="C56" s="1276"/>
      <c r="D56" s="1277"/>
      <c r="E56" s="1277"/>
      <c r="F56" s="1277"/>
      <c r="G56" s="1277"/>
      <c r="H56" s="1278" t="str">
        <f>(IF(D56-C20&gt;0,1)+IF(E56-C58&gt;0,1)+IF(F56-C59&gt;0,1)+IF(G56-C60&gt;0,1))&amp;"-"&amp;(IF(D56-C20&lt;0,1)+IF(E56-C58&lt;0,1)+IF(F56-C59&lt;0,1)+IF(G56-C60&lt;0,1))</f>
        <v>0-1</v>
      </c>
      <c r="I56" s="1277" t="str">
        <f>IF(AND(B56&lt;&gt;"",R$55=TRUE),A$55&amp;RANK(R56,R$56:R$60,0)," ")</f>
        <v xml:space="preserve"> </v>
      </c>
      <c r="J56" s="1279">
        <f>IF(AND(Q56=1,Q20=1,D56&gt;C20),1)+IF(AND(Q56=1,Q58=1,E56&gt;C58),1)+IF(AND(Q56=1,Q59=1,F56&gt;C59),1)+IF(AND(Q56=1,Q60=1,G56&gt;C60),1)+IF(AND(Q56=2,Q20=2,D56&gt;C20),1)+IF(AND(Q56=2,Q58=2,E56&gt;C58),1)+IF(AND(Q56=2,Q59=2,F56&gt;C59),1)+IF(AND(Q56=2,Q60=2,G56&gt;C60),1)+IF(AND(Q56=3,Q20=3,D56&gt;C20),1)+IF(AND(Q56=3,Q58=3,E56&gt;C58),1)+IF(AND(Q56=3,Q59=3,F56&gt;C59),1)+IF(AND(Q56=3,Q60=3,G56&gt;C60),1)</f>
        <v>0</v>
      </c>
      <c r="K56" s="1280">
        <f>SUM(AND(T56=T20,D56&gt;C20),AND(T56=T58,E56&gt;C58),AND(T56=T59,F56&gt;C59),AND(T56=T60,G56&gt;C60))</f>
        <v>0</v>
      </c>
      <c r="L56" s="1281">
        <f>IF(AND(Q56=1,Q20=1),D56-C20)+IF(AND(Q56=1,Q58=1),E56-C58)+IF(AND(Q56=1,Q59=1),F56-C59)+IF(AND(Q56=1,Q60=1),G56-C60)+IF(AND(Q56=2,Q20=2),D56-C20)+IF(AND(Q56=2,Q58=2),E56-C58)+IF(AND(Q56=2,Q59=2),F56-C59)+IF(AND(Q56=2,Q60=2),G56-C60)+IF(AND(Q56=3,Q20=3),D56-C20)+IF(AND(Q56=3,Q58=3),E56-C58)+IF(AND(Q56=3,Q59=3),F56-C59)+IF(AND(Q56=3,Q60=3),G56-C60)+IF(AND(Q56=4,Q20=4),D56-C20)+IF(AND(Q56=4,Q58=4),E56-C58)+IF(AND(Q56=4,Q59=4),F56-C59)+IF(AND(Q56=4,Q60=4),G56-C60)</f>
        <v>0</v>
      </c>
      <c r="M56" s="1282">
        <f>SUM(AND(R56=R20,D56&gt;C20),AND(R56=R58,E56&gt;C58),AND(R56=R59,F56&gt;C59),AND(R56=R60,G56&gt;C60))</f>
        <v>0</v>
      </c>
      <c r="N56" s="1283" t="str">
        <f>SUM(C56:G56)&amp;"-"&amp;SUM(C56:C60)</f>
        <v>0-0</v>
      </c>
      <c r="O56" s="1284">
        <f>D56+E56+F56+G56-C20-C58-C59-C60</f>
        <v>-1</v>
      </c>
      <c r="P56" s="1220" t="e">
        <f>SUM(C56:G56,C56:C60)/SUM(C56:C60)</f>
        <v>#DIV/0!</v>
      </c>
      <c r="Q56" s="1285">
        <f>VALUE(LEFT(H56,1))</f>
        <v>0</v>
      </c>
      <c r="R56" s="1285">
        <f>Q56*100000+J56*10000+K56*1000+100*L56</f>
        <v>0</v>
      </c>
      <c r="S56" s="1286">
        <f t="shared" ref="S56:S60" si="14">R56+M56*0.1+IF(ISNONTEXT(B56),0,0.01)+0.0001*O56</f>
        <v>-1E-4</v>
      </c>
      <c r="T56" s="1287" t="str">
        <f>Q56&amp;J56</f>
        <v>00</v>
      </c>
      <c r="AD56" s="618">
        <f t="shared" si="8"/>
        <v>0</v>
      </c>
      <c r="AE56" s="619" t="str">
        <f t="shared" si="1"/>
        <v/>
      </c>
      <c r="AF56" s="620" t="str">
        <f>IFERROR(INDEX(Reit!$I:$I,MATCH(AE56,Reit!$F:$F,0)),"")</f>
        <v/>
      </c>
      <c r="AG56" s="619" t="str">
        <f t="shared" si="2"/>
        <v/>
      </c>
      <c r="AH56" s="620" t="str">
        <f>IFERROR(INDEX(Reit!$I:$I,MATCH(AG56,Reit!$F:$F,0)),"")</f>
        <v/>
      </c>
      <c r="AI56" s="619" t="str">
        <f t="shared" si="3"/>
        <v/>
      </c>
      <c r="AJ56" s="620" t="str">
        <f>IFERROR(INDEX(Reit!$I:$I,MATCH(AI56,Reit!$F:$F,0)),"")</f>
        <v/>
      </c>
      <c r="AK56" s="1344" t="str">
        <f t="shared" si="4"/>
        <v/>
      </c>
      <c r="AL56" s="620" t="str">
        <f>IFERROR(INDEX(Reit!$I:$I,MATCH(AK56,Reit!$F:$F,0)),"")</f>
        <v/>
      </c>
      <c r="AM56" s="619" t="str">
        <f t="shared" si="5"/>
        <v/>
      </c>
      <c r="AN56" s="620" t="str">
        <f>IFERROR(INDEX(Reit!$I:$I,MATCH(AM56,Reit!$F:$F,0)),"")</f>
        <v/>
      </c>
    </row>
    <row r="57" spans="1:40" hidden="1" x14ac:dyDescent="0.2">
      <c r="A57" s="1265">
        <v>2</v>
      </c>
      <c r="B57" s="1289"/>
      <c r="C57" s="1277"/>
      <c r="D57" s="1276"/>
      <c r="E57" s="1277"/>
      <c r="F57" s="1277"/>
      <c r="G57" s="1277"/>
      <c r="H57" s="1278" t="str">
        <f>(IF(C20-D56&gt;0,1)+IF(E20-D58&gt;0,1)+IF(F20-D59&gt;0,1)+IF(G20-D60&gt;0,1))&amp;"-"&amp;(IF(C20-D56&lt;0,1)+IF(E20-D58&lt;0,1)+IF(F20-D59&lt;0,1)+IF(G20-D60&lt;0,1))</f>
        <v>2-0</v>
      </c>
      <c r="I57" s="1277" t="str">
        <f>IF(AND(B20&lt;&gt;"",R$55=TRUE),A$55&amp;RANK(R20,R$56:R$60,0)," ")</f>
        <v xml:space="preserve"> </v>
      </c>
      <c r="J57" s="1196">
        <f>IF(AND(Q20=1,Q56=1,C20&gt;D56),1)+IF(AND(Q20=1,Q58=1,E20&gt;D58),1)+IF(AND(Q20=1,Q59=1,F20&gt;D59),1)+IF(AND(Q20=1,Q60=1,G20&gt;D60),1)+IF(AND(Q20=2,Q56=2,C20&gt;D56),1)+IF(AND(Q20=2,Q58=2,E20&gt;D58),1)+IF(AND(Q20=2,Q59=2,F20&gt;D59),1)+IF(AND(Q20=2,Q60=2,G20&gt;D60),1)+IF(AND(Q20=3,Q56=3,C20&gt;D56),1)+IF(AND(Q20=3,Q58=3,E20&gt;D58),1)+IF(AND(Q20=3,Q59=3,F20&gt;D59),1)+IF(AND(Q20=3,Q60=3,G20&gt;D60),1)</f>
        <v>0</v>
      </c>
      <c r="K57" s="1282">
        <f>SUM(AND(T20=T56,C20&gt;D56),AND(T20=T58,E20&gt;D58),AND(T20=T59,F20&gt;D59),AND(T20=T60,G20&gt;D60))</f>
        <v>0</v>
      </c>
      <c r="L57" s="1290">
        <f>IF(AND(Q20=1,Q56=1),C20-D56)+IF(AND(Q20=1,Q58=1),E20-D58)+IF(AND(Q20=1,Q59=1),F20-D59)+IF(AND(Q20=1,Q60=1),G20-D60)+IF(AND(Q20=2,Q56=2),C20-D56)+IF(AND(Q20=2,Q58=2),E20-D58)+IF(AND(Q20=2,Q59=2),F20-D59)+IF(AND(Q20=2,Q60=2),G20-D60)+IF(AND(Q20=3,Q56=3),C20-D56)+IF(AND(Q20=3,Q58=3),E20-D58)+IF(AND(Q20=3,Q59=3),F20-D59)+IF(AND(Q20=3,Q60=3),G20-D60)+IF(AND(Q20=4,Q56=4),C20-D56)+IF(AND(Q20=4,Q58=4),E20-D58)+IF(AND(Q20=4,Q59=4),F20-D59)+IF(AND(Q20=4,Q60=4),G20-D60)</f>
        <v>0</v>
      </c>
      <c r="M57" s="1282">
        <f>SUM(AND(R20=R56,C20&gt;D56),AND(R20=R58,E20&gt;D58),AND(R20=R59,F20&gt;D59),AND(R20=R60,G20&gt;D60))</f>
        <v>0</v>
      </c>
      <c r="N57" s="1283" t="str">
        <f>SUM(C20:G20)&amp;"-"&amp;SUM(D56:D60)</f>
        <v>6-0</v>
      </c>
      <c r="O57" s="1284">
        <f>C20+E20+F20+G20-D56-D58-D59-D60</f>
        <v>4</v>
      </c>
      <c r="P57" s="1220" t="e">
        <f>SUM(C20:G20,D56:D60)/SUM(D56:D60)</f>
        <v>#DIV/0!</v>
      </c>
      <c r="Q57" s="1291" t="e">
        <f>VALUE(LEFT(H20,1))</f>
        <v>#VALUE!</v>
      </c>
      <c r="R57" s="1285" t="e">
        <f>Q20*100000+J20*10000+K20*1000+100*L20</f>
        <v>#VALUE!</v>
      </c>
      <c r="S57" s="1286" t="e">
        <f>R20+M20*0.1+IF(ISNONTEXT(B20),0,0.01)+0.0001*O20</f>
        <v>#VALUE!</v>
      </c>
      <c r="T57" s="1287" t="str">
        <f>Q20&amp;J20</f>
        <v>VVo</v>
      </c>
      <c r="AD57" s="618">
        <f>SUM(AF20:AN20)</f>
        <v>0</v>
      </c>
      <c r="AE57" s="619" t="str">
        <f>IFERROR(LEFT($B20,(FIND(",",$B20,1)-1)),"")</f>
        <v/>
      </c>
      <c r="AF57" s="620" t="str">
        <f>IFERROR(INDEX(Reit!$I:$I,MATCH(AE20,Reit!$F:$F,0)),"")</f>
        <v/>
      </c>
      <c r="AG57" s="619" t="str">
        <f>IFERROR(MID($B20,FIND("^",SUBSTITUTE($B20,", ","^",1))+2,FIND("^",SUBSTITUTE($B20,", ","^",2))-FIND("^",SUBSTITUTE($B20,", ","^",1))-2),"")</f>
        <v/>
      </c>
      <c r="AH57" s="620" t="str">
        <f>IFERROR(INDEX(Reit!$I:$I,MATCH(AG20,Reit!$F:$F,0)),"")</f>
        <v/>
      </c>
      <c r="AI57" s="619" t="str">
        <f>IFERROR(MID($B20,FIND(", ",$B20,FIND(", ",$B20,FIND(", ",$B20))+1)+2,30000),"")</f>
        <v/>
      </c>
      <c r="AJ57" s="620" t="str">
        <f>IFERROR(INDEX(Reit!$I:$I,MATCH(AI20,Reit!$F:$F,0)),"")</f>
        <v/>
      </c>
      <c r="AK57" s="1344" t="str">
        <f>IFERROR(MID($B20,FIND(", ",$B20,FIND(", ",$B20)+1)+2,FIND(", ",$B20,FIND(", ",$B20,FIND(", ",$B20)+1)+1)-FIND(", ",$B20,FIND(", ",$B20)+1)-2),"")</f>
        <v/>
      </c>
      <c r="AL57" s="620" t="str">
        <f>IFERROR(INDEX(Reit!$I:$I,MATCH(AK20,Reit!$F:$F,0)),"")</f>
        <v/>
      </c>
      <c r="AM57" s="619" t="str">
        <f>IFERROR(MID($B20,FIND(", ",$B20,FIND(", ",$B20,FIND(", ",$B20)+1)+1)+2,30000),"")</f>
        <v/>
      </c>
      <c r="AN57" s="620" t="str">
        <f>IFERROR(INDEX(Reit!$I:$I,MATCH(AM20,Reit!$F:$F,0)),"")</f>
        <v/>
      </c>
    </row>
    <row r="58" spans="1:40" hidden="1" x14ac:dyDescent="0.2">
      <c r="A58" s="1265">
        <v>3</v>
      </c>
      <c r="B58" s="1289"/>
      <c r="C58" s="1277"/>
      <c r="D58" s="1292"/>
      <c r="E58" s="1276"/>
      <c r="F58" s="1277"/>
      <c r="G58" s="1277"/>
      <c r="H58" s="1278" t="str">
        <f>(IF(C58-E56&gt;0,1)+IF(D58-E20&gt;0,1)+IF(F58-E59&gt;0,1)+IF(G58-E60&gt;0,1))&amp;"-"&amp;(IF(C58-E56&lt;0,1)+IF(D58-E20&lt;0,1)+IF(F58-E59&lt;0,1)+IF(G58-E60&lt;0,1))</f>
        <v>0-1</v>
      </c>
      <c r="I58" s="1277" t="str">
        <f>IF(AND(B58&lt;&gt;"",R$55=TRUE),A$55&amp;RANK(R58,R$56:R$60,0)," ")</f>
        <v xml:space="preserve"> </v>
      </c>
      <c r="J58" s="1196">
        <f>IF(AND(Q58=1,Q56=1,C58&gt;E56),1)+IF(AND(Q58=1,Q20=1,D58&gt;E20),1)+IF(AND(Q58=1,Q59=1,F58&gt;E59),1)+IF(AND(Q58=1,Q60=1,G58&gt;E60),1)+IF(AND(Q58=2,Q56=2,C58&gt;E56),1)+IF(AND(Q58=2,Q20=2,D58&gt;E20),1)+IF(AND(Q58=2,Q59=2,F58&gt;E59),1)+IF(AND(Q58=2,Q60=2,G58&gt;E60),1)+IF(AND(Q58=3,Q56=3,C58&gt;E56),1)+IF(AND(Q58=3,Q20=3,D58&gt;E20),1)+IF(AND(Q58=3,Q59=3,F58&gt;E59),1)+IF(AND(Q58=3,Q60=3,G58&gt;E60),1)</f>
        <v>0</v>
      </c>
      <c r="K58" s="1282">
        <f>SUM(AND(T58=T56,C58&gt;E56),AND(T58=T20,D58&gt;E20),AND(T58=T59,F58&gt;E59),AND(T58=T60,G58&gt;E60))</f>
        <v>0</v>
      </c>
      <c r="L58" s="1290">
        <f>IF(AND(Q58=1,Q56=1),C58-E56)+IF(AND(Q58=1,Q20=1),D58-E20)+IF(AND(Q58=1,Q59=1),F58-E59)+IF(AND(Q58=1,Q60=1),G58-E60)+IF(AND(Q58=2,Q56=2),C58-E56)+IF(AND(Q58=2,Q20=2),D58-E20)+IF(AND(Q58=2,Q59=2),F58-E59)+IF(AND(Q58=2,Q60=2),G58-E60)+IF(AND(Q58=3,Q56=3),C58-E56)+IF(AND(Q58=3,Q20=3),D58-E20)+IF(AND(Q58=3,Q59=3),F58-E59)+IF(AND(Q58=3,Q60=3),G58-E60)+IF(AND(Q58=4,Q56=4),C58-E56)+IF(AND(Q58=4,Q20=4),D58-E20)+IF(AND(Q58=4,Q59=4),F58-E59)+IF(AND(Q58=4,Q60=4),G58-E60)</f>
        <v>0</v>
      </c>
      <c r="M58" s="1282">
        <f>SUM(AND(R58=R56,C58&gt;E56),AND(R58=R20,D58&gt;E20),AND(R58=R59,F58&gt;E59),AND(R58=R60,G58&gt;E60))</f>
        <v>0</v>
      </c>
      <c r="N58" s="1283" t="str">
        <f>SUM(C58:G58)&amp;"-"&amp;SUM(E56:E60)</f>
        <v>0-0</v>
      </c>
      <c r="O58" s="1284">
        <f>C58+D58+F58+G58-E56-E20-E59-E60</f>
        <v>-3</v>
      </c>
      <c r="P58" s="1220" t="e">
        <f>SUM(C58:G58,E56:E60)/SUM(E56:E60)</f>
        <v>#DIV/0!</v>
      </c>
      <c r="Q58" s="1291">
        <f>VALUE(LEFT(H58,1))</f>
        <v>0</v>
      </c>
      <c r="R58" s="1285">
        <f>Q58*100000+J58*10000+K58*1000+100*L58</f>
        <v>0</v>
      </c>
      <c r="S58" s="1286">
        <f t="shared" si="14"/>
        <v>-3.0000000000000003E-4</v>
      </c>
      <c r="T58" s="1287" t="str">
        <f>Q58&amp;J58</f>
        <v>00</v>
      </c>
      <c r="AD58" s="618">
        <f t="shared" si="8"/>
        <v>0</v>
      </c>
      <c r="AE58" s="619" t="str">
        <f t="shared" si="1"/>
        <v/>
      </c>
      <c r="AF58" s="620" t="str">
        <f>IFERROR(INDEX(Reit!$I:$I,MATCH(AE58,Reit!$F:$F,0)),"")</f>
        <v/>
      </c>
      <c r="AG58" s="619" t="str">
        <f t="shared" si="2"/>
        <v/>
      </c>
      <c r="AH58" s="620" t="str">
        <f>IFERROR(INDEX(Reit!$I:$I,MATCH(AG58,Reit!$F:$F,0)),"")</f>
        <v/>
      </c>
      <c r="AI58" s="619" t="str">
        <f t="shared" si="3"/>
        <v/>
      </c>
      <c r="AJ58" s="620" t="str">
        <f>IFERROR(INDEX(Reit!$I:$I,MATCH(AI58,Reit!$F:$F,0)),"")</f>
        <v/>
      </c>
      <c r="AK58" s="1344" t="str">
        <f t="shared" si="4"/>
        <v/>
      </c>
      <c r="AL58" s="620" t="str">
        <f>IFERROR(INDEX(Reit!$I:$I,MATCH(AK58,Reit!$F:$F,0)),"")</f>
        <v/>
      </c>
      <c r="AM58" s="619" t="str">
        <f t="shared" si="5"/>
        <v/>
      </c>
      <c r="AN58" s="620" t="str">
        <f>IFERROR(INDEX(Reit!$I:$I,MATCH(AM58,Reit!$F:$F,0)),"")</f>
        <v/>
      </c>
    </row>
    <row r="59" spans="1:40" hidden="1" x14ac:dyDescent="0.2">
      <c r="A59" s="1265">
        <v>4</v>
      </c>
      <c r="B59" s="1293"/>
      <c r="C59" s="1277"/>
      <c r="D59" s="1292"/>
      <c r="E59" s="1277"/>
      <c r="F59" s="1276"/>
      <c r="G59" s="1294"/>
      <c r="H59" s="1278" t="str">
        <f>(IF(C59-F56&gt;0,1)+IF(D59-F20&gt;0,1)+IF(E59-F58&gt;0,1)+IF(G59-F60&gt;0,1))&amp;"-"&amp;(IF(C59-F56&lt;0,1)+IF(D59-F20&lt;0,1)+IF(E59-F58&lt;0,1)+IF(G59-F60&lt;0,1))</f>
        <v>0-0</v>
      </c>
      <c r="I59" s="1277" t="str">
        <f>IF(AND(B59&lt;&gt;"",R$55=TRUE),A$55&amp;RANK(R59,R$56:R$60,0)," ")</f>
        <v xml:space="preserve"> </v>
      </c>
      <c r="J59" s="1196">
        <f>IF(AND(Q59=1,Q56=1,C59&gt;F56),1)+IF(AND(Q59=1,Q20=1,D59&gt;F20),1)+IF(AND(Q59=1,Q58=1,E59&gt;F58),1)+IF(AND(Q59=1,Q60=1,G59&gt;F60),1)+IF(AND(Q59=2,Q56=2,C59&gt;F56),1)+IF(AND(Q59=2,Q20=2,D59&gt;F20),1)+IF(AND(Q59=2,Q58=2,E59&gt;F58),1)+IF(AND(Q59=2,Q60=2,G59&gt;F60),1)+IF(AND(Q59=3,Q56=3,C59&gt;F56),1)+IF(AND(Q59=3,Q20=3,D59&gt;F20),1)+IF(AND(Q59=3,Q58=3,E59&gt;F58),1)+IF(AND(Q59=3,Q60=3,G59&gt;F60),1)</f>
        <v>0</v>
      </c>
      <c r="K59" s="1282">
        <f>SUM(AND(T59=T56,C59&gt;F56),AND(T59=T20,D59&gt;F20),AND(T59=T58,E59&gt;F58),AND(T59=T60,G59&gt;F60))</f>
        <v>0</v>
      </c>
      <c r="L59" s="1290">
        <f>IF(AND(Q59=1,Q56=1),C59-F56)+IF(AND(Q59=1,Q20=1),D59-F20)+IF(AND(Q59=1,Q58=1),E59-F58)+IF(AND(Q59=1,Q60=1),G59-F60)+IF(AND(Q59=2,Q56=2),C59-F56)+IF(AND(Q59=2,Q20=2),D59-F20)+IF(AND(Q59=2,Q58=2),E59-F58)+IF(AND(Q59=2,Q60=2),G59-F60)+IF(AND(Q59=3,Q56=3),C59-F56)+IF(AND(Q59=3,Q20=3),D59-F20)+IF(AND(Q59=3,Q58=3),E59-F58)+IF(AND(Q59=3,Q60=3),G59-F60)+IF(AND(Q59=4,Q56=4),C59-F56)+IF(AND(Q59=4,Q20=4),D59-F20)+IF(AND(Q59=4,Q58=4),E59-F58)+IF(AND(Q59=4,Q60=4),G59-F60)</f>
        <v>0</v>
      </c>
      <c r="M59" s="1282">
        <f>SUM(AND(R59=R56,C59&gt;F56),AND(R59=R20,D59&gt;F20),AND(R59=R58,E59&gt;F58),AND(R59=R60,G59&gt;F60))</f>
        <v>0</v>
      </c>
      <c r="N59" s="1283" t="str">
        <f>SUM(C59:G59)&amp;"-"&amp;SUM(F56:F60)</f>
        <v>0-0</v>
      </c>
      <c r="O59" s="1284">
        <f>C59+D59+E59+G59-F56-F20-F58-F60</f>
        <v>0</v>
      </c>
      <c r="P59" s="1220" t="e">
        <f>SUM(C59:G59,F56:F60)/SUM(F56:F60)</f>
        <v>#DIV/0!</v>
      </c>
      <c r="Q59" s="1291">
        <f>VALUE(LEFT(H59,1))</f>
        <v>0</v>
      </c>
      <c r="R59" s="1285">
        <f>Q59*100000+J59*10000+K59*1000+100*L59</f>
        <v>0</v>
      </c>
      <c r="S59" s="1286">
        <f t="shared" si="14"/>
        <v>0</v>
      </c>
      <c r="T59" s="1287" t="str">
        <f>Q59&amp;J59</f>
        <v>00</v>
      </c>
      <c r="AD59" s="618">
        <f t="shared" si="8"/>
        <v>0</v>
      </c>
      <c r="AE59" s="619" t="str">
        <f t="shared" si="1"/>
        <v/>
      </c>
      <c r="AF59" s="620" t="str">
        <f>IFERROR(INDEX(Reit!$I:$I,MATCH(AE59,Reit!$F:$F,0)),"")</f>
        <v/>
      </c>
      <c r="AG59" s="619" t="str">
        <f t="shared" si="2"/>
        <v/>
      </c>
      <c r="AH59" s="620" t="str">
        <f>IFERROR(INDEX(Reit!$I:$I,MATCH(AG59,Reit!$F:$F,0)),"")</f>
        <v/>
      </c>
      <c r="AI59" s="619" t="str">
        <f t="shared" si="3"/>
        <v/>
      </c>
      <c r="AJ59" s="620" t="str">
        <f>IFERROR(INDEX(Reit!$I:$I,MATCH(AI59,Reit!$F:$F,0)),"")</f>
        <v/>
      </c>
      <c r="AK59" s="1344" t="str">
        <f t="shared" si="4"/>
        <v/>
      </c>
      <c r="AL59" s="620" t="str">
        <f>IFERROR(INDEX(Reit!$I:$I,MATCH(AK59,Reit!$F:$F,0)),"")</f>
        <v/>
      </c>
      <c r="AM59" s="619" t="str">
        <f t="shared" si="5"/>
        <v/>
      </c>
      <c r="AN59" s="620" t="str">
        <f>IFERROR(INDEX(Reit!$I:$I,MATCH(AM59,Reit!$F:$F,0)),"")</f>
        <v/>
      </c>
    </row>
    <row r="60" spans="1:40" hidden="1" x14ac:dyDescent="0.2">
      <c r="A60" s="1265">
        <v>5</v>
      </c>
      <c r="B60" s="1293"/>
      <c r="C60" s="1277"/>
      <c r="D60" s="1277"/>
      <c r="E60" s="1277"/>
      <c r="F60" s="1277"/>
      <c r="G60" s="1276"/>
      <c r="H60" s="1278" t="str">
        <f>(IF(C60-G56&gt;0,1)+IF(D60-G20&gt;0,1)+IF(E60-G58&gt;0,1)+IF(F60-G59&gt;0,1))&amp;"-"&amp;(IF(C60-G56&lt;0,1)+IF(D60-G20&lt;0,1)+IF(E60-G58&lt;0,1)+IF(F60-G59&lt;0,1))</f>
        <v>0-0</v>
      </c>
      <c r="I60" s="1277" t="str">
        <f>IF(AND(B60&lt;&gt;"",R$55=TRUE),A$55&amp;RANK(R60,R$56:R$60,0)," ")</f>
        <v xml:space="preserve"> </v>
      </c>
      <c r="J60" s="1196">
        <f>IF(AND(Q60=1,Q56=1,C60&gt;G56),1)+IF(AND(Q60=1,Q20=1,D60&gt;G20),1)+IF(AND(Q60=1,Q58=1,E60&gt;G58),1)+IF(AND(Q60=1,Q59=1,F60&gt;G59),1)+IF(AND(Q60=2,Q56=2,C60&gt;G56),1)+IF(AND(Q60=2,Q20=2,D60&gt;G20),1)+IF(AND(Q60=2,Q58=2,E60&gt;G58),1)+IF(AND(Q60=2,Q59=2,F60&gt;G59),1)+IF(AND(Q60=3,Q56=3,C60&gt;G56),1)+IF(AND(Q60=3,Q20=3,D60&gt;G20),1)+IF(AND(Q60=3,Q58=3,E60&gt;G58),1)+IF(AND(Q60=3,Q59=3,F60&gt;G59),1)</f>
        <v>0</v>
      </c>
      <c r="K60" s="1282">
        <f>SUM(AND(T60=T56,C60&gt;G56),AND(T60=T20,D60&gt;G20),AND(T60=T58,E60&gt;G58),AND(T60=T59,F60&gt;G59))</f>
        <v>0</v>
      </c>
      <c r="L60" s="1290">
        <f>IF(AND(Q60=1,Q56=1),C60-G56)+IF(AND(Q60=1,Q20=1),D60-G20)+IF(AND(Q60=1,Q58=1),E60-G58)+IF(AND(Q60=1,Q59=1),F60-G59)+IF(AND(Q60=2,Q56=2),C60-G56)+IF(AND(Q60=2,Q20=2),D60-G20)+IF(AND(Q60=2,Q58=2),E60-G58)+IF(AND(Q60=2,Q59=2),F60-G59)+IF(AND(Q60=3,Q56=3),C60-G56)+IF(AND(Q60=3,Q20=3),D60-G20)+IF(AND(Q60=3,Q58=3),E60-G58)+IF(AND(Q60=3,Q59=3),F60-G59)+IF(AND(Q60=4,Q56=4),C60-G56)+IF(AND(Q60=4,Q20=4),D60-G20)+IF(AND(Q60=4,Q58=4),E60-G58)+IF(AND(Q60=4,Q59=4),F60-G59)</f>
        <v>0</v>
      </c>
      <c r="M60" s="1282">
        <f>SUM(AND(R60=R56,C60&gt;G56),AND(R60=R20,D60&gt;G20),AND(R60=R58,E60&gt;G58),AND(R60=R59,F60&gt;G59))</f>
        <v>0</v>
      </c>
      <c r="N60" s="1283" t="str">
        <f>SUM(C60:G60)&amp;"-"&amp;SUM(G56:G60)</f>
        <v>0-0</v>
      </c>
      <c r="O60" s="1284">
        <f>C60+D60+E60+F60-G56-G20-G58-G59</f>
        <v>0</v>
      </c>
      <c r="P60" s="1220" t="e">
        <f>SUM(C60:G60,G56:G60)/SUM(G56:G60)</f>
        <v>#DIV/0!</v>
      </c>
      <c r="Q60" s="1291">
        <f>VALUE(LEFT(H60,1))</f>
        <v>0</v>
      </c>
      <c r="R60" s="1285">
        <f>Q60*100000+J60*10000+K60*1000+100*L60</f>
        <v>0</v>
      </c>
      <c r="S60" s="1286">
        <f t="shared" si="14"/>
        <v>0</v>
      </c>
      <c r="T60" s="1287" t="str">
        <f>Q60&amp;J60</f>
        <v>00</v>
      </c>
      <c r="AD60" s="618">
        <f t="shared" si="8"/>
        <v>0</v>
      </c>
      <c r="AE60" s="619" t="str">
        <f t="shared" si="1"/>
        <v/>
      </c>
      <c r="AF60" s="620" t="str">
        <f>IFERROR(INDEX(Reit!$I:$I,MATCH(AE60,Reit!$F:$F,0)),"")</f>
        <v/>
      </c>
      <c r="AG60" s="619" t="str">
        <f t="shared" si="2"/>
        <v/>
      </c>
      <c r="AH60" s="620" t="str">
        <f>IFERROR(INDEX(Reit!$I:$I,MATCH(AG60,Reit!$F:$F,0)),"")</f>
        <v/>
      </c>
      <c r="AI60" s="619" t="str">
        <f t="shared" si="3"/>
        <v/>
      </c>
      <c r="AJ60" s="620" t="str">
        <f>IFERROR(INDEX(Reit!$I:$I,MATCH(AI60,Reit!$F:$F,0)),"")</f>
        <v/>
      </c>
      <c r="AK60" s="1344" t="str">
        <f t="shared" si="4"/>
        <v/>
      </c>
      <c r="AL60" s="620" t="str">
        <f>IFERROR(INDEX(Reit!$I:$I,MATCH(AK60,Reit!$F:$F,0)),"")</f>
        <v/>
      </c>
      <c r="AM60" s="619" t="str">
        <f t="shared" si="5"/>
        <v/>
      </c>
      <c r="AN60" s="620" t="str">
        <f>IFERROR(INDEX(Reit!$I:$I,MATCH(AM60,Reit!$F:$F,0)),"")</f>
        <v/>
      </c>
    </row>
    <row r="61" spans="1:40" hidden="1" x14ac:dyDescent="0.2">
      <c r="A61" s="1299"/>
      <c r="B61" s="1299"/>
      <c r="C61" s="1299"/>
      <c r="D61" s="1299"/>
      <c r="E61" s="1299"/>
      <c r="F61" s="1299"/>
      <c r="G61" s="1299"/>
      <c r="H61" s="1299"/>
      <c r="I61" s="1299"/>
      <c r="J61" s="1299"/>
      <c r="K61" s="1177"/>
      <c r="L61" s="1299"/>
      <c r="M61" s="1177"/>
      <c r="N61" s="1299"/>
      <c r="O61" s="1305"/>
      <c r="P61" s="1177"/>
      <c r="Q61" s="1177"/>
      <c r="R61" s="1177"/>
      <c r="S61" s="1177"/>
      <c r="T61" s="1177"/>
      <c r="AD61" s="618">
        <f t="shared" si="8"/>
        <v>0</v>
      </c>
      <c r="AE61" s="619" t="str">
        <f t="shared" si="1"/>
        <v/>
      </c>
      <c r="AF61" s="620" t="str">
        <f>IFERROR(INDEX(Reit!$I:$I,MATCH(AE61,Reit!$F:$F,0)),"")</f>
        <v/>
      </c>
      <c r="AG61" s="619" t="str">
        <f t="shared" si="2"/>
        <v/>
      </c>
      <c r="AH61" s="620" t="str">
        <f>IFERROR(INDEX(Reit!$I:$I,MATCH(AG61,Reit!$F:$F,0)),"")</f>
        <v/>
      </c>
      <c r="AI61" s="619" t="str">
        <f t="shared" si="3"/>
        <v/>
      </c>
      <c r="AJ61" s="620" t="str">
        <f>IFERROR(INDEX(Reit!$I:$I,MATCH(AI61,Reit!$F:$F,0)),"")</f>
        <v/>
      </c>
      <c r="AK61" s="1344" t="str">
        <f t="shared" si="4"/>
        <v/>
      </c>
      <c r="AL61" s="620" t="str">
        <f>IFERROR(INDEX(Reit!$I:$I,MATCH(AK61,Reit!$F:$F,0)),"")</f>
        <v/>
      </c>
      <c r="AM61" s="619" t="str">
        <f t="shared" si="5"/>
        <v/>
      </c>
      <c r="AN61" s="620" t="str">
        <f>IFERROR(INDEX(Reit!$I:$I,MATCH(AM61,Reit!$F:$F,0)),"")</f>
        <v/>
      </c>
    </row>
    <row r="62" spans="1:40" hidden="1" x14ac:dyDescent="0.2">
      <c r="A62" s="1299"/>
      <c r="B62" s="1310" t="s">
        <v>280</v>
      </c>
      <c r="C62" s="1311" t="s">
        <v>326</v>
      </c>
      <c r="D62" s="1297"/>
      <c r="E62" s="1299"/>
      <c r="F62" s="1177"/>
      <c r="G62" s="1299"/>
      <c r="H62" s="1299"/>
      <c r="I62" s="1299"/>
      <c r="J62" s="1299"/>
      <c r="K62" s="1177"/>
      <c r="L62" s="1299"/>
      <c r="M62" s="1177"/>
      <c r="N62" s="1299"/>
      <c r="O62" s="1305"/>
      <c r="P62" s="1177"/>
      <c r="Q62" s="1177"/>
      <c r="R62" s="1177"/>
      <c r="S62" s="1177"/>
      <c r="T62" s="1177"/>
      <c r="AD62" s="618">
        <f t="shared" si="8"/>
        <v>0</v>
      </c>
      <c r="AE62" s="619" t="str">
        <f t="shared" si="1"/>
        <v/>
      </c>
      <c r="AF62" s="620" t="str">
        <f>IFERROR(INDEX(Reit!$I:$I,MATCH(AE62,Reit!$F:$F,0)),"")</f>
        <v/>
      </c>
      <c r="AG62" s="619" t="str">
        <f t="shared" si="2"/>
        <v/>
      </c>
      <c r="AH62" s="620" t="str">
        <f>IFERROR(INDEX(Reit!$I:$I,MATCH(AG62,Reit!$F:$F,0)),"")</f>
        <v/>
      </c>
      <c r="AI62" s="619" t="str">
        <f t="shared" si="3"/>
        <v/>
      </c>
      <c r="AJ62" s="620" t="str">
        <f>IFERROR(INDEX(Reit!$I:$I,MATCH(AI62,Reit!$F:$F,0)),"")</f>
        <v/>
      </c>
      <c r="AK62" s="1344" t="str">
        <f t="shared" si="4"/>
        <v/>
      </c>
      <c r="AL62" s="620" t="str">
        <f>IFERROR(INDEX(Reit!$I:$I,MATCH(AK62,Reit!$F:$F,0)),"")</f>
        <v/>
      </c>
      <c r="AM62" s="619" t="str">
        <f t="shared" si="5"/>
        <v/>
      </c>
      <c r="AN62" s="620" t="str">
        <f>IFERROR(INDEX(Reit!$I:$I,MATCH(AM62,Reit!$F:$F,0)),"")</f>
        <v/>
      </c>
    </row>
    <row r="63" spans="1:40" hidden="1" x14ac:dyDescent="0.2">
      <c r="A63" s="1299"/>
      <c r="B63" s="1310" t="s">
        <v>281</v>
      </c>
      <c r="C63" s="1311" t="s">
        <v>327</v>
      </c>
      <c r="D63" s="1299"/>
      <c r="E63" s="1299"/>
      <c r="F63" s="1177"/>
      <c r="G63" s="1299"/>
      <c r="H63" s="1299"/>
      <c r="I63" s="1299"/>
      <c r="J63" s="1299"/>
      <c r="K63" s="1177"/>
      <c r="L63" s="1299"/>
      <c r="M63" s="1177"/>
      <c r="N63" s="1299"/>
      <c r="O63" s="1305"/>
      <c r="P63" s="1177"/>
      <c r="Q63" s="1177"/>
      <c r="R63" s="1177"/>
      <c r="S63" s="1177"/>
      <c r="T63" s="1177"/>
      <c r="AD63" s="618">
        <f t="shared" si="8"/>
        <v>0</v>
      </c>
      <c r="AE63" s="619" t="str">
        <f t="shared" si="1"/>
        <v/>
      </c>
      <c r="AF63" s="620" t="str">
        <f>IFERROR(INDEX(Reit!$I:$I,MATCH(AE63,Reit!$F:$F,0)),"")</f>
        <v/>
      </c>
      <c r="AG63" s="619" t="str">
        <f t="shared" si="2"/>
        <v/>
      </c>
      <c r="AH63" s="620" t="str">
        <f>IFERROR(INDEX(Reit!$I:$I,MATCH(AG63,Reit!$F:$F,0)),"")</f>
        <v/>
      </c>
      <c r="AI63" s="619" t="str">
        <f t="shared" si="3"/>
        <v/>
      </c>
      <c r="AJ63" s="620" t="str">
        <f>IFERROR(INDEX(Reit!$I:$I,MATCH(AI63,Reit!$F:$F,0)),"")</f>
        <v/>
      </c>
      <c r="AK63" s="1344" t="str">
        <f t="shared" si="4"/>
        <v/>
      </c>
      <c r="AL63" s="620" t="str">
        <f>IFERROR(INDEX(Reit!$I:$I,MATCH(AK63,Reit!$F:$F,0)),"")</f>
        <v/>
      </c>
      <c r="AM63" s="619" t="str">
        <f t="shared" si="5"/>
        <v/>
      </c>
      <c r="AN63" s="620" t="str">
        <f>IFERROR(INDEX(Reit!$I:$I,MATCH(AM63,Reit!$F:$F,0)),"")</f>
        <v/>
      </c>
    </row>
    <row r="64" spans="1:40" hidden="1" x14ac:dyDescent="0.2">
      <c r="A64" s="1299"/>
      <c r="B64" s="1310" t="s">
        <v>282</v>
      </c>
      <c r="C64" s="1311" t="s">
        <v>329</v>
      </c>
      <c r="D64" s="1299"/>
      <c r="E64" s="1299"/>
      <c r="F64" s="1177"/>
      <c r="G64" s="1299"/>
      <c r="H64" s="1299"/>
      <c r="I64" s="1299"/>
      <c r="J64" s="1299"/>
      <c r="K64" s="1177"/>
      <c r="L64" s="1299"/>
      <c r="M64" s="1177"/>
      <c r="N64" s="1299"/>
      <c r="O64" s="1305"/>
      <c r="P64" s="1177"/>
      <c r="Q64" s="1177"/>
      <c r="R64" s="1177"/>
      <c r="S64" s="1177"/>
      <c r="T64" s="1177"/>
      <c r="AD64" s="618">
        <f t="shared" si="8"/>
        <v>0</v>
      </c>
      <c r="AE64" s="619" t="str">
        <f t="shared" si="1"/>
        <v/>
      </c>
      <c r="AF64" s="620" t="str">
        <f>IFERROR(INDEX(Reit!$I:$I,MATCH(AE64,Reit!$F:$F,0)),"")</f>
        <v/>
      </c>
      <c r="AG64" s="619" t="str">
        <f t="shared" si="2"/>
        <v/>
      </c>
      <c r="AH64" s="620" t="str">
        <f>IFERROR(INDEX(Reit!$I:$I,MATCH(AG64,Reit!$F:$F,0)),"")</f>
        <v/>
      </c>
      <c r="AI64" s="619" t="str">
        <f t="shared" si="3"/>
        <v/>
      </c>
      <c r="AJ64" s="620" t="str">
        <f>IFERROR(INDEX(Reit!$I:$I,MATCH(AI64,Reit!$F:$F,0)),"")</f>
        <v/>
      </c>
      <c r="AK64" s="1344" t="str">
        <f t="shared" si="4"/>
        <v/>
      </c>
      <c r="AL64" s="620" t="str">
        <f>IFERROR(INDEX(Reit!$I:$I,MATCH(AK64,Reit!$F:$F,0)),"")</f>
        <v/>
      </c>
      <c r="AM64" s="619" t="str">
        <f t="shared" si="5"/>
        <v/>
      </c>
      <c r="AN64" s="620" t="str">
        <f>IFERROR(INDEX(Reit!$I:$I,MATCH(AM64,Reit!$F:$F,0)),"")</f>
        <v/>
      </c>
    </row>
    <row r="65" spans="1:40" hidden="1" x14ac:dyDescent="0.2">
      <c r="A65" s="1299"/>
      <c r="B65" s="1299"/>
      <c r="C65" s="1299"/>
      <c r="D65" s="1299"/>
      <c r="E65" s="1299"/>
      <c r="F65" s="1299"/>
      <c r="G65" s="1299"/>
      <c r="H65" s="1299"/>
      <c r="I65" s="1299"/>
      <c r="J65" s="1299"/>
      <c r="K65" s="1177"/>
      <c r="L65" s="1299"/>
      <c r="M65" s="1177"/>
      <c r="N65" s="1299"/>
      <c r="O65" s="1305"/>
      <c r="P65" s="1177"/>
      <c r="Q65" s="1177"/>
      <c r="R65" s="1177"/>
      <c r="S65" s="1177"/>
      <c r="T65" s="1177"/>
      <c r="AD65" s="618">
        <f t="shared" si="8"/>
        <v>0</v>
      </c>
      <c r="AE65" s="619" t="str">
        <f t="shared" si="1"/>
        <v/>
      </c>
      <c r="AF65" s="620" t="str">
        <f>IFERROR(INDEX(Reit!$I:$I,MATCH(AE65,Reit!$F:$F,0)),"")</f>
        <v/>
      </c>
      <c r="AG65" s="619" t="str">
        <f t="shared" si="2"/>
        <v/>
      </c>
      <c r="AH65" s="620" t="str">
        <f>IFERROR(INDEX(Reit!$I:$I,MATCH(AG65,Reit!$F:$F,0)),"")</f>
        <v/>
      </c>
      <c r="AI65" s="619" t="str">
        <f t="shared" si="3"/>
        <v/>
      </c>
      <c r="AJ65" s="620" t="str">
        <f>IFERROR(INDEX(Reit!$I:$I,MATCH(AI65,Reit!$F:$F,0)),"")</f>
        <v/>
      </c>
      <c r="AK65" s="1344" t="str">
        <f t="shared" si="4"/>
        <v/>
      </c>
      <c r="AL65" s="620" t="str">
        <f>IFERROR(INDEX(Reit!$I:$I,MATCH(AK65,Reit!$F:$F,0)),"")</f>
        <v/>
      </c>
      <c r="AM65" s="619" t="str">
        <f t="shared" si="5"/>
        <v/>
      </c>
      <c r="AN65" s="620" t="str">
        <f>IFERROR(INDEX(Reit!$I:$I,MATCH(AM65,Reit!$F:$F,0)),"")</f>
        <v/>
      </c>
    </row>
    <row r="66" spans="1:40" hidden="1" x14ac:dyDescent="0.2">
      <c r="A66" s="1299"/>
      <c r="B66" s="1310" t="s">
        <v>280</v>
      </c>
      <c r="C66" s="1312" t="s">
        <v>325</v>
      </c>
      <c r="D66" s="1312" t="s">
        <v>326</v>
      </c>
      <c r="E66" s="1299"/>
      <c r="F66" s="1299"/>
      <c r="G66" s="1299"/>
      <c r="H66" s="1299"/>
      <c r="I66" s="1299"/>
      <c r="J66" s="1299"/>
      <c r="K66" s="1177"/>
      <c r="L66" s="1299"/>
      <c r="M66" s="1177"/>
      <c r="N66" s="1299"/>
      <c r="O66" s="1305"/>
      <c r="P66" s="1177"/>
      <c r="Q66" s="1177"/>
      <c r="R66" s="1177"/>
      <c r="S66" s="1177"/>
      <c r="T66" s="1177"/>
      <c r="AD66" s="618">
        <f t="shared" si="8"/>
        <v>0</v>
      </c>
      <c r="AE66" s="619" t="str">
        <f t="shared" si="1"/>
        <v/>
      </c>
      <c r="AF66" s="620" t="str">
        <f>IFERROR(INDEX(Reit!$I:$I,MATCH(AE66,Reit!$F:$F,0)),"")</f>
        <v/>
      </c>
      <c r="AG66" s="619" t="str">
        <f t="shared" si="2"/>
        <v/>
      </c>
      <c r="AH66" s="620" t="str">
        <f>IFERROR(INDEX(Reit!$I:$I,MATCH(AG66,Reit!$F:$F,0)),"")</f>
        <v/>
      </c>
      <c r="AI66" s="619" t="str">
        <f t="shared" si="3"/>
        <v/>
      </c>
      <c r="AJ66" s="620" t="str">
        <f>IFERROR(INDEX(Reit!$I:$I,MATCH(AI66,Reit!$F:$F,0)),"")</f>
        <v/>
      </c>
      <c r="AK66" s="1344" t="str">
        <f t="shared" si="4"/>
        <v/>
      </c>
      <c r="AL66" s="620" t="str">
        <f>IFERROR(INDEX(Reit!$I:$I,MATCH(AK66,Reit!$F:$F,0)),"")</f>
        <v/>
      </c>
      <c r="AM66" s="619" t="str">
        <f t="shared" si="5"/>
        <v/>
      </c>
      <c r="AN66" s="620" t="str">
        <f>IFERROR(INDEX(Reit!$I:$I,MATCH(AM66,Reit!$F:$F,0)),"")</f>
        <v/>
      </c>
    </row>
    <row r="67" spans="1:40" hidden="1" x14ac:dyDescent="0.2">
      <c r="A67" s="1299"/>
      <c r="B67" s="1310" t="s">
        <v>281</v>
      </c>
      <c r="C67" s="1312" t="s">
        <v>327</v>
      </c>
      <c r="D67" s="1312" t="s">
        <v>324</v>
      </c>
      <c r="E67" s="1299"/>
      <c r="F67" s="1299"/>
      <c r="G67" s="1299"/>
      <c r="H67" s="1299"/>
      <c r="I67" s="1299"/>
      <c r="J67" s="1299"/>
      <c r="K67" s="1177"/>
      <c r="L67" s="1299"/>
      <c r="M67" s="1177"/>
      <c r="N67" s="1299"/>
      <c r="O67" s="1305"/>
      <c r="P67" s="1177"/>
      <c r="Q67" s="1177"/>
      <c r="R67" s="1177"/>
      <c r="S67" s="1177"/>
      <c r="T67" s="1177"/>
      <c r="AD67" s="618">
        <f t="shared" si="8"/>
        <v>0</v>
      </c>
      <c r="AE67" s="619" t="str">
        <f t="shared" si="1"/>
        <v/>
      </c>
      <c r="AF67" s="620" t="str">
        <f>IFERROR(INDEX(Reit!$I:$I,MATCH(AE67,Reit!$F:$F,0)),"")</f>
        <v/>
      </c>
      <c r="AG67" s="619" t="str">
        <f t="shared" si="2"/>
        <v/>
      </c>
      <c r="AH67" s="620" t="str">
        <f>IFERROR(INDEX(Reit!$I:$I,MATCH(AG67,Reit!$F:$F,0)),"")</f>
        <v/>
      </c>
      <c r="AI67" s="619" t="str">
        <f t="shared" si="3"/>
        <v/>
      </c>
      <c r="AJ67" s="620" t="str">
        <f>IFERROR(INDEX(Reit!$I:$I,MATCH(AI67,Reit!$F:$F,0)),"")</f>
        <v/>
      </c>
      <c r="AK67" s="1344" t="str">
        <f t="shared" si="4"/>
        <v/>
      </c>
      <c r="AL67" s="620" t="str">
        <f>IFERROR(INDEX(Reit!$I:$I,MATCH(AK67,Reit!$F:$F,0)),"")</f>
        <v/>
      </c>
      <c r="AM67" s="619" t="str">
        <f t="shared" si="5"/>
        <v/>
      </c>
      <c r="AN67" s="620" t="str">
        <f>IFERROR(INDEX(Reit!$I:$I,MATCH(AM67,Reit!$F:$F,0)),"")</f>
        <v/>
      </c>
    </row>
    <row r="68" spans="1:40" hidden="1" x14ac:dyDescent="0.2">
      <c r="A68" s="1299"/>
      <c r="B68" s="1310" t="s">
        <v>282</v>
      </c>
      <c r="C68" s="1312" t="s">
        <v>329</v>
      </c>
      <c r="D68" s="1312" t="s">
        <v>322</v>
      </c>
      <c r="E68" s="1299"/>
      <c r="F68" s="1299"/>
      <c r="G68" s="1299"/>
      <c r="H68" s="1299"/>
      <c r="I68" s="1299"/>
      <c r="J68" s="1299"/>
      <c r="K68" s="1177"/>
      <c r="L68" s="1299"/>
      <c r="M68" s="1177"/>
      <c r="N68" s="1299"/>
      <c r="O68" s="1305"/>
      <c r="P68" s="1177"/>
      <c r="Q68" s="1177"/>
      <c r="R68" s="1177"/>
      <c r="S68" s="1177"/>
      <c r="T68" s="1177"/>
      <c r="AD68" s="618">
        <f t="shared" si="8"/>
        <v>0</v>
      </c>
      <c r="AE68" s="619" t="str">
        <f t="shared" si="1"/>
        <v/>
      </c>
      <c r="AF68" s="620" t="str">
        <f>IFERROR(INDEX(Reit!$I:$I,MATCH(AE68,Reit!$F:$F,0)),"")</f>
        <v/>
      </c>
      <c r="AG68" s="619" t="str">
        <f t="shared" si="2"/>
        <v/>
      </c>
      <c r="AH68" s="620" t="str">
        <f>IFERROR(INDEX(Reit!$I:$I,MATCH(AG68,Reit!$F:$F,0)),"")</f>
        <v/>
      </c>
      <c r="AI68" s="619" t="str">
        <f t="shared" si="3"/>
        <v/>
      </c>
      <c r="AJ68" s="620" t="str">
        <f>IFERROR(INDEX(Reit!$I:$I,MATCH(AI68,Reit!$F:$F,0)),"")</f>
        <v/>
      </c>
      <c r="AK68" s="1344" t="str">
        <f t="shared" si="4"/>
        <v/>
      </c>
      <c r="AL68" s="620" t="str">
        <f>IFERROR(INDEX(Reit!$I:$I,MATCH(AK68,Reit!$F:$F,0)),"")</f>
        <v/>
      </c>
      <c r="AM68" s="619" t="str">
        <f t="shared" si="5"/>
        <v/>
      </c>
      <c r="AN68" s="620" t="str">
        <f>IFERROR(INDEX(Reit!$I:$I,MATCH(AM68,Reit!$F:$F,0)),"")</f>
        <v/>
      </c>
    </row>
    <row r="69" spans="1:40" hidden="1" x14ac:dyDescent="0.2">
      <c r="A69" s="1299"/>
      <c r="B69" s="1313"/>
      <c r="C69" s="1298"/>
      <c r="D69" s="1298"/>
      <c r="E69" s="1299"/>
      <c r="F69" s="1299"/>
      <c r="G69" s="1299"/>
      <c r="H69" s="1299"/>
      <c r="I69" s="1299"/>
      <c r="J69" s="1299"/>
      <c r="K69" s="1177"/>
      <c r="L69" s="1299"/>
      <c r="M69" s="1177"/>
      <c r="N69" s="1299"/>
      <c r="O69" s="1305"/>
      <c r="P69" s="1177"/>
      <c r="Q69" s="1177"/>
      <c r="R69" s="1177"/>
      <c r="S69" s="1177"/>
      <c r="T69" s="1177"/>
      <c r="AD69" s="618">
        <f t="shared" si="8"/>
        <v>0</v>
      </c>
      <c r="AE69" s="619" t="str">
        <f t="shared" si="1"/>
        <v/>
      </c>
      <c r="AF69" s="620" t="str">
        <f>IFERROR(INDEX(Reit!$I:$I,MATCH(AE69,Reit!$F:$F,0)),"")</f>
        <v/>
      </c>
      <c r="AG69" s="619" t="str">
        <f t="shared" si="2"/>
        <v/>
      </c>
      <c r="AH69" s="620" t="str">
        <f>IFERROR(INDEX(Reit!$I:$I,MATCH(AG69,Reit!$F:$F,0)),"")</f>
        <v/>
      </c>
      <c r="AI69" s="619" t="str">
        <f t="shared" si="3"/>
        <v/>
      </c>
      <c r="AJ69" s="620" t="str">
        <f>IFERROR(INDEX(Reit!$I:$I,MATCH(AI69,Reit!$F:$F,0)),"")</f>
        <v/>
      </c>
      <c r="AK69" s="1344" t="str">
        <f t="shared" si="4"/>
        <v/>
      </c>
      <c r="AL69" s="620" t="str">
        <f>IFERROR(INDEX(Reit!$I:$I,MATCH(AK69,Reit!$F:$F,0)),"")</f>
        <v/>
      </c>
      <c r="AM69" s="619" t="str">
        <f t="shared" si="5"/>
        <v/>
      </c>
      <c r="AN69" s="620" t="str">
        <f>IFERROR(INDEX(Reit!$I:$I,MATCH(AM69,Reit!$F:$F,0)),"")</f>
        <v/>
      </c>
    </row>
    <row r="70" spans="1:40" hidden="1" x14ac:dyDescent="0.2">
      <c r="A70" s="1299"/>
      <c r="B70" s="1310" t="s">
        <v>280</v>
      </c>
      <c r="C70" s="1312" t="s">
        <v>323</v>
      </c>
      <c r="D70" s="1312" t="s">
        <v>324</v>
      </c>
      <c r="E70" s="1299"/>
      <c r="F70" s="1177"/>
      <c r="G70" s="1177"/>
      <c r="H70" s="1299"/>
      <c r="I70" s="1299"/>
      <c r="J70" s="1299"/>
      <c r="K70" s="1177"/>
      <c r="L70" s="1299"/>
      <c r="M70" s="1177"/>
      <c r="N70" s="1299"/>
      <c r="O70" s="1305"/>
      <c r="P70" s="1177"/>
      <c r="Q70" s="1177"/>
      <c r="R70" s="1177"/>
      <c r="S70" s="1177"/>
      <c r="T70" s="1177"/>
      <c r="AD70" s="618">
        <f t="shared" si="8"/>
        <v>0</v>
      </c>
      <c r="AE70" s="619" t="str">
        <f t="shared" si="1"/>
        <v/>
      </c>
      <c r="AF70" s="620" t="str">
        <f>IFERROR(INDEX(Reit!$I:$I,MATCH(AE70,Reit!$F:$F,0)),"")</f>
        <v/>
      </c>
      <c r="AG70" s="619" t="str">
        <f t="shared" si="2"/>
        <v/>
      </c>
      <c r="AH70" s="620" t="str">
        <f>IFERROR(INDEX(Reit!$I:$I,MATCH(AG70,Reit!$F:$F,0)),"")</f>
        <v/>
      </c>
      <c r="AI70" s="619" t="str">
        <f t="shared" si="3"/>
        <v/>
      </c>
      <c r="AJ70" s="620" t="str">
        <f>IFERROR(INDEX(Reit!$I:$I,MATCH(AI70,Reit!$F:$F,0)),"")</f>
        <v/>
      </c>
      <c r="AK70" s="1344" t="str">
        <f t="shared" si="4"/>
        <v/>
      </c>
      <c r="AL70" s="620" t="str">
        <f>IFERROR(INDEX(Reit!$I:$I,MATCH(AK70,Reit!$F:$F,0)),"")</f>
        <v/>
      </c>
      <c r="AM70" s="619" t="str">
        <f t="shared" si="5"/>
        <v/>
      </c>
      <c r="AN70" s="620" t="str">
        <f>IFERROR(INDEX(Reit!$I:$I,MATCH(AM70,Reit!$F:$F,0)),"")</f>
        <v/>
      </c>
    </row>
    <row r="71" spans="1:40" hidden="1" x14ac:dyDescent="0.2">
      <c r="A71" s="1299"/>
      <c r="B71" s="1310" t="s">
        <v>281</v>
      </c>
      <c r="C71" s="1312" t="s">
        <v>325</v>
      </c>
      <c r="D71" s="1312" t="s">
        <v>326</v>
      </c>
      <c r="E71" s="1299"/>
      <c r="F71" s="1177"/>
      <c r="G71" s="1177"/>
      <c r="H71" s="1177"/>
      <c r="I71" s="1299"/>
      <c r="J71" s="1299"/>
      <c r="K71" s="1177"/>
      <c r="L71" s="1299"/>
      <c r="M71" s="1177"/>
      <c r="N71" s="1299"/>
      <c r="O71" s="1305"/>
      <c r="P71" s="1177"/>
      <c r="Q71" s="1177"/>
      <c r="R71" s="1177"/>
      <c r="S71" s="1177"/>
      <c r="T71" s="1177"/>
      <c r="U71" s="746"/>
      <c r="V71" s="746"/>
      <c r="AD71" s="618">
        <f t="shared" si="8"/>
        <v>0</v>
      </c>
      <c r="AE71" s="619" t="str">
        <f t="shared" ref="AE71:AE98" si="15">IFERROR(LEFT($B71,(FIND(",",$B71,1)-1)),"")</f>
        <v/>
      </c>
      <c r="AF71" s="620" t="str">
        <f>IFERROR(INDEX(Reit!$I:$I,MATCH(AE71,Reit!$F:$F,0)),"")</f>
        <v/>
      </c>
      <c r="AG71" s="619" t="str">
        <f t="shared" ref="AG71:AG98" si="16">IFERROR(MID($B71,FIND("^",SUBSTITUTE($B71,", ","^",1))+2,FIND("^",SUBSTITUTE($B71,", ","^",2))-FIND("^",SUBSTITUTE($B71,", ","^",1))-2),"")</f>
        <v/>
      </c>
      <c r="AH71" s="620" t="str">
        <f>IFERROR(INDEX(Reit!$I:$I,MATCH(AG71,Reit!$F:$F,0)),"")</f>
        <v/>
      </c>
      <c r="AI71" s="619" t="str">
        <f t="shared" ref="AI71:AI98" si="17">IFERROR(MID($B71,FIND(", ",$B71,FIND(", ",$B71,FIND(", ",$B71))+1)+2,30000),"")</f>
        <v/>
      </c>
      <c r="AJ71" s="620" t="str">
        <f>IFERROR(INDEX(Reit!$I:$I,MATCH(AI71,Reit!$F:$F,0)),"")</f>
        <v/>
      </c>
      <c r="AK71" s="1344" t="str">
        <f t="shared" ref="AK71:AK98" si="18">IFERROR(MID($B71,FIND(", ",$B71,FIND(", ",$B71)+1)+2,FIND(", ",$B71,FIND(", ",$B71,FIND(", ",$B71)+1)+1)-FIND(", ",$B71,FIND(", ",$B71)+1)-2),"")</f>
        <v/>
      </c>
      <c r="AL71" s="620" t="str">
        <f>IFERROR(INDEX(Reit!$I:$I,MATCH(AK71,Reit!$F:$F,0)),"")</f>
        <v/>
      </c>
      <c r="AM71" s="619" t="str">
        <f t="shared" ref="AM71:AM98" si="19">IFERROR(MID($B71,FIND(", ",$B71,FIND(", ",$B71,FIND(", ",$B71)+1)+1)+2,30000),"")</f>
        <v/>
      </c>
      <c r="AN71" s="620" t="str">
        <f>IFERROR(INDEX(Reit!$I:$I,MATCH(AM71,Reit!$F:$F,0)),"")</f>
        <v/>
      </c>
    </row>
    <row r="72" spans="1:40" hidden="1" x14ac:dyDescent="0.2">
      <c r="A72" s="1299"/>
      <c r="B72" s="1310" t="s">
        <v>282</v>
      </c>
      <c r="C72" s="1312" t="s">
        <v>327</v>
      </c>
      <c r="D72" s="1312" t="s">
        <v>328</v>
      </c>
      <c r="E72" s="1299"/>
      <c r="F72" s="1177"/>
      <c r="G72" s="1177"/>
      <c r="H72" s="1299"/>
      <c r="I72" s="1299"/>
      <c r="J72" s="1299"/>
      <c r="K72" s="1177"/>
      <c r="L72" s="1299"/>
      <c r="M72" s="1177"/>
      <c r="N72" s="1299"/>
      <c r="O72" s="1305"/>
      <c r="P72" s="1177"/>
      <c r="Q72" s="1177"/>
      <c r="R72" s="1177"/>
      <c r="S72" s="1177"/>
      <c r="T72" s="1177"/>
      <c r="U72" s="746"/>
      <c r="V72" s="746"/>
      <c r="AD72" s="618">
        <f t="shared" si="8"/>
        <v>0</v>
      </c>
      <c r="AE72" s="619" t="str">
        <f t="shared" si="15"/>
        <v/>
      </c>
      <c r="AF72" s="620" t="str">
        <f>IFERROR(INDEX(Reit!$I:$I,MATCH(AE72,Reit!$F:$F,0)),"")</f>
        <v/>
      </c>
      <c r="AG72" s="619" t="str">
        <f t="shared" si="16"/>
        <v/>
      </c>
      <c r="AH72" s="620" t="str">
        <f>IFERROR(INDEX(Reit!$I:$I,MATCH(AG72,Reit!$F:$F,0)),"")</f>
        <v/>
      </c>
      <c r="AI72" s="619" t="str">
        <f t="shared" si="17"/>
        <v/>
      </c>
      <c r="AJ72" s="620" t="str">
        <f>IFERROR(INDEX(Reit!$I:$I,MATCH(AI72,Reit!$F:$F,0)),"")</f>
        <v/>
      </c>
      <c r="AK72" s="1344" t="str">
        <f t="shared" si="18"/>
        <v/>
      </c>
      <c r="AL72" s="620" t="str">
        <f>IFERROR(INDEX(Reit!$I:$I,MATCH(AK72,Reit!$F:$F,0)),"")</f>
        <v/>
      </c>
      <c r="AM72" s="619" t="str">
        <f t="shared" si="19"/>
        <v/>
      </c>
      <c r="AN72" s="620" t="str">
        <f>IFERROR(INDEX(Reit!$I:$I,MATCH(AM72,Reit!$F:$F,0)),"")</f>
        <v/>
      </c>
    </row>
    <row r="73" spans="1:40" hidden="1" x14ac:dyDescent="0.2">
      <c r="A73" s="1299"/>
      <c r="B73" s="1310" t="s">
        <v>283</v>
      </c>
      <c r="C73" s="1314" t="s">
        <v>329</v>
      </c>
      <c r="D73" s="1312" t="s">
        <v>330</v>
      </c>
      <c r="E73" s="1299"/>
      <c r="F73" s="1177"/>
      <c r="G73" s="1177"/>
      <c r="H73" s="1299"/>
      <c r="I73" s="1299"/>
      <c r="J73" s="1299"/>
      <c r="K73" s="1177"/>
      <c r="L73" s="1299"/>
      <c r="M73" s="1177"/>
      <c r="N73" s="1299"/>
      <c r="O73" s="1305"/>
      <c r="P73" s="1177"/>
      <c r="Q73" s="1177"/>
      <c r="R73" s="1177"/>
      <c r="S73" s="1177"/>
      <c r="T73" s="1177"/>
      <c r="U73" s="746"/>
      <c r="V73" s="746"/>
      <c r="AD73" s="618">
        <f t="shared" si="8"/>
        <v>0</v>
      </c>
      <c r="AE73" s="619" t="str">
        <f t="shared" si="15"/>
        <v/>
      </c>
      <c r="AF73" s="620" t="str">
        <f>IFERROR(INDEX(Reit!$I:$I,MATCH(AE73,Reit!$F:$F,0)),"")</f>
        <v/>
      </c>
      <c r="AG73" s="619" t="str">
        <f t="shared" si="16"/>
        <v/>
      </c>
      <c r="AH73" s="620" t="str">
        <f>IFERROR(INDEX(Reit!$I:$I,MATCH(AG73,Reit!$F:$F,0)),"")</f>
        <v/>
      </c>
      <c r="AI73" s="619" t="str">
        <f t="shared" si="17"/>
        <v/>
      </c>
      <c r="AJ73" s="620" t="str">
        <f>IFERROR(INDEX(Reit!$I:$I,MATCH(AI73,Reit!$F:$F,0)),"")</f>
        <v/>
      </c>
      <c r="AK73" s="1344" t="str">
        <f t="shared" si="18"/>
        <v/>
      </c>
      <c r="AL73" s="620" t="str">
        <f>IFERROR(INDEX(Reit!$I:$I,MATCH(AK73,Reit!$F:$F,0)),"")</f>
        <v/>
      </c>
      <c r="AM73" s="619" t="str">
        <f t="shared" si="19"/>
        <v/>
      </c>
      <c r="AN73" s="620" t="str">
        <f>IFERROR(INDEX(Reit!$I:$I,MATCH(AM73,Reit!$F:$F,0)),"")</f>
        <v/>
      </c>
    </row>
    <row r="74" spans="1:40" hidden="1" x14ac:dyDescent="0.2">
      <c r="A74" s="1299"/>
      <c r="B74" s="1310" t="s">
        <v>284</v>
      </c>
      <c r="C74" s="1312" t="s">
        <v>321</v>
      </c>
      <c r="D74" s="1312" t="s">
        <v>322</v>
      </c>
      <c r="E74" s="1299"/>
      <c r="F74" s="1177"/>
      <c r="G74" s="1177"/>
      <c r="H74" s="1299"/>
      <c r="I74" s="1299"/>
      <c r="J74" s="1299"/>
      <c r="K74" s="1177"/>
      <c r="L74" s="1299"/>
      <c r="M74" s="1177"/>
      <c r="N74" s="1299"/>
      <c r="O74" s="1305"/>
      <c r="P74" s="1177"/>
      <c r="Q74" s="1177"/>
      <c r="R74" s="1177"/>
      <c r="S74" s="1177"/>
      <c r="T74" s="1177"/>
      <c r="U74" s="746"/>
      <c r="V74" s="746"/>
      <c r="AD74" s="618">
        <f t="shared" si="8"/>
        <v>0</v>
      </c>
      <c r="AE74" s="619" t="str">
        <f t="shared" si="15"/>
        <v/>
      </c>
      <c r="AF74" s="620" t="str">
        <f>IFERROR(INDEX(Reit!$I:$I,MATCH(AE74,Reit!$F:$F,0)),"")</f>
        <v/>
      </c>
      <c r="AG74" s="619" t="str">
        <f t="shared" si="16"/>
        <v/>
      </c>
      <c r="AH74" s="620" t="str">
        <f>IFERROR(INDEX(Reit!$I:$I,MATCH(AG74,Reit!$F:$F,0)),"")</f>
        <v/>
      </c>
      <c r="AI74" s="619" t="str">
        <f t="shared" si="17"/>
        <v/>
      </c>
      <c r="AJ74" s="620" t="str">
        <f>IFERROR(INDEX(Reit!$I:$I,MATCH(AI74,Reit!$F:$F,0)),"")</f>
        <v/>
      </c>
      <c r="AK74" s="1344" t="str">
        <f t="shared" si="18"/>
        <v/>
      </c>
      <c r="AL74" s="620" t="str">
        <f>IFERROR(INDEX(Reit!$I:$I,MATCH(AK74,Reit!$F:$F,0)),"")</f>
        <v/>
      </c>
      <c r="AM74" s="619" t="str">
        <f t="shared" si="19"/>
        <v/>
      </c>
      <c r="AN74" s="620" t="str">
        <f>IFERROR(INDEX(Reit!$I:$I,MATCH(AM74,Reit!$F:$F,0)),"")</f>
        <v/>
      </c>
    </row>
    <row r="75" spans="1:40" hidden="1" x14ac:dyDescent="0.2">
      <c r="A75" s="625"/>
      <c r="E75" s="625"/>
      <c r="F75" s="625"/>
      <c r="G75" s="625"/>
      <c r="H75" s="625"/>
      <c r="I75" s="625"/>
      <c r="J75" s="625"/>
      <c r="K75" s="625"/>
      <c r="L75" s="625"/>
      <c r="M75" s="625"/>
      <c r="N75" s="746"/>
      <c r="O75" s="746"/>
      <c r="P75" s="746"/>
      <c r="Q75" s="746"/>
      <c r="R75" s="746"/>
      <c r="S75" s="746"/>
      <c r="T75" s="746"/>
      <c r="U75" s="746"/>
      <c r="V75" s="746"/>
      <c r="AD75" s="618">
        <f t="shared" si="8"/>
        <v>0</v>
      </c>
      <c r="AE75" s="619" t="str">
        <f t="shared" si="15"/>
        <v/>
      </c>
      <c r="AF75" s="620" t="str">
        <f>IFERROR(INDEX(Reit!$I:$I,MATCH(AE75,Reit!$F:$F,0)),"")</f>
        <v/>
      </c>
      <c r="AG75" s="619" t="str">
        <f t="shared" si="16"/>
        <v/>
      </c>
      <c r="AH75" s="620" t="str">
        <f>IFERROR(INDEX(Reit!$I:$I,MATCH(AG75,Reit!$F:$F,0)),"")</f>
        <v/>
      </c>
      <c r="AI75" s="619" t="str">
        <f t="shared" si="17"/>
        <v/>
      </c>
      <c r="AJ75" s="620" t="str">
        <f>IFERROR(INDEX(Reit!$I:$I,MATCH(AI75,Reit!$F:$F,0)),"")</f>
        <v/>
      </c>
      <c r="AK75" s="1344" t="str">
        <f t="shared" si="18"/>
        <v/>
      </c>
      <c r="AL75" s="620" t="str">
        <f>IFERROR(INDEX(Reit!$I:$I,MATCH(AK75,Reit!$F:$F,0)),"")</f>
        <v/>
      </c>
      <c r="AM75" s="619" t="str">
        <f t="shared" si="19"/>
        <v/>
      </c>
      <c r="AN75" s="620" t="str">
        <f>IFERROR(INDEX(Reit!$I:$I,MATCH(AM75,Reit!$F:$F,0)),"")</f>
        <v/>
      </c>
    </row>
    <row r="76" spans="1:40" hidden="1" x14ac:dyDescent="0.2">
      <c r="A76" s="746"/>
      <c r="B76" s="746"/>
      <c r="C76" s="746"/>
      <c r="D76" s="746"/>
      <c r="E76" s="746"/>
      <c r="F76" s="746"/>
      <c r="G76" s="746"/>
      <c r="H76" s="746"/>
      <c r="I76" s="746"/>
      <c r="J76" s="746"/>
      <c r="K76" s="746"/>
      <c r="L76" s="746"/>
      <c r="M76" s="746"/>
      <c r="N76" s="746"/>
      <c r="O76" s="746"/>
      <c r="P76" s="746"/>
      <c r="Q76" s="746"/>
      <c r="R76" s="746"/>
      <c r="S76" s="746"/>
      <c r="T76" s="746"/>
      <c r="U76" s="746"/>
      <c r="V76" s="746"/>
      <c r="AD76" s="618">
        <f t="shared" si="8"/>
        <v>0</v>
      </c>
      <c r="AE76" s="619" t="str">
        <f t="shared" si="15"/>
        <v/>
      </c>
      <c r="AF76" s="620" t="str">
        <f>IFERROR(INDEX(Reit!$I:$I,MATCH(AE76,Reit!$F:$F,0)),"")</f>
        <v/>
      </c>
      <c r="AG76" s="619" t="str">
        <f t="shared" si="16"/>
        <v/>
      </c>
      <c r="AH76" s="620" t="str">
        <f>IFERROR(INDEX(Reit!$I:$I,MATCH(AG76,Reit!$F:$F,0)),"")</f>
        <v/>
      </c>
      <c r="AI76" s="619" t="str">
        <f t="shared" si="17"/>
        <v/>
      </c>
      <c r="AJ76" s="620" t="str">
        <f>IFERROR(INDEX(Reit!$I:$I,MATCH(AI76,Reit!$F:$F,0)),"")</f>
        <v/>
      </c>
      <c r="AK76" s="1344" t="str">
        <f t="shared" si="18"/>
        <v/>
      </c>
      <c r="AL76" s="620" t="str">
        <f>IFERROR(INDEX(Reit!$I:$I,MATCH(AK76,Reit!$F:$F,0)),"")</f>
        <v/>
      </c>
      <c r="AM76" s="619" t="str">
        <f t="shared" si="19"/>
        <v/>
      </c>
      <c r="AN76" s="620" t="str">
        <f>IFERROR(INDEX(Reit!$I:$I,MATCH(AM76,Reit!$F:$F,0)),"")</f>
        <v/>
      </c>
    </row>
    <row r="77" spans="1:40" hidden="1" x14ac:dyDescent="0.2">
      <c r="A77" s="746"/>
      <c r="B77" s="746"/>
      <c r="C77" s="746"/>
      <c r="D77" s="746"/>
      <c r="E77" s="746"/>
      <c r="F77" s="746"/>
      <c r="G77" s="746"/>
      <c r="H77" s="746"/>
      <c r="I77" s="746"/>
      <c r="J77" s="746"/>
      <c r="K77" s="746"/>
      <c r="L77" s="746"/>
      <c r="M77" s="746"/>
      <c r="N77" s="746"/>
      <c r="O77" s="746"/>
      <c r="P77" s="746"/>
      <c r="Q77" s="746"/>
      <c r="R77" s="746"/>
      <c r="S77" s="746"/>
      <c r="T77" s="746"/>
      <c r="U77" s="746"/>
      <c r="V77" s="746"/>
      <c r="AD77" s="618">
        <f t="shared" ref="AD77:AD98" si="20">SUM(AF77:AN77)</f>
        <v>0</v>
      </c>
      <c r="AE77" s="619" t="str">
        <f t="shared" si="15"/>
        <v/>
      </c>
      <c r="AF77" s="620" t="str">
        <f>IFERROR(INDEX(Reit!$I:$I,MATCH(AE77,Reit!$F:$F,0)),"")</f>
        <v/>
      </c>
      <c r="AG77" s="619" t="str">
        <f t="shared" si="16"/>
        <v/>
      </c>
      <c r="AH77" s="620" t="str">
        <f>IFERROR(INDEX(Reit!$I:$I,MATCH(AG77,Reit!$F:$F,0)),"")</f>
        <v/>
      </c>
      <c r="AI77" s="619" t="str">
        <f t="shared" si="17"/>
        <v/>
      </c>
      <c r="AJ77" s="620" t="str">
        <f>IFERROR(INDEX(Reit!$I:$I,MATCH(AI77,Reit!$F:$F,0)),"")</f>
        <v/>
      </c>
      <c r="AK77" s="1344" t="str">
        <f t="shared" si="18"/>
        <v/>
      </c>
      <c r="AL77" s="620" t="str">
        <f>IFERROR(INDEX(Reit!$I:$I,MATCH(AK77,Reit!$F:$F,0)),"")</f>
        <v/>
      </c>
      <c r="AM77" s="619" t="str">
        <f t="shared" si="19"/>
        <v/>
      </c>
      <c r="AN77" s="620" t="str">
        <f>IFERROR(INDEX(Reit!$I:$I,MATCH(AM77,Reit!$F:$F,0)),"")</f>
        <v/>
      </c>
    </row>
    <row r="78" spans="1:40" hidden="1" x14ac:dyDescent="0.2">
      <c r="A78" s="746"/>
      <c r="B78" s="746"/>
      <c r="C78" s="746"/>
      <c r="D78" s="746"/>
      <c r="E78" s="746"/>
      <c r="F78" s="746"/>
      <c r="G78" s="746"/>
      <c r="H78" s="746"/>
      <c r="I78" s="746"/>
      <c r="J78" s="746"/>
      <c r="K78" s="746"/>
      <c r="L78" s="746"/>
      <c r="M78" s="746"/>
      <c r="N78" s="746"/>
      <c r="O78" s="746"/>
      <c r="P78" s="746"/>
      <c r="Q78" s="746"/>
      <c r="R78" s="746"/>
      <c r="S78" s="746"/>
      <c r="T78" s="746"/>
      <c r="U78" s="746"/>
      <c r="V78" s="746"/>
      <c r="AD78" s="618">
        <f t="shared" si="20"/>
        <v>0</v>
      </c>
      <c r="AE78" s="619" t="str">
        <f t="shared" si="15"/>
        <v/>
      </c>
      <c r="AF78" s="620" t="str">
        <f>IFERROR(INDEX(Reit!$I:$I,MATCH(AE78,Reit!$F:$F,0)),"")</f>
        <v/>
      </c>
      <c r="AG78" s="619" t="str">
        <f t="shared" si="16"/>
        <v/>
      </c>
      <c r="AH78" s="620" t="str">
        <f>IFERROR(INDEX(Reit!$I:$I,MATCH(AG78,Reit!$F:$F,0)),"")</f>
        <v/>
      </c>
      <c r="AI78" s="619" t="str">
        <f t="shared" si="17"/>
        <v/>
      </c>
      <c r="AJ78" s="620" t="str">
        <f>IFERROR(INDEX(Reit!$I:$I,MATCH(AI78,Reit!$F:$F,0)),"")</f>
        <v/>
      </c>
      <c r="AK78" s="1344" t="str">
        <f t="shared" si="18"/>
        <v/>
      </c>
      <c r="AL78" s="620" t="str">
        <f>IFERROR(INDEX(Reit!$I:$I,MATCH(AK78,Reit!$F:$F,0)),"")</f>
        <v/>
      </c>
      <c r="AM78" s="619" t="str">
        <f t="shared" si="19"/>
        <v/>
      </c>
      <c r="AN78" s="620" t="str">
        <f>IFERROR(INDEX(Reit!$I:$I,MATCH(AM78,Reit!$F:$F,0)),"")</f>
        <v/>
      </c>
    </row>
    <row r="79" spans="1:40" hidden="1" x14ac:dyDescent="0.2">
      <c r="A79" s="746"/>
      <c r="B79" s="746"/>
      <c r="C79" s="746"/>
      <c r="D79" s="746"/>
      <c r="E79" s="746"/>
      <c r="F79" s="746"/>
      <c r="G79" s="746"/>
      <c r="H79" s="746"/>
      <c r="I79" s="746"/>
      <c r="J79" s="746"/>
      <c r="K79" s="746"/>
      <c r="L79" s="746"/>
      <c r="M79" s="746"/>
      <c r="N79" s="746"/>
      <c r="O79" s="746"/>
      <c r="P79" s="746"/>
      <c r="Q79" s="746"/>
      <c r="R79" s="746"/>
      <c r="S79" s="746"/>
      <c r="T79" s="746"/>
      <c r="U79" s="746"/>
      <c r="V79" s="746"/>
      <c r="AD79" s="618">
        <f t="shared" si="20"/>
        <v>0</v>
      </c>
      <c r="AE79" s="619" t="str">
        <f t="shared" si="15"/>
        <v/>
      </c>
      <c r="AF79" s="620" t="str">
        <f>IFERROR(INDEX(Reit!$I:$I,MATCH(AE79,Reit!$F:$F,0)),"")</f>
        <v/>
      </c>
      <c r="AG79" s="619" t="str">
        <f t="shared" si="16"/>
        <v/>
      </c>
      <c r="AH79" s="620" t="str">
        <f>IFERROR(INDEX(Reit!$I:$I,MATCH(AG79,Reit!$F:$F,0)),"")</f>
        <v/>
      </c>
      <c r="AI79" s="619" t="str">
        <f t="shared" si="17"/>
        <v/>
      </c>
      <c r="AJ79" s="620" t="str">
        <f>IFERROR(INDEX(Reit!$I:$I,MATCH(AI79,Reit!$F:$F,0)),"")</f>
        <v/>
      </c>
      <c r="AK79" s="1344" t="str">
        <f t="shared" si="18"/>
        <v/>
      </c>
      <c r="AL79" s="620" t="str">
        <f>IFERROR(INDEX(Reit!$I:$I,MATCH(AK79,Reit!$F:$F,0)),"")</f>
        <v/>
      </c>
      <c r="AM79" s="619" t="str">
        <f t="shared" si="19"/>
        <v/>
      </c>
      <c r="AN79" s="620" t="str">
        <f>IFERROR(INDEX(Reit!$I:$I,MATCH(AM79,Reit!$F:$F,0)),"")</f>
        <v/>
      </c>
    </row>
    <row r="80" spans="1:40" hidden="1" x14ac:dyDescent="0.2">
      <c r="A80" s="746"/>
      <c r="B80" s="746"/>
      <c r="C80" s="746"/>
      <c r="D80" s="746"/>
      <c r="E80" s="746"/>
      <c r="F80" s="746"/>
      <c r="G80" s="746"/>
      <c r="H80" s="746"/>
      <c r="I80" s="746"/>
      <c r="J80" s="746"/>
      <c r="K80" s="746"/>
      <c r="L80" s="746"/>
      <c r="M80" s="746"/>
      <c r="N80" s="746"/>
      <c r="O80" s="746"/>
      <c r="P80" s="746"/>
      <c r="Q80" s="746"/>
      <c r="R80" s="746"/>
      <c r="S80" s="746"/>
      <c r="T80" s="746"/>
      <c r="U80" s="746"/>
      <c r="V80" s="746"/>
      <c r="AD80" s="618">
        <f t="shared" si="20"/>
        <v>0</v>
      </c>
      <c r="AE80" s="619" t="str">
        <f t="shared" si="15"/>
        <v/>
      </c>
      <c r="AF80" s="620" t="str">
        <f>IFERROR(INDEX(Reit!$I:$I,MATCH(AE80,Reit!$F:$F,0)),"")</f>
        <v/>
      </c>
      <c r="AG80" s="619" t="str">
        <f t="shared" si="16"/>
        <v/>
      </c>
      <c r="AH80" s="620" t="str">
        <f>IFERROR(INDEX(Reit!$I:$I,MATCH(AG80,Reit!$F:$F,0)),"")</f>
        <v/>
      </c>
      <c r="AI80" s="619" t="str">
        <f t="shared" si="17"/>
        <v/>
      </c>
      <c r="AJ80" s="620" t="str">
        <f>IFERROR(INDEX(Reit!$I:$I,MATCH(AI80,Reit!$F:$F,0)),"")</f>
        <v/>
      </c>
      <c r="AK80" s="1344" t="str">
        <f t="shared" si="18"/>
        <v/>
      </c>
      <c r="AL80" s="620" t="str">
        <f>IFERROR(INDEX(Reit!$I:$I,MATCH(AK80,Reit!$F:$F,0)),"")</f>
        <v/>
      </c>
      <c r="AM80" s="619" t="str">
        <f t="shared" si="19"/>
        <v/>
      </c>
      <c r="AN80" s="620" t="str">
        <f>IFERROR(INDEX(Reit!$I:$I,MATCH(AM80,Reit!$F:$F,0)),"")</f>
        <v/>
      </c>
    </row>
    <row r="81" spans="1:40" hidden="1" x14ac:dyDescent="0.2">
      <c r="A81" s="746"/>
      <c r="B81" s="746"/>
      <c r="C81" s="746"/>
      <c r="D81" s="746"/>
      <c r="E81" s="746"/>
      <c r="F81" s="746"/>
      <c r="G81" s="746"/>
      <c r="H81" s="746"/>
      <c r="I81" s="746"/>
      <c r="J81" s="746"/>
      <c r="K81" s="746"/>
      <c r="L81" s="746"/>
      <c r="M81" s="746"/>
      <c r="N81" s="746"/>
      <c r="O81" s="746"/>
      <c r="P81" s="746"/>
      <c r="Q81" s="746"/>
      <c r="R81" s="746"/>
      <c r="S81" s="746"/>
      <c r="T81" s="746"/>
      <c r="U81" s="746"/>
      <c r="V81" s="746"/>
      <c r="AD81" s="618">
        <f t="shared" si="20"/>
        <v>0</v>
      </c>
      <c r="AE81" s="619" t="str">
        <f t="shared" si="15"/>
        <v/>
      </c>
      <c r="AF81" s="620" t="str">
        <f>IFERROR(INDEX(Reit!$I:$I,MATCH(AE81,Reit!$F:$F,0)),"")</f>
        <v/>
      </c>
      <c r="AG81" s="619" t="str">
        <f t="shared" si="16"/>
        <v/>
      </c>
      <c r="AH81" s="620" t="str">
        <f>IFERROR(INDEX(Reit!$I:$I,MATCH(AG81,Reit!$F:$F,0)),"")</f>
        <v/>
      </c>
      <c r="AI81" s="619" t="str">
        <f t="shared" si="17"/>
        <v/>
      </c>
      <c r="AJ81" s="620" t="str">
        <f>IFERROR(INDEX(Reit!$I:$I,MATCH(AI81,Reit!$F:$F,0)),"")</f>
        <v/>
      </c>
      <c r="AK81" s="1344" t="str">
        <f t="shared" si="18"/>
        <v/>
      </c>
      <c r="AL81" s="620" t="str">
        <f>IFERROR(INDEX(Reit!$I:$I,MATCH(AK81,Reit!$F:$F,0)),"")</f>
        <v/>
      </c>
      <c r="AM81" s="619" t="str">
        <f t="shared" si="19"/>
        <v/>
      </c>
      <c r="AN81" s="620" t="str">
        <f>IFERROR(INDEX(Reit!$I:$I,MATCH(AM81,Reit!$F:$F,0)),"")</f>
        <v/>
      </c>
    </row>
    <row r="82" spans="1:40" hidden="1" x14ac:dyDescent="0.2">
      <c r="A82" s="746"/>
      <c r="B82" s="746"/>
      <c r="C82" s="746"/>
      <c r="D82" s="746"/>
      <c r="E82" s="746"/>
      <c r="F82" s="746"/>
      <c r="G82" s="746"/>
      <c r="H82" s="746"/>
      <c r="I82" s="746"/>
      <c r="J82" s="746"/>
      <c r="K82" s="746"/>
      <c r="L82" s="746"/>
      <c r="M82" s="746"/>
      <c r="N82" s="746"/>
      <c r="O82" s="746"/>
      <c r="P82" s="746"/>
      <c r="Q82" s="746"/>
      <c r="R82" s="746"/>
      <c r="S82" s="746"/>
      <c r="T82" s="746"/>
      <c r="U82" s="746"/>
      <c r="V82" s="746"/>
      <c r="AD82" s="618">
        <f t="shared" si="20"/>
        <v>0</v>
      </c>
      <c r="AE82" s="619" t="str">
        <f t="shared" si="15"/>
        <v/>
      </c>
      <c r="AF82" s="620" t="str">
        <f>IFERROR(INDEX(Reit!$I:$I,MATCH(AE82,Reit!$F:$F,0)),"")</f>
        <v/>
      </c>
      <c r="AG82" s="619" t="str">
        <f t="shared" si="16"/>
        <v/>
      </c>
      <c r="AH82" s="620" t="str">
        <f>IFERROR(INDEX(Reit!$I:$I,MATCH(AG82,Reit!$F:$F,0)),"")</f>
        <v/>
      </c>
      <c r="AI82" s="619" t="str">
        <f t="shared" si="17"/>
        <v/>
      </c>
      <c r="AJ82" s="620" t="str">
        <f>IFERROR(INDEX(Reit!$I:$I,MATCH(AI82,Reit!$F:$F,0)),"")</f>
        <v/>
      </c>
      <c r="AK82" s="1344" t="str">
        <f t="shared" si="18"/>
        <v/>
      </c>
      <c r="AL82" s="620" t="str">
        <f>IFERROR(INDEX(Reit!$I:$I,MATCH(AK82,Reit!$F:$F,0)),"")</f>
        <v/>
      </c>
      <c r="AM82" s="619" t="str">
        <f t="shared" si="19"/>
        <v/>
      </c>
      <c r="AN82" s="620" t="str">
        <f>IFERROR(INDEX(Reit!$I:$I,MATCH(AM82,Reit!$F:$F,0)),"")</f>
        <v/>
      </c>
    </row>
    <row r="83" spans="1:40" hidden="1" x14ac:dyDescent="0.2">
      <c r="A83" s="746"/>
      <c r="B83" s="746"/>
      <c r="C83" s="746"/>
      <c r="D83" s="746"/>
      <c r="E83" s="746"/>
      <c r="F83" s="746"/>
      <c r="G83" s="746"/>
      <c r="H83" s="746"/>
      <c r="I83" s="746"/>
      <c r="J83" s="746"/>
      <c r="K83" s="746"/>
      <c r="L83" s="746"/>
      <c r="M83" s="746"/>
      <c r="N83" s="746"/>
      <c r="O83" s="746"/>
      <c r="P83" s="746"/>
      <c r="Q83" s="746"/>
      <c r="R83" s="746"/>
      <c r="S83" s="746"/>
      <c r="T83" s="746"/>
      <c r="U83" s="746"/>
      <c r="V83" s="746"/>
      <c r="AD83" s="618">
        <f t="shared" si="20"/>
        <v>0</v>
      </c>
      <c r="AE83" s="619" t="str">
        <f t="shared" si="15"/>
        <v/>
      </c>
      <c r="AF83" s="620" t="str">
        <f>IFERROR(INDEX(Reit!$I:$I,MATCH(AE83,Reit!$F:$F,0)),"")</f>
        <v/>
      </c>
      <c r="AG83" s="619" t="str">
        <f t="shared" si="16"/>
        <v/>
      </c>
      <c r="AH83" s="620" t="str">
        <f>IFERROR(INDEX(Reit!$I:$I,MATCH(AG83,Reit!$F:$F,0)),"")</f>
        <v/>
      </c>
      <c r="AI83" s="619" t="str">
        <f t="shared" si="17"/>
        <v/>
      </c>
      <c r="AJ83" s="620" t="str">
        <f>IFERROR(INDEX(Reit!$I:$I,MATCH(AI83,Reit!$F:$F,0)),"")</f>
        <v/>
      </c>
      <c r="AK83" s="1344" t="str">
        <f t="shared" si="18"/>
        <v/>
      </c>
      <c r="AL83" s="620" t="str">
        <f>IFERROR(INDEX(Reit!$I:$I,MATCH(AK83,Reit!$F:$F,0)),"")</f>
        <v/>
      </c>
      <c r="AM83" s="619" t="str">
        <f t="shared" si="19"/>
        <v/>
      </c>
      <c r="AN83" s="620" t="str">
        <f>IFERROR(INDEX(Reit!$I:$I,MATCH(AM83,Reit!$F:$F,0)),"")</f>
        <v/>
      </c>
    </row>
    <row r="84" spans="1:40" hidden="1" x14ac:dyDescent="0.2">
      <c r="A84" s="746"/>
      <c r="B84" s="746"/>
      <c r="C84" s="746"/>
      <c r="D84" s="746"/>
      <c r="E84" s="746"/>
      <c r="F84" s="746"/>
      <c r="G84" s="746"/>
      <c r="H84" s="746"/>
      <c r="I84" s="746"/>
      <c r="J84" s="746"/>
      <c r="K84" s="746"/>
      <c r="L84" s="746"/>
      <c r="M84" s="746"/>
      <c r="N84" s="746"/>
      <c r="O84" s="746"/>
      <c r="P84" s="746"/>
      <c r="Q84" s="746"/>
      <c r="R84" s="746"/>
      <c r="S84" s="746"/>
      <c r="T84" s="746"/>
      <c r="U84" s="746"/>
      <c r="V84" s="746"/>
      <c r="AD84" s="618">
        <f t="shared" si="20"/>
        <v>0</v>
      </c>
      <c r="AE84" s="619" t="str">
        <f t="shared" si="15"/>
        <v/>
      </c>
      <c r="AF84" s="620" t="str">
        <f>IFERROR(INDEX(Reit!$I:$I,MATCH(AE84,Reit!$F:$F,0)),"")</f>
        <v/>
      </c>
      <c r="AG84" s="619" t="str">
        <f t="shared" si="16"/>
        <v/>
      </c>
      <c r="AH84" s="620" t="str">
        <f>IFERROR(INDEX(Reit!$I:$I,MATCH(AG84,Reit!$F:$F,0)),"")</f>
        <v/>
      </c>
      <c r="AI84" s="619" t="str">
        <f t="shared" si="17"/>
        <v/>
      </c>
      <c r="AJ84" s="620" t="str">
        <f>IFERROR(INDEX(Reit!$I:$I,MATCH(AI84,Reit!$F:$F,0)),"")</f>
        <v/>
      </c>
      <c r="AK84" s="1344" t="str">
        <f t="shared" si="18"/>
        <v/>
      </c>
      <c r="AL84" s="620" t="str">
        <f>IFERROR(INDEX(Reit!$I:$I,MATCH(AK84,Reit!$F:$F,0)),"")</f>
        <v/>
      </c>
      <c r="AM84" s="619" t="str">
        <f t="shared" si="19"/>
        <v/>
      </c>
      <c r="AN84" s="620" t="str">
        <f>IFERROR(INDEX(Reit!$I:$I,MATCH(AM84,Reit!$F:$F,0)),"")</f>
        <v/>
      </c>
    </row>
    <row r="85" spans="1:40" hidden="1" x14ac:dyDescent="0.2">
      <c r="A85" s="746"/>
      <c r="B85" s="746"/>
      <c r="C85" s="746"/>
      <c r="D85" s="746"/>
      <c r="E85" s="746"/>
      <c r="F85" s="746"/>
      <c r="G85" s="746"/>
      <c r="H85" s="746"/>
      <c r="I85" s="746"/>
      <c r="J85" s="746"/>
      <c r="K85" s="746"/>
      <c r="L85" s="746"/>
      <c r="M85" s="746"/>
      <c r="N85" s="746"/>
      <c r="O85" s="746"/>
      <c r="P85" s="746"/>
      <c r="Q85" s="746"/>
      <c r="R85" s="746"/>
      <c r="S85" s="746"/>
      <c r="T85" s="746"/>
      <c r="U85" s="746"/>
      <c r="V85" s="746"/>
      <c r="AD85" s="618">
        <f t="shared" si="20"/>
        <v>0</v>
      </c>
      <c r="AE85" s="619" t="str">
        <f t="shared" si="15"/>
        <v/>
      </c>
      <c r="AF85" s="620" t="str">
        <f>IFERROR(INDEX(Reit!$I:$I,MATCH(AE85,Reit!$F:$F,0)),"")</f>
        <v/>
      </c>
      <c r="AG85" s="619" t="str">
        <f t="shared" si="16"/>
        <v/>
      </c>
      <c r="AH85" s="620" t="str">
        <f>IFERROR(INDEX(Reit!$I:$I,MATCH(AG85,Reit!$F:$F,0)),"")</f>
        <v/>
      </c>
      <c r="AI85" s="619" t="str">
        <f t="shared" si="17"/>
        <v/>
      </c>
      <c r="AJ85" s="620" t="str">
        <f>IFERROR(INDEX(Reit!$I:$I,MATCH(AI85,Reit!$F:$F,0)),"")</f>
        <v/>
      </c>
      <c r="AK85" s="1344" t="str">
        <f t="shared" si="18"/>
        <v/>
      </c>
      <c r="AL85" s="620" t="str">
        <f>IFERROR(INDEX(Reit!$I:$I,MATCH(AK85,Reit!$F:$F,0)),"")</f>
        <v/>
      </c>
      <c r="AM85" s="619" t="str">
        <f t="shared" si="19"/>
        <v/>
      </c>
      <c r="AN85" s="620" t="str">
        <f>IFERROR(INDEX(Reit!$I:$I,MATCH(AM85,Reit!$F:$F,0)),"")</f>
        <v/>
      </c>
    </row>
    <row r="86" spans="1:40" hidden="1" x14ac:dyDescent="0.2">
      <c r="A86" s="746"/>
      <c r="B86" s="746"/>
      <c r="C86" s="746"/>
      <c r="D86" s="746"/>
      <c r="E86" s="746"/>
      <c r="F86" s="746"/>
      <c r="G86" s="746"/>
      <c r="H86" s="746"/>
      <c r="I86" s="746"/>
      <c r="J86" s="746"/>
      <c r="K86" s="746"/>
      <c r="L86" s="746"/>
      <c r="M86" s="746"/>
      <c r="N86" s="746"/>
      <c r="O86" s="746"/>
      <c r="P86" s="746"/>
      <c r="Q86" s="746"/>
      <c r="R86" s="746"/>
      <c r="S86" s="746"/>
      <c r="T86" s="746"/>
      <c r="U86" s="746"/>
      <c r="V86" s="746"/>
      <c r="AD86" s="618">
        <f t="shared" si="20"/>
        <v>0</v>
      </c>
      <c r="AE86" s="619" t="str">
        <f t="shared" si="15"/>
        <v/>
      </c>
      <c r="AF86" s="620" t="str">
        <f>IFERROR(INDEX(Reit!$I:$I,MATCH(AE86,Reit!$F:$F,0)),"")</f>
        <v/>
      </c>
      <c r="AG86" s="619" t="str">
        <f t="shared" si="16"/>
        <v/>
      </c>
      <c r="AH86" s="620" t="str">
        <f>IFERROR(INDEX(Reit!$I:$I,MATCH(AG86,Reit!$F:$F,0)),"")</f>
        <v/>
      </c>
      <c r="AI86" s="619" t="str">
        <f t="shared" si="17"/>
        <v/>
      </c>
      <c r="AJ86" s="620" t="str">
        <f>IFERROR(INDEX(Reit!$I:$I,MATCH(AI86,Reit!$F:$F,0)),"")</f>
        <v/>
      </c>
      <c r="AK86" s="1344" t="str">
        <f t="shared" si="18"/>
        <v/>
      </c>
      <c r="AL86" s="620" t="str">
        <f>IFERROR(INDEX(Reit!$I:$I,MATCH(AK86,Reit!$F:$F,0)),"")</f>
        <v/>
      </c>
      <c r="AM86" s="619" t="str">
        <f t="shared" si="19"/>
        <v/>
      </c>
      <c r="AN86" s="620" t="str">
        <f>IFERROR(INDEX(Reit!$I:$I,MATCH(AM86,Reit!$F:$F,0)),"")</f>
        <v/>
      </c>
    </row>
    <row r="87" spans="1:40" hidden="1" x14ac:dyDescent="0.2">
      <c r="A87" s="746"/>
      <c r="B87" s="746"/>
      <c r="C87" s="746"/>
      <c r="D87" s="746"/>
      <c r="E87" s="746"/>
      <c r="F87" s="746"/>
      <c r="G87" s="746"/>
      <c r="H87" s="746"/>
      <c r="I87" s="746"/>
      <c r="J87" s="746"/>
      <c r="K87" s="746"/>
      <c r="L87" s="746"/>
      <c r="M87" s="746"/>
      <c r="N87" s="746"/>
      <c r="O87" s="746"/>
      <c r="P87" s="746"/>
      <c r="Q87" s="746"/>
      <c r="R87" s="746"/>
      <c r="S87" s="746"/>
      <c r="T87" s="746"/>
      <c r="U87" s="746"/>
      <c r="V87" s="746"/>
      <c r="AD87" s="618">
        <f t="shared" si="20"/>
        <v>0</v>
      </c>
      <c r="AE87" s="619" t="str">
        <f t="shared" si="15"/>
        <v/>
      </c>
      <c r="AF87" s="620" t="str">
        <f>IFERROR(INDEX(Reit!$I:$I,MATCH(AE87,Reit!$F:$F,0)),"")</f>
        <v/>
      </c>
      <c r="AG87" s="619" t="str">
        <f t="shared" si="16"/>
        <v/>
      </c>
      <c r="AH87" s="620" t="str">
        <f>IFERROR(INDEX(Reit!$I:$I,MATCH(AG87,Reit!$F:$F,0)),"")</f>
        <v/>
      </c>
      <c r="AI87" s="619" t="str">
        <f t="shared" si="17"/>
        <v/>
      </c>
      <c r="AJ87" s="620" t="str">
        <f>IFERROR(INDEX(Reit!$I:$I,MATCH(AI87,Reit!$F:$F,0)),"")</f>
        <v/>
      </c>
      <c r="AK87" s="1344" t="str">
        <f t="shared" si="18"/>
        <v/>
      </c>
      <c r="AL87" s="620" t="str">
        <f>IFERROR(INDEX(Reit!$I:$I,MATCH(AK87,Reit!$F:$F,0)),"")</f>
        <v/>
      </c>
      <c r="AM87" s="619" t="str">
        <f t="shared" si="19"/>
        <v/>
      </c>
      <c r="AN87" s="620" t="str">
        <f>IFERROR(INDEX(Reit!$I:$I,MATCH(AM87,Reit!$F:$F,0)),"")</f>
        <v/>
      </c>
    </row>
    <row r="88" spans="1:40" hidden="1" x14ac:dyDescent="0.2">
      <c r="A88" s="746"/>
      <c r="B88" s="746"/>
      <c r="C88" s="746"/>
      <c r="D88" s="746"/>
      <c r="E88" s="746"/>
      <c r="F88" s="746"/>
      <c r="G88" s="746"/>
      <c r="H88" s="746"/>
      <c r="I88" s="746"/>
      <c r="J88" s="746"/>
      <c r="K88" s="746"/>
      <c r="L88" s="746"/>
      <c r="M88" s="746"/>
      <c r="N88" s="746"/>
      <c r="O88" s="746"/>
      <c r="P88" s="746"/>
      <c r="Q88" s="746"/>
      <c r="R88" s="746"/>
      <c r="S88" s="746"/>
      <c r="T88" s="746"/>
      <c r="U88" s="746"/>
      <c r="V88" s="746"/>
      <c r="AD88" s="618">
        <f t="shared" si="20"/>
        <v>0</v>
      </c>
      <c r="AE88" s="619" t="str">
        <f t="shared" si="15"/>
        <v/>
      </c>
      <c r="AF88" s="620" t="str">
        <f>IFERROR(INDEX(Reit!$I:$I,MATCH(AE88,Reit!$F:$F,0)),"")</f>
        <v/>
      </c>
      <c r="AG88" s="619" t="str">
        <f t="shared" si="16"/>
        <v/>
      </c>
      <c r="AH88" s="620" t="str">
        <f>IFERROR(INDEX(Reit!$I:$I,MATCH(AG88,Reit!$F:$F,0)),"")</f>
        <v/>
      </c>
      <c r="AI88" s="619" t="str">
        <f t="shared" si="17"/>
        <v/>
      </c>
      <c r="AJ88" s="620" t="str">
        <f>IFERROR(INDEX(Reit!$I:$I,MATCH(AI88,Reit!$F:$F,0)),"")</f>
        <v/>
      </c>
      <c r="AK88" s="1344" t="str">
        <f t="shared" si="18"/>
        <v/>
      </c>
      <c r="AL88" s="620" t="str">
        <f>IFERROR(INDEX(Reit!$I:$I,MATCH(AK88,Reit!$F:$F,0)),"")</f>
        <v/>
      </c>
      <c r="AM88" s="619" t="str">
        <f t="shared" si="19"/>
        <v/>
      </c>
      <c r="AN88" s="620" t="str">
        <f>IFERROR(INDEX(Reit!$I:$I,MATCH(AM88,Reit!$F:$F,0)),"")</f>
        <v/>
      </c>
    </row>
    <row r="89" spans="1:40" hidden="1" x14ac:dyDescent="0.2">
      <c r="A89" s="746"/>
      <c r="B89" s="746"/>
      <c r="C89" s="746"/>
      <c r="D89" s="746"/>
      <c r="E89" s="746"/>
      <c r="F89" s="746"/>
      <c r="G89" s="746"/>
      <c r="H89" s="746"/>
      <c r="I89" s="746"/>
      <c r="J89" s="746"/>
      <c r="K89" s="746"/>
      <c r="L89" s="746"/>
      <c r="M89" s="746"/>
      <c r="N89" s="746"/>
      <c r="O89" s="746"/>
      <c r="P89" s="746"/>
      <c r="Q89" s="746"/>
      <c r="R89" s="746"/>
      <c r="S89" s="746"/>
      <c r="T89" s="746"/>
      <c r="U89" s="746"/>
      <c r="V89" s="746"/>
      <c r="AD89" s="618">
        <f t="shared" si="20"/>
        <v>0</v>
      </c>
      <c r="AE89" s="619" t="str">
        <f t="shared" si="15"/>
        <v/>
      </c>
      <c r="AF89" s="620" t="str">
        <f>IFERROR(INDEX(Reit!$I:$I,MATCH(AE89,Reit!$F:$F,0)),"")</f>
        <v/>
      </c>
      <c r="AG89" s="619" t="str">
        <f t="shared" si="16"/>
        <v/>
      </c>
      <c r="AH89" s="620" t="str">
        <f>IFERROR(INDEX(Reit!$I:$I,MATCH(AG89,Reit!$F:$F,0)),"")</f>
        <v/>
      </c>
      <c r="AI89" s="619" t="str">
        <f t="shared" si="17"/>
        <v/>
      </c>
      <c r="AJ89" s="620" t="str">
        <f>IFERROR(INDEX(Reit!$I:$I,MATCH(AI89,Reit!$F:$F,0)),"")</f>
        <v/>
      </c>
      <c r="AK89" s="1344" t="str">
        <f t="shared" si="18"/>
        <v/>
      </c>
      <c r="AL89" s="620" t="str">
        <f>IFERROR(INDEX(Reit!$I:$I,MATCH(AK89,Reit!$F:$F,0)),"")</f>
        <v/>
      </c>
      <c r="AM89" s="619" t="str">
        <f t="shared" si="19"/>
        <v/>
      </c>
      <c r="AN89" s="620" t="str">
        <f>IFERROR(INDEX(Reit!$I:$I,MATCH(AM89,Reit!$F:$F,0)),"")</f>
        <v/>
      </c>
    </row>
    <row r="90" spans="1:40" hidden="1" x14ac:dyDescent="0.2">
      <c r="A90" s="746"/>
      <c r="B90" s="746"/>
      <c r="C90" s="746"/>
      <c r="D90" s="746"/>
      <c r="E90" s="746"/>
      <c r="F90" s="746"/>
      <c r="G90" s="746"/>
      <c r="H90" s="746"/>
      <c r="I90" s="746"/>
      <c r="J90" s="746"/>
      <c r="K90" s="746"/>
      <c r="L90" s="746"/>
      <c r="M90" s="746"/>
      <c r="N90" s="746"/>
      <c r="O90" s="746"/>
      <c r="P90" s="746"/>
      <c r="Q90" s="746"/>
      <c r="R90" s="746"/>
      <c r="S90" s="746"/>
      <c r="T90" s="746"/>
      <c r="U90" s="746"/>
      <c r="V90" s="746"/>
      <c r="AD90" s="618">
        <f t="shared" si="20"/>
        <v>0</v>
      </c>
      <c r="AE90" s="619" t="str">
        <f t="shared" si="15"/>
        <v/>
      </c>
      <c r="AF90" s="620" t="str">
        <f>IFERROR(INDEX(Reit!$I:$I,MATCH(AE90,Reit!$F:$F,0)),"")</f>
        <v/>
      </c>
      <c r="AG90" s="619" t="str">
        <f t="shared" si="16"/>
        <v/>
      </c>
      <c r="AH90" s="620" t="str">
        <f>IFERROR(INDEX(Reit!$I:$I,MATCH(AG90,Reit!$F:$F,0)),"")</f>
        <v/>
      </c>
      <c r="AI90" s="619" t="str">
        <f t="shared" si="17"/>
        <v/>
      </c>
      <c r="AJ90" s="620" t="str">
        <f>IFERROR(INDEX(Reit!$I:$I,MATCH(AI90,Reit!$F:$F,0)),"")</f>
        <v/>
      </c>
      <c r="AK90" s="1344" t="str">
        <f t="shared" si="18"/>
        <v/>
      </c>
      <c r="AL90" s="620" t="str">
        <f>IFERROR(INDEX(Reit!$I:$I,MATCH(AK90,Reit!$F:$F,0)),"")</f>
        <v/>
      </c>
      <c r="AM90" s="619" t="str">
        <f t="shared" si="19"/>
        <v/>
      </c>
      <c r="AN90" s="620" t="str">
        <f>IFERROR(INDEX(Reit!$I:$I,MATCH(AM90,Reit!$F:$F,0)),"")</f>
        <v/>
      </c>
    </row>
    <row r="91" spans="1:40" hidden="1" x14ac:dyDescent="0.2">
      <c r="A91" s="746"/>
      <c r="B91" s="746"/>
      <c r="C91" s="746"/>
      <c r="D91" s="746"/>
      <c r="E91" s="746"/>
      <c r="F91" s="746"/>
      <c r="G91" s="746"/>
      <c r="H91" s="746"/>
      <c r="I91" s="746"/>
      <c r="J91" s="746"/>
      <c r="K91" s="746"/>
      <c r="L91" s="746"/>
      <c r="M91" s="746"/>
      <c r="N91" s="746"/>
      <c r="O91" s="746"/>
      <c r="P91" s="746"/>
      <c r="Q91" s="746"/>
      <c r="R91" s="746"/>
      <c r="S91" s="746"/>
      <c r="T91" s="746"/>
      <c r="U91" s="746"/>
      <c r="V91" s="746"/>
      <c r="AD91" s="618">
        <f t="shared" si="20"/>
        <v>0</v>
      </c>
      <c r="AE91" s="619" t="str">
        <f t="shared" si="15"/>
        <v/>
      </c>
      <c r="AF91" s="620" t="str">
        <f>IFERROR(INDEX(Reit!$I:$I,MATCH(AE91,Reit!$F:$F,0)),"")</f>
        <v/>
      </c>
      <c r="AG91" s="619" t="str">
        <f t="shared" si="16"/>
        <v/>
      </c>
      <c r="AH91" s="620" t="str">
        <f>IFERROR(INDEX(Reit!$I:$I,MATCH(AG91,Reit!$F:$F,0)),"")</f>
        <v/>
      </c>
      <c r="AI91" s="619" t="str">
        <f t="shared" si="17"/>
        <v/>
      </c>
      <c r="AJ91" s="620" t="str">
        <f>IFERROR(INDEX(Reit!$I:$I,MATCH(AI91,Reit!$F:$F,0)),"")</f>
        <v/>
      </c>
      <c r="AK91" s="1344" t="str">
        <f t="shared" si="18"/>
        <v/>
      </c>
      <c r="AL91" s="620" t="str">
        <f>IFERROR(INDEX(Reit!$I:$I,MATCH(AK91,Reit!$F:$F,0)),"")</f>
        <v/>
      </c>
      <c r="AM91" s="619" t="str">
        <f t="shared" si="19"/>
        <v/>
      </c>
      <c r="AN91" s="620" t="str">
        <f>IFERROR(INDEX(Reit!$I:$I,MATCH(AM91,Reit!$F:$F,0)),"")</f>
        <v/>
      </c>
    </row>
    <row r="92" spans="1:40" hidden="1" x14ac:dyDescent="0.2">
      <c r="A92" s="746"/>
      <c r="B92" s="746"/>
      <c r="C92" s="746"/>
      <c r="D92" s="746"/>
      <c r="E92" s="746"/>
      <c r="F92" s="746"/>
      <c r="G92" s="746"/>
      <c r="H92" s="746"/>
      <c r="I92" s="746"/>
      <c r="J92" s="746"/>
      <c r="K92" s="746"/>
      <c r="L92" s="746"/>
      <c r="M92" s="746"/>
      <c r="N92" s="746"/>
      <c r="O92" s="746"/>
      <c r="P92" s="746"/>
      <c r="Q92" s="746"/>
      <c r="R92" s="746"/>
      <c r="S92" s="746"/>
      <c r="T92" s="746"/>
      <c r="U92" s="746"/>
      <c r="V92" s="746"/>
      <c r="AD92" s="618">
        <f t="shared" si="20"/>
        <v>0</v>
      </c>
      <c r="AE92" s="619" t="str">
        <f t="shared" si="15"/>
        <v/>
      </c>
      <c r="AF92" s="620" t="str">
        <f>IFERROR(INDEX(Reit!$I:$I,MATCH(AE92,Reit!$F:$F,0)),"")</f>
        <v/>
      </c>
      <c r="AG92" s="619" t="str">
        <f t="shared" si="16"/>
        <v/>
      </c>
      <c r="AH92" s="620" t="str">
        <f>IFERROR(INDEX(Reit!$I:$I,MATCH(AG92,Reit!$F:$F,0)),"")</f>
        <v/>
      </c>
      <c r="AI92" s="619" t="str">
        <f t="shared" si="17"/>
        <v/>
      </c>
      <c r="AJ92" s="620" t="str">
        <f>IFERROR(INDEX(Reit!$I:$I,MATCH(AI92,Reit!$F:$F,0)),"")</f>
        <v/>
      </c>
      <c r="AK92" s="1344" t="str">
        <f t="shared" si="18"/>
        <v/>
      </c>
      <c r="AL92" s="620" t="str">
        <f>IFERROR(INDEX(Reit!$I:$I,MATCH(AK92,Reit!$F:$F,0)),"")</f>
        <v/>
      </c>
      <c r="AM92" s="619" t="str">
        <f t="shared" si="19"/>
        <v/>
      </c>
      <c r="AN92" s="620" t="str">
        <f>IFERROR(INDEX(Reit!$I:$I,MATCH(AM92,Reit!$F:$F,0)),"")</f>
        <v/>
      </c>
    </row>
    <row r="93" spans="1:40" hidden="1" x14ac:dyDescent="0.2">
      <c r="A93" s="746"/>
      <c r="B93" s="746"/>
      <c r="C93" s="746"/>
      <c r="D93" s="746"/>
      <c r="E93" s="746"/>
      <c r="F93" s="746"/>
      <c r="G93" s="746"/>
      <c r="H93" s="746"/>
      <c r="I93" s="746"/>
      <c r="J93" s="746"/>
      <c r="K93" s="746"/>
      <c r="L93" s="746"/>
      <c r="M93" s="746"/>
      <c r="N93" s="746"/>
      <c r="O93" s="746"/>
      <c r="P93" s="746"/>
      <c r="Q93" s="746"/>
      <c r="R93" s="746"/>
      <c r="S93" s="746"/>
      <c r="T93" s="746"/>
      <c r="U93" s="746"/>
      <c r="V93" s="746"/>
      <c r="AD93" s="618">
        <f t="shared" si="20"/>
        <v>0</v>
      </c>
      <c r="AE93" s="619" t="str">
        <f t="shared" si="15"/>
        <v/>
      </c>
      <c r="AF93" s="620" t="str">
        <f>IFERROR(INDEX(Reit!$I:$I,MATCH(AE93,Reit!$F:$F,0)),"")</f>
        <v/>
      </c>
      <c r="AG93" s="619" t="str">
        <f t="shared" si="16"/>
        <v/>
      </c>
      <c r="AH93" s="620" t="str">
        <f>IFERROR(INDEX(Reit!$I:$I,MATCH(AG93,Reit!$F:$F,0)),"")</f>
        <v/>
      </c>
      <c r="AI93" s="619" t="str">
        <f t="shared" si="17"/>
        <v/>
      </c>
      <c r="AJ93" s="620" t="str">
        <f>IFERROR(INDEX(Reit!$I:$I,MATCH(AI93,Reit!$F:$F,0)),"")</f>
        <v/>
      </c>
      <c r="AK93" s="1344" t="str">
        <f t="shared" si="18"/>
        <v/>
      </c>
      <c r="AL93" s="620" t="str">
        <f>IFERROR(INDEX(Reit!$I:$I,MATCH(AK93,Reit!$F:$F,0)),"")</f>
        <v/>
      </c>
      <c r="AM93" s="619" t="str">
        <f t="shared" si="19"/>
        <v/>
      </c>
      <c r="AN93" s="620" t="str">
        <f>IFERROR(INDEX(Reit!$I:$I,MATCH(AM93,Reit!$F:$F,0)),"")</f>
        <v/>
      </c>
    </row>
    <row r="94" spans="1:40" hidden="1" x14ac:dyDescent="0.2">
      <c r="A94" s="746"/>
      <c r="B94" s="746"/>
      <c r="C94" s="746"/>
      <c r="D94" s="746"/>
      <c r="E94" s="746"/>
      <c r="F94" s="746"/>
      <c r="G94" s="746"/>
      <c r="H94" s="746"/>
      <c r="I94" s="746"/>
      <c r="J94" s="746"/>
      <c r="K94" s="746"/>
      <c r="L94" s="746"/>
      <c r="M94" s="746"/>
      <c r="N94" s="746"/>
      <c r="O94" s="746"/>
      <c r="P94" s="746"/>
      <c r="Q94" s="746"/>
      <c r="R94" s="746"/>
      <c r="S94" s="746"/>
      <c r="T94" s="746"/>
      <c r="U94" s="746"/>
      <c r="V94" s="746"/>
      <c r="AD94" s="618">
        <f t="shared" si="20"/>
        <v>0</v>
      </c>
      <c r="AE94" s="619" t="str">
        <f t="shared" si="15"/>
        <v/>
      </c>
      <c r="AF94" s="620" t="str">
        <f>IFERROR(INDEX(Reit!$I:$I,MATCH(AE94,Reit!$F:$F,0)),"")</f>
        <v/>
      </c>
      <c r="AG94" s="619" t="str">
        <f t="shared" si="16"/>
        <v/>
      </c>
      <c r="AH94" s="620" t="str">
        <f>IFERROR(INDEX(Reit!$I:$I,MATCH(AG94,Reit!$F:$F,0)),"")</f>
        <v/>
      </c>
      <c r="AI94" s="619" t="str">
        <f t="shared" si="17"/>
        <v/>
      </c>
      <c r="AJ94" s="620" t="str">
        <f>IFERROR(INDEX(Reit!$I:$I,MATCH(AI94,Reit!$F:$F,0)),"")</f>
        <v/>
      </c>
      <c r="AK94" s="1344" t="str">
        <f t="shared" si="18"/>
        <v/>
      </c>
      <c r="AL94" s="620" t="str">
        <f>IFERROR(INDEX(Reit!$I:$I,MATCH(AK94,Reit!$F:$F,0)),"")</f>
        <v/>
      </c>
      <c r="AM94" s="619" t="str">
        <f t="shared" si="19"/>
        <v/>
      </c>
      <c r="AN94" s="620" t="str">
        <f>IFERROR(INDEX(Reit!$I:$I,MATCH(AM94,Reit!$F:$F,0)),"")</f>
        <v/>
      </c>
    </row>
    <row r="95" spans="1:40" hidden="1" x14ac:dyDescent="0.2">
      <c r="A95" s="746"/>
      <c r="B95" s="746"/>
      <c r="C95" s="746"/>
      <c r="D95" s="746"/>
      <c r="E95" s="746"/>
      <c r="F95" s="746"/>
      <c r="G95" s="746"/>
      <c r="H95" s="746"/>
      <c r="I95" s="746"/>
      <c r="J95" s="746"/>
      <c r="K95" s="746"/>
      <c r="L95" s="746"/>
      <c r="M95" s="746"/>
      <c r="N95" s="746"/>
      <c r="O95" s="746"/>
      <c r="P95" s="746"/>
      <c r="Q95" s="746"/>
      <c r="R95" s="746"/>
      <c r="S95" s="746"/>
      <c r="T95" s="746"/>
      <c r="U95" s="746"/>
      <c r="V95" s="746"/>
      <c r="AD95" s="618">
        <f t="shared" si="20"/>
        <v>0</v>
      </c>
      <c r="AE95" s="619" t="str">
        <f t="shared" si="15"/>
        <v/>
      </c>
      <c r="AF95" s="620" t="str">
        <f>IFERROR(INDEX(Reit!$I:$I,MATCH(AE95,Reit!$F:$F,0)),"")</f>
        <v/>
      </c>
      <c r="AG95" s="619" t="str">
        <f t="shared" si="16"/>
        <v/>
      </c>
      <c r="AH95" s="620" t="str">
        <f>IFERROR(INDEX(Reit!$I:$I,MATCH(AG95,Reit!$F:$F,0)),"")</f>
        <v/>
      </c>
      <c r="AI95" s="619" t="str">
        <f t="shared" si="17"/>
        <v/>
      </c>
      <c r="AJ95" s="620" t="str">
        <f>IFERROR(INDEX(Reit!$I:$I,MATCH(AI95,Reit!$F:$F,0)),"")</f>
        <v/>
      </c>
      <c r="AK95" s="1344" t="str">
        <f t="shared" si="18"/>
        <v/>
      </c>
      <c r="AL95" s="620" t="str">
        <f>IFERROR(INDEX(Reit!$I:$I,MATCH(AK95,Reit!$F:$F,0)),"")</f>
        <v/>
      </c>
      <c r="AM95" s="619" t="str">
        <f t="shared" si="19"/>
        <v/>
      </c>
      <c r="AN95" s="620" t="str">
        <f>IFERROR(INDEX(Reit!$I:$I,MATCH(AM95,Reit!$F:$F,0)),"")</f>
        <v/>
      </c>
    </row>
    <row r="96" spans="1:40" hidden="1" x14ac:dyDescent="0.2">
      <c r="A96" s="746"/>
      <c r="B96" s="746"/>
      <c r="C96" s="746"/>
      <c r="D96" s="746"/>
      <c r="E96" s="746"/>
      <c r="F96" s="746"/>
      <c r="G96" s="746"/>
      <c r="H96" s="746"/>
      <c r="I96" s="746"/>
      <c r="J96" s="746"/>
      <c r="K96" s="746"/>
      <c r="L96" s="746"/>
      <c r="M96" s="746"/>
      <c r="N96" s="746"/>
      <c r="O96" s="746"/>
      <c r="P96" s="746"/>
      <c r="Q96" s="746"/>
      <c r="R96" s="746"/>
      <c r="S96" s="746"/>
      <c r="T96" s="746"/>
      <c r="U96" s="746"/>
      <c r="V96" s="746"/>
      <c r="AD96" s="618">
        <f t="shared" si="20"/>
        <v>0</v>
      </c>
      <c r="AE96" s="619" t="str">
        <f t="shared" si="15"/>
        <v/>
      </c>
      <c r="AF96" s="620" t="str">
        <f>IFERROR(INDEX(Reit!$I:$I,MATCH(AE96,Reit!$F:$F,0)),"")</f>
        <v/>
      </c>
      <c r="AG96" s="619" t="str">
        <f t="shared" si="16"/>
        <v/>
      </c>
      <c r="AH96" s="620" t="str">
        <f>IFERROR(INDEX(Reit!$I:$I,MATCH(AG96,Reit!$F:$F,0)),"")</f>
        <v/>
      </c>
      <c r="AI96" s="619" t="str">
        <f t="shared" si="17"/>
        <v/>
      </c>
      <c r="AJ96" s="620" t="str">
        <f>IFERROR(INDEX(Reit!$I:$I,MATCH(AI96,Reit!$F:$F,0)),"")</f>
        <v/>
      </c>
      <c r="AK96" s="1344" t="str">
        <f t="shared" si="18"/>
        <v/>
      </c>
      <c r="AL96" s="620" t="str">
        <f>IFERROR(INDEX(Reit!$I:$I,MATCH(AK96,Reit!$F:$F,0)),"")</f>
        <v/>
      </c>
      <c r="AM96" s="619" t="str">
        <f t="shared" si="19"/>
        <v/>
      </c>
      <c r="AN96" s="620" t="str">
        <f>IFERROR(INDEX(Reit!$I:$I,MATCH(AM96,Reit!$F:$F,0)),"")</f>
        <v/>
      </c>
    </row>
    <row r="97" spans="1:40" hidden="1" x14ac:dyDescent="0.2">
      <c r="A97" s="746"/>
      <c r="B97" s="746"/>
      <c r="C97" s="746"/>
      <c r="D97" s="746"/>
      <c r="E97" s="746"/>
      <c r="F97" s="746"/>
      <c r="G97" s="746"/>
      <c r="H97" s="746"/>
      <c r="I97" s="746"/>
      <c r="J97" s="746"/>
      <c r="K97" s="746"/>
      <c r="L97" s="746"/>
      <c r="M97" s="746"/>
      <c r="N97" s="746"/>
      <c r="O97" s="746"/>
      <c r="P97" s="746"/>
      <c r="Q97" s="746"/>
      <c r="R97" s="746"/>
      <c r="S97" s="746"/>
      <c r="T97" s="746"/>
      <c r="U97" s="746"/>
      <c r="V97" s="746"/>
      <c r="AD97" s="618">
        <f t="shared" si="20"/>
        <v>0</v>
      </c>
      <c r="AE97" s="619" t="str">
        <f t="shared" si="15"/>
        <v/>
      </c>
      <c r="AF97" s="620" t="str">
        <f>IFERROR(INDEX(Reit!$I:$I,MATCH(AE97,Reit!$F:$F,0)),"")</f>
        <v/>
      </c>
      <c r="AG97" s="619" t="str">
        <f t="shared" si="16"/>
        <v/>
      </c>
      <c r="AH97" s="620" t="str">
        <f>IFERROR(INDEX(Reit!$I:$I,MATCH(AG97,Reit!$F:$F,0)),"")</f>
        <v/>
      </c>
      <c r="AI97" s="619" t="str">
        <f t="shared" si="17"/>
        <v/>
      </c>
      <c r="AJ97" s="620" t="str">
        <f>IFERROR(INDEX(Reit!$I:$I,MATCH(AI97,Reit!$F:$F,0)),"")</f>
        <v/>
      </c>
      <c r="AK97" s="1344" t="str">
        <f t="shared" si="18"/>
        <v/>
      </c>
      <c r="AL97" s="620" t="str">
        <f>IFERROR(INDEX(Reit!$I:$I,MATCH(AK97,Reit!$F:$F,0)),"")</f>
        <v/>
      </c>
      <c r="AM97" s="619" t="str">
        <f t="shared" si="19"/>
        <v/>
      </c>
      <c r="AN97" s="620" t="str">
        <f>IFERROR(INDEX(Reit!$I:$I,MATCH(AM97,Reit!$F:$F,0)),"")</f>
        <v/>
      </c>
    </row>
    <row r="98" spans="1:40" hidden="1" x14ac:dyDescent="0.2">
      <c r="A98" s="746"/>
      <c r="B98" s="746"/>
      <c r="C98" s="746"/>
      <c r="D98" s="746"/>
      <c r="E98" s="746"/>
      <c r="F98" s="746"/>
      <c r="G98" s="746"/>
      <c r="H98" s="746"/>
      <c r="I98" s="746"/>
      <c r="J98" s="746"/>
      <c r="K98" s="746"/>
      <c r="L98" s="746"/>
      <c r="M98" s="746"/>
      <c r="N98" s="746"/>
      <c r="O98" s="746"/>
      <c r="P98" s="746"/>
      <c r="Q98" s="746"/>
      <c r="R98" s="746"/>
      <c r="S98" s="746"/>
      <c r="T98" s="746"/>
      <c r="U98" s="746"/>
      <c r="V98" s="746"/>
      <c r="AD98" s="618">
        <f t="shared" si="20"/>
        <v>0</v>
      </c>
      <c r="AE98" s="619" t="str">
        <f t="shared" si="15"/>
        <v/>
      </c>
      <c r="AF98" s="620" t="str">
        <f>IFERROR(INDEX(Reit!$I:$I,MATCH(AE98,Reit!$F:$F,0)),"")</f>
        <v/>
      </c>
      <c r="AG98" s="619" t="str">
        <f t="shared" si="16"/>
        <v/>
      </c>
      <c r="AH98" s="620" t="str">
        <f>IFERROR(INDEX(Reit!$I:$I,MATCH(AG98,Reit!$F:$F,0)),"")</f>
        <v/>
      </c>
      <c r="AI98" s="619" t="str">
        <f t="shared" si="17"/>
        <v/>
      </c>
      <c r="AJ98" s="620" t="str">
        <f>IFERROR(INDEX(Reit!$I:$I,MATCH(AI98,Reit!$F:$F,0)),"")</f>
        <v/>
      </c>
      <c r="AK98" s="1344" t="str">
        <f t="shared" si="18"/>
        <v/>
      </c>
      <c r="AL98" s="620" t="str">
        <f>IFERROR(INDEX(Reit!$I:$I,MATCH(AK98,Reit!$F:$F,0)),"")</f>
        <v/>
      </c>
      <c r="AM98" s="619" t="str">
        <f t="shared" si="19"/>
        <v/>
      </c>
      <c r="AN98" s="620" t="str">
        <f>IFERROR(INDEX(Reit!$I:$I,MATCH(AM98,Reit!$F:$F,0)),"")</f>
        <v/>
      </c>
    </row>
    <row r="99" spans="1:40" x14ac:dyDescent="0.2">
      <c r="A99" s="746"/>
      <c r="B99" s="746"/>
      <c r="C99" s="746"/>
      <c r="D99" s="746"/>
      <c r="E99" s="746"/>
      <c r="F99" s="746"/>
      <c r="G99" s="746"/>
      <c r="H99" s="746"/>
      <c r="I99" s="746"/>
      <c r="J99" s="746"/>
      <c r="K99" s="746"/>
      <c r="L99" s="746"/>
      <c r="M99" s="746"/>
      <c r="N99" s="746"/>
      <c r="O99" s="746"/>
      <c r="P99" s="746"/>
      <c r="Q99" s="746"/>
      <c r="R99" s="746"/>
      <c r="S99" s="746"/>
      <c r="T99" s="746"/>
      <c r="U99" s="746"/>
      <c r="V99" s="746"/>
    </row>
    <row r="100" spans="1:40" x14ac:dyDescent="0.2">
      <c r="A100" s="1315" t="s">
        <v>454</v>
      </c>
      <c r="B100" s="746"/>
      <c r="C100" s="746"/>
      <c r="D100" s="746"/>
      <c r="E100" s="746"/>
      <c r="F100" s="746"/>
      <c r="G100" s="746"/>
      <c r="H100" s="746"/>
      <c r="I100" s="746"/>
      <c r="J100" s="746"/>
      <c r="L100" s="746"/>
      <c r="M100" s="746"/>
      <c r="N100" s="746"/>
      <c r="O100" s="746"/>
      <c r="P100" s="746"/>
      <c r="Q100" s="746"/>
      <c r="R100" s="746"/>
      <c r="S100" s="746"/>
      <c r="T100" s="746"/>
      <c r="U100" s="746"/>
      <c r="V100" s="746"/>
    </row>
    <row r="101" spans="1:40" x14ac:dyDescent="0.2">
      <c r="A101" s="746"/>
      <c r="B101" s="746"/>
      <c r="C101" s="746"/>
      <c r="D101" s="746"/>
      <c r="E101" s="746"/>
      <c r="F101" s="746"/>
      <c r="G101" s="746"/>
      <c r="H101" s="746"/>
      <c r="I101" s="746"/>
      <c r="J101" s="746"/>
      <c r="L101" s="746"/>
      <c r="M101" s="746"/>
      <c r="N101" s="746"/>
      <c r="O101" s="746"/>
      <c r="P101" s="746"/>
      <c r="Q101" s="746"/>
      <c r="R101" s="746"/>
      <c r="S101" s="746"/>
      <c r="T101" s="746"/>
      <c r="U101" s="746"/>
      <c r="V101" s="746"/>
    </row>
    <row r="102" spans="1:40" x14ac:dyDescent="0.2">
      <c r="A102" s="1316" t="s">
        <v>336</v>
      </c>
      <c r="B102" s="1317" t="str">
        <f>IF(A102="-","-",IFERROR(INDEX(B$1:B$100,MATCH(A102,I$1:I$100,0)),""))</f>
        <v>Kaspar Mänd, Matti Vinni, Olav Türk</v>
      </c>
      <c r="C102" s="1318">
        <v>13</v>
      </c>
      <c r="D102" s="1318"/>
      <c r="E102" s="1318"/>
      <c r="F102" s="1319"/>
      <c r="L102" s="746"/>
      <c r="M102" s="746"/>
      <c r="N102" s="746"/>
      <c r="O102" s="746"/>
      <c r="P102" s="746"/>
      <c r="Q102" s="746"/>
      <c r="R102" s="746"/>
      <c r="S102" s="746"/>
      <c r="T102" s="746"/>
      <c r="U102" s="746"/>
      <c r="V102" s="746"/>
    </row>
    <row r="103" spans="1:40" x14ac:dyDescent="0.2">
      <c r="A103" s="1316"/>
      <c r="B103" s="1320"/>
      <c r="C103" s="1321" t="str">
        <f>IF(COUNT(C102,C104)=2,IF(C102&gt;C104,B102,B104),"")</f>
        <v>Kaspar Mänd, Matti Vinni, Olav Türk</v>
      </c>
      <c r="D103" s="1319"/>
      <c r="E103" s="1318">
        <v>13</v>
      </c>
      <c r="F103" s="1319"/>
      <c r="L103" s="625"/>
      <c r="M103" s="746"/>
      <c r="N103" s="746"/>
      <c r="O103" s="746"/>
      <c r="P103" s="746"/>
      <c r="Q103" s="746"/>
      <c r="R103" s="746"/>
      <c r="S103" s="746"/>
      <c r="T103" s="746"/>
      <c r="U103" s="746"/>
      <c r="V103" s="746"/>
    </row>
    <row r="104" spans="1:40" x14ac:dyDescent="0.2">
      <c r="A104" s="1316" t="s">
        <v>337</v>
      </c>
      <c r="B104" s="1322" t="str">
        <f>IF(A104="-","-",IFERROR(INDEX(B$1:B$100,MATCH(A104,I$1:I$100,0)),""))</f>
        <v>Ivar Viljaste, Janek Tarto, Meelis Luud</v>
      </c>
      <c r="C104" s="1323">
        <v>6</v>
      </c>
      <c r="D104" s="1324"/>
      <c r="E104" s="1319"/>
      <c r="F104" s="1319"/>
      <c r="L104" s="625"/>
      <c r="M104" s="746"/>
      <c r="N104" s="746"/>
      <c r="O104" s="746"/>
      <c r="P104" s="746"/>
      <c r="Q104" s="746"/>
      <c r="R104" s="746"/>
      <c r="S104" s="746"/>
      <c r="T104" s="746"/>
      <c r="U104" s="746"/>
      <c r="V104" s="746"/>
    </row>
    <row r="105" spans="1:40" ht="13.5" thickBot="1" x14ac:dyDescent="0.25">
      <c r="A105" s="1316"/>
      <c r="B105" s="1325"/>
      <c r="C105" s="1326"/>
      <c r="D105" s="1327"/>
      <c r="E105" s="1328"/>
      <c r="F105" s="1329" t="str">
        <f>IF(COUNT(E103,E107)=2,IF(E103&gt;E107,C103,C107),"")</f>
        <v>Kaspar Mänd, Matti Vinni, Olav Türk</v>
      </c>
      <c r="L105" s="746"/>
      <c r="M105" s="746"/>
      <c r="N105" s="746"/>
      <c r="O105" s="746"/>
      <c r="P105" s="746"/>
      <c r="Q105" s="746"/>
      <c r="R105" s="746"/>
      <c r="S105" s="746"/>
      <c r="T105" s="746"/>
      <c r="U105" s="746"/>
      <c r="V105" s="746"/>
    </row>
    <row r="106" spans="1:40" x14ac:dyDescent="0.2">
      <c r="A106" s="1316" t="s">
        <v>338</v>
      </c>
      <c r="B106" s="1317" t="str">
        <f>IF(A106="-","-",IFERROR(INDEX(B$1:B$100,MATCH(A106,I$1:I$100,0)),""))</f>
        <v>Jaan Sepp, Oskar Sepp, Sander Rose</v>
      </c>
      <c r="C106" s="1318">
        <v>6</v>
      </c>
      <c r="D106" s="1327"/>
      <c r="E106" s="1330"/>
      <c r="F106" s="1331" t="s">
        <v>331</v>
      </c>
      <c r="G106" s="1243"/>
      <c r="L106" s="746"/>
      <c r="M106" s="746"/>
      <c r="N106" s="746"/>
      <c r="O106" s="746"/>
      <c r="P106" s="746"/>
      <c r="Q106" s="746"/>
    </row>
    <row r="107" spans="1:40" x14ac:dyDescent="0.2">
      <c r="A107" s="1316"/>
      <c r="B107" s="1320"/>
      <c r="C107" s="1321" t="str">
        <f>IF(COUNT(C106,C108)=2,IF(C106&gt;C108,B106,B108),"")</f>
        <v>Enn Tokman, Kenneth Muusikus, Urmas Randlaine</v>
      </c>
      <c r="D107" s="1332"/>
      <c r="E107" s="1323">
        <v>0</v>
      </c>
      <c r="F107" s="1333"/>
      <c r="G107" s="622"/>
      <c r="L107" s="746"/>
      <c r="M107" s="746"/>
      <c r="N107" s="746"/>
      <c r="O107" s="746"/>
      <c r="P107" s="746"/>
      <c r="Q107" s="746"/>
    </row>
    <row r="108" spans="1:40" ht="13.5" thickBot="1" x14ac:dyDescent="0.25">
      <c r="A108" s="1316" t="s">
        <v>339</v>
      </c>
      <c r="B108" s="1322" t="str">
        <f>IF(A108="-","-",IFERROR(INDEX(B$1:B$100,MATCH(A108,I$1:I$100,0)),""))</f>
        <v>Enn Tokman, Kenneth Muusikus, Urmas Randlaine</v>
      </c>
      <c r="C108" s="1323">
        <v>13</v>
      </c>
      <c r="D108" s="1318"/>
      <c r="E108" s="1326"/>
      <c r="F108" s="1334" t="str">
        <f>IF(COUNT(E103,E107)=2,IF(E103&lt;E107,C103,C107),"")</f>
        <v>Enn Tokman, Kenneth Muusikus, Urmas Randlaine</v>
      </c>
      <c r="G108" s="1246"/>
      <c r="L108" s="746"/>
      <c r="M108" s="746"/>
      <c r="N108" s="746"/>
      <c r="O108" s="746"/>
      <c r="P108" s="746"/>
      <c r="Q108" s="746"/>
      <c r="R108" s="746"/>
      <c r="S108" s="746"/>
      <c r="T108" s="746"/>
      <c r="U108" s="746"/>
      <c r="V108" s="746"/>
    </row>
    <row r="109" spans="1:40" x14ac:dyDescent="0.2">
      <c r="A109" s="746"/>
      <c r="B109" s="1318"/>
      <c r="C109" s="1318"/>
      <c r="D109" s="1318"/>
      <c r="E109" s="1326"/>
      <c r="F109" s="1335" t="s">
        <v>332</v>
      </c>
      <c r="L109" s="746"/>
      <c r="M109" s="746"/>
      <c r="N109" s="746"/>
      <c r="O109" s="746"/>
      <c r="P109" s="746"/>
      <c r="Q109" s="746"/>
    </row>
    <row r="110" spans="1:40" x14ac:dyDescent="0.2">
      <c r="A110" s="746"/>
      <c r="B110" s="1318"/>
      <c r="C110" s="1329" t="str">
        <f>IF(COUNT(C102,C104)=2,IF(C102&lt;C104,B102,B104),"")</f>
        <v>Ivar Viljaste, Janek Tarto, Meelis Luud</v>
      </c>
      <c r="D110" s="1319"/>
      <c r="E110" s="1326">
        <v>13</v>
      </c>
      <c r="F110" s="1333"/>
      <c r="L110" s="746"/>
      <c r="M110" s="746"/>
      <c r="N110" s="746"/>
      <c r="O110" s="746"/>
      <c r="P110" s="746"/>
      <c r="Q110" s="746"/>
    </row>
    <row r="111" spans="1:40" ht="13.5" thickBot="1" x14ac:dyDescent="0.25">
      <c r="A111" s="746"/>
      <c r="B111" s="1318"/>
      <c r="C111" s="1336"/>
      <c r="D111" s="1337"/>
      <c r="E111" s="1338"/>
      <c r="F111" s="1329" t="str">
        <f>IF(COUNT(E110,E112)=2,IF(E110&gt;E112,C110,C112),"")</f>
        <v>Ivar Viljaste, Janek Tarto, Meelis Luud</v>
      </c>
      <c r="L111" s="746"/>
      <c r="M111" s="746"/>
      <c r="N111" s="746"/>
      <c r="O111" s="746"/>
      <c r="P111" s="746"/>
      <c r="Q111" s="746"/>
    </row>
    <row r="112" spans="1:40" x14ac:dyDescent="0.2">
      <c r="A112" s="746"/>
      <c r="B112" s="1318"/>
      <c r="C112" s="1339" t="str">
        <f>IF(COUNT(C106,C108)=2,IF(C106&lt;C108,B106,B108),"")</f>
        <v>Jaan Sepp, Oskar Sepp, Sander Rose</v>
      </c>
      <c r="D112" s="1332"/>
      <c r="E112" s="1323">
        <v>9</v>
      </c>
      <c r="F112" s="1331" t="s">
        <v>300</v>
      </c>
      <c r="G112" s="1243"/>
      <c r="L112" s="746"/>
      <c r="M112" s="746"/>
      <c r="N112" s="746"/>
      <c r="O112" s="746"/>
      <c r="P112" s="746"/>
      <c r="Q112" s="746"/>
    </row>
    <row r="113" spans="1:17" x14ac:dyDescent="0.2">
      <c r="A113" s="746"/>
      <c r="B113" s="1319"/>
      <c r="C113" s="1319"/>
      <c r="D113" s="1319"/>
      <c r="E113" s="1319"/>
      <c r="F113" s="1333"/>
      <c r="G113" s="622"/>
      <c r="L113" s="746"/>
      <c r="M113" s="746"/>
      <c r="N113" s="746"/>
      <c r="O113" s="746"/>
      <c r="P113" s="746"/>
      <c r="Q113" s="746"/>
    </row>
    <row r="114" spans="1:17" ht="13.5" thickBot="1" x14ac:dyDescent="0.25">
      <c r="A114" s="746"/>
      <c r="B114" s="1319"/>
      <c r="C114" s="1333"/>
      <c r="D114" s="1333"/>
      <c r="E114" s="1319"/>
      <c r="F114" s="1340" t="str">
        <f>IF(COUNT(E110,E112)=2,IF(E110&lt;E112,C110,C112),"")</f>
        <v>Jaan Sepp, Oskar Sepp, Sander Rose</v>
      </c>
      <c r="G114" s="1246"/>
      <c r="L114" s="746"/>
      <c r="M114" s="746"/>
      <c r="N114" s="746"/>
      <c r="O114" s="746"/>
      <c r="P114" s="746"/>
      <c r="Q114" s="746"/>
    </row>
    <row r="115" spans="1:17" x14ac:dyDescent="0.2">
      <c r="A115" s="746"/>
      <c r="B115" s="1319"/>
      <c r="C115" s="1333"/>
      <c r="D115" s="1333"/>
      <c r="E115" s="1319"/>
      <c r="F115" s="1335" t="s">
        <v>298</v>
      </c>
      <c r="L115" s="746"/>
      <c r="M115" s="746"/>
      <c r="N115" s="746"/>
      <c r="O115" s="746"/>
      <c r="P115" s="746"/>
      <c r="Q115" s="746"/>
    </row>
    <row r="116" spans="1:17" x14ac:dyDescent="0.2">
      <c r="A116" s="746"/>
      <c r="N116" s="746"/>
      <c r="O116" s="746"/>
      <c r="P116" s="746"/>
      <c r="Q116" s="746"/>
    </row>
    <row r="117" spans="1:17" x14ac:dyDescent="0.2">
      <c r="A117" s="1315" t="s">
        <v>466</v>
      </c>
      <c r="N117" s="746"/>
      <c r="O117" s="746"/>
      <c r="P117" s="746"/>
      <c r="Q117" s="746"/>
    </row>
    <row r="118" spans="1:17" x14ac:dyDescent="0.2">
      <c r="N118" s="746"/>
      <c r="O118" s="746"/>
      <c r="P118" s="746"/>
      <c r="Q118" s="746"/>
    </row>
    <row r="119" spans="1:17" x14ac:dyDescent="0.2">
      <c r="A119" s="1316" t="s">
        <v>340</v>
      </c>
      <c r="B119" s="1317" t="str">
        <f>IF(A119="-","-",IFERROR(INDEX(B$1:B$100,MATCH(A119,I$1:I$100,0)),""))</f>
        <v>Boriss Klubov, Elmo Lageda, Kalle Orro</v>
      </c>
      <c r="C119" s="1318">
        <v>12</v>
      </c>
      <c r="D119" s="1318"/>
      <c r="E119" s="1318"/>
      <c r="F119" s="1319"/>
      <c r="N119" s="746"/>
      <c r="O119" s="746"/>
      <c r="P119" s="746"/>
      <c r="Q119" s="746"/>
    </row>
    <row r="120" spans="1:17" x14ac:dyDescent="0.2">
      <c r="A120" s="1316"/>
      <c r="B120" s="1320"/>
      <c r="C120" s="1321" t="str">
        <f>IF(COUNT(C119,C121)=2,IF(C119&gt;C121,B119,B121),"")</f>
        <v>Lemmit Toomra, Tõnu Kapper, Vladimir Ogneštšikov</v>
      </c>
      <c r="D120" s="1319"/>
      <c r="E120" s="1318">
        <v>0</v>
      </c>
      <c r="F120" s="1319"/>
      <c r="N120" s="746"/>
      <c r="O120" s="746"/>
      <c r="P120" s="746"/>
      <c r="Q120" s="746"/>
    </row>
    <row r="121" spans="1:17" x14ac:dyDescent="0.2">
      <c r="A121" s="1316" t="s">
        <v>341</v>
      </c>
      <c r="B121" s="1322" t="str">
        <f>IF(A121="-","-",IFERROR(INDEX(B$1:B$100,MATCH(A121,I$1:I$100,0)),""))</f>
        <v>Lemmit Toomra, Tõnu Kapper, Vladimir Ogneštšikov</v>
      </c>
      <c r="C121" s="1323">
        <v>13</v>
      </c>
      <c r="D121" s="1324"/>
      <c r="E121" s="1319"/>
      <c r="F121" s="1319"/>
      <c r="N121" s="746"/>
      <c r="O121" s="746"/>
      <c r="P121" s="746"/>
      <c r="Q121" s="746"/>
    </row>
    <row r="122" spans="1:17" ht="13.5" thickBot="1" x14ac:dyDescent="0.25">
      <c r="A122" s="1316"/>
      <c r="B122" s="1325"/>
      <c r="C122" s="1326"/>
      <c r="D122" s="1327"/>
      <c r="E122" s="1328"/>
      <c r="F122" s="1329" t="str">
        <f>IF(COUNT(E120,E124)=2,IF(E120&gt;E124,C120,C124),"")</f>
        <v>Jaan Saar, Raul Mõtus, Vello Vasser</v>
      </c>
      <c r="N122" s="746"/>
      <c r="O122" s="746"/>
      <c r="P122" s="746"/>
      <c r="Q122" s="746"/>
    </row>
    <row r="123" spans="1:17" x14ac:dyDescent="0.2">
      <c r="A123" s="1316" t="s">
        <v>342</v>
      </c>
      <c r="B123" s="1317" t="str">
        <f>IF(A123="-","-",IFERROR(INDEX(B$1:B$100,MATCH(A123,I$1:I$100,0)),""))</f>
        <v>Aleksander Korikov, Oleg Rõndenkov, Svetlana Veski</v>
      </c>
      <c r="C123" s="1318">
        <v>6</v>
      </c>
      <c r="D123" s="1327"/>
      <c r="E123" s="1330"/>
      <c r="F123" s="1331" t="s">
        <v>299</v>
      </c>
      <c r="G123" s="1243"/>
      <c r="N123" s="746"/>
      <c r="O123" s="746"/>
      <c r="P123" s="746"/>
      <c r="Q123" s="746"/>
    </row>
    <row r="124" spans="1:17" x14ac:dyDescent="0.2">
      <c r="A124" s="1316"/>
      <c r="B124" s="1320"/>
      <c r="C124" s="1321" t="str">
        <f>IF(COUNT(C123,C125)=2,IF(C123&gt;C125,B123,B125),"")</f>
        <v>Jaan Saar, Raul Mõtus, Vello Vasser</v>
      </c>
      <c r="D124" s="1332"/>
      <c r="E124" s="1323">
        <v>13</v>
      </c>
      <c r="F124" s="1333"/>
      <c r="G124" s="622"/>
      <c r="N124" s="746"/>
      <c r="O124" s="746"/>
      <c r="P124" s="746"/>
      <c r="Q124" s="746"/>
    </row>
    <row r="125" spans="1:17" ht="13.5" thickBot="1" x14ac:dyDescent="0.25">
      <c r="A125" s="1316" t="s">
        <v>343</v>
      </c>
      <c r="B125" s="1322" t="str">
        <f>IF(A125="-","-",IFERROR(INDEX(B$1:B$100,MATCH(A125,I$1:I$100,0)),""))</f>
        <v>Jaan Saar, Raul Mõtus, Vello Vasser</v>
      </c>
      <c r="C125" s="1323">
        <v>13</v>
      </c>
      <c r="D125" s="1318"/>
      <c r="E125" s="1326"/>
      <c r="F125" s="1334" t="str">
        <f>IF(COUNT(E120,E124)=2,IF(E120&lt;E124,C120,C124),"")</f>
        <v>Lemmit Toomra, Tõnu Kapper, Vladimir Ogneštšikov</v>
      </c>
      <c r="G125" s="1246"/>
      <c r="N125" s="746"/>
      <c r="O125" s="746"/>
      <c r="P125" s="746"/>
      <c r="Q125" s="746"/>
    </row>
    <row r="126" spans="1:17" x14ac:dyDescent="0.2">
      <c r="A126" s="746"/>
      <c r="B126" s="1318"/>
      <c r="C126" s="1318"/>
      <c r="D126" s="1318"/>
      <c r="E126" s="1326"/>
      <c r="F126" s="1335" t="s">
        <v>297</v>
      </c>
      <c r="N126" s="746"/>
      <c r="O126" s="746"/>
      <c r="P126" s="746"/>
      <c r="Q126" s="746"/>
    </row>
    <row r="127" spans="1:17" x14ac:dyDescent="0.2">
      <c r="A127" s="746"/>
      <c r="B127" s="1318"/>
      <c r="C127" s="1329" t="str">
        <f>IF(COUNT(C119,C121)=2,IF(C119&lt;C121,B119,B121),"")</f>
        <v>Boriss Klubov, Elmo Lageda, Kalle Orro</v>
      </c>
      <c r="D127" s="1319"/>
      <c r="E127" s="1326">
        <v>13</v>
      </c>
      <c r="F127" s="1333"/>
      <c r="N127" s="746"/>
      <c r="O127" s="746"/>
      <c r="P127" s="746"/>
      <c r="Q127" s="746"/>
    </row>
    <row r="128" spans="1:17" ht="13.5" thickBot="1" x14ac:dyDescent="0.25">
      <c r="A128" s="746"/>
      <c r="B128" s="1318"/>
      <c r="C128" s="1336"/>
      <c r="D128" s="1337"/>
      <c r="E128" s="1338"/>
      <c r="F128" s="1329" t="str">
        <f>IF(COUNT(E127,E129)=2,IF(E127&gt;E129,C127,C129),"")</f>
        <v>Boriss Klubov, Elmo Lageda, Kalle Orro</v>
      </c>
      <c r="N128" s="746"/>
      <c r="O128" s="746"/>
      <c r="P128" s="746"/>
      <c r="Q128" s="746"/>
    </row>
    <row r="129" spans="1:17" x14ac:dyDescent="0.2">
      <c r="A129" s="746"/>
      <c r="B129" s="1318"/>
      <c r="C129" s="1339" t="str">
        <f>IF(COUNT(C123,C125)=2,IF(C123&lt;C125,B123,B125),"")</f>
        <v>Aleksander Korikov, Oleg Rõndenkov, Svetlana Veski</v>
      </c>
      <c r="D129" s="1332"/>
      <c r="E129" s="1323">
        <v>7</v>
      </c>
      <c r="F129" s="1331" t="s">
        <v>305</v>
      </c>
      <c r="G129" s="1243"/>
      <c r="N129" s="746"/>
      <c r="O129" s="746"/>
      <c r="P129" s="746"/>
      <c r="Q129" s="746"/>
    </row>
    <row r="130" spans="1:17" x14ac:dyDescent="0.2">
      <c r="A130" s="746"/>
      <c r="B130" s="1319"/>
      <c r="C130" s="1319"/>
      <c r="D130" s="1319"/>
      <c r="E130" s="1319"/>
      <c r="F130" s="1333"/>
      <c r="G130" s="622"/>
      <c r="N130" s="746"/>
      <c r="O130" s="746"/>
      <c r="P130" s="746"/>
      <c r="Q130" s="746"/>
    </row>
    <row r="131" spans="1:17" ht="13.5" thickBot="1" x14ac:dyDescent="0.25">
      <c r="A131" s="746"/>
      <c r="B131" s="1319"/>
      <c r="C131" s="1333"/>
      <c r="D131" s="1333"/>
      <c r="E131" s="1319"/>
      <c r="F131" s="1340" t="str">
        <f>IF(COUNT(E127,E129)=2,IF(E127&lt;E129,C127,C129),"")</f>
        <v>Aleksander Korikov, Oleg Rõndenkov, Svetlana Veski</v>
      </c>
      <c r="G131" s="1246"/>
      <c r="N131" s="746"/>
      <c r="O131" s="746"/>
      <c r="P131" s="746"/>
      <c r="Q131" s="746"/>
    </row>
    <row r="132" spans="1:17" x14ac:dyDescent="0.2">
      <c r="A132" s="746"/>
      <c r="B132" s="1319"/>
      <c r="C132" s="1333"/>
      <c r="D132" s="1333"/>
      <c r="E132" s="1319"/>
      <c r="F132" s="1331" t="s">
        <v>301</v>
      </c>
      <c r="N132" s="746"/>
      <c r="O132" s="746"/>
      <c r="P132" s="746"/>
      <c r="Q132" s="746"/>
    </row>
    <row r="134" spans="1:17" x14ac:dyDescent="0.2">
      <c r="A134" s="1315" t="s">
        <v>465</v>
      </c>
    </row>
    <row r="136" spans="1:17" x14ac:dyDescent="0.2">
      <c r="B136" s="1316" t="s">
        <v>362</v>
      </c>
      <c r="C136" s="1317" t="str">
        <f>IF(B136="-","-",IFERROR(INDEX(B$1:B$100,MATCH(B136,I$1:I$100,0)),""))</f>
        <v>Andrei Grintšak, Ljudmila Varendi, Viktor Švarõgin</v>
      </c>
      <c r="D136" s="1319"/>
      <c r="E136" s="1341">
        <v>7</v>
      </c>
      <c r="F136" s="1333"/>
    </row>
    <row r="137" spans="1:17" ht="13.5" thickBot="1" x14ac:dyDescent="0.25">
      <c r="B137" s="1316"/>
      <c r="C137" s="1320"/>
      <c r="D137" s="1337"/>
      <c r="E137" s="1338"/>
      <c r="F137" s="1329" t="str">
        <f>IF(COUNT(E136,E138)=2,IF(E136&gt;E138,C136,C138),"")</f>
        <v>Henri Mitt, Oliver Ojasalu, Tõnis Neiland</v>
      </c>
    </row>
    <row r="138" spans="1:17" x14ac:dyDescent="0.2">
      <c r="B138" s="1316" t="s">
        <v>360</v>
      </c>
      <c r="C138" s="1317" t="str">
        <f>IF(B138="-","-",IFERROR(INDEX(B$1:B$100,MATCH(B138,I$1:I$100,0)),""))</f>
        <v>Henri Mitt, Oliver Ojasalu, Tõnis Neiland</v>
      </c>
      <c r="D138" s="1332"/>
      <c r="E138" s="1323">
        <v>13</v>
      </c>
      <c r="F138" s="1331" t="s">
        <v>304</v>
      </c>
      <c r="G138" s="1243"/>
    </row>
    <row r="139" spans="1:17" x14ac:dyDescent="0.2">
      <c r="C139" s="1319"/>
      <c r="D139" s="1319"/>
      <c r="E139" s="1319"/>
      <c r="F139" s="1333"/>
      <c r="G139" s="622"/>
    </row>
    <row r="140" spans="1:17" ht="13.5" thickBot="1" x14ac:dyDescent="0.25">
      <c r="C140" s="1333"/>
      <c r="D140" s="1333"/>
      <c r="E140" s="1319"/>
      <c r="F140" s="1340" t="str">
        <f>IF(COUNT(E136,E138)=2,IF(E136&lt;E138,C136,C138),"")</f>
        <v>Andrei Grintšak, Ljudmila Varendi, Viktor Švarõgin</v>
      </c>
      <c r="G140" s="1246"/>
    </row>
    <row r="141" spans="1:17" x14ac:dyDescent="0.2">
      <c r="C141" s="1333"/>
      <c r="D141" s="1333"/>
      <c r="E141" s="1319"/>
      <c r="F141" s="1331" t="s">
        <v>302</v>
      </c>
    </row>
    <row r="142" spans="1:17" hidden="1" x14ac:dyDescent="0.2"/>
    <row r="143" spans="1:17" hidden="1" x14ac:dyDescent="0.2"/>
    <row r="144" spans="1:17"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573"/>
      <c r="B299" s="573"/>
      <c r="C299" s="1261" t="s">
        <v>54</v>
      </c>
    </row>
    <row r="300" spans="1:3" x14ac:dyDescent="0.2">
      <c r="A300" s="627">
        <v>1</v>
      </c>
      <c r="B300" s="628" t="str">
        <f>IFERROR(INDEX(F$100:F$300,MATCH(A300&amp;". koht",F$101:F$301,0)),"")</f>
        <v>Kaspar Mänd, Matti Vinni, Olav Türk</v>
      </c>
      <c r="C300" s="1169">
        <v>40</v>
      </c>
    </row>
    <row r="301" spans="1:3" x14ac:dyDescent="0.2">
      <c r="A301" s="627">
        <v>2</v>
      </c>
      <c r="B301" s="628" t="str">
        <f t="shared" ref="B301:B309" si="21">IFERROR(INDEX(F$100:F$300,MATCH(A301&amp;". koht",F$101:F$301,0)),"")</f>
        <v>Enn Tokman, Kenneth Muusikus, Urmas Randlaine</v>
      </c>
      <c r="C301" s="1169">
        <v>34</v>
      </c>
    </row>
    <row r="302" spans="1:3" x14ac:dyDescent="0.2">
      <c r="A302" s="627">
        <v>3</v>
      </c>
      <c r="B302" s="628" t="str">
        <f t="shared" si="21"/>
        <v>Ivar Viljaste, Janek Tarto, Meelis Luud</v>
      </c>
      <c r="C302" s="1169">
        <v>30</v>
      </c>
    </row>
    <row r="303" spans="1:3" x14ac:dyDescent="0.2">
      <c r="A303" s="627">
        <v>4</v>
      </c>
      <c r="B303" s="628" t="str">
        <f t="shared" si="21"/>
        <v>Jaan Sepp, Oskar Sepp, Sander Rose</v>
      </c>
      <c r="C303" s="1169">
        <v>26</v>
      </c>
    </row>
    <row r="304" spans="1:3" x14ac:dyDescent="0.2">
      <c r="A304" s="627">
        <v>5</v>
      </c>
      <c r="B304" s="628" t="str">
        <f t="shared" si="21"/>
        <v>Jaan Saar, Raul Mõtus, Vello Vasser</v>
      </c>
      <c r="C304" s="1169">
        <v>24</v>
      </c>
    </row>
    <row r="305" spans="1:3" x14ac:dyDescent="0.2">
      <c r="A305" s="627">
        <v>6</v>
      </c>
      <c r="B305" s="628" t="str">
        <f t="shared" si="21"/>
        <v>Lemmit Toomra, Tõnu Kapper, Vladimir Ogneštšikov</v>
      </c>
      <c r="C305" s="1169">
        <v>22</v>
      </c>
    </row>
    <row r="306" spans="1:3" x14ac:dyDescent="0.2">
      <c r="A306" s="627">
        <v>7</v>
      </c>
      <c r="B306" s="628" t="str">
        <f t="shared" si="21"/>
        <v>Boriss Klubov, Elmo Lageda, Kalle Orro</v>
      </c>
      <c r="C306" s="1169">
        <v>20</v>
      </c>
    </row>
    <row r="307" spans="1:3" x14ac:dyDescent="0.2">
      <c r="A307" s="627">
        <v>8</v>
      </c>
      <c r="B307" s="628" t="str">
        <f t="shared" si="21"/>
        <v>Aleksander Korikov, Oleg Rõndenkov, Svetlana Veski</v>
      </c>
      <c r="C307" s="1169">
        <v>18</v>
      </c>
    </row>
    <row r="308" spans="1:3" x14ac:dyDescent="0.2">
      <c r="A308" s="627">
        <v>9</v>
      </c>
      <c r="B308" s="628" t="str">
        <f t="shared" si="21"/>
        <v>Henri Mitt, Oliver Ojasalu, Tõnis Neiland</v>
      </c>
      <c r="C308" s="1169">
        <v>16</v>
      </c>
    </row>
    <row r="309" spans="1:3" x14ac:dyDescent="0.2">
      <c r="A309" s="627">
        <v>10</v>
      </c>
      <c r="B309" s="628" t="str">
        <f t="shared" si="21"/>
        <v>Andrei Grintšak, Ljudmila Varendi, Viktor Švarõgin</v>
      </c>
      <c r="C309" s="1169">
        <v>14</v>
      </c>
    </row>
  </sheetData>
  <conditionalFormatting sqref="A300:A309">
    <cfRule type="duplicateValues" dxfId="2303" priority="460"/>
  </conditionalFormatting>
  <conditionalFormatting sqref="B300:B309">
    <cfRule type="expression" dxfId="2302" priority="455">
      <formula>A300=3</formula>
    </cfRule>
    <cfRule type="expression" dxfId="2301" priority="456">
      <formula>A300=2</formula>
    </cfRule>
    <cfRule type="expression" dxfId="2300" priority="457">
      <formula>A300=1</formula>
    </cfRule>
    <cfRule type="containsBlanks" dxfId="2299" priority="458">
      <formula>LEN(TRIM(B300))=0</formula>
    </cfRule>
    <cfRule type="duplicateValues" dxfId="2298" priority="459"/>
  </conditionalFormatting>
  <conditionalFormatting sqref="AI7:AI11 AI14:AI98">
    <cfRule type="expression" dxfId="2297" priority="396">
      <formula>AND(AJ7="",FIND(",",AI7))</formula>
    </cfRule>
    <cfRule type="expression" dxfId="2296" priority="401">
      <formula>AND(AJ7="",COUNTIF(AI7,"*,*")=0)</formula>
    </cfRule>
  </conditionalFormatting>
  <conditionalFormatting sqref="AK7:AK11 AK14:AK98">
    <cfRule type="expression" dxfId="2295" priority="400">
      <formula>AND(AL7="",COUNTIF(AK7,"*,*")=0)</formula>
    </cfRule>
  </conditionalFormatting>
  <conditionalFormatting sqref="AM7:AM11 AM14:AM98">
    <cfRule type="expression" dxfId="2294" priority="399">
      <formula>AND(AN7="",COUNTIF(AM7,"*,*")=0)</formula>
    </cfRule>
  </conditionalFormatting>
  <conditionalFormatting sqref="AG7:AG11 AG14:AG98">
    <cfRule type="expression" dxfId="2293" priority="398">
      <formula>AND(AH7="",COUNTIF(AG7,"*,*")=0)</formula>
    </cfRule>
  </conditionalFormatting>
  <conditionalFormatting sqref="AE7:AE11 AE14:AE98">
    <cfRule type="expression" dxfId="2292" priority="397">
      <formula>AND(AF7="",COUNTIF(AE7,"*,*")=0)</formula>
    </cfRule>
  </conditionalFormatting>
  <conditionalFormatting sqref="I56:I60">
    <cfRule type="expression" dxfId="2291" priority="290">
      <formula>FIND(2,I56,1)</formula>
    </cfRule>
    <cfRule type="expression" dxfId="2290" priority="291">
      <formula>FIND(1,I56,1)</formula>
    </cfRule>
  </conditionalFormatting>
  <conditionalFormatting sqref="D7 C8">
    <cfRule type="aboveAverage" dxfId="2289" priority="379"/>
  </conditionalFormatting>
  <conditionalFormatting sqref="E7 C9">
    <cfRule type="aboveAverage" dxfId="2288" priority="378"/>
  </conditionalFormatting>
  <conditionalFormatting sqref="F7 C10">
    <cfRule type="aboveAverage" dxfId="2287" priority="377"/>
  </conditionalFormatting>
  <conditionalFormatting sqref="E8 D9">
    <cfRule type="aboveAverage" dxfId="2286" priority="376"/>
  </conditionalFormatting>
  <conditionalFormatting sqref="G7 C11">
    <cfRule type="aboveAverage" dxfId="2285" priority="375"/>
  </conditionalFormatting>
  <conditionalFormatting sqref="F8 D10">
    <cfRule type="aboveAverage" dxfId="2284" priority="374"/>
  </conditionalFormatting>
  <conditionalFormatting sqref="G8 D11">
    <cfRule type="aboveAverage" dxfId="2283" priority="373"/>
  </conditionalFormatting>
  <conditionalFormatting sqref="F9 E10">
    <cfRule type="aboveAverage" dxfId="2282" priority="372"/>
  </conditionalFormatting>
  <conditionalFormatting sqref="G9 E11">
    <cfRule type="aboveAverage" dxfId="2281" priority="371"/>
  </conditionalFormatting>
  <conditionalFormatting sqref="F11 G10">
    <cfRule type="aboveAverage" dxfId="2280" priority="370"/>
  </conditionalFormatting>
  <conditionalFormatting sqref="D14 C15">
    <cfRule type="aboveAverage" dxfId="2279" priority="369"/>
  </conditionalFormatting>
  <conditionalFormatting sqref="E14 C16">
    <cfRule type="aboveAverage" dxfId="2278" priority="368"/>
  </conditionalFormatting>
  <conditionalFormatting sqref="F14 C17">
    <cfRule type="aboveAverage" dxfId="2277" priority="367"/>
  </conditionalFormatting>
  <conditionalFormatting sqref="E15 D16">
    <cfRule type="aboveAverage" dxfId="2276" priority="366"/>
  </conditionalFormatting>
  <conditionalFormatting sqref="G14 C18">
    <cfRule type="aboveAverage" dxfId="2275" priority="365"/>
  </conditionalFormatting>
  <conditionalFormatting sqref="F15 D17">
    <cfRule type="aboveAverage" dxfId="2274" priority="364"/>
  </conditionalFormatting>
  <conditionalFormatting sqref="G15 D18">
    <cfRule type="aboveAverage" dxfId="2273" priority="363"/>
  </conditionalFormatting>
  <conditionalFormatting sqref="F16 E17">
    <cfRule type="aboveAverage" dxfId="2272" priority="362"/>
  </conditionalFormatting>
  <conditionalFormatting sqref="G16 E18">
    <cfRule type="aboveAverage" dxfId="2271" priority="361"/>
  </conditionalFormatting>
  <conditionalFormatting sqref="F18 G17">
    <cfRule type="aboveAverage" dxfId="2270" priority="360"/>
  </conditionalFormatting>
  <conditionalFormatting sqref="D21 C22">
    <cfRule type="aboveAverage" dxfId="2269" priority="359"/>
  </conditionalFormatting>
  <conditionalFormatting sqref="E21 C23">
    <cfRule type="aboveAverage" dxfId="2268" priority="358"/>
  </conditionalFormatting>
  <conditionalFormatting sqref="F21 C24">
    <cfRule type="aboveAverage" dxfId="2267" priority="357"/>
  </conditionalFormatting>
  <conditionalFormatting sqref="E22 D23">
    <cfRule type="aboveAverage" dxfId="2266" priority="356"/>
  </conditionalFormatting>
  <conditionalFormatting sqref="G21 C25">
    <cfRule type="aboveAverage" dxfId="2265" priority="355"/>
  </conditionalFormatting>
  <conditionalFormatting sqref="F22 D24">
    <cfRule type="aboveAverage" dxfId="2264" priority="354"/>
  </conditionalFormatting>
  <conditionalFormatting sqref="G22 D25">
    <cfRule type="aboveAverage" dxfId="2263" priority="353"/>
  </conditionalFormatting>
  <conditionalFormatting sqref="F23 E24">
    <cfRule type="aboveAverage" dxfId="2262" priority="352"/>
  </conditionalFormatting>
  <conditionalFormatting sqref="G23 E25">
    <cfRule type="aboveAverage" dxfId="2261" priority="351"/>
  </conditionalFormatting>
  <conditionalFormatting sqref="F25 G24">
    <cfRule type="aboveAverage" dxfId="2260" priority="350"/>
  </conditionalFormatting>
  <conditionalFormatting sqref="D28 C29">
    <cfRule type="aboveAverage" dxfId="2259" priority="349"/>
  </conditionalFormatting>
  <conditionalFormatting sqref="E28 C30">
    <cfRule type="aboveAverage" dxfId="2258" priority="348"/>
  </conditionalFormatting>
  <conditionalFormatting sqref="F28 C31">
    <cfRule type="aboveAverage" dxfId="2257" priority="347"/>
  </conditionalFormatting>
  <conditionalFormatting sqref="E29 D30">
    <cfRule type="aboveAverage" dxfId="2256" priority="346"/>
  </conditionalFormatting>
  <conditionalFormatting sqref="G28 C32">
    <cfRule type="aboveAverage" dxfId="2255" priority="345"/>
  </conditionalFormatting>
  <conditionalFormatting sqref="F29 D31">
    <cfRule type="aboveAverage" dxfId="2254" priority="344"/>
  </conditionalFormatting>
  <conditionalFormatting sqref="G29 D32">
    <cfRule type="aboveAverage" dxfId="2253" priority="343"/>
  </conditionalFormatting>
  <conditionalFormatting sqref="F30 E31">
    <cfRule type="aboveAverage" dxfId="2252" priority="342"/>
  </conditionalFormatting>
  <conditionalFormatting sqref="G30 E32">
    <cfRule type="aboveAverage" dxfId="2251" priority="341"/>
  </conditionalFormatting>
  <conditionalFormatting sqref="F32 G31">
    <cfRule type="aboveAverage" dxfId="2250" priority="340"/>
  </conditionalFormatting>
  <conditionalFormatting sqref="D35 C36">
    <cfRule type="aboveAverage" dxfId="2249" priority="339"/>
  </conditionalFormatting>
  <conditionalFormatting sqref="E35 C37">
    <cfRule type="aboveAverage" dxfId="2248" priority="338"/>
  </conditionalFormatting>
  <conditionalFormatting sqref="F35 C38">
    <cfRule type="aboveAverage" dxfId="2247" priority="337"/>
  </conditionalFormatting>
  <conditionalFormatting sqref="E36 D37">
    <cfRule type="aboveAverage" dxfId="2246" priority="336"/>
  </conditionalFormatting>
  <conditionalFormatting sqref="G35 C39">
    <cfRule type="aboveAverage" dxfId="2245" priority="335"/>
  </conditionalFormatting>
  <conditionalFormatting sqref="F36 D38">
    <cfRule type="aboveAverage" dxfId="2244" priority="334"/>
  </conditionalFormatting>
  <conditionalFormatting sqref="G36 D39">
    <cfRule type="aboveAverage" dxfId="2243" priority="333"/>
  </conditionalFormatting>
  <conditionalFormatting sqref="F37 E38">
    <cfRule type="aboveAverage" dxfId="2242" priority="332"/>
  </conditionalFormatting>
  <conditionalFormatting sqref="G37 E39">
    <cfRule type="aboveAverage" dxfId="2241" priority="331"/>
  </conditionalFormatting>
  <conditionalFormatting sqref="F39 G38">
    <cfRule type="aboveAverage" dxfId="2240" priority="330"/>
  </conditionalFormatting>
  <conditionalFormatting sqref="D42 C43">
    <cfRule type="aboveAverage" dxfId="2239" priority="329"/>
  </conditionalFormatting>
  <conditionalFormatting sqref="E42 C44">
    <cfRule type="aboveAverage" dxfId="2238" priority="328"/>
  </conditionalFormatting>
  <conditionalFormatting sqref="F42 C45">
    <cfRule type="aboveAverage" dxfId="2237" priority="327"/>
  </conditionalFormatting>
  <conditionalFormatting sqref="E43 D44">
    <cfRule type="aboveAverage" dxfId="2236" priority="326"/>
  </conditionalFormatting>
  <conditionalFormatting sqref="G42 C46">
    <cfRule type="aboveAverage" dxfId="2235" priority="325"/>
  </conditionalFormatting>
  <conditionalFormatting sqref="F43 D45">
    <cfRule type="aboveAverage" dxfId="2234" priority="324"/>
  </conditionalFormatting>
  <conditionalFormatting sqref="G43 D46">
    <cfRule type="aboveAverage" dxfId="2233" priority="323"/>
  </conditionalFormatting>
  <conditionalFormatting sqref="F44 E45">
    <cfRule type="aboveAverage" dxfId="2232" priority="322"/>
  </conditionalFormatting>
  <conditionalFormatting sqref="G44 E46">
    <cfRule type="aboveAverage" dxfId="2231" priority="321"/>
  </conditionalFormatting>
  <conditionalFormatting sqref="F46 G45">
    <cfRule type="aboveAverage" dxfId="2230" priority="320"/>
  </conditionalFormatting>
  <conditionalFormatting sqref="D49 C50">
    <cfRule type="aboveAverage" dxfId="2229" priority="319"/>
  </conditionalFormatting>
  <conditionalFormatting sqref="E49 C51">
    <cfRule type="aboveAverage" dxfId="2228" priority="318"/>
  </conditionalFormatting>
  <conditionalFormatting sqref="F49 C52">
    <cfRule type="aboveAverage" dxfId="2227" priority="317"/>
  </conditionalFormatting>
  <conditionalFormatting sqref="E50 D51">
    <cfRule type="aboveAverage" dxfId="2226" priority="316"/>
  </conditionalFormatting>
  <conditionalFormatting sqref="G49 C53">
    <cfRule type="aboveAverage" dxfId="2225" priority="315"/>
  </conditionalFormatting>
  <conditionalFormatting sqref="F50 D52">
    <cfRule type="aboveAverage" dxfId="2224" priority="314"/>
  </conditionalFormatting>
  <conditionalFormatting sqref="G50 D53">
    <cfRule type="aboveAverage" dxfId="2223" priority="313"/>
  </conditionalFormatting>
  <conditionalFormatting sqref="F51 E52">
    <cfRule type="aboveAverage" dxfId="2222" priority="312"/>
  </conditionalFormatting>
  <conditionalFormatting sqref="G51 E53">
    <cfRule type="aboveAverage" dxfId="2221" priority="311"/>
  </conditionalFormatting>
  <conditionalFormatting sqref="F53 G52">
    <cfRule type="aboveAverage" dxfId="2220" priority="310"/>
  </conditionalFormatting>
  <conditionalFormatting sqref="D56 C57">
    <cfRule type="aboveAverage" dxfId="2219" priority="309"/>
  </conditionalFormatting>
  <conditionalFormatting sqref="E56 C58">
    <cfRule type="aboveAverage" dxfId="2218" priority="308"/>
  </conditionalFormatting>
  <conditionalFormatting sqref="F56 C59">
    <cfRule type="aboveAverage" dxfId="2217" priority="307"/>
  </conditionalFormatting>
  <conditionalFormatting sqref="E57 D58">
    <cfRule type="aboveAverage" dxfId="2216" priority="306"/>
  </conditionalFormatting>
  <conditionalFormatting sqref="G56 C60">
    <cfRule type="aboveAverage" dxfId="2215" priority="305"/>
  </conditionalFormatting>
  <conditionalFormatting sqref="F57 D59">
    <cfRule type="aboveAverage" dxfId="2214" priority="304"/>
  </conditionalFormatting>
  <conditionalFormatting sqref="G57 D60">
    <cfRule type="aboveAverage" dxfId="2213" priority="303"/>
  </conditionalFormatting>
  <conditionalFormatting sqref="F58 E59">
    <cfRule type="aboveAverage" dxfId="2212" priority="302"/>
  </conditionalFormatting>
  <conditionalFormatting sqref="G58 E60">
    <cfRule type="aboveAverage" dxfId="2211" priority="301"/>
  </conditionalFormatting>
  <conditionalFormatting sqref="F60 G59">
    <cfRule type="aboveAverage" dxfId="2210" priority="300"/>
  </conditionalFormatting>
  <conditionalFormatting sqref="I28:I32">
    <cfRule type="expression" dxfId="2209" priority="294">
      <formula>FIND(2,I28,1)</formula>
    </cfRule>
    <cfRule type="expression" dxfId="2208" priority="295">
      <formula>FIND(1,I28,1)</formula>
    </cfRule>
  </conditionalFormatting>
  <conditionalFormatting sqref="I21:I25">
    <cfRule type="expression" dxfId="2207" priority="296">
      <formula>FIND(2,I21,1)</formula>
    </cfRule>
    <cfRule type="expression" dxfId="2206" priority="297">
      <formula>FIND(1,I21,1)</formula>
    </cfRule>
  </conditionalFormatting>
  <conditionalFormatting sqref="I49:I53">
    <cfRule type="expression" dxfId="2205" priority="292">
      <formula>FIND(2,I49,1)</formula>
    </cfRule>
    <cfRule type="expression" dxfId="2204" priority="293">
      <formula>FIND(1,I49,1)</formula>
    </cfRule>
  </conditionalFormatting>
  <conditionalFormatting sqref="I7:I11">
    <cfRule type="expression" dxfId="2203" priority="298">
      <formula>FIND(2,I7,1)</formula>
    </cfRule>
    <cfRule type="expression" dxfId="2202" priority="299">
      <formula>FIND(1,I7,1)</formula>
    </cfRule>
  </conditionalFormatting>
  <conditionalFormatting sqref="I35:I39">
    <cfRule type="expression" dxfId="2201" priority="288">
      <formula>FIND(2,I35,1)</formula>
    </cfRule>
    <cfRule type="expression" dxfId="2200" priority="289">
      <formula>FIND(1,I35,1)</formula>
    </cfRule>
  </conditionalFormatting>
  <conditionalFormatting sqref="I42:I46">
    <cfRule type="expression" dxfId="2199" priority="286">
      <formula>FIND(2,I42,1)</formula>
    </cfRule>
    <cfRule type="expression" dxfId="2198" priority="287">
      <formula>FIND(1,I42,1)</formula>
    </cfRule>
  </conditionalFormatting>
  <conditionalFormatting sqref="H14:H18">
    <cfRule type="expression" dxfId="2197" priority="230">
      <formula>AND(Q14=4,IF(COUNTIF(Q$14:Q$18,"=4")&gt;=2,TRUE))</formula>
    </cfRule>
    <cfRule type="expression" dxfId="2196" priority="380">
      <formula>AND(Q14=3,IF(COUNTIF(Q$14:Q$18,"=3")&gt;=2,TRUE))</formula>
    </cfRule>
    <cfRule type="expression" dxfId="2195" priority="381">
      <formula>AND(Q14=2,IF(COUNTIF(Q$14:Q$18,"=2")&gt;=2,TRUE))</formula>
    </cfRule>
    <cfRule type="expression" dxfId="2194" priority="382">
      <formula>AND(Q14=1,IF(COUNTIF(Q$14:Q$18,"=1")&gt;=2,TRUE))</formula>
    </cfRule>
  </conditionalFormatting>
  <conditionalFormatting sqref="B7:B60">
    <cfRule type="duplicateValues" dxfId="2193" priority="285"/>
  </conditionalFormatting>
  <conditionalFormatting sqref="L7:L11">
    <cfRule type="expression" dxfId="2192" priority="268">
      <formula>K7=0</formula>
    </cfRule>
    <cfRule type="expression" dxfId="2191" priority="277">
      <formula>IF(COUNTIF(J$7:J$11,"=2")=2,TRUE)</formula>
    </cfRule>
    <cfRule type="expression" dxfId="2190" priority="278">
      <formula>IF(COUNTIF(J$7:J$11,"=1")=2,TRUE)</formula>
    </cfRule>
    <cfRule type="expression" dxfId="2189" priority="279">
      <formula>AND(IF(COUNTIF(Q$7:Q$11,"=1")=2,TRUE),IF(COUNTIF(Q$7:Q$11,"=2")=2,TRUE))</formula>
    </cfRule>
    <cfRule type="expression" dxfId="2188" priority="280">
      <formula>AND(Q7=4,IF(COUNTIF(Q$7:Q$11,"=4")=1,TRUE))</formula>
    </cfRule>
    <cfRule type="expression" dxfId="2187" priority="281">
      <formula>AND(Q7=3,IF(COUNTIF(Q$7:Q$11,"=3")=1,TRUE))</formula>
    </cfRule>
    <cfRule type="expression" dxfId="2186" priority="282">
      <formula>AND(Q7=2,IF(COUNTIF(Q$7:Q$11,"=2")=1,TRUE))</formula>
    </cfRule>
    <cfRule type="expression" dxfId="2185" priority="283">
      <formula>AND(Q7=1,IF(COUNTIF(Q$7:Q$11,"=1")=1,TRUE))</formula>
    </cfRule>
    <cfRule type="expression" dxfId="2184" priority="284">
      <formula>OR(Q7=0,Q7=5)</formula>
    </cfRule>
  </conditionalFormatting>
  <conditionalFormatting sqref="O7:O11">
    <cfRule type="expression" dxfId="2183" priority="276">
      <formula>OR(AND(J7=1,K7=1,L7=0,M7=1),AND(J7=2,K7=2,L7=0,M7=2))</formula>
    </cfRule>
  </conditionalFormatting>
  <conditionalFormatting sqref="M7:M11">
    <cfRule type="expression" dxfId="2182" priority="269">
      <formula>AND(L7&gt;0,IF(COUNTIF(L$7:L$11,L7)&gt;1,TRUE,FALSE))</formula>
    </cfRule>
    <cfRule type="expression" dxfId="2181" priority="270">
      <formula>AND(IF(COUNTIF(R$7:R$11,"=1")=2,TRUE),IF(COUNTIF(R$7:R$11,"=2")=2,TRUE))</formula>
    </cfRule>
    <cfRule type="expression" dxfId="2180" priority="271">
      <formula>AND(R7=4,IF(COUNTIF(R$7:R$11,"=4")=1,TRUE))</formula>
    </cfRule>
    <cfRule type="expression" dxfId="2179" priority="272">
      <formula>AND(R7=3,IF(COUNTIF(R$7:R$11,"=3")=1,TRUE))</formula>
    </cfRule>
    <cfRule type="expression" dxfId="2178" priority="273">
      <formula>AND(R7=2,IF(COUNTIF(R$7:R$11,"=2")=1,TRUE))</formula>
    </cfRule>
    <cfRule type="expression" dxfId="2177" priority="274">
      <formula>AND(R7=1,IF(COUNTIF(R$7:R$11,"=1")=1,TRUE))</formula>
    </cfRule>
    <cfRule type="expression" dxfId="2176" priority="275">
      <formula>OR(R7=0,R7=5)</formula>
    </cfRule>
  </conditionalFormatting>
  <conditionalFormatting sqref="J7:J11">
    <cfRule type="expression" dxfId="2175" priority="264">
      <formula>AND(Q7=4,IF(COUNTIF(Q$7:Q$11,"=4")&gt;=2,TRUE))</formula>
    </cfRule>
    <cfRule type="expression" dxfId="2174" priority="265">
      <formula>AND(Q7=3,IF(COUNTIF(Q$7:Q$11,"=3")&gt;=2,TRUE))</formula>
    </cfRule>
    <cfRule type="expression" dxfId="2173" priority="266">
      <formula>AND(Q7=2,IF(COUNTIF(Q$7:Q$11,"=2")&gt;=2,TRUE))</formula>
    </cfRule>
    <cfRule type="expression" dxfId="2172" priority="267">
      <formula>AND(Q7=1,IF(COUNTIF(Q$7:Q$11,"=1")&gt;=2,TRUE))</formula>
    </cfRule>
  </conditionalFormatting>
  <conditionalFormatting sqref="H7:H11">
    <cfRule type="expression" dxfId="2171" priority="231">
      <formula>AND(Q7=4,IF(COUNTIF(Q$7:Q$11,"=4")&gt;=2,TRUE))</formula>
    </cfRule>
    <cfRule type="expression" dxfId="2170" priority="383">
      <formula>AND(Q7=3,IF(COUNTIF(Q$7:Q$11,"=3")&gt;=2,TRUE))</formula>
    </cfRule>
    <cfRule type="expression" dxfId="2169" priority="384">
      <formula>AND(Q7=2,IF(COUNTIF(Q$7:Q$11,"=2")&gt;=2,TRUE))</formula>
    </cfRule>
    <cfRule type="expression" dxfId="2168" priority="385">
      <formula>AND(Q7=1,IF(COUNTIF(Q$7:Q$11,"=1")&gt;=2,TRUE))</formula>
    </cfRule>
  </conditionalFormatting>
  <conditionalFormatting sqref="K7:K11">
    <cfRule type="expression" dxfId="2167" priority="386">
      <formula>AND(J7&gt;0,IF(COUNTIF(J$7:J$11,"=1")=2,TRUE),IF(COUNTIF(J$7:J$11,"=2")=2,TRUE))</formula>
    </cfRule>
    <cfRule type="expression" dxfId="2166" priority="387">
      <formula>IF(COUNTIF(L$7:L$11,"=2")=2,TRUE)</formula>
    </cfRule>
    <cfRule type="expression" dxfId="2165" priority="388">
      <formula>IF(COUNTIF(L$7:L$11,"=1")=2,TRUE)</formula>
    </cfRule>
    <cfRule type="expression" dxfId="2164" priority="389">
      <formula>AND(IF(COUNTIF(R$7:R$11,"=1")=2,TRUE),IF(COUNTIF(S$7:S$11,"=2")=2,TRUE))</formula>
    </cfRule>
    <cfRule type="expression" dxfId="2163" priority="390">
      <formula>AND(R7=4,IF(COUNTIF(R$7:R$11,"=4")=1,TRUE))</formula>
    </cfRule>
    <cfRule type="expression" dxfId="2162" priority="391">
      <formula>AND(R7=3,IF(COUNTIF(R$7:R$11,"=3")=1,TRUE))</formula>
    </cfRule>
    <cfRule type="expression" dxfId="2161" priority="392">
      <formula>AND(R7=2,IF(COUNTIF(R$7:R$11,"=2")=1,TRUE))</formula>
    </cfRule>
    <cfRule type="expression" dxfId="2160" priority="393">
      <formula>AND(R7=1,IF(COUNTIF(R$7:R$11,"=1")=1,TRUE))</formula>
    </cfRule>
    <cfRule type="expression" dxfId="2159" priority="394">
      <formula>OR(R7=0,R7=5)</formula>
    </cfRule>
  </conditionalFormatting>
  <conditionalFormatting sqref="I14:I18">
    <cfRule type="expression" dxfId="2158" priority="253">
      <formula>FIND(2,I14,1)</formula>
    </cfRule>
    <cfRule type="expression" dxfId="2157" priority="254">
      <formula>FIND(1,I14,1)</formula>
    </cfRule>
  </conditionalFormatting>
  <conditionalFormatting sqref="L14:L18">
    <cfRule type="expression" dxfId="2156" priority="236">
      <formula>K14=0</formula>
    </cfRule>
    <cfRule type="expression" dxfId="2155" priority="245">
      <formula>IF(COUNTIF(J$14:J$18,"=2")=2,TRUE)</formula>
    </cfRule>
    <cfRule type="expression" dxfId="2154" priority="246">
      <formula>IF(COUNTIF(J$14:J$18,"=1")=2,TRUE)</formula>
    </cfRule>
    <cfRule type="expression" dxfId="2153" priority="247">
      <formula>AND(IF(COUNTIF(Q$14:Q$18,"=1")=2,TRUE),IF(COUNTIF(Q$14:Q$18,"=2")=2,TRUE))</formula>
    </cfRule>
    <cfRule type="expression" dxfId="2152" priority="248">
      <formula>AND(Q14=4,IF(COUNTIF(Q$14:Q$18,"=4")=1,TRUE))</formula>
    </cfRule>
    <cfRule type="expression" dxfId="2151" priority="249">
      <formula>AND(Q14=3,IF(COUNTIF(Q$14:Q$18,"=3")=1,TRUE))</formula>
    </cfRule>
    <cfRule type="expression" dxfId="2150" priority="250">
      <formula>AND(Q14=2,IF(COUNTIF(Q$14:Q$18,"=2")=1,TRUE))</formula>
    </cfRule>
    <cfRule type="expression" dxfId="2149" priority="251">
      <formula>AND(Q14=1,IF(COUNTIF(Q$14:Q$18,"=1")=1,TRUE))</formula>
    </cfRule>
    <cfRule type="expression" dxfId="2148" priority="252">
      <formula>OR(Q14=0,Q14=5)</formula>
    </cfRule>
  </conditionalFormatting>
  <conditionalFormatting sqref="O14:O18">
    <cfRule type="expression" dxfId="2147" priority="244">
      <formula>OR(AND(J14=1,K14=1,L14=0,M14=1),AND(J14=2,K14=2,L14=0,M14=2))</formula>
    </cfRule>
  </conditionalFormatting>
  <conditionalFormatting sqref="M14:M18">
    <cfRule type="expression" dxfId="2146" priority="237">
      <formula>AND(L14&gt;0,IF(COUNTIF(L$14:L$18,L14)&gt;1,TRUE,FALSE))</formula>
    </cfRule>
    <cfRule type="expression" dxfId="2145" priority="238">
      <formula>AND(IF(COUNTIF(R$14:R$18,"=1")=2,TRUE),IF(COUNTIF(R$14:R$18,"=2")=2,TRUE))</formula>
    </cfRule>
    <cfRule type="expression" dxfId="2144" priority="239">
      <formula>AND(R14=4,IF(COUNTIF(R$14:R$18,"=4")=1,TRUE))</formula>
    </cfRule>
    <cfRule type="expression" dxfId="2143" priority="240">
      <formula>AND(R14=3,IF(COUNTIF(R$14:R$18,"=3")=1,TRUE))</formula>
    </cfRule>
    <cfRule type="expression" dxfId="2142" priority="241">
      <formula>AND(R14=2,IF(COUNTIF(R$14:R$18,"=2")=1,TRUE))</formula>
    </cfRule>
    <cfRule type="expression" dxfId="2141" priority="242">
      <formula>AND(R14=1,IF(COUNTIF(R$14:R$18,"=1")=1,TRUE))</formula>
    </cfRule>
    <cfRule type="expression" dxfId="2140" priority="243">
      <formula>OR(R14=0,R14=5)</formula>
    </cfRule>
  </conditionalFormatting>
  <conditionalFormatting sqref="J14:J18">
    <cfRule type="expression" dxfId="2139" priority="232">
      <formula>AND(Q14=4,IF(COUNTIF(Q$14:Q$18,"=4")&gt;=2,TRUE))</formula>
    </cfRule>
    <cfRule type="expression" dxfId="2138" priority="233">
      <formula>AND(Q14=3,IF(COUNTIF(Q$14:Q$18,"=3")&gt;=2,TRUE))</formula>
    </cfRule>
    <cfRule type="expression" dxfId="2137" priority="234">
      <formula>AND(Q14=2,IF(COUNTIF(Q$14:Q$18,"=2")&gt;=2,TRUE))</formula>
    </cfRule>
    <cfRule type="expression" dxfId="2136" priority="235">
      <formula>AND(Q14=1,IF(COUNTIF(Q$14:Q$18,"=1")&gt;=2,TRUE))</formula>
    </cfRule>
  </conditionalFormatting>
  <conditionalFormatting sqref="K14:K18">
    <cfRule type="expression" dxfId="2135" priority="255">
      <formula>AND(J14&gt;0,IF(COUNTIF(J$14:J$18,"=1")=2,TRUE),IF(COUNTIF(J$14:J$18,"=2")=2,TRUE))</formula>
    </cfRule>
    <cfRule type="expression" dxfId="2134" priority="256">
      <formula>IF(COUNTIF(L$14:L$18,"=2")=2,TRUE)</formula>
    </cfRule>
    <cfRule type="expression" dxfId="2133" priority="257">
      <formula>IF(COUNTIF(L$14:L$18,"=1")=2,TRUE)</formula>
    </cfRule>
    <cfRule type="expression" dxfId="2132" priority="258">
      <formula>AND(IF(COUNTIF(R$14:R$18,"=1")=2,TRUE),IF(COUNTIF(S$14:S$18,"=2")=2,TRUE))</formula>
    </cfRule>
    <cfRule type="expression" dxfId="2131" priority="259">
      <formula>AND(R14=4,IF(COUNTIF(R$14:R$18,"=4")=1,TRUE))</formula>
    </cfRule>
    <cfRule type="expression" dxfId="2130" priority="260">
      <formula>AND(R14=3,IF(COUNTIF(R$14:R$18,"=3")=1,TRUE))</formula>
    </cfRule>
    <cfRule type="expression" dxfId="2129" priority="261">
      <formula>AND(R14=2,IF(COUNTIF(R$14:R$18,"=2")=1,TRUE))</formula>
    </cfRule>
    <cfRule type="expression" dxfId="2128" priority="262">
      <formula>AND(R14=1,IF(COUNTIF(R$14:R$18,"=1")=1,TRUE))</formula>
    </cfRule>
    <cfRule type="expression" dxfId="2127" priority="263">
      <formula>OR(R14=0,R14=5)</formula>
    </cfRule>
  </conditionalFormatting>
  <conditionalFormatting sqref="L21:L25">
    <cfRule type="expression" dxfId="2126" priority="204">
      <formula>K21=0</formula>
    </cfRule>
    <cfRule type="expression" dxfId="2125" priority="213">
      <formula>IF(COUNTIF(J$21:J$25,"=2")=2,TRUE)</formula>
    </cfRule>
    <cfRule type="expression" dxfId="2124" priority="214">
      <formula>IF(COUNTIF(J$21:J$25,"=1")=2,TRUE)</formula>
    </cfRule>
    <cfRule type="expression" dxfId="2123" priority="215">
      <formula>AND(IF(COUNTIF(Q$21:Q$25,"=1")=2,TRUE),IF(COUNTIF(Q$21:Q$25,"=2")=2,TRUE))</formula>
    </cfRule>
    <cfRule type="expression" dxfId="2122" priority="216">
      <formula>AND(Q21=4,IF(COUNTIF(Q$21:Q$25,"=4")=1,TRUE))</formula>
    </cfRule>
    <cfRule type="expression" dxfId="2121" priority="217">
      <formula>AND(Q21=3,IF(COUNTIF(Q$21:Q$25,"=3")=1,TRUE))</formula>
    </cfRule>
    <cfRule type="expression" dxfId="2120" priority="218">
      <formula>AND(Q21=2,IF(COUNTIF(Q$21:Q$25,"=2")=1,TRUE))</formula>
    </cfRule>
    <cfRule type="expression" dxfId="2119" priority="219">
      <formula>AND(Q21=1,IF(COUNTIF(Q$21:Q$25,"=1")=1,TRUE))</formula>
    </cfRule>
    <cfRule type="expression" dxfId="2118" priority="220">
      <formula>OR(Q21=0,Q21=5)</formula>
    </cfRule>
  </conditionalFormatting>
  <conditionalFormatting sqref="O21:O25">
    <cfRule type="expression" dxfId="2117" priority="212">
      <formula>OR(AND(J21=1,K21=1,L21=0,M21=1),AND(J21=2,K21=2,L21=0,M21=2))</formula>
    </cfRule>
  </conditionalFormatting>
  <conditionalFormatting sqref="M21:M25">
    <cfRule type="expression" dxfId="2116" priority="205">
      <formula>AND(L21&gt;0,IF(COUNTIF(L$21:L$25,L21)&gt;1,TRUE,FALSE))</formula>
    </cfRule>
    <cfRule type="expression" dxfId="2115" priority="206">
      <formula>AND(IF(COUNTIF(R$21:R$25,"=1")=2,TRUE),IF(COUNTIF(R$21:R$25,"=2")=2,TRUE))</formula>
    </cfRule>
    <cfRule type="expression" dxfId="2114" priority="207">
      <formula>AND(R21=4,IF(COUNTIF(R$21:R$25,"=4")=1,TRUE))</formula>
    </cfRule>
    <cfRule type="expression" dxfId="2113" priority="208">
      <formula>AND(R21=3,IF(COUNTIF(R$21:R$25,"=3")=1,TRUE))</formula>
    </cfRule>
    <cfRule type="expression" dxfId="2112" priority="209">
      <formula>AND(R21=2,IF(COUNTIF(R$21:R$25,"=2")=1,TRUE))</formula>
    </cfRule>
    <cfRule type="expression" dxfId="2111" priority="210">
      <formula>AND(R21=1,IF(COUNTIF(R$21:R$25,"=1")=1,TRUE))</formula>
    </cfRule>
    <cfRule type="expression" dxfId="2110" priority="211">
      <formula>OR(R21=0,R21=5)</formula>
    </cfRule>
  </conditionalFormatting>
  <conditionalFormatting sqref="J21:J25">
    <cfRule type="expression" dxfId="2109" priority="200">
      <formula>AND(Q21=4,IF(COUNTIF(Q$21:Q$25,"=4")&gt;=2,TRUE))</formula>
    </cfRule>
    <cfRule type="expression" dxfId="2108" priority="201">
      <formula>AND(Q21=3,IF(COUNTIF(Q$21:Q$25,"=3")&gt;=2,TRUE))</formula>
    </cfRule>
    <cfRule type="expression" dxfId="2107" priority="202">
      <formula>AND(Q21=2,IF(COUNTIF(Q$21:Q$25,"=2")&gt;=2,TRUE))</formula>
    </cfRule>
    <cfRule type="expression" dxfId="2106" priority="203">
      <formula>AND(Q21=1,IF(COUNTIF(Q$21:Q$25,"=1")&gt;=2,TRUE))</formula>
    </cfRule>
  </conditionalFormatting>
  <conditionalFormatting sqref="K21:K25">
    <cfRule type="expression" dxfId="2105" priority="221">
      <formula>AND(J21&gt;0,IF(COUNTIF(J$21:J$25,"=1")=2,TRUE),IF(COUNTIF(J$21:J$25,"=2")=2,TRUE))</formula>
    </cfRule>
    <cfRule type="expression" dxfId="2104" priority="222">
      <formula>IF(COUNTIF(L$21:L$25,"=2")=2,TRUE)</formula>
    </cfRule>
    <cfRule type="expression" dxfId="2103" priority="223">
      <formula>IF(COUNTIF(L$21:L$25,"=1")=2,TRUE)</formula>
    </cfRule>
    <cfRule type="expression" dxfId="2102" priority="224">
      <formula>AND(IF(COUNTIF(R$21:R$25,"=1")=2,TRUE),IF(COUNTIF(S$21:S$25,"=2")=2,TRUE))</formula>
    </cfRule>
    <cfRule type="expression" dxfId="2101" priority="225">
      <formula>AND(R21=4,IF(COUNTIF(R$21:R$25,"=4")=1,TRUE))</formula>
    </cfRule>
    <cfRule type="expression" dxfId="2100" priority="226">
      <formula>AND(R21=3,IF(COUNTIF(R$21:R$25,"=3")=1,TRUE))</formula>
    </cfRule>
    <cfRule type="expression" dxfId="2099" priority="227">
      <formula>AND(R21=2,IF(COUNTIF(R$21:R$25,"=2")=1,TRUE))</formula>
    </cfRule>
    <cfRule type="expression" dxfId="2098" priority="228">
      <formula>AND(R21=1,IF(COUNTIF(R$21:R$25,"=1")=1,TRUE))</formula>
    </cfRule>
    <cfRule type="expression" dxfId="2097" priority="229">
      <formula>OR(R21=0,R21=5)</formula>
    </cfRule>
  </conditionalFormatting>
  <conditionalFormatting sqref="H21:H25">
    <cfRule type="expression" dxfId="2096" priority="196">
      <formula>AND(Q21=4,IF(COUNTIF(Q$21:Q$25,"=4")&gt;=2,TRUE))</formula>
    </cfRule>
    <cfRule type="expression" dxfId="2095" priority="197">
      <formula>AND(Q21=3,IF(COUNTIF(Q$21:Q$25,"=3")&gt;=2,TRUE))</formula>
    </cfRule>
    <cfRule type="expression" dxfId="2094" priority="198">
      <formula>AND(Q21=2,IF(COUNTIF(Q$21:Q$25,"=2")&gt;=2,TRUE))</formula>
    </cfRule>
    <cfRule type="expression" dxfId="2093" priority="199">
      <formula>AND(Q21=1,IF(COUNTIF(Q$21:Q$25,"=1")&gt;=2,TRUE))</formula>
    </cfRule>
  </conditionalFormatting>
  <conditionalFormatting sqref="L28:L32">
    <cfRule type="expression" dxfId="2092" priority="170">
      <formula>K28=0</formula>
    </cfRule>
    <cfRule type="expression" dxfId="2091" priority="179">
      <formula>IF(COUNTIF(J$28:J$32,"=2")=2,TRUE)</formula>
    </cfRule>
    <cfRule type="expression" dxfId="2090" priority="180">
      <formula>IF(COUNTIF(J$28:J$32,"=1")=2,TRUE)</formula>
    </cfRule>
    <cfRule type="expression" dxfId="2089" priority="181">
      <formula>AND(IF(COUNTIF(Q$28:Q$32,"=1")=2,TRUE),IF(COUNTIF(Q$28:Q$32,"=2")=2,TRUE))</formula>
    </cfRule>
    <cfRule type="expression" dxfId="2088" priority="182">
      <formula>AND(Q28=4,IF(COUNTIF(Q$28:Q$32,"=4")=1,TRUE))</formula>
    </cfRule>
    <cfRule type="expression" dxfId="2087" priority="183">
      <formula>AND(Q28=3,IF(COUNTIF(Q$28:Q$32,"=3")=1,TRUE))</formula>
    </cfRule>
    <cfRule type="expression" dxfId="2086" priority="184">
      <formula>AND(Q28=2,IF(COUNTIF(Q$28:Q$32,"=2")=1,TRUE))</formula>
    </cfRule>
    <cfRule type="expression" dxfId="2085" priority="185">
      <formula>AND(Q28=1,IF(COUNTIF(Q$28:Q$32,"=1")=1,TRUE))</formula>
    </cfRule>
    <cfRule type="expression" dxfId="2084" priority="186">
      <formula>OR(Q28=0,Q28=5)</formula>
    </cfRule>
  </conditionalFormatting>
  <conditionalFormatting sqref="O28:O32">
    <cfRule type="expression" dxfId="2083" priority="178">
      <formula>OR(AND(J28=1,K28=1,L28=0,M28=1),AND(J28=2,K28=2,L28=0,M28=2))</formula>
    </cfRule>
  </conditionalFormatting>
  <conditionalFormatting sqref="M28:M32">
    <cfRule type="expression" dxfId="2082" priority="171">
      <formula>AND(L28&gt;0,IF(COUNTIF(L$28:L$32,L28)&gt;1,TRUE,FALSE))</formula>
    </cfRule>
    <cfRule type="expression" dxfId="2081" priority="172">
      <formula>AND(IF(COUNTIF(R$28:R$32,"=1")=2,TRUE),IF(COUNTIF(R$28:R$32,"=2")=2,TRUE))</formula>
    </cfRule>
    <cfRule type="expression" dxfId="2080" priority="173">
      <formula>AND(R28=4,IF(COUNTIF(R$28:R$32,"=4")=1,TRUE))</formula>
    </cfRule>
    <cfRule type="expression" dxfId="2079" priority="174">
      <formula>AND(R28=3,IF(COUNTIF(R$28:R$32,"=3")=1,TRUE))</formula>
    </cfRule>
    <cfRule type="expression" dxfId="2078" priority="175">
      <formula>AND(R28=2,IF(COUNTIF(R$28:R$32,"=2")=1,TRUE))</formula>
    </cfRule>
    <cfRule type="expression" dxfId="2077" priority="176">
      <formula>AND(R28=1,IF(COUNTIF(R$28:R$32,"=1")=1,TRUE))</formula>
    </cfRule>
    <cfRule type="expression" dxfId="2076" priority="177">
      <formula>OR(R28=0,R28=5)</formula>
    </cfRule>
  </conditionalFormatting>
  <conditionalFormatting sqref="J28:J32">
    <cfRule type="expression" dxfId="2075" priority="166">
      <formula>AND(Q28=4,IF(COUNTIF(Q$28:Q$32,"=4")&gt;=2,TRUE))</formula>
    </cfRule>
    <cfRule type="expression" dxfId="2074" priority="167">
      <formula>AND(Q28=3,IF(COUNTIF(Q$28:Q$32,"=3")&gt;=2,TRUE))</formula>
    </cfRule>
    <cfRule type="expression" dxfId="2073" priority="168">
      <formula>AND(Q28=2,IF(COUNTIF(Q$28:Q$32,"=2")&gt;=2,TRUE))</formula>
    </cfRule>
    <cfRule type="expression" dxfId="2072" priority="169">
      <formula>AND(Q28=1,IF(COUNTIF(Q$28:Q$32,"=1")&gt;=2,TRUE))</formula>
    </cfRule>
  </conditionalFormatting>
  <conditionalFormatting sqref="K28:K32">
    <cfRule type="expression" dxfId="2071" priority="187">
      <formula>AND(J28&gt;0,IF(COUNTIF(J$28:J$32,"=1")=2,TRUE),IF(COUNTIF(J$28:J$32,"=2")=2,TRUE))</formula>
    </cfRule>
    <cfRule type="expression" dxfId="2070" priority="188">
      <formula>IF(COUNTIF(L$28:L$32,"=2")=2,TRUE)</formula>
    </cfRule>
    <cfRule type="expression" dxfId="2069" priority="189">
      <formula>IF(COUNTIF(L$28:L$32,"=1")=2,TRUE)</formula>
    </cfRule>
    <cfRule type="expression" dxfId="2068" priority="190">
      <formula>AND(IF(COUNTIF(R$28:R$32,"=1")=2,TRUE),IF(COUNTIF(S$28:S$32,"=2")=2,TRUE))</formula>
    </cfRule>
    <cfRule type="expression" dxfId="2067" priority="191">
      <formula>AND(R28=4,IF(COUNTIF(R$28:R$32,"=4")=1,TRUE))</formula>
    </cfRule>
    <cfRule type="expression" dxfId="2066" priority="192">
      <formula>AND(R28=3,IF(COUNTIF(R$28:R$32,"=3")=1,TRUE))</formula>
    </cfRule>
    <cfRule type="expression" dxfId="2065" priority="193">
      <formula>AND(R28=2,IF(COUNTIF(R$28:R$32,"=2")=1,TRUE))</formula>
    </cfRule>
    <cfRule type="expression" dxfId="2064" priority="194">
      <formula>AND(R28=1,IF(COUNTIF(R$28:R$32,"=1")=1,TRUE))</formula>
    </cfRule>
    <cfRule type="expression" dxfId="2063" priority="195">
      <formula>OR(R28=0,R28=5)</formula>
    </cfRule>
  </conditionalFormatting>
  <conditionalFormatting sqref="H28:H32">
    <cfRule type="expression" dxfId="2062" priority="162">
      <formula>AND(Q28=4,IF(COUNTIF(Q$28:Q$32,"=4")&gt;=2,TRUE))</formula>
    </cfRule>
    <cfRule type="expression" dxfId="2061" priority="163">
      <formula>AND(Q28=3,IF(COUNTIF(Q$28:Q$32,"=3")&gt;=2,TRUE))</formula>
    </cfRule>
    <cfRule type="expression" dxfId="2060" priority="164">
      <formula>AND(Q28=2,IF(COUNTIF(Q$28:Q$32,"=2")&gt;=2,TRUE))</formula>
    </cfRule>
    <cfRule type="expression" dxfId="2059" priority="165">
      <formula>AND(Q28=1,IF(COUNTIF(Q$28:Q$32,"=1")&gt;=2,TRUE))</formula>
    </cfRule>
  </conditionalFormatting>
  <conditionalFormatting sqref="L35:L39">
    <cfRule type="expression" dxfId="2058" priority="136">
      <formula>K35=0</formula>
    </cfRule>
    <cfRule type="expression" dxfId="2057" priority="145">
      <formula>IF(COUNTIF(J$35:J$39,"=2")=2,TRUE)</formula>
    </cfRule>
    <cfRule type="expression" dxfId="2056" priority="146">
      <formula>IF(COUNTIF(J$35:J$39,"=1")=2,TRUE)</formula>
    </cfRule>
    <cfRule type="expression" dxfId="2055" priority="147">
      <formula>AND(IF(COUNTIF(Q$35:Q$39,"=1")=2,TRUE),IF(COUNTIF(Q$35:Q$39,"=2")=2,TRUE))</formula>
    </cfRule>
    <cfRule type="expression" dxfId="2054" priority="148">
      <formula>AND(Q35=4,IF(COUNTIF(Q$35:Q$39,"=4")=1,TRUE))</formula>
    </cfRule>
    <cfRule type="expression" dxfId="2053" priority="149">
      <formula>AND(Q35=3,IF(COUNTIF(Q$35:Q$39,"=3")=1,TRUE))</formula>
    </cfRule>
    <cfRule type="expression" dxfId="2052" priority="150">
      <formula>AND(Q35=2,IF(COUNTIF(Q$35:Q$39,"=2")=1,TRUE))</formula>
    </cfRule>
    <cfRule type="expression" dxfId="2051" priority="151">
      <formula>AND(Q35=1,IF(COUNTIF(Q$35:Q$39,"=1")=1,TRUE))</formula>
    </cfRule>
    <cfRule type="expression" dxfId="2050" priority="152">
      <formula>OR(Q35=0,Q35=5)</formula>
    </cfRule>
  </conditionalFormatting>
  <conditionalFormatting sqref="O35:O39">
    <cfRule type="expression" dxfId="2049" priority="144">
      <formula>OR(AND(J35=1,K35=1,L35=0,M35=1),AND(J35=2,K35=2,L35=0,M35=2))</formula>
    </cfRule>
  </conditionalFormatting>
  <conditionalFormatting sqref="M35:M39">
    <cfRule type="expression" dxfId="2048" priority="137">
      <formula>AND(L35&gt;0,IF(COUNTIF(L$35:L$39,L35)&gt;1,TRUE,FALSE))</formula>
    </cfRule>
    <cfRule type="expression" dxfId="2047" priority="138">
      <formula>AND(IF(COUNTIF(R$35:R$39,"=1")=2,TRUE),IF(COUNTIF(R$35:R$39,"=2")=2,TRUE))</formula>
    </cfRule>
    <cfRule type="expression" dxfId="2046" priority="139">
      <formula>AND(R35=4,IF(COUNTIF(R$35:R$39,"=4")=1,TRUE))</formula>
    </cfRule>
    <cfRule type="expression" dxfId="2045" priority="140">
      <formula>AND(R35=3,IF(COUNTIF(R$35:R$39,"=3")=1,TRUE))</formula>
    </cfRule>
    <cfRule type="expression" dxfId="2044" priority="141">
      <formula>AND(R35=2,IF(COUNTIF(R$35:R$39,"=2")=1,TRUE))</formula>
    </cfRule>
    <cfRule type="expression" dxfId="2043" priority="142">
      <formula>AND(R35=1,IF(COUNTIF(R$35:R$39,"=1")=1,TRUE))</formula>
    </cfRule>
    <cfRule type="expression" dxfId="2042" priority="143">
      <formula>OR(R35=0,R35=5)</formula>
    </cfRule>
  </conditionalFormatting>
  <conditionalFormatting sqref="J35:J39">
    <cfRule type="expression" dxfId="2041" priority="132">
      <formula>AND(Q35=4,IF(COUNTIF(Q$35:Q$39,"=4")&gt;=2,TRUE))</formula>
    </cfRule>
    <cfRule type="expression" dxfId="2040" priority="133">
      <formula>AND(Q35=3,IF(COUNTIF(Q$35:Q$39,"=3")&gt;=2,TRUE))</formula>
    </cfRule>
    <cfRule type="expression" dxfId="2039" priority="134">
      <formula>AND(Q35=2,IF(COUNTIF(Q$35:Q$39,"=2")&gt;=2,TRUE))</formula>
    </cfRule>
    <cfRule type="expression" dxfId="2038" priority="135">
      <formula>AND(Q35=1,IF(COUNTIF(Q$35:Q$39,"=1")&gt;=2,TRUE))</formula>
    </cfRule>
  </conditionalFormatting>
  <conditionalFormatting sqref="K35:K39">
    <cfRule type="expression" dxfId="2037" priority="153">
      <formula>AND(J35&gt;0,IF(COUNTIF(J$35:J$39,"=1")=2,TRUE),IF(COUNTIF(J$35:J$39,"=2")=2,TRUE))</formula>
    </cfRule>
    <cfRule type="expression" dxfId="2036" priority="154">
      <formula>IF(COUNTIF(L$35:L$39,"=2")=2,TRUE)</formula>
    </cfRule>
    <cfRule type="expression" dxfId="2035" priority="155">
      <formula>IF(COUNTIF(L$35:L$39,"=1")=2,TRUE)</formula>
    </cfRule>
    <cfRule type="expression" dxfId="2034" priority="156">
      <formula>AND(IF(COUNTIF(R$35:R$39,"=1")=2,TRUE),IF(COUNTIF(S$35:S$39,"=2")=2,TRUE))</formula>
    </cfRule>
    <cfRule type="expression" dxfId="2033" priority="157">
      <formula>AND(R35=4,IF(COUNTIF(R$35:R$39,"=4")=1,TRUE))</formula>
    </cfRule>
    <cfRule type="expression" dxfId="2032" priority="158">
      <formula>AND(R35=3,IF(COUNTIF(R$35:R$39,"=3")=1,TRUE))</formula>
    </cfRule>
    <cfRule type="expression" dxfId="2031" priority="159">
      <formula>AND(R35=2,IF(COUNTIF(R$35:R$39,"=2")=1,TRUE))</formula>
    </cfRule>
    <cfRule type="expression" dxfId="2030" priority="160">
      <formula>AND(R35=1,IF(COUNTIF(R$35:R$39,"=1")=1,TRUE))</formula>
    </cfRule>
    <cfRule type="expression" dxfId="2029" priority="161">
      <formula>OR(R35=0,R35=5)</formula>
    </cfRule>
  </conditionalFormatting>
  <conditionalFormatting sqref="H35:H39">
    <cfRule type="expression" dxfId="2028" priority="128">
      <formula>AND(Q35=4,IF(COUNTIF(Q$35:Q$39,"=4")&gt;=2,TRUE))</formula>
    </cfRule>
    <cfRule type="expression" dxfId="2027" priority="129">
      <formula>AND(Q35=3,IF(COUNTIF(Q$35:Q$39,"=3")&gt;=2,TRUE))</formula>
    </cfRule>
    <cfRule type="expression" dxfId="2026" priority="130">
      <formula>AND(Q35=2,IF(COUNTIF(Q$35:Q$39,"=2")&gt;=2,TRUE))</formula>
    </cfRule>
    <cfRule type="expression" dxfId="2025" priority="131">
      <formula>AND(Q35=1,IF(COUNTIF(Q$35:Q$39,"=1")&gt;=2,TRUE))</formula>
    </cfRule>
  </conditionalFormatting>
  <conditionalFormatting sqref="L42:L46">
    <cfRule type="expression" dxfId="2024" priority="102">
      <formula>K42=0</formula>
    </cfRule>
    <cfRule type="expression" dxfId="2023" priority="111">
      <formula>IF(COUNTIF(J$42:J$46,"=2")=2,TRUE)</formula>
    </cfRule>
    <cfRule type="expression" dxfId="2022" priority="112">
      <formula>IF(COUNTIF(J$42:J$46,"=1")=2,TRUE)</formula>
    </cfRule>
    <cfRule type="expression" dxfId="2021" priority="113">
      <formula>AND(IF(COUNTIF(Q$42:Q$46,"=1")=2,TRUE),IF(COUNTIF(Q$42:Q$46,"=2")=2,TRUE))</formula>
    </cfRule>
    <cfRule type="expression" dxfId="2020" priority="114">
      <formula>AND(Q42=4,IF(COUNTIF(Q$42:Q$46,"=4")=1,TRUE))</formula>
    </cfRule>
    <cfRule type="expression" dxfId="2019" priority="115">
      <formula>AND(Q42=3,IF(COUNTIF(Q$42:Q$46,"=3")=1,TRUE))</formula>
    </cfRule>
    <cfRule type="expression" dxfId="2018" priority="116">
      <formula>AND(Q42=2,IF(COUNTIF(Q$42:Q$46,"=2")=1,TRUE))</formula>
    </cfRule>
    <cfRule type="expression" dxfId="2017" priority="117">
      <formula>AND(Q42=1,IF(COUNTIF(Q$42:Q$46,"=1")=1,TRUE))</formula>
    </cfRule>
    <cfRule type="expression" dxfId="2016" priority="118">
      <formula>OR(Q42=0,Q42=5)</formula>
    </cfRule>
  </conditionalFormatting>
  <conditionalFormatting sqref="O42:O46">
    <cfRule type="expression" dxfId="2015" priority="110">
      <formula>OR(AND(J42=1,K42=1,L42=0,M42=1),AND(J42=2,K42=2,L42=0,M42=2))</formula>
    </cfRule>
  </conditionalFormatting>
  <conditionalFormatting sqref="M42:M46">
    <cfRule type="expression" dxfId="2014" priority="103">
      <formula>AND(L42&gt;0,IF(COUNTIF(L$42:L$46,L42)&gt;1,TRUE,FALSE))</formula>
    </cfRule>
    <cfRule type="expression" dxfId="2013" priority="104">
      <formula>AND(IF(COUNTIF(R$42:R$46,"=1")=2,TRUE),IF(COUNTIF(R$42:R$46,"=2")=2,TRUE))</formula>
    </cfRule>
    <cfRule type="expression" dxfId="2012" priority="105">
      <formula>AND(R42=4,IF(COUNTIF(R$42:R$46,"=4")=1,TRUE))</formula>
    </cfRule>
    <cfRule type="expression" dxfId="2011" priority="106">
      <formula>AND(R42=3,IF(COUNTIF(R$42:R$46,"=3")=1,TRUE))</formula>
    </cfRule>
    <cfRule type="expression" dxfId="2010" priority="107">
      <formula>AND(R42=2,IF(COUNTIF(R$42:R$46,"=2")=1,TRUE))</formula>
    </cfRule>
    <cfRule type="expression" dxfId="2009" priority="108">
      <formula>AND(R42=1,IF(COUNTIF(R$42:R$46,"=1")=1,TRUE))</formula>
    </cfRule>
    <cfRule type="expression" dxfId="2008" priority="109">
      <formula>OR(R42=0,R42=5)</formula>
    </cfRule>
  </conditionalFormatting>
  <conditionalFormatting sqref="J42:J46">
    <cfRule type="expression" dxfId="2007" priority="98">
      <formula>AND(Q42=4,IF(COUNTIF(Q$42:Q$46,"=4")&gt;=2,TRUE))</formula>
    </cfRule>
    <cfRule type="expression" dxfId="2006" priority="99">
      <formula>AND(Q42=3,IF(COUNTIF(Q$42:Q$46,"=3")&gt;=2,TRUE))</formula>
    </cfRule>
    <cfRule type="expression" dxfId="2005" priority="100">
      <formula>AND(Q42=2,IF(COUNTIF(Q$42:Q$46,"=2")&gt;=2,TRUE))</formula>
    </cfRule>
    <cfRule type="expression" dxfId="2004" priority="101">
      <formula>AND(Q42=1,IF(COUNTIF(Q$42:Q$46,"=1")&gt;=2,TRUE))</formula>
    </cfRule>
  </conditionalFormatting>
  <conditionalFormatting sqref="K42:K46">
    <cfRule type="expression" dxfId="2003" priority="119">
      <formula>AND(J42&gt;0,IF(COUNTIF(J$42:J$46,"=1")=2,TRUE),IF(COUNTIF(J$42:J$46,"=2")=2,TRUE))</formula>
    </cfRule>
    <cfRule type="expression" dxfId="2002" priority="120">
      <formula>IF(COUNTIF(L$42:L$46,"=2")=2,TRUE)</formula>
    </cfRule>
    <cfRule type="expression" dxfId="2001" priority="121">
      <formula>IF(COUNTIF(L$42:L$46,"=1")=2,TRUE)</formula>
    </cfRule>
    <cfRule type="expression" dxfId="2000" priority="122">
      <formula>AND(IF(COUNTIF(R$42:R$46,"=1")=2,TRUE),IF(COUNTIF(S$42:S$46,"=2")=2,TRUE))</formula>
    </cfRule>
    <cfRule type="expression" dxfId="1999" priority="123">
      <formula>AND(R42=4,IF(COUNTIF(R$42:R$46,"=4")=1,TRUE))</formula>
    </cfRule>
    <cfRule type="expression" dxfId="1998" priority="124">
      <formula>AND(R42=3,IF(COUNTIF(R$42:R$46,"=3")=1,TRUE))</formula>
    </cfRule>
    <cfRule type="expression" dxfId="1997" priority="125">
      <formula>AND(R42=2,IF(COUNTIF(R$42:R$46,"=2")=1,TRUE))</formula>
    </cfRule>
    <cfRule type="expression" dxfId="1996" priority="126">
      <formula>AND(R42=1,IF(COUNTIF(R$42:R$46,"=1")=1,TRUE))</formula>
    </cfRule>
    <cfRule type="expression" dxfId="1995" priority="127">
      <formula>OR(R42=0,R42=5)</formula>
    </cfRule>
  </conditionalFormatting>
  <conditionalFormatting sqref="H42:H46">
    <cfRule type="expression" dxfId="1994" priority="94">
      <formula>AND(Q42=4,IF(COUNTIF(Q$42:Q$46,"=4")&gt;=2,TRUE))</formula>
    </cfRule>
    <cfRule type="expression" dxfId="1993" priority="95">
      <formula>AND(Q42=3,IF(COUNTIF(Q$42:Q$46,"=3")&gt;=2,TRUE))</formula>
    </cfRule>
    <cfRule type="expression" dxfId="1992" priority="96">
      <formula>AND(Q42=2,IF(COUNTIF(Q$42:Q$46,"=2")&gt;=2,TRUE))</formula>
    </cfRule>
    <cfRule type="expression" dxfId="1991" priority="97">
      <formula>AND(Q42=1,IF(COUNTIF(Q$42:Q$46,"=1")&gt;=2,TRUE))</formula>
    </cfRule>
  </conditionalFormatting>
  <conditionalFormatting sqref="L49:L53">
    <cfRule type="expression" dxfId="1990" priority="68">
      <formula>K49=0</formula>
    </cfRule>
    <cfRule type="expression" dxfId="1989" priority="77">
      <formula>IF(COUNTIF(J$49:J$53,"=2")=2,TRUE)</formula>
    </cfRule>
    <cfRule type="expression" dxfId="1988" priority="78">
      <formula>IF(COUNTIF(J$49:J$53,"=1")=2,TRUE)</formula>
    </cfRule>
    <cfRule type="expression" dxfId="1987" priority="79">
      <formula>AND(IF(COUNTIF(Q$49:Q$53,"=1")=2,TRUE),IF(COUNTIF(Q$49:Q$53,"=2")=2,TRUE))</formula>
    </cfRule>
    <cfRule type="expression" dxfId="1986" priority="80">
      <formula>AND(Q49=4,IF(COUNTIF(Q$49:Q$53,"=4")=1,TRUE))</formula>
    </cfRule>
    <cfRule type="expression" dxfId="1985" priority="81">
      <formula>AND(Q49=3,IF(COUNTIF(Q$49:Q$53,"=3")=1,TRUE))</formula>
    </cfRule>
    <cfRule type="expression" dxfId="1984" priority="82">
      <formula>AND(Q49=2,IF(COUNTIF(Q$49:Q$53,"=2")=1,TRUE))</formula>
    </cfRule>
    <cfRule type="expression" dxfId="1983" priority="83">
      <formula>AND(Q49=1,IF(COUNTIF(Q$49:Q$53,"=1")=1,TRUE))</formula>
    </cfRule>
    <cfRule type="expression" dxfId="1982" priority="84">
      <formula>OR(Q49=0,Q49=5)</formula>
    </cfRule>
  </conditionalFormatting>
  <conditionalFormatting sqref="O49:O53">
    <cfRule type="expression" dxfId="1981" priority="76">
      <formula>OR(AND(J49=1,K49=1,L49=0,M49=1),AND(J49=2,K49=2,L49=0,M49=2))</formula>
    </cfRule>
  </conditionalFormatting>
  <conditionalFormatting sqref="M49:M53">
    <cfRule type="expression" dxfId="1980" priority="69">
      <formula>AND(L49&gt;0,IF(COUNTIF(L$49:L$53,L49)&gt;1,TRUE,FALSE))</formula>
    </cfRule>
    <cfRule type="expression" dxfId="1979" priority="70">
      <formula>AND(IF(COUNTIF(R$49:R$53,"=1")=2,TRUE),IF(COUNTIF(R$49:R$53,"=2")=2,TRUE))</formula>
    </cfRule>
    <cfRule type="expression" dxfId="1978" priority="71">
      <formula>AND(R49=4,IF(COUNTIF(R$49:R$53,"=4")=1,TRUE))</formula>
    </cfRule>
    <cfRule type="expression" dxfId="1977" priority="72">
      <formula>AND(R49=3,IF(COUNTIF(R$49:R$53,"=3")=1,TRUE))</formula>
    </cfRule>
    <cfRule type="expression" dxfId="1976" priority="73">
      <formula>AND(R49=2,IF(COUNTIF(R$49:R$53,"=2")=1,TRUE))</formula>
    </cfRule>
    <cfRule type="expression" dxfId="1975" priority="74">
      <formula>AND(R49=1,IF(COUNTIF(R$49:R$53,"=1")=1,TRUE))</formula>
    </cfRule>
    <cfRule type="expression" dxfId="1974" priority="75">
      <formula>OR(R49=0,R49=5)</formula>
    </cfRule>
  </conditionalFormatting>
  <conditionalFormatting sqref="J49:J53">
    <cfRule type="expression" dxfId="1973" priority="64">
      <formula>AND(Q49=4,IF(COUNTIF(Q$49:Q$53,"=4")&gt;=2,TRUE))</formula>
    </cfRule>
    <cfRule type="expression" dxfId="1972" priority="65">
      <formula>AND(Q49=3,IF(COUNTIF(Q$49:Q$53,"=3")&gt;=2,TRUE))</formula>
    </cfRule>
    <cfRule type="expression" dxfId="1971" priority="66">
      <formula>AND(Q49=2,IF(COUNTIF(Q$49:Q$53,"=2")&gt;=2,TRUE))</formula>
    </cfRule>
    <cfRule type="expression" dxfId="1970" priority="67">
      <formula>AND(Q49=1,IF(COUNTIF(Q$49:Q$53,"=1")&gt;=2,TRUE))</formula>
    </cfRule>
  </conditionalFormatting>
  <conditionalFormatting sqref="K49:K53">
    <cfRule type="expression" dxfId="1969" priority="85">
      <formula>AND(J49&gt;0,IF(COUNTIF(J$49:J$53,"=1")=2,TRUE),IF(COUNTIF(J$49:J$53,"=2")=2,TRUE))</formula>
    </cfRule>
    <cfRule type="expression" dxfId="1968" priority="86">
      <formula>IF(COUNTIF(L$49:L$53,"=2")=2,TRUE)</formula>
    </cfRule>
    <cfRule type="expression" dxfId="1967" priority="87">
      <formula>IF(COUNTIF(L$49:L$53,"=1")=2,TRUE)</formula>
    </cfRule>
    <cfRule type="expression" dxfId="1966" priority="88">
      <formula>AND(IF(COUNTIF(R$49:R$53,"=1")=2,TRUE),IF(COUNTIF(S$49:S$53,"=2")=2,TRUE))</formula>
    </cfRule>
    <cfRule type="expression" dxfId="1965" priority="89">
      <formula>AND(R49=4,IF(COUNTIF(R$49:R$53,"=4")=1,TRUE))</formula>
    </cfRule>
    <cfRule type="expression" dxfId="1964" priority="90">
      <formula>AND(R49=3,IF(COUNTIF(R$49:R$53,"=3")=1,TRUE))</formula>
    </cfRule>
    <cfRule type="expression" dxfId="1963" priority="91">
      <formula>AND(R49=2,IF(COUNTIF(R$49:R$53,"=2")=1,TRUE))</formula>
    </cfRule>
    <cfRule type="expression" dxfId="1962" priority="92">
      <formula>AND(R49=1,IF(COUNTIF(R$49:R$53,"=1")=1,TRUE))</formula>
    </cfRule>
    <cfRule type="expression" dxfId="1961" priority="93">
      <formula>OR(R49=0,R49=5)</formula>
    </cfRule>
  </conditionalFormatting>
  <conditionalFormatting sqref="H49:H53">
    <cfRule type="expression" dxfId="1960" priority="60">
      <formula>AND(Q49=4,IF(COUNTIF(Q$49:Q$53,"=4")&gt;=2,TRUE))</formula>
    </cfRule>
    <cfRule type="expression" dxfId="1959" priority="61">
      <formula>AND(Q49=3,IF(COUNTIF(Q$49:Q$53,"=3")&gt;=2,TRUE))</formula>
    </cfRule>
    <cfRule type="expression" dxfId="1958" priority="62">
      <formula>AND(Q49=2,IF(COUNTIF(Q$49:Q$53,"=2")&gt;=2,TRUE))</formula>
    </cfRule>
    <cfRule type="expression" dxfId="1957" priority="63">
      <formula>AND(Q49=1,IF(COUNTIF(Q$49:Q$53,"=1")&gt;=2,TRUE))</formula>
    </cfRule>
  </conditionalFormatting>
  <conditionalFormatting sqref="L56:L60">
    <cfRule type="expression" dxfId="1956" priority="34">
      <formula>K56=0</formula>
    </cfRule>
    <cfRule type="expression" dxfId="1955" priority="43">
      <formula>IF(COUNTIF(J$56:J$60,"=2")=2,TRUE)</formula>
    </cfRule>
    <cfRule type="expression" dxfId="1954" priority="44">
      <formula>IF(COUNTIF(J$56:J$60,"=1")=2,TRUE)</formula>
    </cfRule>
    <cfRule type="expression" dxfId="1953" priority="45">
      <formula>AND(IF(COUNTIF(Q$56:Q$60,"=1")=2,TRUE),IF(COUNTIF(Q$56:Q$60,"=2")=2,TRUE))</formula>
    </cfRule>
    <cfRule type="expression" dxfId="1952" priority="46">
      <formula>AND(Q56=4,IF(COUNTIF(Q$56:Q$60,"=4")=1,TRUE))</formula>
    </cfRule>
    <cfRule type="expression" dxfId="1951" priority="47">
      <formula>AND(Q56=3,IF(COUNTIF(Q$56:Q$60,"=3")=1,TRUE))</formula>
    </cfRule>
    <cfRule type="expression" dxfId="1950" priority="48">
      <formula>AND(Q56=2,IF(COUNTIF(Q$56:Q$60,"=2")=1,TRUE))</formula>
    </cfRule>
    <cfRule type="expression" dxfId="1949" priority="49">
      <formula>AND(Q56=1,IF(COUNTIF(Q$56:Q$60,"=1")=1,TRUE))</formula>
    </cfRule>
    <cfRule type="expression" dxfId="1948" priority="50">
      <formula>OR(Q56=0,Q56=5)</formula>
    </cfRule>
  </conditionalFormatting>
  <conditionalFormatting sqref="O56:O60">
    <cfRule type="expression" dxfId="1947" priority="42">
      <formula>OR(AND(J56=1,K56=1,L56=0,M56=1),AND(J56=2,K56=2,L56=0,M56=2))</formula>
    </cfRule>
  </conditionalFormatting>
  <conditionalFormatting sqref="M56:M60">
    <cfRule type="expression" dxfId="1946" priority="35">
      <formula>AND(L56&gt;0,IF(COUNTIF(L$56:L$60,L56)&gt;1,TRUE,FALSE))</formula>
    </cfRule>
    <cfRule type="expression" dxfId="1945" priority="36">
      <formula>AND(IF(COUNTIF(R$56:R$60,"=1")=2,TRUE),IF(COUNTIF(R$56:R$60,"=2")=2,TRUE))</formula>
    </cfRule>
    <cfRule type="expression" dxfId="1944" priority="37">
      <formula>AND(R56=4,IF(COUNTIF(R$56:R$60,"=4")=1,TRUE))</formula>
    </cfRule>
    <cfRule type="expression" dxfId="1943" priority="38">
      <formula>AND(R56=3,IF(COUNTIF(R$56:R$60,"=3")=1,TRUE))</formula>
    </cfRule>
    <cfRule type="expression" dxfId="1942" priority="39">
      <formula>AND(R56=2,IF(COUNTIF(R$56:R$60,"=2")=1,TRUE))</formula>
    </cfRule>
    <cfRule type="expression" dxfId="1941" priority="40">
      <formula>AND(R56=1,IF(COUNTIF(R$56:R$60,"=1")=1,TRUE))</formula>
    </cfRule>
    <cfRule type="expression" dxfId="1940" priority="41">
      <formula>OR(R56=0,R56=5)</formula>
    </cfRule>
  </conditionalFormatting>
  <conditionalFormatting sqref="J56:J60">
    <cfRule type="expression" dxfId="1939" priority="30">
      <formula>AND(Q56=4,IF(COUNTIF(Q$56:Q$60,"=4")&gt;=2,TRUE))</formula>
    </cfRule>
    <cfRule type="expression" dxfId="1938" priority="31">
      <formula>AND(Q56=3,IF(COUNTIF(Q$56:Q$60,"=3")&gt;=2,TRUE))</formula>
    </cfRule>
    <cfRule type="expression" dxfId="1937" priority="32">
      <formula>AND(Q56=2,IF(COUNTIF(Q$56:Q$60,"=2")&gt;=2,TRUE))</formula>
    </cfRule>
    <cfRule type="expression" dxfId="1936" priority="33">
      <formula>AND(Q56=1,IF(COUNTIF(Q$56:Q$60,"=1")&gt;=2,TRUE))</formula>
    </cfRule>
  </conditionalFormatting>
  <conditionalFormatting sqref="K56:K60">
    <cfRule type="expression" dxfId="1935" priority="51">
      <formula>AND(J56&gt;0,IF(COUNTIF(J$56:J$60,"=1")=2,TRUE),IF(COUNTIF(J$56:J$60,"=2")=2,TRUE))</formula>
    </cfRule>
    <cfRule type="expression" dxfId="1934" priority="52">
      <formula>IF(COUNTIF(L$56:L$60,"=2")=2,TRUE)</formula>
    </cfRule>
    <cfRule type="expression" dxfId="1933" priority="53">
      <formula>IF(COUNTIF(L$56:L$60,"=1")=2,TRUE)</formula>
    </cfRule>
    <cfRule type="expression" dxfId="1932" priority="54">
      <formula>AND(IF(COUNTIF(R$56:R$60,"=1")=2,TRUE),IF(COUNTIF(S$56:S$60,"=2")=2,TRUE))</formula>
    </cfRule>
    <cfRule type="expression" dxfId="1931" priority="55">
      <formula>AND(R56=4,IF(COUNTIF(R$56:R$60,"=4")=1,TRUE))</formula>
    </cfRule>
    <cfRule type="expression" dxfId="1930" priority="56">
      <formula>AND(R56=3,IF(COUNTIF(R$56:R$60,"=3")=1,TRUE))</formula>
    </cfRule>
    <cfRule type="expression" dxfId="1929" priority="57">
      <formula>AND(R56=2,IF(COUNTIF(R$56:R$60,"=2")=1,TRUE))</formula>
    </cfRule>
    <cfRule type="expression" dxfId="1928" priority="58">
      <formula>AND(R56=1,IF(COUNTIF(R$56:R$60,"=1")=1,TRUE))</formula>
    </cfRule>
    <cfRule type="expression" dxfId="1927" priority="59">
      <formula>OR(R56=0,R56=5)</formula>
    </cfRule>
  </conditionalFormatting>
  <conditionalFormatting sqref="H56:H60">
    <cfRule type="expression" dxfId="1926" priority="26">
      <formula>AND(Q56=4,IF(COUNTIF(Q$56:Q$60,"=4")&gt;=2,TRUE))</formula>
    </cfRule>
    <cfRule type="expression" dxfId="1925" priority="27">
      <formula>AND(Q56=3,IF(COUNTIF(Q$56:Q$60,"=3")&gt;=2,TRUE))</formula>
    </cfRule>
    <cfRule type="expression" dxfId="1924" priority="28">
      <formula>AND(Q56=2,IF(COUNTIF(Q$50:Q$56,"=2")&gt;=2,TRUE))</formula>
    </cfRule>
    <cfRule type="expression" dxfId="1923" priority="29">
      <formula>AND(Q56=1,IF(COUNTIF(Q$56:Q$60,"=1")&gt;=2,TRUE))</formula>
    </cfRule>
  </conditionalFormatting>
  <conditionalFormatting sqref="H7:H61">
    <cfRule type="containsText" dxfId="1922" priority="25" operator="containsText" text="0-0">
      <formula>NOT(ISERROR(SEARCH("0-0",H7)))</formula>
    </cfRule>
  </conditionalFormatting>
  <conditionalFormatting sqref="C102 C104">
    <cfRule type="containsBlanks" dxfId="1921" priority="21">
      <formula>LEN(TRIM(C102))=0</formula>
    </cfRule>
    <cfRule type="aboveAverage" dxfId="1920" priority="22"/>
  </conditionalFormatting>
  <conditionalFormatting sqref="C106 C108">
    <cfRule type="containsBlanks" dxfId="1919" priority="19">
      <formula>LEN(TRIM(C106))=0</formula>
    </cfRule>
    <cfRule type="aboveAverage" dxfId="1918" priority="20"/>
  </conditionalFormatting>
  <conditionalFormatting sqref="E110 E112">
    <cfRule type="aboveAverage" dxfId="1917" priority="18"/>
  </conditionalFormatting>
  <conditionalFormatting sqref="E110 E112">
    <cfRule type="containsBlanks" dxfId="1916" priority="17">
      <formula>LEN(TRIM(E110))=0</formula>
    </cfRule>
  </conditionalFormatting>
  <conditionalFormatting sqref="C119 C121">
    <cfRule type="containsBlanks" dxfId="1915" priority="15">
      <formula>LEN(TRIM(C119))=0</formula>
    </cfRule>
    <cfRule type="aboveAverage" dxfId="1914" priority="16"/>
  </conditionalFormatting>
  <conditionalFormatting sqref="C123 C125">
    <cfRule type="containsBlanks" dxfId="1913" priority="13">
      <formula>LEN(TRIM(C123))=0</formula>
    </cfRule>
    <cfRule type="aboveAverage" dxfId="1912" priority="14"/>
  </conditionalFormatting>
  <conditionalFormatting sqref="E103 E107">
    <cfRule type="containsBlanks" dxfId="1911" priority="23">
      <formula>LEN(TRIM(E103))=0</formula>
    </cfRule>
    <cfRule type="aboveAverage" dxfId="1910" priority="24"/>
  </conditionalFormatting>
  <conditionalFormatting sqref="E127 E129">
    <cfRule type="aboveAverage" dxfId="1909" priority="10"/>
  </conditionalFormatting>
  <conditionalFormatting sqref="E127 E129">
    <cfRule type="containsBlanks" dxfId="1908" priority="9">
      <formula>LEN(TRIM(E127))=0</formula>
    </cfRule>
  </conditionalFormatting>
  <conditionalFormatting sqref="E120 E124">
    <cfRule type="containsBlanks" dxfId="1907" priority="11">
      <formula>LEN(TRIM(E120))=0</formula>
    </cfRule>
    <cfRule type="aboveAverage" dxfId="1906" priority="12"/>
  </conditionalFormatting>
  <conditionalFormatting sqref="A102:A108">
    <cfRule type="cellIs" dxfId="1905" priority="7" operator="equal">
      <formula>"-"</formula>
    </cfRule>
    <cfRule type="duplicateValues" dxfId="1904" priority="8"/>
  </conditionalFormatting>
  <conditionalFormatting sqref="A119:A125">
    <cfRule type="cellIs" dxfId="1903" priority="5" operator="equal">
      <formula>"-"</formula>
    </cfRule>
    <cfRule type="duplicateValues" dxfId="1902" priority="6"/>
  </conditionalFormatting>
  <conditionalFormatting sqref="E136 E138">
    <cfRule type="aboveAverage" dxfId="1901" priority="4"/>
  </conditionalFormatting>
  <conditionalFormatting sqref="E136 E138">
    <cfRule type="containsBlanks" dxfId="1900" priority="3">
      <formula>LEN(TRIM(E136))=0</formula>
    </cfRule>
  </conditionalFormatting>
  <conditionalFormatting sqref="B136:B138">
    <cfRule type="cellIs" dxfId="1899" priority="1" operator="equal">
      <formula>"-"</formula>
    </cfRule>
    <cfRule type="duplicateValues" dxfId="1898" priority="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11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G321"/>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3" width="4.7109375" style="581" customWidth="1"/>
    <col min="4" max="4" width="1.140625" style="581" customWidth="1"/>
    <col min="5" max="5" width="2.7109375" style="581" customWidth="1"/>
    <col min="6" max="6" width="9.140625" style="581" customWidth="1"/>
    <col min="7" max="7" width="2.7109375" style="581" customWidth="1"/>
    <col min="8" max="8" width="1.140625" style="581" customWidth="1"/>
    <col min="9" max="9" width="2.7109375" style="581" customWidth="1"/>
    <col min="10" max="10" width="9.140625" style="581" customWidth="1"/>
    <col min="11" max="11" width="2.7109375" style="581" customWidth="1"/>
    <col min="12" max="12" width="1.140625" style="581" customWidth="1"/>
    <col min="13" max="13" width="2.7109375" style="581" customWidth="1"/>
    <col min="14" max="14" width="9.140625" style="581" customWidth="1"/>
    <col min="15" max="15" width="2.7109375" style="581" customWidth="1"/>
    <col min="16" max="16" width="1.140625" style="581" customWidth="1"/>
    <col min="17" max="17" width="2.7109375" style="581" customWidth="1"/>
    <col min="18" max="18" width="9.140625" style="581" customWidth="1"/>
    <col min="19" max="19" width="2.7109375" style="581" customWidth="1"/>
    <col min="20" max="20" width="1.140625" style="581" customWidth="1"/>
    <col min="21" max="21" width="2.7109375" style="581" customWidth="1"/>
    <col min="22" max="22" width="9.140625" style="581" customWidth="1"/>
    <col min="23" max="23" width="5.7109375" style="581" customWidth="1"/>
    <col min="24" max="24" width="5.5703125" style="581" customWidth="1"/>
    <col min="25" max="25" width="7.42578125" style="581" bestFit="1" customWidth="1"/>
    <col min="26" max="26" width="2.7109375" style="581" customWidth="1"/>
    <col min="27" max="27" width="1.140625" style="581" customWidth="1"/>
    <col min="28" max="28" width="2.7109375" style="581" customWidth="1"/>
    <col min="29" max="29" width="4.7109375" style="581" customWidth="1"/>
    <col min="30" max="30" width="9.140625" style="581"/>
    <col min="31" max="31" width="9.140625" style="581" hidden="1" customWidth="1"/>
    <col min="32" max="32" width="18.7109375" style="581" hidden="1" customWidth="1"/>
    <col min="33" max="33" width="9.140625" style="581" hidden="1" customWidth="1"/>
    <col min="34" max="16384" width="9.140625" style="581"/>
  </cols>
  <sheetData>
    <row r="1" spans="1:33" x14ac:dyDescent="0.2">
      <c r="A1" s="572" t="str">
        <f>UPPER((Kalend!E8)&amp;" - "&amp;(Kalend!C8)&amp;" - "&amp;(Kalend!D8))</f>
        <v>2 - IDA-VIRUMAA MV - ÜKSIK</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row>
    <row r="2" spans="1:33" x14ac:dyDescent="0.2">
      <c r="A2" s="583" t="str">
        <f>"Toimumisaeg: "&amp;(Kalend!A8)&amp;" kell "&amp;(Kalend!B8)</f>
        <v>Toimumisaeg: P, 29.05.2022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row>
    <row r="3" spans="1:33" x14ac:dyDescent="0.2">
      <c r="A3" s="583" t="str">
        <f>"Toimumiskoht: "&amp;(Kalend!F8)</f>
        <v>Toimumiskoht: Voka staadion</v>
      </c>
      <c r="B3" s="573"/>
      <c r="C3" s="573"/>
      <c r="D3" s="573"/>
      <c r="E3" s="573"/>
      <c r="F3" s="573"/>
      <c r="G3" s="585"/>
      <c r="H3" s="585"/>
      <c r="I3" s="586" t="s">
        <v>270</v>
      </c>
      <c r="J3" s="587">
        <v>1</v>
      </c>
      <c r="K3" s="588" t="s">
        <v>271</v>
      </c>
      <c r="L3" s="579"/>
      <c r="M3" s="579"/>
      <c r="N3" s="579"/>
      <c r="V3" s="579"/>
      <c r="W3" s="573"/>
      <c r="X3" s="573"/>
      <c r="Y3" s="573"/>
      <c r="Z3" s="573"/>
      <c r="AA3" s="573"/>
      <c r="AB3" s="573"/>
      <c r="AC3" s="573"/>
      <c r="AE3" s="573"/>
      <c r="AF3" s="573"/>
      <c r="AG3" s="573"/>
    </row>
    <row r="4" spans="1:33" x14ac:dyDescent="0.2">
      <c r="A4" s="583" t="str">
        <f>"Korraldaja: "&amp;(Kalend!G8)</f>
        <v>Korraldaja: Johannes Neiland</v>
      </c>
      <c r="B4" s="573"/>
      <c r="C4" s="573"/>
      <c r="D4" s="573"/>
      <c r="E4" s="573"/>
      <c r="F4" s="573"/>
      <c r="G4" s="589"/>
      <c r="H4" s="589"/>
      <c r="I4" s="590" t="s">
        <v>272</v>
      </c>
      <c r="J4" s="587">
        <v>0.5</v>
      </c>
      <c r="K4" s="588" t="s">
        <v>271</v>
      </c>
      <c r="L4" s="573"/>
      <c r="M4" s="573"/>
      <c r="N4" s="573"/>
      <c r="V4" s="573"/>
      <c r="W4" s="573"/>
      <c r="X4" s="573"/>
      <c r="Y4" s="573"/>
      <c r="Z4" s="573"/>
      <c r="AA4" s="573"/>
      <c r="AB4" s="573"/>
      <c r="AC4" s="573"/>
      <c r="AE4" s="591" t="s">
        <v>273</v>
      </c>
      <c r="AG4" s="583"/>
    </row>
    <row r="5" spans="1:33" x14ac:dyDescent="0.2">
      <c r="A5" s="573"/>
      <c r="B5" s="573"/>
      <c r="C5" s="573"/>
      <c r="D5" s="573"/>
      <c r="E5" s="573"/>
      <c r="F5" s="573"/>
      <c r="G5" s="592"/>
      <c r="H5" s="592"/>
      <c r="I5" s="593" t="s">
        <v>274</v>
      </c>
      <c r="J5" s="587">
        <v>0</v>
      </c>
      <c r="K5" s="588" t="s">
        <v>271</v>
      </c>
      <c r="L5" s="573"/>
      <c r="M5" s="573"/>
      <c r="N5" s="573"/>
      <c r="V5" s="573"/>
      <c r="W5" s="573"/>
      <c r="X5" s="573"/>
      <c r="Y5" s="573"/>
      <c r="Z5" s="573"/>
      <c r="AA5" s="573"/>
      <c r="AB5" s="573"/>
      <c r="AC5" s="573"/>
      <c r="AD5" s="573"/>
      <c r="AE5" s="594" t="s">
        <v>310</v>
      </c>
      <c r="AF5" s="595" t="s">
        <v>77</v>
      </c>
      <c r="AG5" s="596"/>
    </row>
    <row r="6" spans="1:33"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594" t="s">
        <v>275</v>
      </c>
      <c r="AG6" s="595"/>
    </row>
    <row r="7" spans="1:33"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605"/>
      <c r="AF7" s="596"/>
      <c r="AG7" s="596"/>
    </row>
    <row r="8" spans="1:33" x14ac:dyDescent="0.2">
      <c r="A8" s="634">
        <v>1</v>
      </c>
      <c r="B8" s="635" t="s">
        <v>12</v>
      </c>
      <c r="C8" s="613">
        <v>13</v>
      </c>
      <c r="D8" s="614" t="s">
        <v>288</v>
      </c>
      <c r="E8" s="614">
        <v>4</v>
      </c>
      <c r="F8" s="636" t="s">
        <v>124</v>
      </c>
      <c r="G8" s="613">
        <v>13</v>
      </c>
      <c r="H8" s="614" t="s">
        <v>288</v>
      </c>
      <c r="I8" s="614">
        <v>10</v>
      </c>
      <c r="J8" s="636" t="s">
        <v>94</v>
      </c>
      <c r="K8" s="613">
        <v>3</v>
      </c>
      <c r="L8" s="614" t="s">
        <v>288</v>
      </c>
      <c r="M8" s="614">
        <v>13</v>
      </c>
      <c r="N8" s="636" t="s">
        <v>86</v>
      </c>
      <c r="O8" s="613">
        <v>13</v>
      </c>
      <c r="P8" s="614" t="s">
        <v>288</v>
      </c>
      <c r="Q8" s="614">
        <v>6</v>
      </c>
      <c r="R8" s="636" t="s">
        <v>123</v>
      </c>
      <c r="S8" s="613">
        <v>13</v>
      </c>
      <c r="T8" s="614" t="s">
        <v>288</v>
      </c>
      <c r="U8" s="614">
        <v>9</v>
      </c>
      <c r="V8" s="636" t="s">
        <v>87</v>
      </c>
      <c r="W8" s="637">
        <f t="shared" ref="W8:W29" si="0">IF(C8&gt;E8,J$3,IF(C8&lt;E8,J$5,IF(ISNUMBER(C8),J$4,0)))+IF(G8&gt;I8,J$3,IF(G8&lt;I8,J$5,IF(ISNUMBER(G8),J$4,0)))+IF(K8&gt;M8,J$3,IF(K8&lt;M8,J$5,IF(ISNUMBER(K8),J$4,0)))+IF(O8&gt;Q8,J$3,IF(O8&lt;Q8,J$5,IF(ISNUMBER(O8),J$4,0)))+IF(S8&gt;U8,J$3,IF(S8&lt;U8,J$5,IF(ISNUMBER(S8),J$4,0)))</f>
        <v>4</v>
      </c>
      <c r="X8" s="612">
        <v>32</v>
      </c>
      <c r="Y8" s="612">
        <v>142</v>
      </c>
      <c r="Z8" s="613">
        <f>C8+G8+K8+O8+S8</f>
        <v>55</v>
      </c>
      <c r="AA8" s="614" t="s">
        <v>288</v>
      </c>
      <c r="AB8" s="615">
        <f>E8+I8+M8+Q8+U8</f>
        <v>42</v>
      </c>
      <c r="AC8" s="616">
        <f>Z8-AB8</f>
        <v>13</v>
      </c>
      <c r="AD8" s="617"/>
      <c r="AE8" s="618">
        <f t="shared" ref="AE8:AE25" ca="1" si="1">SUM(AG8:AG8)</f>
        <v>268</v>
      </c>
      <c r="AF8" s="619" t="str">
        <f>$B8</f>
        <v>Ivar Viljaste</v>
      </c>
      <c r="AG8" s="620">
        <f ca="1">IFERROR(INDEX(Reit!$I:$I,MATCH(AF8,Reit!$F:$F,0)),"")</f>
        <v>268</v>
      </c>
    </row>
    <row r="9" spans="1:33" x14ac:dyDescent="0.2">
      <c r="A9" s="634">
        <v>2</v>
      </c>
      <c r="B9" s="635" t="s">
        <v>94</v>
      </c>
      <c r="C9" s="613">
        <v>13</v>
      </c>
      <c r="D9" s="614" t="s">
        <v>288</v>
      </c>
      <c r="E9" s="614">
        <v>7</v>
      </c>
      <c r="F9" s="636" t="s">
        <v>92</v>
      </c>
      <c r="G9" s="613">
        <v>10</v>
      </c>
      <c r="H9" s="614" t="s">
        <v>288</v>
      </c>
      <c r="I9" s="614">
        <v>13</v>
      </c>
      <c r="J9" s="636" t="s">
        <v>12</v>
      </c>
      <c r="K9" s="613">
        <v>13</v>
      </c>
      <c r="L9" s="614" t="s">
        <v>288</v>
      </c>
      <c r="M9" s="614">
        <v>9</v>
      </c>
      <c r="N9" s="636" t="s">
        <v>139</v>
      </c>
      <c r="O9" s="613">
        <v>13</v>
      </c>
      <c r="P9" s="614" t="s">
        <v>288</v>
      </c>
      <c r="Q9" s="614">
        <v>2</v>
      </c>
      <c r="R9" s="636" t="s">
        <v>100</v>
      </c>
      <c r="S9" s="613">
        <v>13</v>
      </c>
      <c r="T9" s="614" t="s">
        <v>288</v>
      </c>
      <c r="U9" s="614">
        <v>12</v>
      </c>
      <c r="V9" s="636" t="s">
        <v>86</v>
      </c>
      <c r="W9" s="637">
        <f t="shared" si="0"/>
        <v>4</v>
      </c>
      <c r="X9" s="612">
        <v>30</v>
      </c>
      <c r="Y9" s="612">
        <v>140</v>
      </c>
      <c r="Z9" s="613">
        <f t="shared" ref="Z9:Z29" si="2">C9+G9+K9+O9+S9</f>
        <v>62</v>
      </c>
      <c r="AA9" s="614" t="s">
        <v>288</v>
      </c>
      <c r="AB9" s="615">
        <f t="shared" ref="AB9:AB29" si="3">E9+I9+M9+Q9+U9</f>
        <v>43</v>
      </c>
      <c r="AC9" s="616">
        <f t="shared" ref="AC9:AC29" si="4">Z9-AB9</f>
        <v>19</v>
      </c>
      <c r="AD9" s="617"/>
      <c r="AE9" s="618">
        <f t="shared" ca="1" si="1"/>
        <v>113</v>
      </c>
      <c r="AF9" s="619" t="str">
        <f t="shared" ref="AF9:AF26" si="5">$B9</f>
        <v>Janek Tarto</v>
      </c>
      <c r="AG9" s="620">
        <f ca="1">IFERROR(INDEX(Reit!$I:$I,MATCH(AF9,Reit!$F:$F,0)),"")</f>
        <v>113</v>
      </c>
    </row>
    <row r="10" spans="1:33" x14ac:dyDescent="0.2">
      <c r="A10" s="634">
        <v>3</v>
      </c>
      <c r="B10" s="635" t="s">
        <v>123</v>
      </c>
      <c r="C10" s="613">
        <v>13</v>
      </c>
      <c r="D10" s="614" t="s">
        <v>288</v>
      </c>
      <c r="E10" s="614">
        <v>9</v>
      </c>
      <c r="F10" s="636" t="s">
        <v>89</v>
      </c>
      <c r="G10" s="613">
        <v>13</v>
      </c>
      <c r="H10" s="614" t="s">
        <v>288</v>
      </c>
      <c r="I10" s="614">
        <v>9</v>
      </c>
      <c r="J10" s="636" t="s">
        <v>90</v>
      </c>
      <c r="K10" s="613">
        <v>13</v>
      </c>
      <c r="L10" s="614" t="s">
        <v>288</v>
      </c>
      <c r="M10" s="614">
        <v>4</v>
      </c>
      <c r="N10" s="636" t="s">
        <v>96</v>
      </c>
      <c r="O10" s="613">
        <v>6</v>
      </c>
      <c r="P10" s="614" t="s">
        <v>288</v>
      </c>
      <c r="Q10" s="614">
        <v>13</v>
      </c>
      <c r="R10" s="636" t="s">
        <v>12</v>
      </c>
      <c r="S10" s="613">
        <v>13</v>
      </c>
      <c r="T10" s="614" t="s">
        <v>288</v>
      </c>
      <c r="U10" s="614">
        <v>9</v>
      </c>
      <c r="V10" s="636" t="s">
        <v>471</v>
      </c>
      <c r="W10" s="637">
        <f t="shared" si="0"/>
        <v>4</v>
      </c>
      <c r="X10" s="612">
        <v>30</v>
      </c>
      <c r="Y10" s="612">
        <v>124</v>
      </c>
      <c r="Z10" s="613">
        <f t="shared" si="2"/>
        <v>58</v>
      </c>
      <c r="AA10" s="614" t="s">
        <v>288</v>
      </c>
      <c r="AB10" s="615">
        <f t="shared" si="3"/>
        <v>44</v>
      </c>
      <c r="AC10" s="616">
        <f t="shared" si="4"/>
        <v>14</v>
      </c>
      <c r="AD10" s="617"/>
      <c r="AE10" s="618">
        <f t="shared" ca="1" si="1"/>
        <v>138</v>
      </c>
      <c r="AF10" s="619" t="str">
        <f t="shared" si="5"/>
        <v>Meelis Luud</v>
      </c>
      <c r="AG10" s="620">
        <f ca="1">IFERROR(INDEX(Reit!$I:$I,MATCH(AF10,Reit!$F:$F,0)),"")</f>
        <v>138</v>
      </c>
    </row>
    <row r="11" spans="1:33" x14ac:dyDescent="0.2">
      <c r="A11" s="634">
        <v>4</v>
      </c>
      <c r="B11" s="635" t="s">
        <v>87</v>
      </c>
      <c r="C11" s="613">
        <v>13</v>
      </c>
      <c r="D11" s="614" t="s">
        <v>288</v>
      </c>
      <c r="E11" s="614">
        <v>2</v>
      </c>
      <c r="F11" s="636" t="s">
        <v>97</v>
      </c>
      <c r="G11" s="613">
        <v>13</v>
      </c>
      <c r="H11" s="614" t="s">
        <v>288</v>
      </c>
      <c r="I11" s="614">
        <v>7</v>
      </c>
      <c r="J11" s="636" t="s">
        <v>139</v>
      </c>
      <c r="K11" s="613">
        <v>13</v>
      </c>
      <c r="L11" s="614" t="s">
        <v>288</v>
      </c>
      <c r="M11" s="614">
        <v>1</v>
      </c>
      <c r="N11" s="636" t="s">
        <v>100</v>
      </c>
      <c r="O11" s="613">
        <v>13</v>
      </c>
      <c r="P11" s="614" t="s">
        <v>288</v>
      </c>
      <c r="Q11" s="614">
        <v>9</v>
      </c>
      <c r="R11" s="636" t="s">
        <v>86</v>
      </c>
      <c r="S11" s="613">
        <v>9</v>
      </c>
      <c r="T11" s="614" t="s">
        <v>288</v>
      </c>
      <c r="U11" s="614">
        <v>13</v>
      </c>
      <c r="V11" s="636" t="s">
        <v>12</v>
      </c>
      <c r="W11" s="637">
        <f t="shared" si="0"/>
        <v>4</v>
      </c>
      <c r="X11" s="612">
        <v>28</v>
      </c>
      <c r="Y11" s="612">
        <v>146</v>
      </c>
      <c r="Z11" s="613">
        <f t="shared" si="2"/>
        <v>61</v>
      </c>
      <c r="AA11" s="614" t="s">
        <v>288</v>
      </c>
      <c r="AB11" s="615">
        <f t="shared" si="3"/>
        <v>32</v>
      </c>
      <c r="AC11" s="616">
        <f t="shared" si="4"/>
        <v>29</v>
      </c>
      <c r="AD11" s="617"/>
      <c r="AE11" s="618">
        <f t="shared" ca="1" si="1"/>
        <v>256</v>
      </c>
      <c r="AF11" s="619" t="str">
        <f t="shared" si="5"/>
        <v>Matti Vinni</v>
      </c>
      <c r="AG11" s="620">
        <f ca="1">IFERROR(INDEX(Reit!$I:$I,MATCH(AF11,Reit!$F:$F,0)),"")</f>
        <v>256</v>
      </c>
    </row>
    <row r="12" spans="1:33" x14ac:dyDescent="0.2">
      <c r="A12" s="634">
        <v>5</v>
      </c>
      <c r="B12" s="635" t="s">
        <v>90</v>
      </c>
      <c r="C12" s="613">
        <v>13</v>
      </c>
      <c r="D12" s="614" t="s">
        <v>288</v>
      </c>
      <c r="E12" s="614">
        <v>8</v>
      </c>
      <c r="F12" s="636" t="s">
        <v>471</v>
      </c>
      <c r="G12" s="613">
        <v>9</v>
      </c>
      <c r="H12" s="614" t="s">
        <v>288</v>
      </c>
      <c r="I12" s="614">
        <v>13</v>
      </c>
      <c r="J12" s="636" t="s">
        <v>123</v>
      </c>
      <c r="K12" s="613">
        <v>13</v>
      </c>
      <c r="L12" s="614" t="s">
        <v>288</v>
      </c>
      <c r="M12" s="614">
        <v>9</v>
      </c>
      <c r="N12" s="636" t="s">
        <v>124</v>
      </c>
      <c r="O12" s="613">
        <v>13</v>
      </c>
      <c r="P12" s="614" t="s">
        <v>288</v>
      </c>
      <c r="Q12" s="614">
        <v>3</v>
      </c>
      <c r="R12" s="636" t="s">
        <v>119</v>
      </c>
      <c r="S12" s="613">
        <v>13</v>
      </c>
      <c r="T12" s="614" t="s">
        <v>288</v>
      </c>
      <c r="U12" s="614">
        <v>7</v>
      </c>
      <c r="V12" s="636" t="s">
        <v>100</v>
      </c>
      <c r="W12" s="637">
        <f t="shared" si="0"/>
        <v>4</v>
      </c>
      <c r="X12" s="612">
        <v>24</v>
      </c>
      <c r="Y12" s="612">
        <v>148</v>
      </c>
      <c r="Z12" s="613">
        <f t="shared" si="2"/>
        <v>61</v>
      </c>
      <c r="AA12" s="614" t="s">
        <v>288</v>
      </c>
      <c r="AB12" s="615">
        <f t="shared" si="3"/>
        <v>40</v>
      </c>
      <c r="AC12" s="616">
        <f t="shared" si="4"/>
        <v>21</v>
      </c>
      <c r="AD12" s="617"/>
      <c r="AE12" s="618">
        <f t="shared" ca="1" si="1"/>
        <v>262</v>
      </c>
      <c r="AF12" s="619" t="str">
        <f t="shared" si="5"/>
        <v>Kenneth Muusikus</v>
      </c>
      <c r="AG12" s="620">
        <f ca="1">IFERROR(INDEX(Reit!$I:$I,MATCH(AF12,Reit!$F:$F,0)),"")</f>
        <v>262</v>
      </c>
    </row>
    <row r="13" spans="1:33" x14ac:dyDescent="0.2">
      <c r="A13" s="634">
        <v>6</v>
      </c>
      <c r="B13" s="635" t="s">
        <v>86</v>
      </c>
      <c r="C13" s="613">
        <v>13</v>
      </c>
      <c r="D13" s="614" t="s">
        <v>288</v>
      </c>
      <c r="E13" s="614">
        <v>7</v>
      </c>
      <c r="F13" s="636" t="s">
        <v>107</v>
      </c>
      <c r="G13" s="613">
        <v>13</v>
      </c>
      <c r="H13" s="614" t="s">
        <v>288</v>
      </c>
      <c r="I13" s="614">
        <v>11</v>
      </c>
      <c r="J13" s="636" t="s">
        <v>119</v>
      </c>
      <c r="K13" s="613">
        <v>13</v>
      </c>
      <c r="L13" s="614" t="s">
        <v>288</v>
      </c>
      <c r="M13" s="614">
        <v>3</v>
      </c>
      <c r="N13" s="636" t="s">
        <v>12</v>
      </c>
      <c r="O13" s="613">
        <v>9</v>
      </c>
      <c r="P13" s="614" t="s">
        <v>288</v>
      </c>
      <c r="Q13" s="614">
        <v>13</v>
      </c>
      <c r="R13" s="636" t="s">
        <v>87</v>
      </c>
      <c r="S13" s="613">
        <v>12</v>
      </c>
      <c r="T13" s="614" t="s">
        <v>288</v>
      </c>
      <c r="U13" s="614">
        <v>13</v>
      </c>
      <c r="V13" s="636" t="s">
        <v>94</v>
      </c>
      <c r="W13" s="637">
        <f t="shared" si="0"/>
        <v>3</v>
      </c>
      <c r="X13" s="612">
        <v>28</v>
      </c>
      <c r="Y13" s="612">
        <v>142</v>
      </c>
      <c r="Z13" s="613">
        <f t="shared" si="2"/>
        <v>60</v>
      </c>
      <c r="AA13" s="614" t="s">
        <v>288</v>
      </c>
      <c r="AB13" s="615">
        <f t="shared" si="3"/>
        <v>47</v>
      </c>
      <c r="AC13" s="616">
        <f t="shared" si="4"/>
        <v>13</v>
      </c>
      <c r="AD13" s="617"/>
      <c r="AE13" s="618">
        <f t="shared" ca="1" si="1"/>
        <v>179</v>
      </c>
      <c r="AF13" s="619" t="str">
        <f t="shared" si="5"/>
        <v>Jaan Sepp</v>
      </c>
      <c r="AG13" s="620">
        <f ca="1">IFERROR(INDEX(Reit!$I:$I,MATCH(AF13,Reit!$F:$F,0)),"")</f>
        <v>179</v>
      </c>
    </row>
    <row r="14" spans="1:33" x14ac:dyDescent="0.2">
      <c r="A14" s="634">
        <v>7</v>
      </c>
      <c r="B14" s="638" t="s">
        <v>471</v>
      </c>
      <c r="C14" s="613">
        <v>8</v>
      </c>
      <c r="D14" s="614" t="s">
        <v>288</v>
      </c>
      <c r="E14" s="614">
        <v>13</v>
      </c>
      <c r="F14" s="636" t="s">
        <v>90</v>
      </c>
      <c r="G14" s="613">
        <v>13</v>
      </c>
      <c r="H14" s="614" t="s">
        <v>288</v>
      </c>
      <c r="I14" s="614">
        <v>12</v>
      </c>
      <c r="J14" s="636" t="s">
        <v>89</v>
      </c>
      <c r="K14" s="613">
        <v>13</v>
      </c>
      <c r="L14" s="614" t="s">
        <v>288</v>
      </c>
      <c r="M14" s="614">
        <v>4</v>
      </c>
      <c r="N14" s="636" t="s">
        <v>97</v>
      </c>
      <c r="O14" s="613">
        <v>13</v>
      </c>
      <c r="P14" s="614" t="s">
        <v>288</v>
      </c>
      <c r="Q14" s="614">
        <v>3</v>
      </c>
      <c r="R14" s="636" t="s">
        <v>498</v>
      </c>
      <c r="S14" s="613">
        <v>9</v>
      </c>
      <c r="T14" s="614" t="s">
        <v>288</v>
      </c>
      <c r="U14" s="614">
        <v>13</v>
      </c>
      <c r="V14" s="636" t="s">
        <v>123</v>
      </c>
      <c r="W14" s="637">
        <f t="shared" si="0"/>
        <v>3</v>
      </c>
      <c r="X14" s="612">
        <v>28</v>
      </c>
      <c r="Y14" s="612">
        <v>116</v>
      </c>
      <c r="Z14" s="613">
        <f t="shared" si="2"/>
        <v>56</v>
      </c>
      <c r="AA14" s="614" t="s">
        <v>288</v>
      </c>
      <c r="AB14" s="615">
        <f t="shared" si="3"/>
        <v>45</v>
      </c>
      <c r="AC14" s="616">
        <f t="shared" si="4"/>
        <v>11</v>
      </c>
      <c r="AD14" s="617"/>
      <c r="AE14" s="618">
        <f t="shared" ca="1" si="1"/>
        <v>242</v>
      </c>
      <c r="AF14" s="619" t="str">
        <f t="shared" si="5"/>
        <v>Olav Türk</v>
      </c>
      <c r="AG14" s="620">
        <f ca="1">IFERROR(INDEX(Reit!$I:$I,MATCH(AF14,Reit!$F:$F,0)),"")</f>
        <v>242</v>
      </c>
    </row>
    <row r="15" spans="1:33" x14ac:dyDescent="0.2">
      <c r="A15" s="634">
        <v>8</v>
      </c>
      <c r="B15" s="638" t="s">
        <v>139</v>
      </c>
      <c r="C15" s="613">
        <v>13</v>
      </c>
      <c r="D15" s="614" t="s">
        <v>288</v>
      </c>
      <c r="E15" s="614">
        <v>11</v>
      </c>
      <c r="F15" s="636" t="s">
        <v>88</v>
      </c>
      <c r="G15" s="613">
        <v>7</v>
      </c>
      <c r="H15" s="614" t="s">
        <v>288</v>
      </c>
      <c r="I15" s="614">
        <v>13</v>
      </c>
      <c r="J15" s="636" t="s">
        <v>87</v>
      </c>
      <c r="K15" s="613">
        <v>9</v>
      </c>
      <c r="L15" s="614" t="s">
        <v>288</v>
      </c>
      <c r="M15" s="614">
        <v>13</v>
      </c>
      <c r="N15" s="636" t="s">
        <v>94</v>
      </c>
      <c r="O15" s="613">
        <v>13</v>
      </c>
      <c r="P15" s="614" t="s">
        <v>288</v>
      </c>
      <c r="Q15" s="614">
        <v>8</v>
      </c>
      <c r="R15" s="636" t="s">
        <v>497</v>
      </c>
      <c r="S15" s="613">
        <v>13</v>
      </c>
      <c r="T15" s="614" t="s">
        <v>288</v>
      </c>
      <c r="U15" s="614">
        <v>5</v>
      </c>
      <c r="V15" s="636" t="s">
        <v>119</v>
      </c>
      <c r="W15" s="637">
        <f t="shared" si="0"/>
        <v>3</v>
      </c>
      <c r="X15" s="612">
        <v>26</v>
      </c>
      <c r="Y15" s="612">
        <v>134</v>
      </c>
      <c r="Z15" s="613">
        <f t="shared" si="2"/>
        <v>55</v>
      </c>
      <c r="AA15" s="614" t="s">
        <v>288</v>
      </c>
      <c r="AB15" s="615">
        <f t="shared" si="3"/>
        <v>50</v>
      </c>
      <c r="AC15" s="616">
        <f t="shared" si="4"/>
        <v>5</v>
      </c>
      <c r="AD15" s="617"/>
      <c r="AE15" s="618">
        <f t="shared" ca="1" si="1"/>
        <v>187</v>
      </c>
      <c r="AF15" s="619" t="str">
        <f t="shared" si="5"/>
        <v>Sander Rose</v>
      </c>
      <c r="AG15" s="620">
        <f ca="1">IFERROR(INDEX(Reit!$I:$I,MATCH(AF15,Reit!$F:$F,0)),"")</f>
        <v>187</v>
      </c>
    </row>
    <row r="16" spans="1:33" x14ac:dyDescent="0.2">
      <c r="A16" s="634">
        <v>9</v>
      </c>
      <c r="B16" s="635" t="s">
        <v>496</v>
      </c>
      <c r="C16" s="613">
        <v>10</v>
      </c>
      <c r="D16" s="614" t="s">
        <v>288</v>
      </c>
      <c r="E16" s="614">
        <v>13</v>
      </c>
      <c r="F16" s="636" t="s">
        <v>109</v>
      </c>
      <c r="G16" s="613">
        <v>13</v>
      </c>
      <c r="H16" s="614" t="s">
        <v>288</v>
      </c>
      <c r="I16" s="614">
        <v>10</v>
      </c>
      <c r="J16" s="636" t="s">
        <v>92</v>
      </c>
      <c r="K16" s="613">
        <v>9</v>
      </c>
      <c r="L16" s="614" t="s">
        <v>288</v>
      </c>
      <c r="M16" s="614">
        <v>13</v>
      </c>
      <c r="N16" s="636" t="s">
        <v>497</v>
      </c>
      <c r="O16" s="613">
        <v>13</v>
      </c>
      <c r="P16" s="614" t="s">
        <v>288</v>
      </c>
      <c r="Q16" s="614">
        <v>9</v>
      </c>
      <c r="R16" s="636" t="s">
        <v>88</v>
      </c>
      <c r="S16" s="613">
        <v>13</v>
      </c>
      <c r="T16" s="614" t="s">
        <v>288</v>
      </c>
      <c r="U16" s="614">
        <v>1</v>
      </c>
      <c r="V16" s="636" t="s">
        <v>498</v>
      </c>
      <c r="W16" s="637">
        <f t="shared" si="0"/>
        <v>3</v>
      </c>
      <c r="X16" s="612">
        <v>22</v>
      </c>
      <c r="Y16" s="612">
        <v>104</v>
      </c>
      <c r="Z16" s="613">
        <f t="shared" si="2"/>
        <v>58</v>
      </c>
      <c r="AA16" s="614" t="s">
        <v>288</v>
      </c>
      <c r="AB16" s="615">
        <f t="shared" si="3"/>
        <v>46</v>
      </c>
      <c r="AC16" s="616">
        <f t="shared" si="4"/>
        <v>12</v>
      </c>
      <c r="AD16" s="617"/>
      <c r="AE16" s="618">
        <f t="shared" ca="1" si="1"/>
        <v>168</v>
      </c>
      <c r="AF16" s="619" t="str">
        <f t="shared" si="5"/>
        <v>Sirje Maala</v>
      </c>
      <c r="AG16" s="620">
        <f ca="1">IFERROR(INDEX(Reit!$I:$I,MATCH(AF16,Reit!$F:$F,0)),"")</f>
        <v>168</v>
      </c>
    </row>
    <row r="17" spans="1:33" x14ac:dyDescent="0.2">
      <c r="A17" s="634">
        <v>10</v>
      </c>
      <c r="B17" s="635" t="s">
        <v>109</v>
      </c>
      <c r="C17" s="613">
        <v>13</v>
      </c>
      <c r="D17" s="614" t="s">
        <v>288</v>
      </c>
      <c r="E17" s="614">
        <v>10</v>
      </c>
      <c r="F17" s="636" t="s">
        <v>496</v>
      </c>
      <c r="G17" s="613">
        <v>3</v>
      </c>
      <c r="H17" s="614" t="s">
        <v>288</v>
      </c>
      <c r="I17" s="614">
        <v>13</v>
      </c>
      <c r="J17" s="636" t="s">
        <v>100</v>
      </c>
      <c r="K17" s="613">
        <v>4</v>
      </c>
      <c r="L17" s="614" t="s">
        <v>288</v>
      </c>
      <c r="M17" s="614">
        <v>13</v>
      </c>
      <c r="N17" s="636" t="s">
        <v>119</v>
      </c>
      <c r="O17" s="613">
        <v>13</v>
      </c>
      <c r="P17" s="614" t="s">
        <v>288</v>
      </c>
      <c r="Q17" s="614">
        <v>1</v>
      </c>
      <c r="R17" s="636" t="s">
        <v>124</v>
      </c>
      <c r="S17" s="613">
        <v>13</v>
      </c>
      <c r="T17" s="614" t="s">
        <v>288</v>
      </c>
      <c r="U17" s="614">
        <v>9</v>
      </c>
      <c r="V17" s="636" t="s">
        <v>97</v>
      </c>
      <c r="W17" s="637">
        <f t="shared" si="0"/>
        <v>3</v>
      </c>
      <c r="X17" s="612">
        <v>20</v>
      </c>
      <c r="Y17" s="612">
        <v>138</v>
      </c>
      <c r="Z17" s="613">
        <f t="shared" si="2"/>
        <v>46</v>
      </c>
      <c r="AA17" s="614" t="s">
        <v>288</v>
      </c>
      <c r="AB17" s="615">
        <f t="shared" si="3"/>
        <v>46</v>
      </c>
      <c r="AC17" s="616">
        <f t="shared" si="4"/>
        <v>0</v>
      </c>
      <c r="AD17" s="617"/>
      <c r="AE17" s="618">
        <f t="shared" ca="1" si="1"/>
        <v>139</v>
      </c>
      <c r="AF17" s="619" t="str">
        <f t="shared" si="5"/>
        <v>Enn Tokman</v>
      </c>
      <c r="AG17" s="620">
        <f ca="1">IFERROR(INDEX(Reit!$I:$I,MATCH(AF17,Reit!$F:$F,0)),"")</f>
        <v>139</v>
      </c>
    </row>
    <row r="18" spans="1:33" x14ac:dyDescent="0.2">
      <c r="A18" s="634">
        <v>11</v>
      </c>
      <c r="B18" s="635" t="s">
        <v>92</v>
      </c>
      <c r="C18" s="613">
        <v>7</v>
      </c>
      <c r="D18" s="614" t="s">
        <v>288</v>
      </c>
      <c r="E18" s="614">
        <v>13</v>
      </c>
      <c r="F18" s="636" t="s">
        <v>94</v>
      </c>
      <c r="G18" s="613">
        <v>10</v>
      </c>
      <c r="H18" s="614" t="s">
        <v>288</v>
      </c>
      <c r="I18" s="614">
        <v>13</v>
      </c>
      <c r="J18" s="636" t="s">
        <v>496</v>
      </c>
      <c r="K18" s="613">
        <v>13</v>
      </c>
      <c r="L18" s="614" t="s">
        <v>288</v>
      </c>
      <c r="M18" s="614">
        <v>10</v>
      </c>
      <c r="N18" s="636" t="s">
        <v>98</v>
      </c>
      <c r="O18" s="613">
        <v>13</v>
      </c>
      <c r="P18" s="614" t="s">
        <v>288</v>
      </c>
      <c r="Q18" s="614">
        <v>7</v>
      </c>
      <c r="R18" s="636" t="s">
        <v>107</v>
      </c>
      <c r="S18" s="613">
        <v>13</v>
      </c>
      <c r="T18" s="614" t="s">
        <v>288</v>
      </c>
      <c r="U18" s="614">
        <v>5</v>
      </c>
      <c r="V18" s="636" t="s">
        <v>497</v>
      </c>
      <c r="W18" s="637">
        <f t="shared" si="0"/>
        <v>3</v>
      </c>
      <c r="X18" s="612">
        <v>20</v>
      </c>
      <c r="Y18" s="612">
        <v>118</v>
      </c>
      <c r="Z18" s="613">
        <f t="shared" si="2"/>
        <v>56</v>
      </c>
      <c r="AA18" s="614" t="s">
        <v>288</v>
      </c>
      <c r="AB18" s="615">
        <f t="shared" si="3"/>
        <v>48</v>
      </c>
      <c r="AC18" s="616">
        <f t="shared" si="4"/>
        <v>8</v>
      </c>
      <c r="AD18" s="617"/>
      <c r="AE18" s="618">
        <f t="shared" ca="1" si="1"/>
        <v>133</v>
      </c>
      <c r="AF18" s="619" t="str">
        <f t="shared" si="5"/>
        <v>Andres Veski</v>
      </c>
      <c r="AG18" s="620">
        <f ca="1">IFERROR(INDEX(Reit!$I:$I,MATCH(AF18,Reit!$F:$F,0)),"")</f>
        <v>133</v>
      </c>
    </row>
    <row r="19" spans="1:33" x14ac:dyDescent="0.2">
      <c r="A19" s="634">
        <v>12</v>
      </c>
      <c r="B19" s="635" t="s">
        <v>100</v>
      </c>
      <c r="C19" s="613">
        <v>13</v>
      </c>
      <c r="D19" s="614" t="s">
        <v>288</v>
      </c>
      <c r="E19" s="614">
        <v>11</v>
      </c>
      <c r="F19" s="636" t="s">
        <v>96</v>
      </c>
      <c r="G19" s="613">
        <v>13</v>
      </c>
      <c r="H19" s="614" t="s">
        <v>288</v>
      </c>
      <c r="I19" s="614">
        <v>3</v>
      </c>
      <c r="J19" s="636" t="s">
        <v>109</v>
      </c>
      <c r="K19" s="613">
        <v>1</v>
      </c>
      <c r="L19" s="614" t="s">
        <v>288</v>
      </c>
      <c r="M19" s="614">
        <v>13</v>
      </c>
      <c r="N19" s="636" t="s">
        <v>87</v>
      </c>
      <c r="O19" s="613">
        <v>2</v>
      </c>
      <c r="P19" s="614" t="s">
        <v>288</v>
      </c>
      <c r="Q19" s="614">
        <v>13</v>
      </c>
      <c r="R19" s="636" t="s">
        <v>94</v>
      </c>
      <c r="S19" s="613">
        <v>7</v>
      </c>
      <c r="T19" s="614" t="s">
        <v>288</v>
      </c>
      <c r="U19" s="614">
        <v>13</v>
      </c>
      <c r="V19" s="636" t="s">
        <v>90</v>
      </c>
      <c r="W19" s="637">
        <f t="shared" si="0"/>
        <v>2</v>
      </c>
      <c r="X19" s="612">
        <v>34</v>
      </c>
      <c r="Y19" s="612">
        <v>124</v>
      </c>
      <c r="Z19" s="613">
        <f t="shared" si="2"/>
        <v>36</v>
      </c>
      <c r="AA19" s="614" t="s">
        <v>288</v>
      </c>
      <c r="AB19" s="615">
        <f t="shared" si="3"/>
        <v>53</v>
      </c>
      <c r="AC19" s="616">
        <f t="shared" si="4"/>
        <v>-17</v>
      </c>
      <c r="AD19" s="573"/>
      <c r="AE19" s="618">
        <f t="shared" ca="1" si="1"/>
        <v>84</v>
      </c>
      <c r="AF19" s="619" t="str">
        <f t="shared" si="5"/>
        <v>Tõnu Kapper</v>
      </c>
      <c r="AG19" s="620">
        <f ca="1">IFERROR(INDEX(Reit!$I:$I,MATCH(AF19,Reit!$F:$F,0)),"")</f>
        <v>84</v>
      </c>
    </row>
    <row r="20" spans="1:33" x14ac:dyDescent="0.2">
      <c r="A20" s="634">
        <v>13</v>
      </c>
      <c r="B20" s="635" t="s">
        <v>119</v>
      </c>
      <c r="C20" s="613">
        <v>13</v>
      </c>
      <c r="D20" s="614" t="s">
        <v>288</v>
      </c>
      <c r="E20" s="614">
        <v>5</v>
      </c>
      <c r="F20" s="636" t="s">
        <v>498</v>
      </c>
      <c r="G20" s="613">
        <v>11</v>
      </c>
      <c r="H20" s="614" t="s">
        <v>288</v>
      </c>
      <c r="I20" s="614">
        <v>13</v>
      </c>
      <c r="J20" s="636" t="s">
        <v>86</v>
      </c>
      <c r="K20" s="613">
        <v>13</v>
      </c>
      <c r="L20" s="614" t="s">
        <v>288</v>
      </c>
      <c r="M20" s="614">
        <v>4</v>
      </c>
      <c r="N20" s="636" t="s">
        <v>109</v>
      </c>
      <c r="O20" s="613">
        <v>3</v>
      </c>
      <c r="P20" s="614" t="s">
        <v>288</v>
      </c>
      <c r="Q20" s="614">
        <v>13</v>
      </c>
      <c r="R20" s="636" t="s">
        <v>90</v>
      </c>
      <c r="S20" s="613">
        <v>5</v>
      </c>
      <c r="T20" s="614" t="s">
        <v>288</v>
      </c>
      <c r="U20" s="614">
        <v>13</v>
      </c>
      <c r="V20" s="636" t="s">
        <v>139</v>
      </c>
      <c r="W20" s="637">
        <f t="shared" si="0"/>
        <v>2</v>
      </c>
      <c r="X20" s="612">
        <v>30</v>
      </c>
      <c r="Y20" s="612">
        <v>116</v>
      </c>
      <c r="Z20" s="613">
        <f t="shared" si="2"/>
        <v>45</v>
      </c>
      <c r="AA20" s="614" t="s">
        <v>288</v>
      </c>
      <c r="AB20" s="615">
        <f t="shared" si="3"/>
        <v>48</v>
      </c>
      <c r="AC20" s="616">
        <f t="shared" si="4"/>
        <v>-3</v>
      </c>
      <c r="AD20" s="573"/>
      <c r="AE20" s="618">
        <f t="shared" ca="1" si="1"/>
        <v>166</v>
      </c>
      <c r="AF20" s="619" t="str">
        <f t="shared" si="5"/>
        <v>Viktor Švarõgin</v>
      </c>
      <c r="AG20" s="620">
        <f ca="1">IFERROR(INDEX(Reit!$I:$I,MATCH(AF20,Reit!$F:$F,0)),"")</f>
        <v>166</v>
      </c>
    </row>
    <row r="21" spans="1:33" x14ac:dyDescent="0.2">
      <c r="A21" s="634">
        <v>14</v>
      </c>
      <c r="B21" s="635" t="s">
        <v>97</v>
      </c>
      <c r="C21" s="613">
        <v>2</v>
      </c>
      <c r="D21" s="614" t="s">
        <v>288</v>
      </c>
      <c r="E21" s="614">
        <v>13</v>
      </c>
      <c r="F21" s="636" t="s">
        <v>87</v>
      </c>
      <c r="G21" s="613">
        <v>13</v>
      </c>
      <c r="H21" s="614" t="s">
        <v>288</v>
      </c>
      <c r="I21" s="614">
        <v>8</v>
      </c>
      <c r="J21" s="636" t="s">
        <v>88</v>
      </c>
      <c r="K21" s="613">
        <v>4</v>
      </c>
      <c r="L21" s="614" t="s">
        <v>288</v>
      </c>
      <c r="M21" s="614">
        <v>13</v>
      </c>
      <c r="N21" s="636" t="s">
        <v>471</v>
      </c>
      <c r="O21" s="613">
        <v>13</v>
      </c>
      <c r="P21" s="614" t="s">
        <v>288</v>
      </c>
      <c r="Q21" s="614">
        <v>10</v>
      </c>
      <c r="R21" s="636" t="s">
        <v>96</v>
      </c>
      <c r="S21" s="613">
        <v>9</v>
      </c>
      <c r="T21" s="614" t="s">
        <v>288</v>
      </c>
      <c r="U21" s="614">
        <v>13</v>
      </c>
      <c r="V21" s="636" t="s">
        <v>109</v>
      </c>
      <c r="W21" s="637">
        <f t="shared" si="0"/>
        <v>2</v>
      </c>
      <c r="X21" s="612">
        <v>26</v>
      </c>
      <c r="Y21" s="612">
        <v>120</v>
      </c>
      <c r="Z21" s="613">
        <f t="shared" si="2"/>
        <v>41</v>
      </c>
      <c r="AA21" s="614" t="s">
        <v>288</v>
      </c>
      <c r="AB21" s="615">
        <f t="shared" si="3"/>
        <v>57</v>
      </c>
      <c r="AC21" s="616">
        <f t="shared" si="4"/>
        <v>-16</v>
      </c>
      <c r="AD21" s="573"/>
      <c r="AE21" s="618">
        <f t="shared" ca="1" si="1"/>
        <v>124</v>
      </c>
      <c r="AF21" s="619" t="str">
        <f t="shared" si="5"/>
        <v>Andrei Grintšak</v>
      </c>
      <c r="AG21" s="620">
        <f ca="1">IFERROR(INDEX(Reit!$I:$I,MATCH(AF21,Reit!$F:$F,0)),"")</f>
        <v>124</v>
      </c>
    </row>
    <row r="22" spans="1:33" x14ac:dyDescent="0.2">
      <c r="A22" s="634">
        <v>15</v>
      </c>
      <c r="B22" s="635" t="s">
        <v>118</v>
      </c>
      <c r="C22" s="613">
        <v>13</v>
      </c>
      <c r="D22" s="614" t="s">
        <v>288</v>
      </c>
      <c r="E22" s="614">
        <v>11</v>
      </c>
      <c r="F22" s="636" t="s">
        <v>98</v>
      </c>
      <c r="G22" s="613">
        <v>8</v>
      </c>
      <c r="H22" s="614" t="s">
        <v>288</v>
      </c>
      <c r="I22" s="614">
        <v>13</v>
      </c>
      <c r="J22" s="636" t="s">
        <v>96</v>
      </c>
      <c r="K22" s="613">
        <v>13</v>
      </c>
      <c r="L22" s="614" t="s">
        <v>288</v>
      </c>
      <c r="M22" s="614">
        <v>9</v>
      </c>
      <c r="N22" s="636" t="s">
        <v>496</v>
      </c>
      <c r="O22" s="613">
        <v>8</v>
      </c>
      <c r="P22" s="614" t="s">
        <v>288</v>
      </c>
      <c r="Q22" s="614">
        <v>13</v>
      </c>
      <c r="R22" s="636" t="s">
        <v>139</v>
      </c>
      <c r="S22" s="613">
        <v>5</v>
      </c>
      <c r="T22" s="614" t="s">
        <v>288</v>
      </c>
      <c r="U22" s="614">
        <v>13</v>
      </c>
      <c r="V22" s="636" t="s">
        <v>92</v>
      </c>
      <c r="W22" s="637">
        <f t="shared" si="0"/>
        <v>2</v>
      </c>
      <c r="X22" s="612">
        <v>24</v>
      </c>
      <c r="Y22" s="612">
        <v>110</v>
      </c>
      <c r="Z22" s="613">
        <f t="shared" si="2"/>
        <v>47</v>
      </c>
      <c r="AA22" s="614" t="s">
        <v>288</v>
      </c>
      <c r="AB22" s="615">
        <f t="shared" si="3"/>
        <v>59</v>
      </c>
      <c r="AC22" s="616">
        <f t="shared" si="4"/>
        <v>-12</v>
      </c>
      <c r="AD22" s="573"/>
      <c r="AE22" s="618">
        <f t="shared" ca="1" si="1"/>
        <v>150</v>
      </c>
      <c r="AF22" s="619" t="str">
        <f t="shared" si="5"/>
        <v>Ljudmila Varendi</v>
      </c>
      <c r="AG22" s="620">
        <f ca="1">IFERROR(INDEX(Reit!$I:$I,MATCH(AF22,Reit!$F:$F,0)),"")</f>
        <v>150</v>
      </c>
    </row>
    <row r="23" spans="1:33" x14ac:dyDescent="0.2">
      <c r="A23" s="634">
        <v>16</v>
      </c>
      <c r="B23" s="635" t="s">
        <v>96</v>
      </c>
      <c r="C23" s="613">
        <v>11</v>
      </c>
      <c r="D23" s="614" t="s">
        <v>288</v>
      </c>
      <c r="E23" s="614">
        <v>13</v>
      </c>
      <c r="F23" s="636" t="s">
        <v>100</v>
      </c>
      <c r="G23" s="613">
        <v>13</v>
      </c>
      <c r="H23" s="614" t="s">
        <v>288</v>
      </c>
      <c r="I23" s="614">
        <v>8</v>
      </c>
      <c r="J23" s="636" t="s">
        <v>497</v>
      </c>
      <c r="K23" s="613">
        <v>4</v>
      </c>
      <c r="L23" s="614" t="s">
        <v>288</v>
      </c>
      <c r="M23" s="614">
        <v>13</v>
      </c>
      <c r="N23" s="636" t="s">
        <v>123</v>
      </c>
      <c r="O23" s="613">
        <v>10</v>
      </c>
      <c r="P23" s="614" t="s">
        <v>288</v>
      </c>
      <c r="Q23" s="614">
        <v>13</v>
      </c>
      <c r="R23" s="636" t="s">
        <v>97</v>
      </c>
      <c r="S23" s="613">
        <v>13</v>
      </c>
      <c r="T23" s="614" t="s">
        <v>288</v>
      </c>
      <c r="U23" s="614">
        <v>10</v>
      </c>
      <c r="V23" s="636" t="s">
        <v>124</v>
      </c>
      <c r="W23" s="637">
        <f t="shared" si="0"/>
        <v>2</v>
      </c>
      <c r="X23" s="612">
        <v>22</v>
      </c>
      <c r="Y23" s="612">
        <v>140</v>
      </c>
      <c r="Z23" s="613">
        <f t="shared" si="2"/>
        <v>51</v>
      </c>
      <c r="AA23" s="614" t="s">
        <v>288</v>
      </c>
      <c r="AB23" s="615">
        <f t="shared" si="3"/>
        <v>57</v>
      </c>
      <c r="AC23" s="616">
        <f t="shared" si="4"/>
        <v>-6</v>
      </c>
      <c r="AD23" s="573"/>
      <c r="AE23" s="618">
        <f t="shared" ca="1" si="1"/>
        <v>22</v>
      </c>
      <c r="AF23" s="619" t="str">
        <f t="shared" si="5"/>
        <v>Boriss Klubov</v>
      </c>
      <c r="AG23" s="620">
        <f ca="1">IFERROR(INDEX(Reit!$I:$I,MATCH(AF23,Reit!$F:$F,0)),"")</f>
        <v>22</v>
      </c>
    </row>
    <row r="24" spans="1:33" x14ac:dyDescent="0.2">
      <c r="A24" s="634">
        <v>17</v>
      </c>
      <c r="B24" s="635" t="s">
        <v>89</v>
      </c>
      <c r="C24" s="613">
        <v>9</v>
      </c>
      <c r="D24" s="614" t="s">
        <v>288</v>
      </c>
      <c r="E24" s="614">
        <v>13</v>
      </c>
      <c r="F24" s="636" t="s">
        <v>123</v>
      </c>
      <c r="G24" s="613">
        <v>12</v>
      </c>
      <c r="H24" s="614" t="s">
        <v>288</v>
      </c>
      <c r="I24" s="614">
        <v>13</v>
      </c>
      <c r="J24" s="636" t="s">
        <v>471</v>
      </c>
      <c r="K24" s="613">
        <v>8</v>
      </c>
      <c r="L24" s="614" t="s">
        <v>288</v>
      </c>
      <c r="M24" s="614">
        <v>13</v>
      </c>
      <c r="N24" s="636" t="s">
        <v>88</v>
      </c>
      <c r="O24" s="613">
        <v>13</v>
      </c>
      <c r="P24" s="614" t="s">
        <v>288</v>
      </c>
      <c r="Q24" s="614">
        <v>7</v>
      </c>
      <c r="R24" s="636" t="s">
        <v>98</v>
      </c>
      <c r="S24" s="613">
        <v>13</v>
      </c>
      <c r="T24" s="614" t="s">
        <v>288</v>
      </c>
      <c r="U24" s="614">
        <v>1</v>
      </c>
      <c r="V24" s="636" t="s">
        <v>107</v>
      </c>
      <c r="W24" s="637">
        <f t="shared" si="0"/>
        <v>2</v>
      </c>
      <c r="X24" s="612">
        <v>18</v>
      </c>
      <c r="Y24" s="612">
        <v>122</v>
      </c>
      <c r="Z24" s="613">
        <f t="shared" si="2"/>
        <v>55</v>
      </c>
      <c r="AA24" s="614" t="s">
        <v>288</v>
      </c>
      <c r="AB24" s="615">
        <f t="shared" si="3"/>
        <v>47</v>
      </c>
      <c r="AC24" s="616">
        <f t="shared" si="4"/>
        <v>8</v>
      </c>
      <c r="AD24" s="573"/>
      <c r="AE24" s="618">
        <f t="shared" ca="1" si="1"/>
        <v>21</v>
      </c>
      <c r="AF24" s="619" t="str">
        <f t="shared" si="5"/>
        <v>Elmo Lageda</v>
      </c>
      <c r="AG24" s="620">
        <f ca="1">IFERROR(INDEX(Reit!$I:$I,MATCH(AF24,Reit!$F:$F,0)),"")</f>
        <v>21</v>
      </c>
    </row>
    <row r="25" spans="1:33" x14ac:dyDescent="0.2">
      <c r="A25" s="634">
        <v>18</v>
      </c>
      <c r="B25" s="635" t="s">
        <v>102</v>
      </c>
      <c r="C25" s="613">
        <v>5</v>
      </c>
      <c r="D25" s="614" t="s">
        <v>288</v>
      </c>
      <c r="E25" s="614">
        <v>13</v>
      </c>
      <c r="F25" s="636" t="s">
        <v>119</v>
      </c>
      <c r="G25" s="613">
        <v>13</v>
      </c>
      <c r="H25" s="614" t="s">
        <v>288</v>
      </c>
      <c r="I25" s="614">
        <v>10</v>
      </c>
      <c r="J25" s="636" t="s">
        <v>98</v>
      </c>
      <c r="K25" s="613">
        <v>13</v>
      </c>
      <c r="L25" s="614" t="s">
        <v>288</v>
      </c>
      <c r="M25" s="614">
        <v>7</v>
      </c>
      <c r="N25" s="636" t="s">
        <v>107</v>
      </c>
      <c r="O25" s="613">
        <v>3</v>
      </c>
      <c r="P25" s="614" t="s">
        <v>288</v>
      </c>
      <c r="Q25" s="614">
        <v>13</v>
      </c>
      <c r="R25" s="636" t="s">
        <v>471</v>
      </c>
      <c r="S25" s="613">
        <v>1</v>
      </c>
      <c r="T25" s="614" t="s">
        <v>288</v>
      </c>
      <c r="U25" s="614">
        <v>13</v>
      </c>
      <c r="V25" s="636" t="s">
        <v>496</v>
      </c>
      <c r="W25" s="637">
        <f t="shared" si="0"/>
        <v>2</v>
      </c>
      <c r="X25" s="612">
        <v>18</v>
      </c>
      <c r="Y25" s="612">
        <v>122</v>
      </c>
      <c r="Z25" s="613">
        <f t="shared" si="2"/>
        <v>35</v>
      </c>
      <c r="AA25" s="614" t="s">
        <v>288</v>
      </c>
      <c r="AB25" s="615">
        <f t="shared" si="3"/>
        <v>56</v>
      </c>
      <c r="AC25" s="616">
        <f t="shared" si="4"/>
        <v>-21</v>
      </c>
      <c r="AD25" s="573"/>
      <c r="AE25" s="618">
        <f t="shared" ca="1" si="1"/>
        <v>87</v>
      </c>
      <c r="AF25" s="619" t="str">
        <f t="shared" si="5"/>
        <v>Vladimir Ogneštšikov</v>
      </c>
      <c r="AG25" s="620">
        <f ca="1">IFERROR(INDEX(Reit!$I:$I,MATCH(AF25,Reit!$F:$F,0)),"")</f>
        <v>87</v>
      </c>
    </row>
    <row r="26" spans="1:33" x14ac:dyDescent="0.2">
      <c r="A26" s="634">
        <v>19</v>
      </c>
      <c r="B26" s="635" t="s">
        <v>124</v>
      </c>
      <c r="C26" s="613">
        <v>4</v>
      </c>
      <c r="D26" s="614" t="s">
        <v>288</v>
      </c>
      <c r="E26" s="614">
        <v>13</v>
      </c>
      <c r="F26" s="636" t="s">
        <v>12</v>
      </c>
      <c r="G26" s="613">
        <v>13</v>
      </c>
      <c r="H26" s="614" t="s">
        <v>288</v>
      </c>
      <c r="I26" s="614">
        <v>10</v>
      </c>
      <c r="J26" s="636" t="s">
        <v>107</v>
      </c>
      <c r="K26" s="613">
        <v>9</v>
      </c>
      <c r="L26" s="614" t="s">
        <v>288</v>
      </c>
      <c r="M26" s="614">
        <v>13</v>
      </c>
      <c r="N26" s="636" t="s">
        <v>90</v>
      </c>
      <c r="O26" s="613">
        <v>1</v>
      </c>
      <c r="P26" s="614" t="s">
        <v>288</v>
      </c>
      <c r="Q26" s="614">
        <v>13</v>
      </c>
      <c r="R26" s="636" t="s">
        <v>109</v>
      </c>
      <c r="S26" s="613">
        <v>10</v>
      </c>
      <c r="T26" s="614" t="s">
        <v>288</v>
      </c>
      <c r="U26" s="614">
        <v>13</v>
      </c>
      <c r="V26" s="636" t="s">
        <v>96</v>
      </c>
      <c r="W26" s="637">
        <f t="shared" si="0"/>
        <v>1</v>
      </c>
      <c r="X26" s="612">
        <v>26</v>
      </c>
      <c r="Y26" s="612">
        <v>120</v>
      </c>
      <c r="Z26" s="613">
        <f t="shared" si="2"/>
        <v>37</v>
      </c>
      <c r="AA26" s="614" t="s">
        <v>288</v>
      </c>
      <c r="AB26" s="615">
        <f t="shared" si="3"/>
        <v>62</v>
      </c>
      <c r="AC26" s="616">
        <f t="shared" si="4"/>
        <v>-25</v>
      </c>
      <c r="AD26" s="573"/>
      <c r="AE26" s="618">
        <f t="shared" ref="AE26:AE28" ca="1" si="6">SUM(AG26:AG26)</f>
        <v>7</v>
      </c>
      <c r="AF26" s="619" t="str">
        <f t="shared" si="5"/>
        <v>Illar Tõnurist</v>
      </c>
      <c r="AG26" s="620">
        <f ca="1">IFERROR(INDEX(Reit!$I:$I,MATCH(AF26,Reit!$F:$F,0)),"")</f>
        <v>7</v>
      </c>
    </row>
    <row r="27" spans="1:33" x14ac:dyDescent="0.2">
      <c r="A27" s="634">
        <v>20</v>
      </c>
      <c r="B27" s="635" t="s">
        <v>88</v>
      </c>
      <c r="C27" s="613">
        <v>11</v>
      </c>
      <c r="D27" s="614" t="s">
        <v>288</v>
      </c>
      <c r="E27" s="614">
        <v>13</v>
      </c>
      <c r="F27" s="636" t="s">
        <v>139</v>
      </c>
      <c r="G27" s="613">
        <v>8</v>
      </c>
      <c r="H27" s="614" t="s">
        <v>288</v>
      </c>
      <c r="I27" s="614">
        <v>13</v>
      </c>
      <c r="J27" s="636" t="s">
        <v>97</v>
      </c>
      <c r="K27" s="613">
        <v>13</v>
      </c>
      <c r="L27" s="614" t="s">
        <v>288</v>
      </c>
      <c r="M27" s="614">
        <v>8</v>
      </c>
      <c r="N27" s="636" t="s">
        <v>89</v>
      </c>
      <c r="O27" s="613">
        <v>9</v>
      </c>
      <c r="P27" s="614" t="s">
        <v>288</v>
      </c>
      <c r="Q27" s="614">
        <v>13</v>
      </c>
      <c r="R27" s="636" t="s">
        <v>496</v>
      </c>
      <c r="S27" s="613">
        <v>1</v>
      </c>
      <c r="T27" s="614" t="s">
        <v>288</v>
      </c>
      <c r="U27" s="614">
        <v>13</v>
      </c>
      <c r="V27" s="636" t="s">
        <v>98</v>
      </c>
      <c r="W27" s="637">
        <f t="shared" si="0"/>
        <v>1</v>
      </c>
      <c r="X27" s="612">
        <v>22</v>
      </c>
      <c r="Y27" s="612">
        <v>112</v>
      </c>
      <c r="Z27" s="613">
        <f t="shared" si="2"/>
        <v>42</v>
      </c>
      <c r="AA27" s="614" t="s">
        <v>288</v>
      </c>
      <c r="AB27" s="615">
        <f t="shared" si="3"/>
        <v>60</v>
      </c>
      <c r="AC27" s="616">
        <f t="shared" si="4"/>
        <v>-18</v>
      </c>
      <c r="AD27" s="573"/>
      <c r="AE27" s="618">
        <f t="shared" ca="1" si="6"/>
        <v>232</v>
      </c>
      <c r="AF27" s="619" t="str">
        <f t="shared" ref="AF27:AF29" si="7">$B27</f>
        <v>Oleg Rõndenkov</v>
      </c>
      <c r="AG27" s="620">
        <f ca="1">IFERROR(INDEX(Reit!$I:$I,MATCH(AF27,Reit!$F:$F,0)),"")</f>
        <v>232</v>
      </c>
    </row>
    <row r="28" spans="1:33" x14ac:dyDescent="0.2">
      <c r="A28" s="634">
        <v>21</v>
      </c>
      <c r="B28" s="635" t="s">
        <v>98</v>
      </c>
      <c r="C28" s="613">
        <v>11</v>
      </c>
      <c r="D28" s="614" t="s">
        <v>288</v>
      </c>
      <c r="E28" s="614">
        <v>13</v>
      </c>
      <c r="F28" s="636" t="s">
        <v>497</v>
      </c>
      <c r="G28" s="613">
        <v>10</v>
      </c>
      <c r="H28" s="614" t="s">
        <v>288</v>
      </c>
      <c r="I28" s="614">
        <v>13</v>
      </c>
      <c r="J28" s="636" t="s">
        <v>498</v>
      </c>
      <c r="K28" s="613">
        <v>10</v>
      </c>
      <c r="L28" s="614" t="s">
        <v>288</v>
      </c>
      <c r="M28" s="614">
        <v>13</v>
      </c>
      <c r="N28" s="636" t="s">
        <v>92</v>
      </c>
      <c r="O28" s="613">
        <v>7</v>
      </c>
      <c r="P28" s="614" t="s">
        <v>288</v>
      </c>
      <c r="Q28" s="614">
        <v>13</v>
      </c>
      <c r="R28" s="636" t="s">
        <v>89</v>
      </c>
      <c r="S28" s="613">
        <v>13</v>
      </c>
      <c r="T28" s="614" t="s">
        <v>288</v>
      </c>
      <c r="U28" s="614">
        <v>1</v>
      </c>
      <c r="V28" s="636" t="s">
        <v>88</v>
      </c>
      <c r="W28" s="637">
        <f t="shared" si="0"/>
        <v>1</v>
      </c>
      <c r="X28" s="612">
        <v>20</v>
      </c>
      <c r="Y28" s="612">
        <v>102</v>
      </c>
      <c r="Z28" s="613">
        <f t="shared" si="2"/>
        <v>51</v>
      </c>
      <c r="AA28" s="614" t="s">
        <v>288</v>
      </c>
      <c r="AB28" s="615">
        <f t="shared" si="3"/>
        <v>53</v>
      </c>
      <c r="AC28" s="616">
        <f t="shared" si="4"/>
        <v>-2</v>
      </c>
      <c r="AD28" s="573"/>
      <c r="AE28" s="618">
        <f t="shared" ca="1" si="6"/>
        <v>101</v>
      </c>
      <c r="AF28" s="619" t="str">
        <f t="shared" si="7"/>
        <v>Svetlana Veski</v>
      </c>
      <c r="AG28" s="620">
        <f ca="1">IFERROR(INDEX(Reit!$I:$I,MATCH(AF28,Reit!$F:$F,0)),"")</f>
        <v>101</v>
      </c>
    </row>
    <row r="29" spans="1:33" x14ac:dyDescent="0.2">
      <c r="A29" s="634">
        <v>22</v>
      </c>
      <c r="B29" s="635" t="s">
        <v>107</v>
      </c>
      <c r="C29" s="613">
        <v>7</v>
      </c>
      <c r="D29" s="614" t="s">
        <v>288</v>
      </c>
      <c r="E29" s="614">
        <v>13</v>
      </c>
      <c r="F29" s="636" t="s">
        <v>86</v>
      </c>
      <c r="G29" s="613">
        <v>10</v>
      </c>
      <c r="H29" s="614" t="s">
        <v>288</v>
      </c>
      <c r="I29" s="614">
        <v>13</v>
      </c>
      <c r="J29" s="636" t="s">
        <v>124</v>
      </c>
      <c r="K29" s="613">
        <v>7</v>
      </c>
      <c r="L29" s="614" t="s">
        <v>288</v>
      </c>
      <c r="M29" s="614">
        <v>13</v>
      </c>
      <c r="N29" s="636" t="s">
        <v>498</v>
      </c>
      <c r="O29" s="613">
        <v>7</v>
      </c>
      <c r="P29" s="614" t="s">
        <v>288</v>
      </c>
      <c r="Q29" s="614">
        <v>13</v>
      </c>
      <c r="R29" s="636" t="s">
        <v>92</v>
      </c>
      <c r="S29" s="613">
        <v>1</v>
      </c>
      <c r="T29" s="614" t="s">
        <v>288</v>
      </c>
      <c r="U29" s="614">
        <v>13</v>
      </c>
      <c r="V29" s="636" t="s">
        <v>89</v>
      </c>
      <c r="W29" s="637">
        <f t="shared" si="0"/>
        <v>0</v>
      </c>
      <c r="X29" s="612">
        <v>22</v>
      </c>
      <c r="Y29" s="612">
        <v>110</v>
      </c>
      <c r="Z29" s="613">
        <f t="shared" si="2"/>
        <v>32</v>
      </c>
      <c r="AA29" s="614" t="s">
        <v>288</v>
      </c>
      <c r="AB29" s="615">
        <f t="shared" si="3"/>
        <v>65</v>
      </c>
      <c r="AC29" s="616">
        <f t="shared" si="4"/>
        <v>-33</v>
      </c>
      <c r="AD29" s="573"/>
      <c r="AE29" s="618">
        <f ca="1">SUM(AG29:AG29)</f>
        <v>131</v>
      </c>
      <c r="AF29" s="619" t="str">
        <f t="shared" si="7"/>
        <v>Oksana Rõndenkova</v>
      </c>
      <c r="AG29" s="620">
        <f ca="1">IFERROR(INDEX(Reit!$I:$I,MATCH(AF29,Reit!$F:$F,0)),"")</f>
        <v>131</v>
      </c>
    </row>
    <row r="30" spans="1:33"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row>
    <row r="31" spans="1:33"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row>
    <row r="32" spans="1:33"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row>
    <row r="33" spans="1:33"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row>
    <row r="34" spans="1:33"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row>
    <row r="35" spans="1:33"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row>
    <row r="36" spans="1:33"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row>
    <row r="37" spans="1:33"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row>
    <row r="38" spans="1:33"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row>
    <row r="39" spans="1:33"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row>
    <row r="40" spans="1:33"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row>
    <row r="41" spans="1:33"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row>
    <row r="42" spans="1:33"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row>
    <row r="43" spans="1:33"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row>
    <row r="44" spans="1:33"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row>
    <row r="45" spans="1:33"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row>
    <row r="46" spans="1:33"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row>
    <row r="47" spans="1:33"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row>
    <row r="48" spans="1:33"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row>
    <row r="49" spans="1:33"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row>
    <row r="50" spans="1:33"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row>
    <row r="51" spans="1:33"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row>
    <row r="52" spans="1:33"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row>
    <row r="53" spans="1:33"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row>
    <row r="54" spans="1:33"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row>
    <row r="55" spans="1:33"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row>
    <row r="56" spans="1:33"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row>
    <row r="57" spans="1:33"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row>
    <row r="58" spans="1:33"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row>
    <row r="59" spans="1:33"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row>
    <row r="60" spans="1:33"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row>
    <row r="61" spans="1:33"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row>
    <row r="62" spans="1:33"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row>
    <row r="63" spans="1:33"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row>
    <row r="64" spans="1:33"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row>
    <row r="65" spans="1:33"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row>
    <row r="66" spans="1:33"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row>
    <row r="67" spans="1:33"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row>
    <row r="68" spans="1:33"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row>
    <row r="69" spans="1:33"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row>
    <row r="70" spans="1:33"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row>
    <row r="71" spans="1:33"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row>
    <row r="72" spans="1:33"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row>
    <row r="73" spans="1:33"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row>
    <row r="74" spans="1:33"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row>
    <row r="75" spans="1:33"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row>
    <row r="76" spans="1:33"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row>
    <row r="77" spans="1:33"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row>
    <row r="78" spans="1:33"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row>
    <row r="79" spans="1:33"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row>
    <row r="80" spans="1:33"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row>
    <row r="81" spans="1:33"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row>
    <row r="82" spans="1:33"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row>
    <row r="83" spans="1:33"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row>
    <row r="84" spans="1:33"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row>
    <row r="85" spans="1:33"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row>
    <row r="86" spans="1:33"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row>
    <row r="87" spans="1:33"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row>
    <row r="88" spans="1:33"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row>
    <row r="89" spans="1:33"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row>
    <row r="90" spans="1:33"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row>
    <row r="91" spans="1:33"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row>
    <row r="92" spans="1:33"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row>
    <row r="93" spans="1:33"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row>
    <row r="94" spans="1:33"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row>
    <row r="95" spans="1:33"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row>
    <row r="96" spans="1:33"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row>
    <row r="97" spans="1:33"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row>
    <row r="98" spans="1:33"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row>
    <row r="99" spans="1:33"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row>
    <row r="100" spans="1:33"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row>
    <row r="101" spans="1:33"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row>
    <row r="102" spans="1:33"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row>
    <row r="103" spans="1:33"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row>
    <row r="104" spans="1:33"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row>
    <row r="105" spans="1:33"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row>
    <row r="106" spans="1:33"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row>
    <row r="107" spans="1:33"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row>
    <row r="108" spans="1:33"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row>
    <row r="109" spans="1:33"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row>
    <row r="110" spans="1:33"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row>
    <row r="111" spans="1:33"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row>
    <row r="112" spans="1:33"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row>
    <row r="113" spans="1:33"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row>
    <row r="114" spans="1:33"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row>
    <row r="115" spans="1:33"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row>
    <row r="116" spans="1:33"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row>
    <row r="117" spans="1:33"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row>
    <row r="118" spans="1:33"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row>
    <row r="119" spans="1:33"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row>
    <row r="120" spans="1:33"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row>
    <row r="121" spans="1:33"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row>
    <row r="122" spans="1:33"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row>
    <row r="123" spans="1:33"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row>
    <row r="124" spans="1:33"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row>
    <row r="125" spans="1:33"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row>
    <row r="126" spans="1:33"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row>
    <row r="127" spans="1:33"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row>
    <row r="128" spans="1:33"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row>
    <row r="129" spans="1:33"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row>
    <row r="130" spans="1:33"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row>
    <row r="131" spans="1:33"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row>
    <row r="132" spans="1:33"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row>
    <row r="133" spans="1:33"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row>
    <row r="134" spans="1:33"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row>
    <row r="135" spans="1:33"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row>
    <row r="136" spans="1:33"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row>
    <row r="137" spans="1:33"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row>
    <row r="138" spans="1:33"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row>
    <row r="139" spans="1:33"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row>
    <row r="140" spans="1:33"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row>
    <row r="141" spans="1:33"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row>
    <row r="142" spans="1:33"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row>
    <row r="143" spans="1:33"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row>
    <row r="144" spans="1:33"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row>
    <row r="145" spans="1:33"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row>
    <row r="146" spans="1:33"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row>
    <row r="147" spans="1:33"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row>
    <row r="148" spans="1:33"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row>
    <row r="149" spans="1:33"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row>
    <row r="150" spans="1:33"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row>
    <row r="151" spans="1:33"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row>
    <row r="152" spans="1:33"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row>
    <row r="153" spans="1:33"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row>
    <row r="154" spans="1:33"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row>
    <row r="155" spans="1:33"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row>
    <row r="156" spans="1:33"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row>
    <row r="157" spans="1:33"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row>
    <row r="158" spans="1:33"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row>
    <row r="159" spans="1:33"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row>
    <row r="160" spans="1:33"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row>
    <row r="161" spans="1:33"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row>
    <row r="162" spans="1:33"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row>
    <row r="163" spans="1:33"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row>
    <row r="164" spans="1:33"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row>
    <row r="165" spans="1:33"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row>
    <row r="166" spans="1:33"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row>
    <row r="167" spans="1:33"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row>
    <row r="168" spans="1:33"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row>
    <row r="169" spans="1:33"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row>
    <row r="170" spans="1:33"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row>
    <row r="171" spans="1:33"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row>
    <row r="172" spans="1:33"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row>
    <row r="173" spans="1:33"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row>
    <row r="174" spans="1:33"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row>
    <row r="175" spans="1:33"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row>
    <row r="176" spans="1:33"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row>
    <row r="177" spans="1:33"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row>
    <row r="178" spans="1:33"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row>
    <row r="179" spans="1:33"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row>
    <row r="180" spans="1:33"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row>
    <row r="181" spans="1:33"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row>
    <row r="182" spans="1:33"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row>
    <row r="183" spans="1:33"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row>
    <row r="184" spans="1:33"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row>
    <row r="185" spans="1:33"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row>
    <row r="186" spans="1:33"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row>
    <row r="187" spans="1:33"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row>
    <row r="188" spans="1:33"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row>
    <row r="189" spans="1:33"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row>
    <row r="190" spans="1:33"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row>
    <row r="191" spans="1:33"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row>
    <row r="192" spans="1:33"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row>
    <row r="193" spans="1:33"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row>
    <row r="194" spans="1:33"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row>
    <row r="195" spans="1:33"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row>
    <row r="196" spans="1:33"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row>
    <row r="197" spans="1:33"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row>
    <row r="198" spans="1:33"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row>
    <row r="199" spans="1:33"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row>
    <row r="200" spans="1:33"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row>
    <row r="201" spans="1:33"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row>
    <row r="202" spans="1:33"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row>
    <row r="203" spans="1:33"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row>
    <row r="204" spans="1:33"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row>
    <row r="205" spans="1:33"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row>
    <row r="206" spans="1:33"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row>
    <row r="207" spans="1:33"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row>
    <row r="208" spans="1:33"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row>
    <row r="209" spans="1:33"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row>
    <row r="210" spans="1:33"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row>
    <row r="211" spans="1:33"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row>
    <row r="212" spans="1:33"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row>
    <row r="213" spans="1:33"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row>
    <row r="214" spans="1:33"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row>
    <row r="215" spans="1:33"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row>
    <row r="216" spans="1:33"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row>
    <row r="217" spans="1:33"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row>
    <row r="218" spans="1:33"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row>
    <row r="219" spans="1:33"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row>
    <row r="220" spans="1:33"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row>
    <row r="221" spans="1:33"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row>
    <row r="222" spans="1:33"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row>
    <row r="223" spans="1:33"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row>
    <row r="224" spans="1:33"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row>
    <row r="225" spans="1:33"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row>
    <row r="226" spans="1:33"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row>
    <row r="227" spans="1:33"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row>
    <row r="228" spans="1:33"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row>
    <row r="229" spans="1:33"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row>
    <row r="230" spans="1:33"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row>
    <row r="231" spans="1:33"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row>
    <row r="232" spans="1:33"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row>
    <row r="233" spans="1:33"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row>
    <row r="234" spans="1:33"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row>
    <row r="235" spans="1:33"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row>
    <row r="236" spans="1:33"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row>
    <row r="237" spans="1:33"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row>
    <row r="238" spans="1:33"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row>
    <row r="239" spans="1:33"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row>
    <row r="240" spans="1:33"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row>
    <row r="241" spans="1:33"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row>
    <row r="242" spans="1:33"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row>
    <row r="243" spans="1:33"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row>
    <row r="244" spans="1:33"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row>
    <row r="245" spans="1:33"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row>
    <row r="246" spans="1:33"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row>
    <row r="247" spans="1:33"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row>
    <row r="248" spans="1:33"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row>
    <row r="249" spans="1:33"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row>
    <row r="250" spans="1:33"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row>
    <row r="251" spans="1:33"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row>
    <row r="252" spans="1:33"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row>
    <row r="253" spans="1:33"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row>
    <row r="254" spans="1:33"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row>
    <row r="255" spans="1:33"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row>
    <row r="256" spans="1:33"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row>
    <row r="257" spans="1:33"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row>
    <row r="258" spans="1:33"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row>
    <row r="259" spans="1:33"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row>
    <row r="260" spans="1:33"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row>
    <row r="261" spans="1:33"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row>
    <row r="262" spans="1:33"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row>
    <row r="263" spans="1:33"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row>
    <row r="264" spans="1:33"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row>
    <row r="265" spans="1:33"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row>
    <row r="266" spans="1:33"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row>
    <row r="267" spans="1:33"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row>
    <row r="268" spans="1:33"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row>
    <row r="269" spans="1:33"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row>
    <row r="270" spans="1:33"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row>
    <row r="271" spans="1:33"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row>
    <row r="272" spans="1:33"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row>
    <row r="273" spans="1:33"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row>
    <row r="274" spans="1:33"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row>
    <row r="275" spans="1:33"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row>
    <row r="276" spans="1:33"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row>
    <row r="277" spans="1:33"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row>
    <row r="278" spans="1:33"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row>
    <row r="279" spans="1:33"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row>
    <row r="280" spans="1:33"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row>
    <row r="281" spans="1:33"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row>
    <row r="282" spans="1:33"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row>
    <row r="283" spans="1:33"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row>
    <row r="284" spans="1:33"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row>
    <row r="285" spans="1:33"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row>
    <row r="286" spans="1:33"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row>
    <row r="287" spans="1:33"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row>
    <row r="288" spans="1:33"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row>
    <row r="289" spans="1:33"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row>
    <row r="290" spans="1:33"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row>
    <row r="291" spans="1:33"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row>
    <row r="292" spans="1:33"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row>
    <row r="293" spans="1:33"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row>
    <row r="294" spans="1:33" hidden="1" x14ac:dyDescent="0.2"/>
    <row r="295" spans="1:33" hidden="1" x14ac:dyDescent="0.2"/>
    <row r="296" spans="1:33" hidden="1" x14ac:dyDescent="0.2"/>
    <row r="299" spans="1:33" x14ac:dyDescent="0.2">
      <c r="A299" s="573"/>
      <c r="B299" s="573"/>
      <c r="C299" s="584" t="s">
        <v>54</v>
      </c>
      <c r="F299" s="626"/>
    </row>
    <row r="300" spans="1:33" x14ac:dyDescent="0.2">
      <c r="A300" s="627">
        <v>1</v>
      </c>
      <c r="B300" s="628" t="str">
        <f t="shared" ref="B300:B317" si="8">IFERROR(INDEX(B$1:B$85,MATCH(A300,A$1:A$85,0)),"")</f>
        <v>Ivar Viljaste</v>
      </c>
      <c r="C300" s="629">
        <v>40</v>
      </c>
      <c r="F300" s="626"/>
    </row>
    <row r="301" spans="1:33" x14ac:dyDescent="0.2">
      <c r="A301" s="627">
        <v>2</v>
      </c>
      <c r="B301" s="628" t="str">
        <f t="shared" si="8"/>
        <v>Janek Tarto</v>
      </c>
      <c r="C301" s="629">
        <v>34</v>
      </c>
      <c r="F301" s="626"/>
    </row>
    <row r="302" spans="1:33" x14ac:dyDescent="0.2">
      <c r="A302" s="627">
        <v>3</v>
      </c>
      <c r="B302" s="628" t="str">
        <f t="shared" si="8"/>
        <v>Meelis Luud</v>
      </c>
      <c r="C302" s="629">
        <v>30</v>
      </c>
      <c r="F302" s="626"/>
    </row>
    <row r="303" spans="1:33" x14ac:dyDescent="0.2">
      <c r="A303" s="627">
        <v>4</v>
      </c>
      <c r="B303" s="628" t="str">
        <f t="shared" si="8"/>
        <v>Matti Vinni</v>
      </c>
      <c r="C303" s="629">
        <v>26</v>
      </c>
      <c r="F303" s="626"/>
    </row>
    <row r="304" spans="1:33" x14ac:dyDescent="0.2">
      <c r="A304" s="627">
        <v>5</v>
      </c>
      <c r="B304" s="628" t="str">
        <f t="shared" si="8"/>
        <v>Kenneth Muusikus</v>
      </c>
      <c r="C304" s="629">
        <v>24</v>
      </c>
      <c r="F304" s="626"/>
    </row>
    <row r="305" spans="1:6" x14ac:dyDescent="0.2">
      <c r="A305" s="627">
        <v>6</v>
      </c>
      <c r="B305" s="628" t="str">
        <f t="shared" si="8"/>
        <v>Jaan Sepp</v>
      </c>
      <c r="C305" s="629">
        <v>22</v>
      </c>
      <c r="F305" s="626"/>
    </row>
    <row r="306" spans="1:6" x14ac:dyDescent="0.2">
      <c r="A306" s="627">
        <v>7</v>
      </c>
      <c r="B306" s="628" t="str">
        <f t="shared" si="8"/>
        <v>Olav Türk</v>
      </c>
      <c r="C306" s="629">
        <v>20</v>
      </c>
      <c r="F306" s="626"/>
    </row>
    <row r="307" spans="1:6" x14ac:dyDescent="0.2">
      <c r="A307" s="627">
        <v>8</v>
      </c>
      <c r="B307" s="628" t="str">
        <f t="shared" si="8"/>
        <v>Sander Rose</v>
      </c>
      <c r="C307" s="629">
        <v>18</v>
      </c>
      <c r="F307" s="626"/>
    </row>
    <row r="308" spans="1:6" x14ac:dyDescent="0.2">
      <c r="A308" s="627">
        <v>9</v>
      </c>
      <c r="B308" s="628" t="str">
        <f t="shared" si="8"/>
        <v>Sirje Maala</v>
      </c>
      <c r="C308" s="629">
        <v>16</v>
      </c>
      <c r="F308" s="626"/>
    </row>
    <row r="309" spans="1:6" x14ac:dyDescent="0.2">
      <c r="A309" s="627">
        <v>10</v>
      </c>
      <c r="B309" s="628" t="str">
        <f t="shared" si="8"/>
        <v>Enn Tokman</v>
      </c>
      <c r="C309" s="616">
        <v>14</v>
      </c>
      <c r="F309" s="626"/>
    </row>
    <row r="310" spans="1:6" x14ac:dyDescent="0.2">
      <c r="A310" s="627">
        <v>11</v>
      </c>
      <c r="B310" s="628" t="str">
        <f t="shared" si="8"/>
        <v>Andres Veski</v>
      </c>
      <c r="C310" s="616">
        <v>12</v>
      </c>
      <c r="F310" s="626"/>
    </row>
    <row r="311" spans="1:6" x14ac:dyDescent="0.2">
      <c r="A311" s="627">
        <v>12</v>
      </c>
      <c r="B311" s="628" t="str">
        <f t="shared" si="8"/>
        <v>Tõnu Kapper</v>
      </c>
      <c r="C311" s="616">
        <v>10</v>
      </c>
      <c r="F311" s="626"/>
    </row>
    <row r="312" spans="1:6" x14ac:dyDescent="0.2">
      <c r="A312" s="627">
        <v>13</v>
      </c>
      <c r="B312" s="628" t="str">
        <f t="shared" si="8"/>
        <v>Viktor Švarõgin</v>
      </c>
      <c r="C312" s="616">
        <v>8</v>
      </c>
      <c r="F312" s="626"/>
    </row>
    <row r="313" spans="1:6" x14ac:dyDescent="0.2">
      <c r="A313" s="627">
        <v>14</v>
      </c>
      <c r="B313" s="628" t="str">
        <f t="shared" si="8"/>
        <v>Andrei Grintšak</v>
      </c>
      <c r="C313" s="616">
        <v>6</v>
      </c>
      <c r="F313" s="626"/>
    </row>
    <row r="314" spans="1:6" x14ac:dyDescent="0.2">
      <c r="A314" s="627">
        <v>15</v>
      </c>
      <c r="B314" s="628" t="str">
        <f t="shared" si="8"/>
        <v>Ljudmila Varendi</v>
      </c>
      <c r="C314" s="616">
        <v>4</v>
      </c>
      <c r="F314" s="626"/>
    </row>
    <row r="315" spans="1:6" x14ac:dyDescent="0.2">
      <c r="A315" s="627">
        <v>16</v>
      </c>
      <c r="B315" s="628" t="str">
        <f t="shared" si="8"/>
        <v>Boriss Klubov</v>
      </c>
      <c r="C315" s="616">
        <v>2</v>
      </c>
      <c r="F315" s="626"/>
    </row>
    <row r="316" spans="1:6" x14ac:dyDescent="0.2">
      <c r="A316" s="627">
        <v>17</v>
      </c>
      <c r="B316" s="628" t="str">
        <f t="shared" si="8"/>
        <v>Elmo Lageda</v>
      </c>
      <c r="C316" s="616">
        <v>1</v>
      </c>
      <c r="F316" s="626"/>
    </row>
    <row r="317" spans="1:6" x14ac:dyDescent="0.2">
      <c r="A317" s="627">
        <v>18</v>
      </c>
      <c r="B317" s="628" t="str">
        <f t="shared" si="8"/>
        <v>Vladimir Ogneštšikov</v>
      </c>
      <c r="C317" s="616">
        <v>1</v>
      </c>
      <c r="F317" s="626"/>
    </row>
    <row r="318" spans="1:6" x14ac:dyDescent="0.2">
      <c r="A318" s="627">
        <v>19</v>
      </c>
      <c r="B318" s="628" t="str">
        <f t="shared" ref="B318:B321" si="9">IFERROR(INDEX(B$1:B$85,MATCH(A318,A$1:A$85,0)),"")</f>
        <v>Illar Tõnurist</v>
      </c>
      <c r="C318" s="616">
        <v>1</v>
      </c>
      <c r="F318" s="626"/>
    </row>
    <row r="319" spans="1:6" x14ac:dyDescent="0.2">
      <c r="A319" s="627">
        <v>20</v>
      </c>
      <c r="B319" s="628" t="str">
        <f t="shared" si="9"/>
        <v>Oleg Rõndenkov</v>
      </c>
      <c r="C319" s="616">
        <v>1</v>
      </c>
      <c r="F319" s="626"/>
    </row>
    <row r="320" spans="1:6" x14ac:dyDescent="0.2">
      <c r="A320" s="627">
        <v>21</v>
      </c>
      <c r="B320" s="628" t="str">
        <f t="shared" si="9"/>
        <v>Svetlana Veski</v>
      </c>
      <c r="C320" s="616">
        <v>1</v>
      </c>
      <c r="F320" s="626"/>
    </row>
    <row r="321" spans="1:6" x14ac:dyDescent="0.2">
      <c r="A321" s="627">
        <v>22</v>
      </c>
      <c r="B321" s="628" t="str">
        <f t="shared" si="9"/>
        <v>Oksana Rõndenkova</v>
      </c>
      <c r="C321" s="616">
        <v>1</v>
      </c>
      <c r="F321" s="626"/>
    </row>
  </sheetData>
  <conditionalFormatting sqref="C8:C29">
    <cfRule type="expression" dxfId="1897" priority="15">
      <formula>IF($C8&gt;$E8,TRUE)</formula>
    </cfRule>
  </conditionalFormatting>
  <conditionalFormatting sqref="E8:E29">
    <cfRule type="expression" dxfId="1896" priority="16">
      <formula>IF($C8&lt;$E8,TRUE)</formula>
    </cfRule>
  </conditionalFormatting>
  <conditionalFormatting sqref="K8:K29">
    <cfRule type="expression" dxfId="1895" priority="23">
      <formula>IF($K8&gt;$M8,TRUE)</formula>
    </cfRule>
  </conditionalFormatting>
  <conditionalFormatting sqref="M8:M29">
    <cfRule type="expression" dxfId="1894" priority="24">
      <formula>IF($K8&lt;$M8,TRUE)</formula>
    </cfRule>
  </conditionalFormatting>
  <conditionalFormatting sqref="O8:O29">
    <cfRule type="expression" dxfId="1893" priority="27">
      <formula>IF($O8&gt;$Q8,TRUE)</formula>
    </cfRule>
  </conditionalFormatting>
  <conditionalFormatting sqref="Q8:Q29">
    <cfRule type="expression" dxfId="1892" priority="28">
      <formula>IF($O8&lt;$Q8,TRUE)</formula>
    </cfRule>
  </conditionalFormatting>
  <conditionalFormatting sqref="S8:S29">
    <cfRule type="expression" dxfId="1891" priority="31">
      <formula>IF($S8&gt;$U8,TRUE)</formula>
    </cfRule>
  </conditionalFormatting>
  <conditionalFormatting sqref="U8:U29">
    <cfRule type="expression" dxfId="1890" priority="32">
      <formula>IF($S8&lt;$U8,TRUE)</formula>
    </cfRule>
  </conditionalFormatting>
  <conditionalFormatting sqref="G8:G29">
    <cfRule type="expression" dxfId="1889" priority="19">
      <formula>IF($G8&gt;$I8,TRUE)</formula>
    </cfRule>
  </conditionalFormatting>
  <conditionalFormatting sqref="I8:I29">
    <cfRule type="expression" dxfId="1888" priority="20">
      <formula>IF($G8&lt;$I8,TRUE)</formula>
    </cfRule>
  </conditionalFormatting>
  <conditionalFormatting sqref="F8:F29">
    <cfRule type="containsText" dxfId="1887" priority="6" operator="containsText" text="vaba voor">
      <formula>NOT(ISERROR(SEARCH("vaba voor",F8)))</formula>
    </cfRule>
  </conditionalFormatting>
  <conditionalFormatting sqref="N8:N29">
    <cfRule type="containsText" dxfId="1886" priority="4" operator="containsText" text="vaba voor">
      <formula>NOT(ISERROR(SEARCH("vaba voor",N8)))</formula>
    </cfRule>
  </conditionalFormatting>
  <conditionalFormatting sqref="R8:R29">
    <cfRule type="containsText" dxfId="1885" priority="7" operator="containsText" text="vaba voor">
      <formula>NOT(ISERROR(SEARCH("vaba voor",R8)))</formula>
    </cfRule>
  </conditionalFormatting>
  <conditionalFormatting sqref="V8:V29">
    <cfRule type="containsText" dxfId="1884" priority="3" operator="containsText" text="vaba voor">
      <formula>NOT(ISERROR(SEARCH("vaba voor",V8)))</formula>
    </cfRule>
  </conditionalFormatting>
  <conditionalFormatting sqref="J8:J29">
    <cfRule type="containsText" dxfId="1883" priority="5" operator="containsText" text="vaba voor">
      <formula>NOT(ISERROR(SEARCH("vaba voor",J8)))</formula>
    </cfRule>
  </conditionalFormatting>
  <conditionalFormatting sqref="C8:F29">
    <cfRule type="expression" dxfId="1882" priority="11">
      <formula>IF(AND(ISNUMBER($C8),$C8=$E8),TRUE)</formula>
    </cfRule>
    <cfRule type="expression" dxfId="1881" priority="13">
      <formula>IF($C8&gt;$E8,TRUE)</formula>
    </cfRule>
    <cfRule type="expression" dxfId="1880" priority="14">
      <formula>IF($C8&lt;$E8,TRUE)</formula>
    </cfRule>
  </conditionalFormatting>
  <conditionalFormatting sqref="G8:J29">
    <cfRule type="expression" dxfId="1879" priority="12">
      <formula>IF(AND(ISNUMBER($G8),$G8=$I8),TRUE)</formula>
    </cfRule>
    <cfRule type="expression" dxfId="1878" priority="17">
      <formula>IF($G8&gt;$I8,TRUE)</formula>
    </cfRule>
    <cfRule type="expression" dxfId="1877" priority="18">
      <formula>IF($G8&lt;$I8,TRUE)</formula>
    </cfRule>
  </conditionalFormatting>
  <conditionalFormatting sqref="K8:N29">
    <cfRule type="expression" dxfId="1876" priority="10">
      <formula>IF(AND(ISNUMBER($K8),$K8=$M8),TRUE)</formula>
    </cfRule>
    <cfRule type="expression" dxfId="1875" priority="21">
      <formula>IF($K8&gt;$M8,TRUE)</formula>
    </cfRule>
    <cfRule type="expression" dxfId="1874" priority="22">
      <formula>IF($K8&lt;$M8,TRUE)</formula>
    </cfRule>
  </conditionalFormatting>
  <conditionalFormatting sqref="O8:R29">
    <cfRule type="expression" dxfId="1873" priority="9">
      <formula>IF(AND(ISNUMBER($O8),$O8=$Q8),TRUE)</formula>
    </cfRule>
    <cfRule type="expression" dxfId="1872" priority="25">
      <formula>IF($O8&gt;$Q8,TRUE)</formula>
    </cfRule>
    <cfRule type="expression" dxfId="1871" priority="26">
      <formula>IF($O8&lt;$Q8,TRUE)</formula>
    </cfRule>
  </conditionalFormatting>
  <conditionalFormatting sqref="S8:V29">
    <cfRule type="expression" dxfId="1870" priority="8">
      <formula>IF(AND(ISNUMBER($S8),$S8=$U8),TRUE)</formula>
    </cfRule>
    <cfRule type="expression" dxfId="1869" priority="29">
      <formula>IF($S8&gt;$U8,TRUE)</formula>
    </cfRule>
    <cfRule type="expression" dxfId="1868" priority="30">
      <formula>IF($S8&lt;$U8,TRUE)</formula>
    </cfRule>
  </conditionalFormatting>
  <conditionalFormatting sqref="C8:C29 G8:G29 K8:K29 O8:O29 S8:S29">
    <cfRule type="expression" dxfId="1867" priority="1">
      <formula>AND(C8=0,E8=13)</formula>
    </cfRule>
  </conditionalFormatting>
  <conditionalFormatting sqref="E8:E29 I8:I29 M8:M29 Q8:Q29 U8:U29">
    <cfRule type="expression" dxfId="1866" priority="2">
      <formula>AND(E8=0,C8=13)</formula>
    </cfRule>
  </conditionalFormatting>
  <conditionalFormatting sqref="A300:A321">
    <cfRule type="duplicateValues" dxfId="1865" priority="33"/>
  </conditionalFormatting>
  <conditionalFormatting sqref="A8:A29">
    <cfRule type="duplicateValues" dxfId="1864" priority="34"/>
  </conditionalFormatting>
  <conditionalFormatting sqref="B300:B321">
    <cfRule type="expression" dxfId="1863" priority="35">
      <formula>A300=3</formula>
    </cfRule>
    <cfRule type="expression" dxfId="1862" priority="36">
      <formula>A300=2</formula>
    </cfRule>
    <cfRule type="expression" dxfId="1861" priority="37">
      <formula>A300=1</formula>
    </cfRule>
    <cfRule type="containsBlanks" dxfId="1860" priority="38">
      <formula>LEN(TRIM(B300))=0</formula>
    </cfRule>
    <cfRule type="duplicateValues" dxfId="1859" priority="39"/>
  </conditionalFormatting>
  <conditionalFormatting sqref="AF8:AF29">
    <cfRule type="expression" dxfId="1858" priority="40">
      <formula>AND(AG8="",COUNTIF(AF8,"*,*")=0)</formula>
    </cfRule>
  </conditionalFormatting>
  <pageMargins left="0.39370078740157483" right="0.27559055118110237" top="0.78740157480314965" bottom="0.39370078740157483" header="0.59055118110236227" footer="0"/>
  <pageSetup paperSize="9" fitToHeight="0" orientation="landscape" r:id="rId1"/>
  <headerFooter>
    <oddHeader>&amp;R&amp;9Page &amp;P of &amp;N</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13"/>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48.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customWidth="1"/>
    <col min="25" max="25" width="7" style="58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4" style="581" hidden="1" customWidth="1"/>
    <col min="34" max="34" width="9.140625" style="581" hidden="1" customWidth="1"/>
    <col min="35" max="35" width="31" style="581" hidden="1" customWidth="1"/>
    <col min="36" max="36" width="9.140625" style="581" hidden="1" customWidth="1"/>
    <col min="37" max="37" width="17.28515625" style="581" hidden="1" customWidth="1"/>
    <col min="38" max="38" width="9.140625" style="581" hidden="1" customWidth="1"/>
    <col min="39" max="39" width="15.28515625" style="581" hidden="1" customWidth="1"/>
    <col min="40" max="16384" width="9.140625" style="581"/>
  </cols>
  <sheetData>
    <row r="1" spans="1:40" x14ac:dyDescent="0.2">
      <c r="A1" s="572" t="str">
        <f>UPPER((Kalend!E11)&amp;" - "&amp;(Kalend!C11)&amp;" - "&amp;(Kalend!D11))</f>
        <v>3 - TOILA VALLA LAHTISED MV - TRIO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"&amp;(Kalend!A11)&amp;" kell "&amp;(Kalend!B11)</f>
        <v>Toimumisaeg: P, 05.06.2022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"&amp;(Kalend!F11)</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"&amp;(Kalend!G11)</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D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D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464</v>
      </c>
      <c r="C8" s="613">
        <v>13</v>
      </c>
      <c r="D8" s="614" t="s">
        <v>288</v>
      </c>
      <c r="E8" s="614">
        <v>6</v>
      </c>
      <c r="F8" s="636" t="s">
        <v>479</v>
      </c>
      <c r="G8" s="613">
        <v>13</v>
      </c>
      <c r="H8" s="614" t="s">
        <v>288</v>
      </c>
      <c r="I8" s="614">
        <v>9</v>
      </c>
      <c r="J8" s="636" t="s">
        <v>503</v>
      </c>
      <c r="K8" s="613">
        <v>13</v>
      </c>
      <c r="L8" s="614" t="s">
        <v>288</v>
      </c>
      <c r="M8" s="614">
        <v>8</v>
      </c>
      <c r="N8" s="636" t="s">
        <v>502</v>
      </c>
      <c r="O8" s="613">
        <v>13</v>
      </c>
      <c r="P8" s="614" t="s">
        <v>288</v>
      </c>
      <c r="Q8" s="614">
        <v>10</v>
      </c>
      <c r="R8" s="636" t="s">
        <v>501</v>
      </c>
      <c r="S8" s="613"/>
      <c r="T8" s="614" t="s">
        <v>288</v>
      </c>
      <c r="U8" s="614"/>
      <c r="V8" s="636"/>
      <c r="W8" s="637">
        <f>IF(C8&gt;E8,J$3,IF(C8&lt;E8,J$5,IF(ISNUMBER(C8),J$4,0)))+IF(G8&gt;I8,J$3,IF(G8&lt;I8,J$5,IF(ISNUMBER(G8),J$4,0)))+IF(K8&gt;M8,J$3,IF(K8&lt;M8,J$5,IF(ISNUMBER(K8),J$4,0)))+IF(O8&gt;Q8,J$3,IF(O8&lt;Q8,J$5,IF(ISNUMBER(O8),J$4,0)))+IF(S8&gt;U8,J$3,IF(S8&lt;U8,J$5,IF(ISNUMBER(S8),J$4,0)))</f>
        <v>4</v>
      </c>
      <c r="X8" s="612">
        <v>16</v>
      </c>
      <c r="Y8" s="612">
        <v>76</v>
      </c>
      <c r="Z8" s="613">
        <f>C8+G8+K8+O8+S8</f>
        <v>52</v>
      </c>
      <c r="AA8" s="614" t="s">
        <v>288</v>
      </c>
      <c r="AB8" s="615">
        <f>E8+I8+M8+Q8+U8</f>
        <v>33</v>
      </c>
      <c r="AC8" s="616">
        <f>Z8-AB8</f>
        <v>19</v>
      </c>
      <c r="AD8" s="617"/>
      <c r="AE8" s="731">
        <f t="shared" ref="AE8" ca="1" si="0">SUM(AF8:AM8)</f>
        <v>440</v>
      </c>
      <c r="AF8" s="732">
        <f ca="1">IFERROR(INDEX(Reit!I$7:I$134,MATCH(AG8,Reit!F$7:F$134,0)),"")</f>
        <v>124</v>
      </c>
      <c r="AG8" s="733" t="str">
        <f t="shared" ref="AG8:AG18" si="1">IFERROR(LEFT(B8,(FIND(",",B8,1)-1)),"")</f>
        <v>Andrei Grintšak</v>
      </c>
      <c r="AH8" s="732" t="str">
        <f>IFERROR(INDEX(Reit!I$7:RI$134,MATCH(AI8,Reit!F$7:F$134,0)),"")</f>
        <v/>
      </c>
      <c r="AI8" s="733" t="str">
        <f t="shared" ref="AI8:AI18" si="2">IFERROR(MID(B8,FIND(", ",B8)+2,256),"")</f>
        <v>Ljudmila Varendi, Viktor Švarõgin</v>
      </c>
      <c r="AJ8" s="732">
        <f ca="1">IFERROR(INDEX(Reit!I$7:I$134,MATCH(AK8,Reit!F$7:F$134,0)),"")</f>
        <v>150</v>
      </c>
      <c r="AK8" s="733" t="str">
        <f t="shared" ref="AK8:AK18" si="3">IFERROR(MID(B8,FIND("^",SUBSTITUTE(B8,", ","^",1))+2,FIND("^",SUBSTITUTE(B8,", ","^",2))-FIND("^",SUBSTITUTE(B8,", ","^",1))-2),"")</f>
        <v>Ljudmila Varendi</v>
      </c>
      <c r="AL8" s="732">
        <f ca="1">IFERROR(INDEX(Reit!I$7:I$134,MATCH(AM8,Reit!F$7:F$134,0)),"")</f>
        <v>166</v>
      </c>
      <c r="AM8" s="733" t="str">
        <f t="shared" ref="AM8:AM18" si="4">IFERROR(MID(B8,FIND(", ",B8,FIND(", ",B8,FIND(", ",B8))+1)+2,700),"")</f>
        <v>Viktor Švarõgin</v>
      </c>
      <c r="AN8" s="573"/>
    </row>
    <row r="9" spans="1:40" x14ac:dyDescent="0.2">
      <c r="A9" s="634">
        <v>2</v>
      </c>
      <c r="B9" s="635" t="s">
        <v>500</v>
      </c>
      <c r="C9" s="613">
        <v>13</v>
      </c>
      <c r="D9" s="614" t="s">
        <v>288</v>
      </c>
      <c r="E9" s="614">
        <v>8</v>
      </c>
      <c r="F9" s="636" t="s">
        <v>504</v>
      </c>
      <c r="G9" s="613">
        <v>8</v>
      </c>
      <c r="H9" s="614" t="s">
        <v>288</v>
      </c>
      <c r="I9" s="614">
        <v>13</v>
      </c>
      <c r="J9" s="636" t="s">
        <v>501</v>
      </c>
      <c r="K9" s="613">
        <v>13</v>
      </c>
      <c r="L9" s="614" t="s">
        <v>288</v>
      </c>
      <c r="M9" s="614">
        <v>9</v>
      </c>
      <c r="N9" s="636" t="s">
        <v>506</v>
      </c>
      <c r="O9" s="613">
        <v>13</v>
      </c>
      <c r="P9" s="614" t="s">
        <v>288</v>
      </c>
      <c r="Q9" s="614">
        <v>4</v>
      </c>
      <c r="R9" s="636" t="s">
        <v>502</v>
      </c>
      <c r="S9" s="613"/>
      <c r="T9" s="614" t="s">
        <v>288</v>
      </c>
      <c r="U9" s="614"/>
      <c r="V9" s="636"/>
      <c r="W9" s="637">
        <f t="shared" ref="W9:W18" si="5">IF(C9&gt;E9,J$3,IF(C9&lt;E9,J$5,IF(ISNUMBER(C9),J$4,0)))+IF(G9&gt;I9,J$3,IF(G9&lt;I9,J$5,IF(ISNUMBER(G9),J$4,0)))+IF(K9&gt;M9,J$3,IF(K9&lt;M9,J$5,IF(ISNUMBER(K9),J$4,0)))+IF(O9&gt;Q9,J$3,IF(O9&lt;Q9,J$5,IF(ISNUMBER(O9),J$4,0)))+IF(S9&gt;U9,J$3,IF(S9&lt;U9,J$5,IF(ISNUMBER(S9),J$4,0)))</f>
        <v>3</v>
      </c>
      <c r="X9" s="612">
        <v>18</v>
      </c>
      <c r="Y9" s="612">
        <v>70</v>
      </c>
      <c r="Z9" s="613">
        <f t="shared" ref="Z9:Z18" si="6">C9+G9+K9+O9+S9</f>
        <v>47</v>
      </c>
      <c r="AA9" s="614" t="s">
        <v>288</v>
      </c>
      <c r="AB9" s="615">
        <f t="shared" ref="AB9:AB18" si="7">E9+I9+M9+Q9+U9</f>
        <v>34</v>
      </c>
      <c r="AC9" s="616">
        <f t="shared" ref="AC9:AC18" si="8">Z9-AB9</f>
        <v>13</v>
      </c>
      <c r="AD9" s="617"/>
      <c r="AE9" s="731">
        <f t="shared" ref="AE9:AE18" ca="1" si="9">SUM(AF9:AM9)</f>
        <v>564</v>
      </c>
      <c r="AF9" s="732">
        <f ca="1">IFERROR(INDEX(Reit!I$7:I$134,MATCH(AG9,Reit!F$7:F$134,0)),"")</f>
        <v>268</v>
      </c>
      <c r="AG9" s="733" t="str">
        <f t="shared" si="1"/>
        <v>Ivar Viljaste</v>
      </c>
      <c r="AH9" s="732" t="str">
        <f>IFERROR(INDEX(Reit!I$7:RI$134,MATCH(AI9,Reit!F$7:F$134,0)),"")</f>
        <v/>
      </c>
      <c r="AI9" s="733" t="str">
        <f t="shared" si="2"/>
        <v>Kenneth Muusikus, Veroonika Saar</v>
      </c>
      <c r="AJ9" s="732">
        <f ca="1">IFERROR(INDEX(Reit!I$7:I$134,MATCH(AK9,Reit!F$7:F$134,0)),"")</f>
        <v>262</v>
      </c>
      <c r="AK9" s="733" t="str">
        <f t="shared" si="3"/>
        <v>Kenneth Muusikus</v>
      </c>
      <c r="AL9" s="732">
        <f ca="1">IFERROR(INDEX(Reit!I$7:I$134,MATCH(AM9,Reit!F$7:F$134,0)),"")</f>
        <v>34</v>
      </c>
      <c r="AM9" s="733" t="str">
        <f t="shared" si="4"/>
        <v>Veroonika Saar</v>
      </c>
      <c r="AN9" s="573"/>
    </row>
    <row r="10" spans="1:40" x14ac:dyDescent="0.2">
      <c r="A10" s="634">
        <v>3</v>
      </c>
      <c r="B10" s="635" t="s">
        <v>501</v>
      </c>
      <c r="C10" s="613">
        <v>13</v>
      </c>
      <c r="D10" s="614" t="s">
        <v>288</v>
      </c>
      <c r="E10" s="614">
        <v>7</v>
      </c>
      <c r="F10" s="636" t="s">
        <v>291</v>
      </c>
      <c r="G10" s="613">
        <v>13</v>
      </c>
      <c r="H10" s="614" t="s">
        <v>288</v>
      </c>
      <c r="I10" s="614">
        <v>8</v>
      </c>
      <c r="J10" s="636" t="s">
        <v>500</v>
      </c>
      <c r="K10" s="613">
        <v>13</v>
      </c>
      <c r="L10" s="614" t="s">
        <v>288</v>
      </c>
      <c r="M10" s="614">
        <v>5</v>
      </c>
      <c r="N10" s="636" t="s">
        <v>505</v>
      </c>
      <c r="O10" s="613">
        <v>10</v>
      </c>
      <c r="P10" s="614" t="s">
        <v>288</v>
      </c>
      <c r="Q10" s="614">
        <v>13</v>
      </c>
      <c r="R10" s="636" t="s">
        <v>464</v>
      </c>
      <c r="S10" s="613"/>
      <c r="T10" s="614" t="s">
        <v>288</v>
      </c>
      <c r="U10" s="614"/>
      <c r="V10" s="636"/>
      <c r="W10" s="637">
        <f t="shared" si="5"/>
        <v>3</v>
      </c>
      <c r="X10" s="612">
        <v>18</v>
      </c>
      <c r="Y10" s="612">
        <v>50</v>
      </c>
      <c r="Z10" s="613">
        <f t="shared" si="6"/>
        <v>49</v>
      </c>
      <c r="AA10" s="614" t="s">
        <v>288</v>
      </c>
      <c r="AB10" s="615">
        <f t="shared" si="7"/>
        <v>33</v>
      </c>
      <c r="AC10" s="616">
        <f t="shared" si="8"/>
        <v>16</v>
      </c>
      <c r="AD10" s="617"/>
      <c r="AE10" s="731">
        <f t="shared" ca="1" si="9"/>
        <v>523</v>
      </c>
      <c r="AF10" s="732">
        <f ca="1">IFERROR(INDEX(Reit!I$7:I$134,MATCH(AG10,Reit!F$7:F$134,0)),"")</f>
        <v>242</v>
      </c>
      <c r="AG10" s="733" t="str">
        <f t="shared" si="1"/>
        <v>Olav Türk</v>
      </c>
      <c r="AH10" s="732" t="str">
        <f>IFERROR(INDEX(Reit!I$7:RI$134,MATCH(AI10,Reit!F$7:F$134,0)),"")</f>
        <v/>
      </c>
      <c r="AI10" s="733" t="str">
        <f t="shared" si="2"/>
        <v>Sirje Maala, Urmas Jõeäär</v>
      </c>
      <c r="AJ10" s="732">
        <f ca="1">IFERROR(INDEX(Reit!I$7:I$134,MATCH(AK10,Reit!F$7:F$134,0)),"")</f>
        <v>168</v>
      </c>
      <c r="AK10" s="733" t="str">
        <f t="shared" si="3"/>
        <v>Sirje Maala</v>
      </c>
      <c r="AL10" s="732">
        <f ca="1">IFERROR(INDEX(Reit!I$7:I$134,MATCH(AM10,Reit!F$7:F$134,0)),"")</f>
        <v>113</v>
      </c>
      <c r="AM10" s="733" t="str">
        <f t="shared" si="4"/>
        <v>Urmas Jõeäär</v>
      </c>
      <c r="AN10" s="573"/>
    </row>
    <row r="11" spans="1:40" x14ac:dyDescent="0.2">
      <c r="A11" s="634">
        <v>4</v>
      </c>
      <c r="B11" s="635" t="s">
        <v>502</v>
      </c>
      <c r="C11" s="613">
        <v>13</v>
      </c>
      <c r="D11" s="614" t="s">
        <v>288</v>
      </c>
      <c r="E11" s="614">
        <v>9</v>
      </c>
      <c r="F11" s="636" t="s">
        <v>506</v>
      </c>
      <c r="G11" s="613">
        <v>13</v>
      </c>
      <c r="H11" s="614" t="s">
        <v>288</v>
      </c>
      <c r="I11" s="614">
        <v>1</v>
      </c>
      <c r="J11" s="636" t="s">
        <v>505</v>
      </c>
      <c r="K11" s="613">
        <v>8</v>
      </c>
      <c r="L11" s="614" t="s">
        <v>288</v>
      </c>
      <c r="M11" s="614">
        <v>13</v>
      </c>
      <c r="N11" s="636" t="s">
        <v>464</v>
      </c>
      <c r="O11" s="613">
        <v>4</v>
      </c>
      <c r="P11" s="614" t="s">
        <v>288</v>
      </c>
      <c r="Q11" s="614">
        <v>13</v>
      </c>
      <c r="R11" s="636" t="s">
        <v>500</v>
      </c>
      <c r="S11" s="613"/>
      <c r="T11" s="614" t="s">
        <v>288</v>
      </c>
      <c r="U11" s="614"/>
      <c r="V11" s="636"/>
      <c r="W11" s="637">
        <f t="shared" si="5"/>
        <v>2</v>
      </c>
      <c r="X11" s="612">
        <v>22</v>
      </c>
      <c r="Y11" s="612">
        <v>64</v>
      </c>
      <c r="Z11" s="613">
        <f t="shared" si="6"/>
        <v>38</v>
      </c>
      <c r="AA11" s="614" t="s">
        <v>288</v>
      </c>
      <c r="AB11" s="615">
        <f t="shared" si="7"/>
        <v>36</v>
      </c>
      <c r="AC11" s="616">
        <f t="shared" si="8"/>
        <v>2</v>
      </c>
      <c r="AD11" s="617"/>
      <c r="AE11" s="731">
        <f t="shared" ca="1" si="9"/>
        <v>78</v>
      </c>
      <c r="AF11" s="732">
        <f ca="1">IFERROR(INDEX(Reit!I$7:I$134,MATCH(AG11,Reit!F$7:F$134,0)),"")</f>
        <v>26</v>
      </c>
      <c r="AG11" s="733" t="str">
        <f t="shared" si="1"/>
        <v>Kadri Veljend</v>
      </c>
      <c r="AH11" s="732" t="str">
        <f>IFERROR(INDEX(Reit!I$7:RI$134,MATCH(AI11,Reit!F$7:F$134,0)),"")</f>
        <v/>
      </c>
      <c r="AI11" s="733" t="str">
        <f t="shared" si="2"/>
        <v>Ruudi Väärtnõu, Silver Kingissepp</v>
      </c>
      <c r="AJ11" s="732">
        <f ca="1">IFERROR(INDEX(Reit!I$7:I$134,MATCH(AK11,Reit!F$7:F$134,0)),"")</f>
        <v>26</v>
      </c>
      <c r="AK11" s="733" t="str">
        <f t="shared" si="3"/>
        <v>Ruudi Väärtnõu</v>
      </c>
      <c r="AL11" s="732">
        <f ca="1">IFERROR(INDEX(Reit!I$7:I$134,MATCH(AM11,Reit!F$7:F$134,0)),"")</f>
        <v>26</v>
      </c>
      <c r="AM11" s="733" t="str">
        <f t="shared" si="4"/>
        <v>Silver Kingissepp</v>
      </c>
      <c r="AN11" s="573"/>
    </row>
    <row r="12" spans="1:40" x14ac:dyDescent="0.2">
      <c r="A12" s="634">
        <v>5</v>
      </c>
      <c r="B12" s="635" t="s">
        <v>503</v>
      </c>
      <c r="C12" s="613">
        <v>13</v>
      </c>
      <c r="D12" s="614" t="s">
        <v>288</v>
      </c>
      <c r="E12" s="614">
        <v>5</v>
      </c>
      <c r="F12" s="636" t="s">
        <v>459</v>
      </c>
      <c r="G12" s="613">
        <v>9</v>
      </c>
      <c r="H12" s="614" t="s">
        <v>288</v>
      </c>
      <c r="I12" s="614">
        <v>13</v>
      </c>
      <c r="J12" s="636" t="s">
        <v>464</v>
      </c>
      <c r="K12" s="613">
        <v>4</v>
      </c>
      <c r="L12" s="614" t="s">
        <v>288</v>
      </c>
      <c r="M12" s="614">
        <v>13</v>
      </c>
      <c r="N12" s="636" t="s">
        <v>504</v>
      </c>
      <c r="O12" s="613">
        <v>13</v>
      </c>
      <c r="P12" s="614" t="s">
        <v>288</v>
      </c>
      <c r="Q12" s="614">
        <v>6</v>
      </c>
      <c r="R12" s="636" t="s">
        <v>479</v>
      </c>
      <c r="S12" s="613"/>
      <c r="T12" s="614" t="s">
        <v>288</v>
      </c>
      <c r="U12" s="614"/>
      <c r="V12" s="636"/>
      <c r="W12" s="637">
        <f t="shared" si="5"/>
        <v>2</v>
      </c>
      <c r="X12" s="612">
        <v>18</v>
      </c>
      <c r="Y12" s="612">
        <v>60</v>
      </c>
      <c r="Z12" s="613">
        <f t="shared" si="6"/>
        <v>39</v>
      </c>
      <c r="AA12" s="614" t="s">
        <v>288</v>
      </c>
      <c r="AB12" s="615">
        <f t="shared" si="7"/>
        <v>37</v>
      </c>
      <c r="AC12" s="616">
        <f t="shared" si="8"/>
        <v>2</v>
      </c>
      <c r="AD12" s="617"/>
      <c r="AE12" s="731">
        <f t="shared" ca="1" si="9"/>
        <v>341</v>
      </c>
      <c r="AF12" s="732">
        <f ca="1">IFERROR(INDEX(Reit!I$7:I$134,MATCH(AG12,Reit!F$7:F$134,0)),"")</f>
        <v>139</v>
      </c>
      <c r="AG12" s="733" t="str">
        <f t="shared" si="1"/>
        <v>Enn Tokman</v>
      </c>
      <c r="AH12" s="732" t="str">
        <f>IFERROR(INDEX(Reit!I$7:RI$134,MATCH(AI12,Reit!F$7:F$134,0)),"")</f>
        <v/>
      </c>
      <c r="AI12" s="733" t="str">
        <f t="shared" si="2"/>
        <v>Jaan Saar, Urmas Randlaine</v>
      </c>
      <c r="AJ12" s="732">
        <f ca="1">IFERROR(INDEX(Reit!I$7:I$134,MATCH(AK12,Reit!F$7:F$134,0)),"")</f>
        <v>136</v>
      </c>
      <c r="AK12" s="733" t="str">
        <f t="shared" si="3"/>
        <v>Jaan Saar</v>
      </c>
      <c r="AL12" s="732">
        <f ca="1">IFERROR(INDEX(Reit!I$7:I$134,MATCH(AM12,Reit!F$7:F$134,0)),"")</f>
        <v>66</v>
      </c>
      <c r="AM12" s="733" t="str">
        <f t="shared" si="4"/>
        <v>Urmas Randlaine</v>
      </c>
      <c r="AN12" s="573"/>
    </row>
    <row r="13" spans="1:40" x14ac:dyDescent="0.2">
      <c r="A13" s="634">
        <v>6</v>
      </c>
      <c r="B13" s="635" t="s">
        <v>504</v>
      </c>
      <c r="C13" s="613">
        <v>8</v>
      </c>
      <c r="D13" s="614" t="s">
        <v>288</v>
      </c>
      <c r="E13" s="614">
        <v>13</v>
      </c>
      <c r="F13" s="636" t="s">
        <v>523</v>
      </c>
      <c r="G13" s="613">
        <v>13</v>
      </c>
      <c r="H13" s="614" t="s">
        <v>288</v>
      </c>
      <c r="I13" s="614">
        <v>5</v>
      </c>
      <c r="J13" s="636" t="s">
        <v>479</v>
      </c>
      <c r="K13" s="613">
        <v>13</v>
      </c>
      <c r="L13" s="614" t="s">
        <v>288</v>
      </c>
      <c r="M13" s="614">
        <v>4</v>
      </c>
      <c r="N13" s="636" t="s">
        <v>503</v>
      </c>
      <c r="O13" s="613">
        <v>10</v>
      </c>
      <c r="P13" s="614" t="s">
        <v>288</v>
      </c>
      <c r="Q13" s="614">
        <v>13</v>
      </c>
      <c r="R13" s="636" t="s">
        <v>505</v>
      </c>
      <c r="S13" s="613"/>
      <c r="T13" s="614" t="s">
        <v>288</v>
      </c>
      <c r="U13" s="614"/>
      <c r="V13" s="636"/>
      <c r="W13" s="637">
        <f t="shared" si="5"/>
        <v>2</v>
      </c>
      <c r="X13" s="612">
        <v>16</v>
      </c>
      <c r="Y13" s="612">
        <v>70</v>
      </c>
      <c r="Z13" s="613">
        <f t="shared" si="6"/>
        <v>44</v>
      </c>
      <c r="AA13" s="614" t="s">
        <v>288</v>
      </c>
      <c r="AB13" s="615">
        <f t="shared" si="7"/>
        <v>35</v>
      </c>
      <c r="AC13" s="616">
        <f t="shared" si="8"/>
        <v>9</v>
      </c>
      <c r="AD13" s="617"/>
      <c r="AE13" s="731">
        <f t="shared" ca="1" si="9"/>
        <v>66</v>
      </c>
      <c r="AF13" s="732">
        <f ca="1">IFERROR(INDEX(Reit!I$7:I$134,MATCH(AG13,Reit!F$7:F$134,0)),"")</f>
        <v>22</v>
      </c>
      <c r="AG13" s="733" t="str">
        <f t="shared" si="1"/>
        <v>Margo Peebo</v>
      </c>
      <c r="AH13" s="732" t="str">
        <f>IFERROR(INDEX(Reit!I$7:RI$134,MATCH(AI13,Reit!F$7:F$134,0)),"")</f>
        <v/>
      </c>
      <c r="AI13" s="733" t="str">
        <f t="shared" si="2"/>
        <v>Margus Limberg, Marko Ode</v>
      </c>
      <c r="AJ13" s="732">
        <f ca="1">IFERROR(INDEX(Reit!I$7:I$134,MATCH(AK13,Reit!F$7:F$134,0)),"")</f>
        <v>22</v>
      </c>
      <c r="AK13" s="733" t="str">
        <f t="shared" si="3"/>
        <v>Margus Limberg</v>
      </c>
      <c r="AL13" s="732">
        <f ca="1">IFERROR(INDEX(Reit!I$7:I$134,MATCH(AM13,Reit!F$7:F$134,0)),"")</f>
        <v>22</v>
      </c>
      <c r="AM13" s="733" t="str">
        <f t="shared" si="4"/>
        <v>Marko Ode</v>
      </c>
      <c r="AN13" s="573"/>
    </row>
    <row r="14" spans="1:40" x14ac:dyDescent="0.2">
      <c r="A14" s="634">
        <v>7</v>
      </c>
      <c r="B14" s="638" t="s">
        <v>505</v>
      </c>
      <c r="C14" s="613">
        <v>13</v>
      </c>
      <c r="D14" s="614" t="s">
        <v>288</v>
      </c>
      <c r="E14" s="614">
        <v>4</v>
      </c>
      <c r="F14" s="636" t="s">
        <v>507</v>
      </c>
      <c r="G14" s="613">
        <v>1</v>
      </c>
      <c r="H14" s="614" t="s">
        <v>288</v>
      </c>
      <c r="I14" s="614">
        <v>13</v>
      </c>
      <c r="J14" s="636" t="s">
        <v>502</v>
      </c>
      <c r="K14" s="613">
        <v>5</v>
      </c>
      <c r="L14" s="614" t="s">
        <v>288</v>
      </c>
      <c r="M14" s="614">
        <v>13</v>
      </c>
      <c r="N14" s="636" t="s">
        <v>501</v>
      </c>
      <c r="O14" s="613">
        <v>13</v>
      </c>
      <c r="P14" s="614" t="s">
        <v>288</v>
      </c>
      <c r="Q14" s="614">
        <v>10</v>
      </c>
      <c r="R14" s="636" t="s">
        <v>504</v>
      </c>
      <c r="S14" s="613"/>
      <c r="T14" s="614" t="s">
        <v>288</v>
      </c>
      <c r="U14" s="614"/>
      <c r="V14" s="636"/>
      <c r="W14" s="637">
        <f t="shared" si="5"/>
        <v>2</v>
      </c>
      <c r="X14" s="612">
        <v>16</v>
      </c>
      <c r="Y14" s="612">
        <v>66</v>
      </c>
      <c r="Z14" s="613">
        <f t="shared" si="6"/>
        <v>32</v>
      </c>
      <c r="AA14" s="614" t="s">
        <v>288</v>
      </c>
      <c r="AB14" s="615">
        <f t="shared" si="7"/>
        <v>40</v>
      </c>
      <c r="AC14" s="616">
        <f t="shared" si="8"/>
        <v>-8</v>
      </c>
      <c r="AD14" s="617"/>
      <c r="AE14" s="731">
        <f t="shared" ca="1" si="9"/>
        <v>60</v>
      </c>
      <c r="AF14" s="732">
        <f ca="1">IFERROR(INDEX(Reit!I$7:I$134,MATCH(AG14,Reit!F$7:F$134,0)),"")</f>
        <v>20</v>
      </c>
      <c r="AG14" s="733" t="str">
        <f t="shared" si="1"/>
        <v>Jaanus Tiiter</v>
      </c>
      <c r="AH14" s="732" t="str">
        <f>IFERROR(INDEX(Reit!I$7:RI$134,MATCH(AI14,Reit!F$7:F$134,0)),"")</f>
        <v/>
      </c>
      <c r="AI14" s="733" t="str">
        <f t="shared" si="2"/>
        <v>Kalev Lillepea, Ulvi Järvik</v>
      </c>
      <c r="AJ14" s="732">
        <f ca="1">IFERROR(INDEX(Reit!I$7:I$134,MATCH(AK14,Reit!F$7:F$134,0)),"")</f>
        <v>20</v>
      </c>
      <c r="AK14" s="733" t="str">
        <f t="shared" si="3"/>
        <v>Kalev Lillepea</v>
      </c>
      <c r="AL14" s="732">
        <f ca="1">IFERROR(INDEX(Reit!I$7:I$134,MATCH(AM14,Reit!F$7:F$134,0)),"")</f>
        <v>20</v>
      </c>
      <c r="AM14" s="733" t="str">
        <f t="shared" si="4"/>
        <v>Ulvi Järvik</v>
      </c>
      <c r="AN14" s="573"/>
    </row>
    <row r="15" spans="1:40" x14ac:dyDescent="0.2">
      <c r="A15" s="634">
        <v>8</v>
      </c>
      <c r="B15" s="638" t="s">
        <v>506</v>
      </c>
      <c r="C15" s="613">
        <v>9</v>
      </c>
      <c r="D15" s="614" t="s">
        <v>288</v>
      </c>
      <c r="E15" s="614">
        <v>13</v>
      </c>
      <c r="F15" s="636" t="s">
        <v>502</v>
      </c>
      <c r="G15" s="613">
        <v>13</v>
      </c>
      <c r="H15" s="614" t="s">
        <v>288</v>
      </c>
      <c r="I15" s="614">
        <v>7</v>
      </c>
      <c r="J15" s="636" t="s">
        <v>459</v>
      </c>
      <c r="K15" s="613">
        <v>9</v>
      </c>
      <c r="L15" s="614" t="s">
        <v>288</v>
      </c>
      <c r="M15" s="614">
        <v>13</v>
      </c>
      <c r="N15" s="636" t="s">
        <v>500</v>
      </c>
      <c r="O15" s="613">
        <v>13</v>
      </c>
      <c r="P15" s="614" t="s">
        <v>288</v>
      </c>
      <c r="Q15" s="614">
        <v>7</v>
      </c>
      <c r="R15" s="636" t="s">
        <v>291</v>
      </c>
      <c r="S15" s="613"/>
      <c r="T15" s="614" t="s">
        <v>288</v>
      </c>
      <c r="U15" s="614"/>
      <c r="V15" s="636"/>
      <c r="W15" s="637">
        <f t="shared" si="5"/>
        <v>2</v>
      </c>
      <c r="X15" s="612">
        <v>14</v>
      </c>
      <c r="Y15" s="612">
        <v>50</v>
      </c>
      <c r="Z15" s="613">
        <f t="shared" si="6"/>
        <v>44</v>
      </c>
      <c r="AA15" s="614" t="s">
        <v>288</v>
      </c>
      <c r="AB15" s="615">
        <f t="shared" si="7"/>
        <v>40</v>
      </c>
      <c r="AC15" s="616">
        <f t="shared" si="8"/>
        <v>4</v>
      </c>
      <c r="AD15" s="617"/>
      <c r="AE15" s="731">
        <f t="shared" ca="1" si="9"/>
        <v>54</v>
      </c>
      <c r="AF15" s="732">
        <f ca="1">IFERROR(INDEX(Reit!I$7:I$134,MATCH(AG15,Reit!F$7:F$134,0)),"")</f>
        <v>18</v>
      </c>
      <c r="AG15" s="733" t="str">
        <f t="shared" si="1"/>
        <v>Ain Tamme</v>
      </c>
      <c r="AH15" s="732" t="str">
        <f>IFERROR(INDEX(Reit!I$7:RI$134,MATCH(AI15,Reit!F$7:F$134,0)),"")</f>
        <v/>
      </c>
      <c r="AI15" s="733" t="str">
        <f t="shared" si="2"/>
        <v>Anneli Suits, Enn Lehtpuu</v>
      </c>
      <c r="AJ15" s="732">
        <f ca="1">IFERROR(INDEX(Reit!I$7:I$134,MATCH(AK15,Reit!F$7:F$134,0)),"")</f>
        <v>18</v>
      </c>
      <c r="AK15" s="733" t="str">
        <f t="shared" si="3"/>
        <v>Anneli Suits</v>
      </c>
      <c r="AL15" s="732">
        <f ca="1">IFERROR(INDEX(Reit!I$7:I$134,MATCH(AM15,Reit!F$7:F$134,0)),"")</f>
        <v>18</v>
      </c>
      <c r="AM15" s="733" t="str">
        <f t="shared" si="4"/>
        <v>Enn Lehtpuu</v>
      </c>
      <c r="AN15" s="573"/>
    </row>
    <row r="16" spans="1:40" x14ac:dyDescent="0.2">
      <c r="A16" s="634">
        <v>9</v>
      </c>
      <c r="B16" s="635" t="s">
        <v>459</v>
      </c>
      <c r="C16" s="613">
        <v>5</v>
      </c>
      <c r="D16" s="614" t="s">
        <v>288</v>
      </c>
      <c r="E16" s="614">
        <v>13</v>
      </c>
      <c r="F16" s="636" t="s">
        <v>503</v>
      </c>
      <c r="G16" s="613">
        <v>7</v>
      </c>
      <c r="H16" s="614" t="s">
        <v>288</v>
      </c>
      <c r="I16" s="614">
        <v>13</v>
      </c>
      <c r="J16" s="636" t="s">
        <v>506</v>
      </c>
      <c r="K16" s="613">
        <v>13</v>
      </c>
      <c r="L16" s="614" t="s">
        <v>288</v>
      </c>
      <c r="M16" s="614">
        <v>7</v>
      </c>
      <c r="N16" s="636" t="s">
        <v>291</v>
      </c>
      <c r="O16" s="613">
        <v>13</v>
      </c>
      <c r="P16" s="614" t="s">
        <v>288</v>
      </c>
      <c r="Q16" s="614">
        <v>7</v>
      </c>
      <c r="R16" s="636" t="s">
        <v>501</v>
      </c>
      <c r="S16" s="613"/>
      <c r="T16" s="614" t="s">
        <v>288</v>
      </c>
      <c r="U16" s="614"/>
      <c r="V16" s="636"/>
      <c r="W16" s="637">
        <f t="shared" si="5"/>
        <v>2</v>
      </c>
      <c r="X16" s="612">
        <v>10</v>
      </c>
      <c r="Y16" s="612">
        <v>42</v>
      </c>
      <c r="Z16" s="613">
        <f t="shared" si="6"/>
        <v>38</v>
      </c>
      <c r="AA16" s="614" t="s">
        <v>288</v>
      </c>
      <c r="AB16" s="615">
        <f t="shared" si="7"/>
        <v>40</v>
      </c>
      <c r="AC16" s="616">
        <f t="shared" si="8"/>
        <v>-2</v>
      </c>
      <c r="AD16" s="617"/>
      <c r="AE16" s="731">
        <f t="shared" ca="1" si="9"/>
        <v>438</v>
      </c>
      <c r="AF16" s="732">
        <f ca="1">IFERROR(INDEX(Reit!I$7:I$134,MATCH(AG16,Reit!F$7:F$134,0)),"")</f>
        <v>179</v>
      </c>
      <c r="AG16" s="733" t="str">
        <f t="shared" si="1"/>
        <v>Jaan Sepp</v>
      </c>
      <c r="AH16" s="732" t="str">
        <f>IFERROR(INDEX(Reit!I$7:RI$134,MATCH(AI16,Reit!F$7:F$134,0)),"")</f>
        <v/>
      </c>
      <c r="AI16" s="733" t="str">
        <f t="shared" si="2"/>
        <v>Oskar Sepp, Sander Rose</v>
      </c>
      <c r="AJ16" s="732">
        <f ca="1">IFERROR(INDEX(Reit!I$7:I$134,MATCH(AK16,Reit!F$7:F$134,0)),"")</f>
        <v>72</v>
      </c>
      <c r="AK16" s="733" t="str">
        <f t="shared" si="3"/>
        <v>Oskar Sepp</v>
      </c>
      <c r="AL16" s="732">
        <f ca="1">IFERROR(INDEX(Reit!I$7:I$134,MATCH(AM16,Reit!F$7:F$134,0)),"")</f>
        <v>187</v>
      </c>
      <c r="AM16" s="733" t="str">
        <f t="shared" si="4"/>
        <v>Sander Rose</v>
      </c>
      <c r="AN16" s="573"/>
    </row>
    <row r="17" spans="1:40" x14ac:dyDescent="0.2">
      <c r="A17" s="634">
        <v>10</v>
      </c>
      <c r="B17" s="635" t="s">
        <v>479</v>
      </c>
      <c r="C17" s="613">
        <v>6</v>
      </c>
      <c r="D17" s="614" t="s">
        <v>288</v>
      </c>
      <c r="E17" s="614">
        <v>13</v>
      </c>
      <c r="F17" s="636" t="s">
        <v>464</v>
      </c>
      <c r="G17" s="613">
        <v>5</v>
      </c>
      <c r="H17" s="614" t="s">
        <v>288</v>
      </c>
      <c r="I17" s="614">
        <v>13</v>
      </c>
      <c r="J17" s="636" t="s">
        <v>504</v>
      </c>
      <c r="K17" s="613">
        <v>13</v>
      </c>
      <c r="L17" s="614" t="s">
        <v>288</v>
      </c>
      <c r="M17" s="614">
        <v>12</v>
      </c>
      <c r="N17" s="636" t="s">
        <v>507</v>
      </c>
      <c r="O17" s="613">
        <v>6</v>
      </c>
      <c r="P17" s="614" t="s">
        <v>288</v>
      </c>
      <c r="Q17" s="614">
        <v>13</v>
      </c>
      <c r="R17" s="636" t="s">
        <v>503</v>
      </c>
      <c r="S17" s="613"/>
      <c r="T17" s="614" t="s">
        <v>288</v>
      </c>
      <c r="U17" s="614"/>
      <c r="V17" s="636"/>
      <c r="W17" s="637">
        <f t="shared" si="5"/>
        <v>1</v>
      </c>
      <c r="X17" s="612">
        <v>18</v>
      </c>
      <c r="Y17" s="612">
        <v>60</v>
      </c>
      <c r="Z17" s="613">
        <f t="shared" si="6"/>
        <v>30</v>
      </c>
      <c r="AA17" s="614" t="s">
        <v>288</v>
      </c>
      <c r="AB17" s="615">
        <f t="shared" si="7"/>
        <v>51</v>
      </c>
      <c r="AC17" s="616">
        <f t="shared" si="8"/>
        <v>-21</v>
      </c>
      <c r="AD17" s="617"/>
      <c r="AE17" s="731">
        <f t="shared" ca="1" si="9"/>
        <v>272</v>
      </c>
      <c r="AF17" s="732">
        <f ca="1">IFERROR(INDEX(Reit!I$7:I$134,MATCH(AG17,Reit!F$7:F$134,0)),"")</f>
        <v>38</v>
      </c>
      <c r="AG17" s="733" t="str">
        <f t="shared" si="1"/>
        <v>Airi Veski</v>
      </c>
      <c r="AH17" s="732" t="str">
        <f>IFERROR(INDEX(Reit!I$7:RI$134,MATCH(AI17,Reit!F$7:F$134,0)),"")</f>
        <v/>
      </c>
      <c r="AI17" s="733" t="str">
        <f t="shared" si="2"/>
        <v>Andres Veski, Svetlana Veski</v>
      </c>
      <c r="AJ17" s="732">
        <f ca="1">IFERROR(INDEX(Reit!I$7:I$134,MATCH(AK17,Reit!F$7:F$134,0)),"")</f>
        <v>133</v>
      </c>
      <c r="AK17" s="733" t="str">
        <f t="shared" si="3"/>
        <v>Andres Veski</v>
      </c>
      <c r="AL17" s="732">
        <f ca="1">IFERROR(INDEX(Reit!I$7:I$134,MATCH(AM17,Reit!F$7:F$134,0)),"")</f>
        <v>101</v>
      </c>
      <c r="AM17" s="733" t="str">
        <f t="shared" si="4"/>
        <v>Svetlana Veski</v>
      </c>
      <c r="AN17" s="573"/>
    </row>
    <row r="18" spans="1:40" x14ac:dyDescent="0.2">
      <c r="A18" s="634">
        <v>11</v>
      </c>
      <c r="B18" s="635" t="s">
        <v>507</v>
      </c>
      <c r="C18" s="613">
        <v>4</v>
      </c>
      <c r="D18" s="614" t="s">
        <v>288</v>
      </c>
      <c r="E18" s="614">
        <v>13</v>
      </c>
      <c r="F18" s="636" t="s">
        <v>505</v>
      </c>
      <c r="G18" s="613">
        <v>13</v>
      </c>
      <c r="H18" s="614" t="s">
        <v>288</v>
      </c>
      <c r="I18" s="614">
        <v>7</v>
      </c>
      <c r="J18" s="636" t="s">
        <v>291</v>
      </c>
      <c r="K18" s="613">
        <v>12</v>
      </c>
      <c r="L18" s="614" t="s">
        <v>288</v>
      </c>
      <c r="M18" s="614">
        <v>13</v>
      </c>
      <c r="N18" s="636" t="s">
        <v>479</v>
      </c>
      <c r="O18" s="613">
        <v>7</v>
      </c>
      <c r="P18" s="614" t="s">
        <v>288</v>
      </c>
      <c r="Q18" s="614">
        <v>13</v>
      </c>
      <c r="R18" s="636" t="s">
        <v>459</v>
      </c>
      <c r="S18" s="613"/>
      <c r="T18" s="614" t="s">
        <v>288</v>
      </c>
      <c r="U18" s="614"/>
      <c r="V18" s="636"/>
      <c r="W18" s="637">
        <f t="shared" si="5"/>
        <v>1</v>
      </c>
      <c r="X18" s="612">
        <v>10</v>
      </c>
      <c r="Y18" s="612">
        <v>44</v>
      </c>
      <c r="Z18" s="613">
        <f t="shared" si="6"/>
        <v>36</v>
      </c>
      <c r="AA18" s="614" t="s">
        <v>288</v>
      </c>
      <c r="AB18" s="615">
        <f t="shared" si="7"/>
        <v>46</v>
      </c>
      <c r="AC18" s="616">
        <f t="shared" si="8"/>
        <v>-10</v>
      </c>
      <c r="AD18" s="617"/>
      <c r="AE18" s="731">
        <f t="shared" ca="1" si="9"/>
        <v>36</v>
      </c>
      <c r="AF18" s="732">
        <f ca="1">IFERROR(INDEX(Reit!I$7:I$134,MATCH(AG18,Reit!F$7:F$134,0)),"")</f>
        <v>12</v>
      </c>
      <c r="AG18" s="733" t="str">
        <f t="shared" si="1"/>
        <v>Heiki Jõesalu</v>
      </c>
      <c r="AH18" s="732" t="str">
        <f>IFERROR(INDEX(Reit!I$7:RI$134,MATCH(AI18,Reit!F$7:F$134,0)),"")</f>
        <v/>
      </c>
      <c r="AI18" s="733" t="str">
        <f t="shared" si="2"/>
        <v>Helle Siidla, Rando Pajuste</v>
      </c>
      <c r="AJ18" s="732">
        <f ca="1">IFERROR(INDEX(Reit!I$7:I$134,MATCH(AK18,Reit!F$7:F$134,0)),"")</f>
        <v>12</v>
      </c>
      <c r="AK18" s="733" t="str">
        <f t="shared" si="3"/>
        <v>Helle Siidla</v>
      </c>
      <c r="AL18" s="732">
        <f ca="1">IFERROR(INDEX(Reit!I$7:I$134,MATCH(AM18,Reit!F$7:F$134,0)),"")</f>
        <v>12</v>
      </c>
      <c r="AM18" s="733" t="str">
        <f t="shared" si="4"/>
        <v>Rando Pajuste</v>
      </c>
      <c r="AN18" s="573"/>
    </row>
    <row r="19" spans="1:40"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10" si="10">IFERROR(INDEX(B$1:B$85,MATCH(A300,A$1:A$85,0)),"")</f>
        <v>Andrei Grintšak, Ljudmila Varendi, Viktor Švarõgin</v>
      </c>
      <c r="C300" s="629">
        <v>40</v>
      </c>
    </row>
    <row r="301" spans="1:40" x14ac:dyDescent="0.2">
      <c r="A301" s="627">
        <v>2</v>
      </c>
      <c r="B301" s="628" t="str">
        <f t="shared" si="10"/>
        <v>Ivar Viljaste, Kenneth Muusikus, Veroonika Saar</v>
      </c>
      <c r="C301" s="629">
        <v>34</v>
      </c>
    </row>
    <row r="302" spans="1:40" x14ac:dyDescent="0.2">
      <c r="A302" s="627">
        <v>3</v>
      </c>
      <c r="B302" s="628" t="str">
        <f t="shared" si="10"/>
        <v>Olav Türk, Sirje Maala, Urmas Jõeäär</v>
      </c>
      <c r="C302" s="629">
        <v>30</v>
      </c>
    </row>
    <row r="303" spans="1:40" x14ac:dyDescent="0.2">
      <c r="A303" s="627">
        <v>4</v>
      </c>
      <c r="B303" s="628" t="str">
        <f t="shared" si="10"/>
        <v>Kadri Veljend, Ruudi Väärtnõu, Silver Kingissepp</v>
      </c>
      <c r="C303" s="629">
        <v>26</v>
      </c>
    </row>
    <row r="304" spans="1:40" x14ac:dyDescent="0.2">
      <c r="A304" s="627">
        <v>5</v>
      </c>
      <c r="B304" s="628" t="str">
        <f t="shared" si="10"/>
        <v>Enn Tokman, Jaan Saar, Urmas Randlaine</v>
      </c>
      <c r="C304" s="629">
        <v>24</v>
      </c>
    </row>
    <row r="305" spans="1:3" x14ac:dyDescent="0.2">
      <c r="A305" s="627">
        <v>6</v>
      </c>
      <c r="B305" s="628" t="str">
        <f t="shared" si="10"/>
        <v>Margo Peebo, Margus Limberg, Marko Ode</v>
      </c>
      <c r="C305" s="629">
        <v>22</v>
      </c>
    </row>
    <row r="306" spans="1:3" x14ac:dyDescent="0.2">
      <c r="A306" s="627">
        <v>7</v>
      </c>
      <c r="B306" s="628" t="str">
        <f t="shared" si="10"/>
        <v>Jaanus Tiiter, Kalev Lillepea, Ulvi Järvik</v>
      </c>
      <c r="C306" s="629">
        <v>20</v>
      </c>
    </row>
    <row r="307" spans="1:3" x14ac:dyDescent="0.2">
      <c r="A307" s="627">
        <v>8</v>
      </c>
      <c r="B307" s="628" t="str">
        <f t="shared" si="10"/>
        <v>Ain Tamme, Anneli Suits, Enn Lehtpuu</v>
      </c>
      <c r="C307" s="629">
        <v>18</v>
      </c>
    </row>
    <row r="308" spans="1:3" x14ac:dyDescent="0.2">
      <c r="A308" s="627">
        <v>9</v>
      </c>
      <c r="B308" s="628" t="str">
        <f t="shared" si="10"/>
        <v>Jaan Sepp, Oskar Sepp, Sander Rose</v>
      </c>
      <c r="C308" s="629">
        <v>16</v>
      </c>
    </row>
    <row r="309" spans="1:3" x14ac:dyDescent="0.2">
      <c r="A309" s="627">
        <v>10</v>
      </c>
      <c r="B309" s="628" t="str">
        <f t="shared" si="10"/>
        <v>Airi Veski, Andres Veski, Svetlana Veski</v>
      </c>
      <c r="C309" s="616">
        <v>14</v>
      </c>
    </row>
    <row r="310" spans="1:3" x14ac:dyDescent="0.2">
      <c r="A310" s="627">
        <v>11</v>
      </c>
      <c r="B310" s="628" t="str">
        <f t="shared" si="10"/>
        <v>Heiki Jõesalu, Helle Siidla, Rando Pajuste</v>
      </c>
      <c r="C310" s="616">
        <v>12</v>
      </c>
    </row>
    <row r="311" spans="1:3" x14ac:dyDescent="0.2">
      <c r="C311" s="734"/>
    </row>
    <row r="312" spans="1:3" x14ac:dyDescent="0.2">
      <c r="C312" s="734"/>
    </row>
    <row r="313" spans="1:3" x14ac:dyDescent="0.2">
      <c r="C313" s="734"/>
    </row>
  </sheetData>
  <conditionalFormatting sqref="C8:C18">
    <cfRule type="expression" dxfId="1857" priority="18">
      <formula>IF($C8&gt;$E8,TRUE)</formula>
    </cfRule>
  </conditionalFormatting>
  <conditionalFormatting sqref="E8:E18">
    <cfRule type="expression" dxfId="1856" priority="19">
      <formula>IF($C8&lt;$E8,TRUE)</formula>
    </cfRule>
  </conditionalFormatting>
  <conditionalFormatting sqref="K8:K18">
    <cfRule type="expression" dxfId="1855" priority="26">
      <formula>IF($K8&gt;$M8,TRUE)</formula>
    </cfRule>
  </conditionalFormatting>
  <conditionalFormatting sqref="M8:M18">
    <cfRule type="expression" dxfId="1854" priority="27">
      <formula>IF($K8&lt;$M8,TRUE)</formula>
    </cfRule>
  </conditionalFormatting>
  <conditionalFormatting sqref="O8:O18">
    <cfRule type="expression" dxfId="1853" priority="30">
      <formula>IF($O8&gt;$Q8,TRUE)</formula>
    </cfRule>
  </conditionalFormatting>
  <conditionalFormatting sqref="Q8:Q18">
    <cfRule type="expression" dxfId="1852" priority="31">
      <formula>IF($O8&lt;$Q8,TRUE)</formula>
    </cfRule>
  </conditionalFormatting>
  <conditionalFormatting sqref="S8:S18">
    <cfRule type="expression" dxfId="1851" priority="34">
      <formula>IF($S8&gt;$U8,TRUE)</formula>
    </cfRule>
  </conditionalFormatting>
  <conditionalFormatting sqref="U8:U18">
    <cfRule type="expression" dxfId="1850" priority="35">
      <formula>IF($S8&lt;$U8,TRUE)</formula>
    </cfRule>
  </conditionalFormatting>
  <conditionalFormatting sqref="G8:G18">
    <cfRule type="expression" dxfId="1849" priority="22">
      <formula>IF($G8&gt;$I8,TRUE)</formula>
    </cfRule>
  </conditionalFormatting>
  <conditionalFormatting sqref="I8:I18">
    <cfRule type="expression" dxfId="1848" priority="23">
      <formula>IF($G8&lt;$I8,TRUE)</formula>
    </cfRule>
  </conditionalFormatting>
  <conditionalFormatting sqref="F8:F18">
    <cfRule type="containsText" dxfId="1847" priority="9" operator="containsText" text="vaba voor">
      <formula>NOT(ISERROR(SEARCH("vaba voor",F8)))</formula>
    </cfRule>
  </conditionalFormatting>
  <conditionalFormatting sqref="N8:N18">
    <cfRule type="containsText" dxfId="1846" priority="7" operator="containsText" text="vaba voor">
      <formula>NOT(ISERROR(SEARCH("vaba voor",N8)))</formula>
    </cfRule>
  </conditionalFormatting>
  <conditionalFormatting sqref="R8:R18">
    <cfRule type="containsText" dxfId="1845" priority="10" operator="containsText" text="vaba voor">
      <formula>NOT(ISERROR(SEARCH("vaba voor",R8)))</formula>
    </cfRule>
  </conditionalFormatting>
  <conditionalFormatting sqref="V8:V18">
    <cfRule type="containsText" dxfId="1844" priority="6" operator="containsText" text="vaba voor">
      <formula>NOT(ISERROR(SEARCH("vaba voor",V8)))</formula>
    </cfRule>
  </conditionalFormatting>
  <conditionalFormatting sqref="J8:J18">
    <cfRule type="containsText" dxfId="1843" priority="8" operator="containsText" text="vaba voor">
      <formula>NOT(ISERROR(SEARCH("vaba voor",J8)))</formula>
    </cfRule>
  </conditionalFormatting>
  <conditionalFormatting sqref="C8:F18">
    <cfRule type="expression" dxfId="1842" priority="14">
      <formula>IF(AND(ISNUMBER($C8),$C8=$E8),TRUE)</formula>
    </cfRule>
    <cfRule type="expression" dxfId="1841" priority="16">
      <formula>IF($C8&gt;$E8,TRUE)</formula>
    </cfRule>
    <cfRule type="expression" dxfId="1840" priority="17">
      <formula>IF($C8&lt;$E8,TRUE)</formula>
    </cfRule>
  </conditionalFormatting>
  <conditionalFormatting sqref="G8:J18">
    <cfRule type="expression" dxfId="1839" priority="15">
      <formula>IF(AND(ISNUMBER($G8),$G8=$I8),TRUE)</formula>
    </cfRule>
    <cfRule type="expression" dxfId="1838" priority="20">
      <formula>IF($G8&gt;$I8,TRUE)</formula>
    </cfRule>
    <cfRule type="expression" dxfId="1837" priority="21">
      <formula>IF($G8&lt;$I8,TRUE)</formula>
    </cfRule>
  </conditionalFormatting>
  <conditionalFormatting sqref="K8:N18">
    <cfRule type="expression" dxfId="1836" priority="13">
      <formula>IF(AND(ISNUMBER($K8),$K8=$M8),TRUE)</formula>
    </cfRule>
    <cfRule type="expression" dxfId="1835" priority="24">
      <formula>IF($K8&gt;$M8,TRUE)</formula>
    </cfRule>
    <cfRule type="expression" dxfId="1834" priority="25">
      <formula>IF($K8&lt;$M8,TRUE)</formula>
    </cfRule>
  </conditionalFormatting>
  <conditionalFormatting sqref="O8:R18">
    <cfRule type="expression" dxfId="1833" priority="12">
      <formula>IF(AND(ISNUMBER($O8),$O8=$Q8),TRUE)</formula>
    </cfRule>
    <cfRule type="expression" dxfId="1832" priority="28">
      <formula>IF($O8&gt;$Q8,TRUE)</formula>
    </cfRule>
    <cfRule type="expression" dxfId="1831" priority="29">
      <formula>IF($O8&lt;$Q8,TRUE)</formula>
    </cfRule>
  </conditionalFormatting>
  <conditionalFormatting sqref="S8:V18">
    <cfRule type="expression" dxfId="1830" priority="11">
      <formula>IF(AND(ISNUMBER($S8),$S8=$U8),TRUE)</formula>
    </cfRule>
    <cfRule type="expression" dxfId="1829" priority="32">
      <formula>IF($S8&gt;$U8,TRUE)</formula>
    </cfRule>
    <cfRule type="expression" dxfId="1828" priority="33">
      <formula>IF($S8&lt;$U8,TRUE)</formula>
    </cfRule>
  </conditionalFormatting>
  <conditionalFormatting sqref="C8:C18 G8:G18 K8:K18 O8:O18 S8:S18">
    <cfRule type="expression" dxfId="1827" priority="4">
      <formula>AND(C8=0,E8=13)</formula>
    </cfRule>
  </conditionalFormatting>
  <conditionalFormatting sqref="E8:E18 I8:I18 M8:M18 Q8:Q18 U8:U18">
    <cfRule type="expression" dxfId="1826" priority="5">
      <formula>AND(E8=0,C8=13)</formula>
    </cfRule>
  </conditionalFormatting>
  <conditionalFormatting sqref="AG8:AG18 AK8:AK18 AM8:AM18">
    <cfRule type="expression" dxfId="1825" priority="1">
      <formula>AND(AF8="",COUNTIF(AG8,"*,*")=0)</formula>
    </cfRule>
  </conditionalFormatting>
  <conditionalFormatting sqref="AI8:AI18">
    <cfRule type="expression" dxfId="1824" priority="2">
      <formula>AND(AH8="",FIND(",",AI8))</formula>
    </cfRule>
    <cfRule type="expression" dxfId="1823" priority="3">
      <formula>AND(AH8="",COUNTIF(AI8,"*,*")=0)</formula>
    </cfRule>
  </conditionalFormatting>
  <conditionalFormatting sqref="A300:A310">
    <cfRule type="duplicateValues" dxfId="1822" priority="36"/>
  </conditionalFormatting>
  <conditionalFormatting sqref="A8:A18">
    <cfRule type="duplicateValues" dxfId="1821" priority="37"/>
  </conditionalFormatting>
  <conditionalFormatting sqref="B300:B310">
    <cfRule type="expression" dxfId="1820" priority="38">
      <formula>A300=3</formula>
    </cfRule>
    <cfRule type="expression" dxfId="1819" priority="39">
      <formula>A300=2</formula>
    </cfRule>
    <cfRule type="expression" dxfId="1818" priority="40">
      <formula>A300=1</formula>
    </cfRule>
    <cfRule type="containsBlanks" dxfId="1817" priority="41">
      <formula>LEN(TRIM(B300))=0</formula>
    </cfRule>
    <cfRule type="duplicateValues" dxfId="1816" priority="42"/>
  </conditionalFormatting>
  <pageMargins left="0.27559055118110237" right="0.27559055118110237" top="0.78740157480314965" bottom="0.39370078740157483" header="0.59055118110236227" footer="0"/>
  <pageSetup paperSize="9" fitToHeight="0" orientation="landscape" r:id="rId1"/>
  <headerFooter>
    <oddHeader>&amp;R&amp;9Page &amp;P of &amp;N</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L309"/>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46" style="581" bestFit="1" customWidth="1"/>
    <col min="3" max="10" width="6.7109375" style="581" customWidth="1"/>
    <col min="11" max="12" width="4.7109375" style="581" hidden="1" customWidth="1"/>
    <col min="13" max="13" width="5" style="581" hidden="1" customWidth="1"/>
    <col min="14" max="14" width="5.5703125" style="581" bestFit="1" customWidth="1"/>
    <col min="15" max="15" width="5.5703125" style="581" hidden="1" customWidth="1"/>
    <col min="16" max="16" width="4.7109375" style="581" hidden="1" customWidth="1"/>
    <col min="17" max="17" width="5.28515625" style="581" hidden="1" customWidth="1"/>
    <col min="18" max="18" width="2.28515625" style="581" hidden="1" customWidth="1"/>
    <col min="19" max="19" width="7" style="581" hidden="1" customWidth="1"/>
    <col min="20" max="20" width="11.5703125" style="581" hidden="1" customWidth="1"/>
    <col min="21" max="21" width="5.28515625" style="581" hidden="1" customWidth="1"/>
    <col min="22" max="22" width="9.140625" style="581"/>
    <col min="23" max="28" width="0" style="581" hidden="1" customWidth="1"/>
    <col min="29" max="29" width="9.140625" style="581"/>
    <col min="30" max="31" width="9.140625" style="581" hidden="1" customWidth="1"/>
    <col min="32" max="32" width="14.85546875" style="581" hidden="1" customWidth="1"/>
    <col min="33" max="33" width="9.140625" style="581" hidden="1" customWidth="1"/>
    <col min="34" max="34" width="18.7109375" style="581" hidden="1" customWidth="1"/>
    <col min="35" max="35" width="9.140625" style="581" hidden="1" customWidth="1"/>
    <col min="36" max="36" width="17.28515625" style="581" hidden="1" customWidth="1"/>
    <col min="37" max="37" width="9.140625" style="581" hidden="1" customWidth="1"/>
    <col min="38" max="38" width="13.85546875" style="581" hidden="1" customWidth="1"/>
    <col min="39" max="39" width="13.85546875" style="581" customWidth="1"/>
    <col min="40" max="40" width="9.140625" style="581" customWidth="1"/>
    <col min="41" max="16384" width="9.140625" style="581"/>
  </cols>
  <sheetData>
    <row r="1" spans="1:38" x14ac:dyDescent="0.2">
      <c r="A1" s="572" t="str">
        <f>UPPER((Kalend!E12)&amp;" - "&amp;(Kalend!C12)&amp;" - "&amp;(Kalend!D12))</f>
        <v>4 - K-JÄRVE 23. MV - DUO</v>
      </c>
      <c r="G1" s="577"/>
      <c r="K1" s="647"/>
      <c r="L1" s="1262"/>
      <c r="M1" s="647"/>
      <c r="O1" s="647"/>
      <c r="P1" s="647"/>
      <c r="Q1" s="1178" t="s">
        <v>53</v>
      </c>
      <c r="R1" s="647"/>
      <c r="S1" s="647"/>
      <c r="T1" s="647"/>
      <c r="U1" s="647"/>
      <c r="AD1" s="582" t="s">
        <v>53</v>
      </c>
      <c r="AE1" s="1263"/>
      <c r="AF1" s="1263"/>
      <c r="AG1" s="1263"/>
      <c r="AH1" s="1263"/>
      <c r="AI1" s="1263"/>
      <c r="AJ1" s="1263"/>
      <c r="AK1" s="1263"/>
      <c r="AL1" s="1263"/>
    </row>
    <row r="2" spans="1:38" x14ac:dyDescent="0.2">
      <c r="A2" s="583" t="str">
        <f>"Toimumisaeg: "&amp;(Kalend!A12)&amp;" kell "&amp;(Kalend!B12)</f>
        <v>Toimumisaeg: P, 12.06.2022 kell 11:00</v>
      </c>
      <c r="AD2" s="583"/>
      <c r="AE2" s="583"/>
      <c r="AF2" s="583"/>
      <c r="AG2" s="583"/>
      <c r="AH2" s="583"/>
      <c r="AI2" s="1264"/>
      <c r="AJ2" s="583"/>
      <c r="AK2" s="583"/>
      <c r="AL2" s="583"/>
    </row>
    <row r="3" spans="1:38" x14ac:dyDescent="0.2">
      <c r="A3" s="583" t="str">
        <f>"Toimumiskoht: "&amp;(Kalend!F12)</f>
        <v>Toimumiskoht: K-Järve spordihoone</v>
      </c>
      <c r="AD3" s="591" t="s">
        <v>273</v>
      </c>
      <c r="AF3" s="583"/>
      <c r="AG3" s="583"/>
      <c r="AH3" s="583"/>
      <c r="AI3" s="583"/>
      <c r="AJ3" s="583"/>
      <c r="AK3" s="583"/>
      <c r="AL3" s="583"/>
    </row>
    <row r="4" spans="1:38" x14ac:dyDescent="0.2">
      <c r="A4" s="583" t="str">
        <f>"Korraldaja: "&amp;(Kalend!G12)</f>
        <v>Korraldaja: Ivar Viljaste</v>
      </c>
      <c r="AD4" s="723" t="s">
        <v>14</v>
      </c>
      <c r="AE4" s="724"/>
      <c r="AF4" s="725"/>
      <c r="AG4" s="724"/>
      <c r="AH4" s="726"/>
      <c r="AI4" s="724"/>
      <c r="AJ4" s="724"/>
      <c r="AK4" s="724"/>
      <c r="AL4" s="724"/>
    </row>
    <row r="5" spans="1:38" x14ac:dyDescent="0.2">
      <c r="AD5" s="723" t="s">
        <v>275</v>
      </c>
      <c r="AE5" s="727"/>
      <c r="AF5" s="727" t="s">
        <v>276</v>
      </c>
      <c r="AG5" s="727"/>
      <c r="AH5" s="728" t="s">
        <v>277</v>
      </c>
      <c r="AI5" s="727"/>
      <c r="AJ5" s="727" t="s">
        <v>278</v>
      </c>
      <c r="AK5" s="618"/>
      <c r="AL5" s="727" t="s">
        <v>279</v>
      </c>
    </row>
    <row r="6" spans="1:38" hidden="1" x14ac:dyDescent="0.2">
      <c r="A6" s="1265" t="s">
        <v>245</v>
      </c>
      <c r="B6" s="1266"/>
      <c r="C6" s="1267">
        <v>1</v>
      </c>
      <c r="D6" s="1267">
        <v>2</v>
      </c>
      <c r="E6" s="1267">
        <v>3</v>
      </c>
      <c r="F6" s="1267">
        <v>4</v>
      </c>
      <c r="G6" s="1267">
        <v>5</v>
      </c>
      <c r="H6" s="1267" t="s">
        <v>313</v>
      </c>
      <c r="I6" s="1268" t="s">
        <v>296</v>
      </c>
      <c r="J6" s="1269" t="s">
        <v>314</v>
      </c>
      <c r="K6" s="1270" t="s">
        <v>315</v>
      </c>
      <c r="L6" s="1271" t="s">
        <v>316</v>
      </c>
      <c r="M6" s="1271" t="s">
        <v>317</v>
      </c>
      <c r="N6" s="604" t="s">
        <v>344</v>
      </c>
      <c r="O6" s="604" t="s">
        <v>344</v>
      </c>
      <c r="P6" s="1272" t="s">
        <v>318</v>
      </c>
      <c r="Q6" s="1273" t="s">
        <v>183</v>
      </c>
      <c r="R6" s="1273" t="b">
        <f>OR(AND(COUNTA(B7:B11)=3,COUNTA(C7:G11)=6),AND(COUNTA(B7:B11)=4,COUNTA(C7:G11)=12),AND(COUNTA(B7:B11)=5,COUNTA(C7:G11)=20))</f>
        <v>0</v>
      </c>
      <c r="S6" s="1273" t="s">
        <v>319</v>
      </c>
      <c r="T6" s="1274" t="s">
        <v>320</v>
      </c>
      <c r="AD6" s="723" t="s">
        <v>287</v>
      </c>
      <c r="AE6" s="724"/>
      <c r="AF6" s="725"/>
      <c r="AG6" s="724"/>
      <c r="AH6" s="725"/>
      <c r="AI6" s="729"/>
      <c r="AJ6" s="729"/>
      <c r="AK6" s="729"/>
      <c r="AL6" s="729"/>
    </row>
    <row r="7" spans="1:38" hidden="1" x14ac:dyDescent="0.2">
      <c r="A7" s="1265">
        <v>1</v>
      </c>
      <c r="B7" s="1275" t="s">
        <v>524</v>
      </c>
      <c r="C7" s="1276"/>
      <c r="D7" s="1277"/>
      <c r="E7" s="1277"/>
      <c r="F7" s="1277"/>
      <c r="G7" s="1277"/>
      <c r="H7" s="1278" t="str">
        <f>(IF(D7-C8&gt;0,1)+IF(E7-C9&gt;0,1)+IF(F7-C10&gt;0,1)+IF(G7-C11&gt;0,1))&amp;"-"&amp;(IF(D7-C8&lt;0,1)+IF(E7-C9&lt;0,1)+IF(F7-C10&lt;0,1)+IF(G7-C11&lt;0,1))</f>
        <v>0-0</v>
      </c>
      <c r="I7" s="1277" t="str">
        <f>IF(AND(B7&lt;&gt;"",R$6=TRUE),A$6&amp;RANK(S7,S$7:S$11,0)," ")</f>
        <v xml:space="preserve"> </v>
      </c>
      <c r="J7" s="1279">
        <f>IF(AND(Q7=1,Q8=1,D7&gt;C8),1)+IF(AND(Q7=1,Q9=1,E7&gt;C9),1)+IF(AND(Q7=1,Q10=1,F7&gt;C10),1)+IF(AND(Q7=1,Q11=1,G7&gt;C11),1)+IF(AND(Q7=2,Q8=2,D7&gt;C8),1)+IF(AND(Q7=2,Q9=2,E7&gt;C9),1)+IF(AND(Q7=2,Q10=2,F7&gt;C10),1)+IF(AND(Q7=2,Q11=2,G7&gt;C11),1)+IF(AND(Q7=3,Q8=3,D7&gt;C8),1)+IF(AND(Q7=3,Q9=3,E7&gt;C9),1)+IF(AND(Q7=3,Q10=3,F7&gt;C10),1)+IF(AND(Q7=3,Q11=3,G7&gt;C11),1)</f>
        <v>0</v>
      </c>
      <c r="K7" s="1280">
        <f>SUM(AND(T7=T8,D7&gt;C8),AND(T7=T9,E7&gt;C9),AND(T7=T10,F7&gt;C10),AND(T7=T11,G7&gt;C11))</f>
        <v>0</v>
      </c>
      <c r="L7" s="1281">
        <f>IF(AND(Q7=1,Q8=1),D7-C8)+IF(AND(Q7=1,Q9=1),E7-C9)+IF(AND(Q7=1,Q10=1),F7-C10)+IF(AND(Q7=1,Q11=1),G7-C11)+IF(AND(Q7=2,Q8=2),D7-C8)+IF(AND(Q7=2,Q9=2),E7-C9)+IF(AND(Q7=2,Q10=2),F7-C10)+IF(AND(Q7=2,Q11=2),G7-C11)+IF(AND(Q7=3,Q8=3),D7-C8)+IF(AND(Q7=3,Q9=3),E7-C9)+IF(AND(Q7=3,Q10=3),F7-C10)+IF(AND(Q7=3,Q11=3),G7-C11)+IF(AND(Q7=4,Q8=4),D7-C8)+IF(AND(Q7=4,Q9=4),E7-C9)+IF(AND(Q7=4,Q10=4),F7-C10)+IF(AND(Q7=4,Q11=4),G7-C11)</f>
        <v>0</v>
      </c>
      <c r="M7" s="1282">
        <f>SUM(AND(R7=R8,D7&gt;C8),AND(R7=R9,E7&gt;C9),AND(R7=R10,F7&gt;C10),AND(R7=R11,G7&gt;C11))</f>
        <v>0</v>
      </c>
      <c r="N7" s="1283" t="str">
        <f>SUM(C7:G7)&amp;"-"&amp;SUM(C7:C11)</f>
        <v>0-0</v>
      </c>
      <c r="O7" s="1284">
        <f>D7+E7+F7+G7-C8-C9-C10-C11</f>
        <v>0</v>
      </c>
      <c r="P7" s="1220" t="e">
        <f>SUM(C7:G7,C7:C11)/SUM(C7:C11)</f>
        <v>#DIV/0!</v>
      </c>
      <c r="Q7" s="1285">
        <f>VALUE(LEFT(H7,1))</f>
        <v>0</v>
      </c>
      <c r="R7" s="1285">
        <f>Q7*100000+J7*10000+K7*1000+100*L7</f>
        <v>0</v>
      </c>
      <c r="S7" s="1286">
        <f>R7+M7*0.1+IF(ISNONTEXT(B7),0,0.01)+0.0001*O7</f>
        <v>0.01</v>
      </c>
      <c r="T7" s="1287" t="str">
        <f>Q7&amp;J7</f>
        <v>00</v>
      </c>
      <c r="U7" s="1288"/>
      <c r="AD7" s="731">
        <f t="shared" ref="AD7" ca="1" si="0">SUM(AE7:AL7)</f>
        <v>484</v>
      </c>
      <c r="AE7" s="732">
        <f ca="1">IFERROR(INDEX(Reit!I$8:I$115,MATCH(AF7,Reit!F$8:F$115,0)),"")</f>
        <v>228</v>
      </c>
      <c r="AF7" s="733" t="str">
        <f t="shared" ref="AF7:AF24" si="1">IFERROR(LEFT(B7,(FIND(",",B7,1)-1)),"")</f>
        <v>Kaspar Mänd</v>
      </c>
      <c r="AG7" s="732">
        <f ca="1">IFERROR(INDEX(Reit!I$8:I$115,MATCH(AH7,Reit!F$8:F$115,0)),"")</f>
        <v>256</v>
      </c>
      <c r="AH7" s="733" t="str">
        <f t="shared" ref="AH7:AH24" si="2">IFERROR(MID(B7,FIND(", ",B7)+2,256),"")</f>
        <v>Matti Vinni</v>
      </c>
      <c r="AI7" s="732" t="str">
        <f>IFERROR(INDEX(Reit!I$8:I$115,MATCH(AJ7,Reit!F$8:F$115,0)),"")</f>
        <v/>
      </c>
      <c r="AJ7" s="733" t="str">
        <f t="shared" ref="AJ7:AJ24" si="3">IFERROR(MID(B7,FIND("^",SUBSTITUTE(B7,", ","^",1))+2,FIND("^",SUBSTITUTE(B7,", ","^",2))-FIND("^",SUBSTITUTE(B7,", ","^",1))-2),"")</f>
        <v/>
      </c>
      <c r="AK7" s="732" t="str">
        <f>IFERROR(INDEX(Reit!I$8:I$115,MATCH(AL7,Reit!F$8:F$115,0)),"")</f>
        <v/>
      </c>
      <c r="AL7" s="733" t="str">
        <f t="shared" ref="AL7:AL24" si="4">IFERROR(MID(B7,FIND(", ",B7,FIND(", ",B7,FIND(", ",B7))+1)+2,700),"")</f>
        <v/>
      </c>
    </row>
    <row r="8" spans="1:38" hidden="1" x14ac:dyDescent="0.2">
      <c r="A8" s="1265">
        <v>2</v>
      </c>
      <c r="B8" s="1289" t="s">
        <v>289</v>
      </c>
      <c r="C8" s="1277"/>
      <c r="D8" s="1276"/>
      <c r="E8" s="1277"/>
      <c r="F8" s="1277"/>
      <c r="G8" s="1277"/>
      <c r="H8" s="1278" t="str">
        <f>(IF(C8-D7&gt;0,1)+IF(E8-D9&gt;0,1)+IF(F8-D10&gt;0,1)+IF(G8-D11&gt;0,1))&amp;"-"&amp;(IF(C8-D7&lt;0,1)+IF(E8-D9&lt;0,1)+IF(F8-D10&lt;0,1)+IF(G8-D11&lt;0,1))</f>
        <v>0-0</v>
      </c>
      <c r="I8" s="1277" t="str">
        <f>IF(AND(B8&lt;&gt;"",R$6=TRUE),A$6&amp;RANK(S8,S$7:S$11,0)," ")</f>
        <v xml:space="preserve"> </v>
      </c>
      <c r="J8" s="1196">
        <f>IF(AND(Q8=1,Q7=1,C8&gt;D7),1)+IF(AND(Q8=1,Q9=1,E8&gt;D9),1)+IF(AND(Q8=1,Q10=1,F8&gt;D10),1)+IF(AND(Q8=1,Q11=1,G8&gt;D11),1)+IF(AND(Q8=2,Q7=2,C8&gt;D7),1)+IF(AND(Q8=2,Q9=2,E8&gt;D9),1)+IF(AND(Q8=2,Q10=2,F8&gt;D10),1)+IF(AND(Q8=2,Q11=2,G8&gt;D11),1)+IF(AND(Q8=3,Q7=3,C8&gt;D7),1)+IF(AND(Q8=3,Q9=3,E8&gt;D9),1)+IF(AND(Q8=3,Q10=3,F8&gt;D10),1)+IF(AND(Q8=3,Q11=3,G8&gt;D11),1)</f>
        <v>0</v>
      </c>
      <c r="K8" s="1282">
        <f>SUM(AND(T8=T7,C8&gt;D7),AND(T8=T9,E8&gt;D9),AND(T8=T10,F8&gt;D10),AND(T8=T11,G8&gt;D11))</f>
        <v>0</v>
      </c>
      <c r="L8" s="1290">
        <f>IF(AND(Q8=1,Q7=1),C8-D7)+IF(AND(Q8=1,Q9=1),E8-D9)+IF(AND(Q8=1,Q10=1),F8-D10)+IF(AND(Q8=1,Q11=1),G8-D11)+IF(AND(Q8=2,Q7=2),C8-D7)+IF(AND(Q8=2,Q9=2),E8-D9)+IF(AND(Q8=2,Q10=2),F8-D10)+IF(AND(Q8=2,Q11=2),G8-D11)+IF(AND(Q8=3,Q7=3),C8-D7)+IF(AND(Q8=3,Q9=3),E8-D9)+IF(AND(Q8=3,Q10=3),F8-D10)+IF(AND(Q8=3,Q11=3),G8-D11)+IF(AND(Q8=4,Q7=4),C8-D7)+IF(AND(Q8=4,Q9=4),E8-D9)+IF(AND(Q8=4,Q10=4),F8-D10)+IF(AND(Q8=4,Q11=4),G8-D11)</f>
        <v>0</v>
      </c>
      <c r="M8" s="1282">
        <f>SUM(AND(R8=R7,C8&gt;D7),AND(R8=R9,E8&gt;D9),AND(R8=R10,F8&gt;D10),AND(R8=R11,G8&gt;D11))</f>
        <v>0</v>
      </c>
      <c r="N8" s="1283" t="str">
        <f>SUM(C8:G8)&amp;"-"&amp;SUM(D7:D11)</f>
        <v>0-0</v>
      </c>
      <c r="O8" s="1284">
        <f>C8+E8+F8+G8-D7-D9-D10-D11</f>
        <v>0</v>
      </c>
      <c r="P8" s="1220" t="e">
        <f>SUM(C8:G8,D7:D11)/SUM(D7:D11)</f>
        <v>#DIV/0!</v>
      </c>
      <c r="Q8" s="1291">
        <f>VALUE(LEFT(H8,1))</f>
        <v>0</v>
      </c>
      <c r="R8" s="1285">
        <f>Q8*100000+J8*10000+K8*1000+100*L8</f>
        <v>0</v>
      </c>
      <c r="S8" s="1286">
        <f t="shared" ref="S8:S9" si="5">R8+M8*0.1+IF(ISNONTEXT(B8),0,0.01)+0.0001*O8</f>
        <v>0.01</v>
      </c>
      <c r="T8" s="1287" t="str">
        <f>Q8&amp;J8</f>
        <v>00</v>
      </c>
      <c r="U8" s="1288"/>
      <c r="AD8" s="731">
        <f t="shared" ref="AD8:AD24" ca="1" si="6">SUM(AE8:AL8)</f>
        <v>356</v>
      </c>
      <c r="AE8" s="732">
        <f ca="1">IFERROR(INDEX(Reit!I$8:I$115,MATCH(AF8,Reit!F$8:F$115,0)),"")</f>
        <v>124</v>
      </c>
      <c r="AF8" s="733" t="str">
        <f t="shared" si="1"/>
        <v>Andrei Grintšak</v>
      </c>
      <c r="AG8" s="732">
        <f ca="1">IFERROR(INDEX(Reit!I$8:I$115,MATCH(AH8,Reit!F$8:F$115,0)),"")</f>
        <v>232</v>
      </c>
      <c r="AH8" s="733" t="str">
        <f t="shared" si="2"/>
        <v>Oleg Rõndenkov</v>
      </c>
      <c r="AI8" s="732" t="str">
        <f>IFERROR(INDEX(Reit!I$8:I$115,MATCH(AJ8,Reit!F$8:F$115,0)),"")</f>
        <v/>
      </c>
      <c r="AJ8" s="733" t="str">
        <f t="shared" si="3"/>
        <v/>
      </c>
      <c r="AK8" s="732" t="str">
        <f>IFERROR(INDEX(Reit!I$8:I$115,MATCH(AL8,Reit!F$8:F$115,0)),"")</f>
        <v/>
      </c>
      <c r="AL8" s="733" t="str">
        <f t="shared" si="4"/>
        <v/>
      </c>
    </row>
    <row r="9" spans="1:38" hidden="1" x14ac:dyDescent="0.2">
      <c r="A9" s="1265">
        <v>3</v>
      </c>
      <c r="B9" s="1289" t="s">
        <v>306</v>
      </c>
      <c r="C9" s="1277"/>
      <c r="D9" s="1292"/>
      <c r="E9" s="1276"/>
      <c r="F9" s="1277"/>
      <c r="G9" s="1277"/>
      <c r="H9" s="1278" t="str">
        <f>(IF(C9-E7&gt;0,1)+IF(D9-E8&gt;0,1)+IF(F9-E10&gt;0,1)+IF(G9-E11&gt;0,1))&amp;"-"&amp;(IF(C9-E7&lt;0,1)+IF(D9-E8&lt;0,1)+IF(F9-E10&lt;0,1)+IF(G9-E11&lt;0,1))</f>
        <v>0-0</v>
      </c>
      <c r="I9" s="1277" t="str">
        <f>IF(AND(B9&lt;&gt;"",R$6=TRUE),A$6&amp;RANK(S9,S$7:S$11,0)," ")</f>
        <v xml:space="preserve"> </v>
      </c>
      <c r="J9" s="1196">
        <f>IF(AND(Q9=1,Q7=1,C9&gt;E7),1)+IF(AND(Q9=1,Q8=1,D9&gt;E8),1)+IF(AND(Q9=1,Q10=1,F9&gt;E10),1)+IF(AND(Q9=1,Q11=1,G9&gt;E11),1)+IF(AND(Q9=2,Q7=2,C9&gt;E7),1)+IF(AND(Q9=2,Q8=2,D9&gt;E8),1)+IF(AND(Q9=2,Q10=2,F9&gt;E10),1)+IF(AND(Q9=2,Q11=2,G9&gt;E11),1)+IF(AND(Q9=3,Q7=3,C9&gt;E7),1)+IF(AND(Q9=3,Q8=3,D9&gt;E8),1)+IF(AND(Q9=3,Q10=3,F9&gt;E10),1)+IF(AND(Q9=3,Q11=3,G9&gt;E11),1)</f>
        <v>0</v>
      </c>
      <c r="K9" s="1282">
        <f>SUM(AND(T9=T7,C9&gt;E7),AND(T9=T8,D9&gt;E8),AND(T9=T10,F9&gt;E10),AND(T9=T11,G9&gt;E11))</f>
        <v>0</v>
      </c>
      <c r="L9" s="1290">
        <f>IF(AND(Q9=1,Q7=1),C9-E7)+IF(AND(Q9=1,Q8=1),D9-E8)+IF(AND(Q9=1,Q10=1),F9-E10)+IF(AND(Q9=1,Q11=1),G9-E11)+IF(AND(Q9=2,Q7=2),C9-E7)+IF(AND(Q9=2,Q8=2),D9-E8)+IF(AND(Q9=2,Q10=2),F9-E10)+IF(AND(Q9=2,Q11=2),G9-E11)+IF(AND(Q9=3,Q7=3),C9-E7)+IF(AND(Q9=3,Q8=3),D9-E8)+IF(AND(Q9=3,Q10=3),F9-E10)+IF(AND(Q9=3,Q11=3),G9-E11)+IF(AND(Q9=4,Q7=4),C9-E7)+IF(AND(Q9=4,Q8=4),D9-E8)+IF(AND(Q9=4,Q10=4),F9-E10)+IF(AND(Q9=4,Q11=4),G9-E11)</f>
        <v>0</v>
      </c>
      <c r="M9" s="1282">
        <f>SUM(AND(R9=R7,C9&gt;E7),AND(R9=R8,D9&gt;E8),AND(R9=R10,F9&gt;E10),AND(R9=R11,G9&gt;E11))</f>
        <v>0</v>
      </c>
      <c r="N9" s="1283" t="str">
        <f>SUM(C9:G9)&amp;"-"&amp;SUM(E7:E11)</f>
        <v>0-0</v>
      </c>
      <c r="O9" s="1284">
        <f>C9+D9+F9+G9-E7-E8-E10-E11</f>
        <v>0</v>
      </c>
      <c r="P9" s="1220" t="e">
        <f>SUM(C9:G9,E7:E11)/SUM(E7:E11)</f>
        <v>#DIV/0!</v>
      </c>
      <c r="Q9" s="1291">
        <f>VALUE(LEFT(H9,1))</f>
        <v>0</v>
      </c>
      <c r="R9" s="1285">
        <f>Q9*100000+J9*10000+K9*1000+100*L9</f>
        <v>0</v>
      </c>
      <c r="S9" s="1286">
        <f t="shared" si="5"/>
        <v>0.01</v>
      </c>
      <c r="T9" s="1287" t="str">
        <f>Q9&amp;J9</f>
        <v>00</v>
      </c>
      <c r="U9" s="1288"/>
      <c r="AD9" s="731">
        <f t="shared" ca="1" si="6"/>
        <v>354</v>
      </c>
      <c r="AE9" s="732">
        <f ca="1">IFERROR(INDEX(Reit!I$8:I$115,MATCH(AF9,Reit!F$8:F$115,0)),"")</f>
        <v>268</v>
      </c>
      <c r="AF9" s="733" t="str">
        <f t="shared" si="1"/>
        <v>Ivar Viljaste</v>
      </c>
      <c r="AG9" s="732">
        <f ca="1">IFERROR(INDEX(Reit!I$8:I$115,MATCH(AH9,Reit!F$8:F$115,0)),"")</f>
        <v>86</v>
      </c>
      <c r="AH9" s="733" t="str">
        <f t="shared" si="2"/>
        <v>Sirje Viljaste</v>
      </c>
      <c r="AI9" s="732" t="str">
        <f>IFERROR(INDEX(Reit!I$8:I$115,MATCH(AJ9,Reit!F$8:F$115,0)),"")</f>
        <v/>
      </c>
      <c r="AJ9" s="733" t="str">
        <f t="shared" si="3"/>
        <v/>
      </c>
      <c r="AK9" s="732" t="str">
        <f>IFERROR(INDEX(Reit!I$8:I$115,MATCH(AL9,Reit!F$8:F$115,0)),"")</f>
        <v/>
      </c>
      <c r="AL9" s="733" t="str">
        <f t="shared" si="4"/>
        <v/>
      </c>
    </row>
    <row r="10" spans="1:38" hidden="1" x14ac:dyDescent="0.2">
      <c r="A10" s="1265">
        <v>4</v>
      </c>
      <c r="B10" s="1293" t="s">
        <v>525</v>
      </c>
      <c r="C10" s="1277"/>
      <c r="D10" s="1292"/>
      <c r="E10" s="1277"/>
      <c r="F10" s="1276"/>
      <c r="G10" s="1294"/>
      <c r="H10" s="1278" t="str">
        <f>(IF(C10-F7&gt;0,1)+IF(D10-F8&gt;0,1)+IF(E10-F9&gt;0,1)+IF(G10-F11&gt;0,1))&amp;"-"&amp;(IF(C10-F7&lt;0,1)+IF(D10-F8&lt;0,1)+IF(E10-F9&lt;0,1)+IF(G10-F11&lt;0,1))</f>
        <v>0-0</v>
      </c>
      <c r="I10" s="1277" t="str">
        <f>IF(AND(B10&lt;&gt;"",R$6=TRUE),A$6&amp;RANK(S10,S$7:S$11,0)," ")</f>
        <v xml:space="preserve"> </v>
      </c>
      <c r="J10" s="1196">
        <f>IF(AND(Q10=1,Q7=1,C10&gt;F7),1)+IF(AND(Q10=1,Q8=1,D10&gt;F8),1)+IF(AND(Q10=1,Q9=1,E10&gt;F9),1)+IF(AND(Q10=1,Q11=1,G10&gt;F11),1)+IF(AND(Q10=2,Q7=2,C10&gt;F7),1)+IF(AND(Q10=2,Q8=2,D10&gt;F8),1)+IF(AND(Q10=2,Q9=2,E10&gt;F9),1)+IF(AND(Q10=2,Q11=2,G10&gt;F11),1)+IF(AND(Q10=3,Q7=3,C10&gt;F7),1)+IF(AND(Q10=3,Q8=3,D10&gt;F8),1)+IF(AND(Q10=3,Q9=3,E10&gt;F9),1)+IF(AND(Q10=3,Q11=3,G10&gt;F11),1)</f>
        <v>0</v>
      </c>
      <c r="K10" s="1282">
        <f>SUM(AND(T10=T7,C10&gt;F7),AND(T10=T8,D10&gt;F8),AND(T10=T9,E10&gt;F9),AND(T10=T11,G10&gt;F11))</f>
        <v>0</v>
      </c>
      <c r="L10" s="1290">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1282">
        <f>SUM(AND(R10=R7,C10&gt;F7),AND(R10=R8,D10&gt;F8),AND(R10=R9,E10&gt;F9),AND(R10=R11,G10&gt;F11))</f>
        <v>0</v>
      </c>
      <c r="N10" s="1283" t="str">
        <f>SUM(C10:G10)&amp;"-"&amp;SUM(F7:F11)</f>
        <v>0-0</v>
      </c>
      <c r="O10" s="1284">
        <f>C10+D10+E10+G10-F7-F8-F9-F11</f>
        <v>0</v>
      </c>
      <c r="P10" s="1220" t="e">
        <f>SUM(C10:G10,F7:F11)/SUM(F7:F11)</f>
        <v>#DIV/0!</v>
      </c>
      <c r="Q10" s="1291">
        <f>VALUE(LEFT(H10,1))</f>
        <v>0</v>
      </c>
      <c r="R10" s="1285">
        <f>Q10*100000+J10*10000+K10*1000+100*L10</f>
        <v>0</v>
      </c>
      <c r="S10" s="1286">
        <f>R10+M10*0.1+IF(ISNONTEXT(B10),0,0.01)+0.0001*O10</f>
        <v>0.01</v>
      </c>
      <c r="T10" s="1287" t="str">
        <f>Q10&amp;J10</f>
        <v>00</v>
      </c>
      <c r="AD10" s="731">
        <f t="shared" ca="1" si="6"/>
        <v>252</v>
      </c>
      <c r="AE10" s="732">
        <f ca="1">IFERROR(INDEX(Reit!I$8:I$115,MATCH(AF10,Reit!F$8:F$115,0)),"")</f>
        <v>108</v>
      </c>
      <c r="AF10" s="733" t="str">
        <f t="shared" si="1"/>
        <v>Kristel Tihhonjuk</v>
      </c>
      <c r="AG10" s="732">
        <f ca="1">IFERROR(INDEX(Reit!I$8:I$115,MATCH(AH10,Reit!F$8:F$115,0)),"")</f>
        <v>144</v>
      </c>
      <c r="AH10" s="733" t="str">
        <f t="shared" si="2"/>
        <v>Vadim Tihhonjuk</v>
      </c>
      <c r="AI10" s="732" t="str">
        <f>IFERROR(INDEX(Reit!I$8:I$115,MATCH(AJ10,Reit!F$8:F$115,0)),"")</f>
        <v/>
      </c>
      <c r="AJ10" s="733" t="str">
        <f t="shared" si="3"/>
        <v/>
      </c>
      <c r="AK10" s="732" t="str">
        <f>IFERROR(INDEX(Reit!I$8:I$115,MATCH(AL10,Reit!F$8:F$115,0)),"")</f>
        <v/>
      </c>
      <c r="AL10" s="733" t="str">
        <f t="shared" si="4"/>
        <v/>
      </c>
    </row>
    <row r="11" spans="1:38" hidden="1" x14ac:dyDescent="0.2">
      <c r="A11" s="1265">
        <v>5</v>
      </c>
      <c r="B11" s="1293" t="s">
        <v>290</v>
      </c>
      <c r="C11" s="1277"/>
      <c r="D11" s="1277"/>
      <c r="E11" s="1277"/>
      <c r="F11" s="1277"/>
      <c r="G11" s="1276"/>
      <c r="H11" s="1278" t="str">
        <f>(IF(C11-G7&gt;0,1)+IF(D11-G8&gt;0,1)+IF(E11-G9&gt;0,1)+IF(F11-G10&gt;0,1))&amp;"-"&amp;(IF(C11-G7&lt;0,1)+IF(D11-G8&lt;0,1)+IF(E11-G9&lt;0,1)+IF(F11-G10&lt;0,1))</f>
        <v>0-0</v>
      </c>
      <c r="I11" s="1277" t="str">
        <f>IF(AND(B11&lt;&gt;"",R$6=TRUE),A$6&amp;RANK(S11,S$7:S$11,0)," ")</f>
        <v xml:space="preserve"> </v>
      </c>
      <c r="J11" s="1196">
        <f>IF(AND(Q11=1,Q7=1,C11&gt;G7),1)+IF(AND(Q11=1,Q8=1,D11&gt;G8),1)+IF(AND(Q11=1,Q9=1,E11&gt;G9),1)+IF(AND(Q11=1,Q10=1,F11&gt;G10),1)+IF(AND(Q11=2,Q7=2,C11&gt;G7),1)+IF(AND(Q11=2,Q8=2,D11&gt;G8),1)+IF(AND(Q11=2,Q9=2,E11&gt;G9),1)+IF(AND(Q11=2,Q10=2,F11&gt;G10),1)+IF(AND(Q11=3,Q7=3,C11&gt;G7),1)+IF(AND(Q11=3,Q8=3,D11&gt;G8),1)+IF(AND(Q11=3,Q9=3,E11&gt;G9),1)+IF(AND(Q11=3,Q10=3,F11&gt;G10),1)</f>
        <v>0</v>
      </c>
      <c r="K11" s="1282">
        <f>SUM(AND(T11=T7,C11&gt;G7),AND(T11=T8,D11&gt;G8),AND(T11=T9,E11&gt;G9),AND(T11=T10,F11&gt;G10))</f>
        <v>0</v>
      </c>
      <c r="L11" s="1290">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1282">
        <f>SUM(AND(R11=R7,C11&gt;G7),AND(R11=R8,D11&gt;G8),AND(R11=R9,E11&gt;G9),AND(R11=R10,F11&gt;G10))</f>
        <v>0</v>
      </c>
      <c r="N11" s="1283" t="str">
        <f>SUM(C11:G11)&amp;"-"&amp;SUM(G7:G11)</f>
        <v>0-0</v>
      </c>
      <c r="O11" s="1284">
        <f>C11+D11+E11+F11-G7-G8-G9-G10</f>
        <v>0</v>
      </c>
      <c r="P11" s="1220" t="e">
        <f>SUM(C11:G11,G7:G11)/SUM(G7:G11)</f>
        <v>#DIV/0!</v>
      </c>
      <c r="Q11" s="1291">
        <f>VALUE(LEFT(H11,1))</f>
        <v>0</v>
      </c>
      <c r="R11" s="1285">
        <f>Q11*100000+J11*10000+K11*1000+100*L11</f>
        <v>0</v>
      </c>
      <c r="S11" s="1286">
        <f>R11+M11*0.1+IF(ISNONTEXT(B11),0,0.01)+0.0001*O11</f>
        <v>0.01</v>
      </c>
      <c r="T11" s="1287" t="str">
        <f>Q11&amp;J11</f>
        <v>00</v>
      </c>
      <c r="AD11" s="731">
        <f t="shared" ca="1" si="6"/>
        <v>171</v>
      </c>
      <c r="AE11" s="732">
        <f ca="1">IFERROR(INDEX(Reit!I$8:I$115,MATCH(AF11,Reit!F$8:F$115,0)),"")</f>
        <v>84</v>
      </c>
      <c r="AF11" s="733" t="str">
        <f t="shared" si="1"/>
        <v>Tõnu Kapper</v>
      </c>
      <c r="AG11" s="732">
        <f ca="1">IFERROR(INDEX(Reit!I$8:I$115,MATCH(AH11,Reit!F$8:F$115,0)),"")</f>
        <v>87</v>
      </c>
      <c r="AH11" s="733" t="str">
        <f t="shared" si="2"/>
        <v>Vladimir Ogneštšikov</v>
      </c>
      <c r="AI11" s="732" t="str">
        <f>IFERROR(INDEX(Reit!I$8:I$115,MATCH(AJ11,Reit!F$8:F$115,0)),"")</f>
        <v/>
      </c>
      <c r="AJ11" s="733" t="str">
        <f t="shared" si="3"/>
        <v/>
      </c>
      <c r="AK11" s="732" t="str">
        <f>IFERROR(INDEX(Reit!I$8:I$115,MATCH(AL11,Reit!F$8:F$115,0)),"")</f>
        <v/>
      </c>
      <c r="AL11" s="733" t="str">
        <f t="shared" si="4"/>
        <v/>
      </c>
    </row>
    <row r="12" spans="1:38" hidden="1" x14ac:dyDescent="0.2">
      <c r="A12" s="1295"/>
      <c r="B12" s="1296"/>
      <c r="C12" s="1297"/>
      <c r="D12" s="1297"/>
      <c r="E12" s="1297"/>
      <c r="F12" s="1298"/>
      <c r="G12" s="1299"/>
      <c r="H12" s="1298"/>
      <c r="I12" s="1300"/>
      <c r="J12" s="1177"/>
      <c r="K12" s="1177"/>
      <c r="L12" s="1177"/>
      <c r="M12" s="1177"/>
      <c r="N12" s="1177"/>
      <c r="O12" s="1177"/>
      <c r="P12" s="1177"/>
      <c r="Q12" s="1177"/>
      <c r="R12" s="1301" t="s">
        <v>335</v>
      </c>
      <c r="S12" s="1177"/>
      <c r="T12" s="1177"/>
      <c r="AD12" s="731">
        <f t="shared" si="6"/>
        <v>0</v>
      </c>
      <c r="AE12" s="732" t="str">
        <f>IFERROR(INDEX(Reit!I$8:I$115,MATCH(AF12,Reit!F$8:F$115,0)),"")</f>
        <v/>
      </c>
      <c r="AF12" s="733" t="str">
        <f t="shared" si="1"/>
        <v/>
      </c>
      <c r="AG12" s="732" t="str">
        <f>IFERROR(INDEX(Reit!I$8:I$115,MATCH(AH12,Reit!F$8:F$115,0)),"")</f>
        <v/>
      </c>
      <c r="AH12" s="733" t="str">
        <f t="shared" si="2"/>
        <v/>
      </c>
      <c r="AI12" s="732" t="str">
        <f>IFERROR(INDEX(Reit!I$8:I$115,MATCH(AJ12,Reit!F$8:F$115,0)),"")</f>
        <v/>
      </c>
      <c r="AJ12" s="733" t="str">
        <f t="shared" si="3"/>
        <v/>
      </c>
      <c r="AK12" s="732" t="str">
        <f>IFERROR(INDEX(Reit!I$8:I$115,MATCH(AL12,Reit!F$8:F$115,0)),"")</f>
        <v/>
      </c>
      <c r="AL12" s="733" t="str">
        <f t="shared" si="4"/>
        <v/>
      </c>
    </row>
    <row r="13" spans="1:38" hidden="1" x14ac:dyDescent="0.2">
      <c r="A13" s="1265" t="s">
        <v>246</v>
      </c>
      <c r="B13" s="1266"/>
      <c r="C13" s="1267">
        <v>1</v>
      </c>
      <c r="D13" s="1267">
        <v>2</v>
      </c>
      <c r="E13" s="1267">
        <v>3</v>
      </c>
      <c r="F13" s="1267">
        <v>4</v>
      </c>
      <c r="G13" s="1267">
        <v>5</v>
      </c>
      <c r="H13" s="1268" t="s">
        <v>313</v>
      </c>
      <c r="I13" s="1268" t="s">
        <v>296</v>
      </c>
      <c r="J13" s="1269" t="s">
        <v>314</v>
      </c>
      <c r="K13" s="1270" t="s">
        <v>315</v>
      </c>
      <c r="L13" s="1271" t="s">
        <v>316</v>
      </c>
      <c r="M13" s="1271" t="s">
        <v>317</v>
      </c>
      <c r="N13" s="604" t="s">
        <v>344</v>
      </c>
      <c r="O13" s="604" t="s">
        <v>344</v>
      </c>
      <c r="P13" s="1272" t="s">
        <v>318</v>
      </c>
      <c r="Q13" s="1273" t="s">
        <v>183</v>
      </c>
      <c r="R13" s="1273" t="b">
        <f>OR(AND(COUNTA(B14:B18)=3,COUNTA(C14:G18)=6),AND(COUNTA(B14:B18)=4,COUNTA(C14:G18)=12),AND(COUNTA(B14:B18)=5,COUNTA(C14:G18)=20))</f>
        <v>0</v>
      </c>
      <c r="S13" s="1273" t="s">
        <v>319</v>
      </c>
      <c r="T13" s="1274" t="s">
        <v>320</v>
      </c>
      <c r="AD13" s="731">
        <f t="shared" si="6"/>
        <v>0</v>
      </c>
      <c r="AE13" s="732" t="str">
        <f>IFERROR(INDEX(Reit!I$8:I$115,MATCH(AF13,Reit!F$8:F$115,0)),"")</f>
        <v/>
      </c>
      <c r="AF13" s="733" t="str">
        <f t="shared" si="1"/>
        <v/>
      </c>
      <c r="AG13" s="732" t="str">
        <f>IFERROR(INDEX(Reit!I$8:I$115,MATCH(AH13,Reit!F$8:F$115,0)),"")</f>
        <v/>
      </c>
      <c r="AH13" s="733" t="str">
        <f t="shared" si="2"/>
        <v/>
      </c>
      <c r="AI13" s="732" t="str">
        <f>IFERROR(INDEX(Reit!I$8:I$115,MATCH(AJ13,Reit!F$8:F$115,0)),"")</f>
        <v/>
      </c>
      <c r="AJ13" s="733" t="str">
        <f t="shared" si="3"/>
        <v/>
      </c>
      <c r="AK13" s="732" t="str">
        <f>IFERROR(INDEX(Reit!I$8:I$115,MATCH(AL13,Reit!F$8:F$115,0)),"")</f>
        <v/>
      </c>
      <c r="AL13" s="733" t="str">
        <f t="shared" si="4"/>
        <v/>
      </c>
    </row>
    <row r="14" spans="1:38" hidden="1" x14ac:dyDescent="0.2">
      <c r="A14" s="1265">
        <v>1</v>
      </c>
      <c r="B14" s="1302" t="s">
        <v>526</v>
      </c>
      <c r="C14" s="1276"/>
      <c r="D14" s="1277"/>
      <c r="E14" s="1277"/>
      <c r="F14" s="1277"/>
      <c r="G14" s="1277"/>
      <c r="H14" s="1278" t="str">
        <f>(IF(D14-C15&gt;0,1)+IF(E14-C16&gt;0,1)+IF(F14-C17&gt;0,1)+IF(G14-C18&gt;0,1))&amp;"-"&amp;(IF(D14-C15&lt;0,1)+IF(E14-C16&lt;0,1)+IF(F14-C17&lt;0,1)+IF(G14-C18&lt;0,1))</f>
        <v>0-0</v>
      </c>
      <c r="I14" s="1277" t="str">
        <f>IF(AND(B14&lt;&gt;"",R$13=TRUE),A$13&amp;RANK(S14,S$14:S$18,0)," ")</f>
        <v xml:space="preserve"> </v>
      </c>
      <c r="J14" s="1279">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1280">
        <f>SUM(AND(T14=T15,D14&gt;C15),AND(T14=T16,E14&gt;C16),AND(T14=T17,F14&gt;C17),AND(T14=T18,G14&gt;C18))</f>
        <v>0</v>
      </c>
      <c r="L14" s="1281">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1282">
        <f>SUM(AND(R14=R15,D14&gt;C15),AND(R14=R16,E14&gt;C16),AND(R14=R17,F14&gt;C17),AND(R14=R18,G14&gt;C18))</f>
        <v>0</v>
      </c>
      <c r="N14" s="1283" t="str">
        <f>SUM(C14:G14)&amp;"-"&amp;SUM(C14:C18)</f>
        <v>0-0</v>
      </c>
      <c r="O14" s="1284">
        <f>D14+E14+F14+G14-C15-C16-C17-C18</f>
        <v>0</v>
      </c>
      <c r="P14" s="1220" t="e">
        <f>SUM(C14:G14,C14:C18)/SUM(C14:C18)</f>
        <v>#DIV/0!</v>
      </c>
      <c r="Q14" s="1285">
        <f>VALUE(LEFT(H14,1))</f>
        <v>0</v>
      </c>
      <c r="R14" s="1285">
        <f>Q14*100000+J14*10000+K14*1000+100*L14</f>
        <v>0</v>
      </c>
      <c r="S14" s="1286">
        <f t="shared" ref="S14:S18" si="7">R14+M14*0.1+IF(ISNONTEXT(B14),0,0.01)+0.0001*O14</f>
        <v>0.01</v>
      </c>
      <c r="T14" s="1287" t="str">
        <f>Q14&amp;J14</f>
        <v>00</v>
      </c>
      <c r="U14" s="1288"/>
      <c r="AD14" s="731">
        <f t="shared" ca="1" si="6"/>
        <v>410</v>
      </c>
      <c r="AE14" s="732">
        <f ca="1">IFERROR(INDEX(Reit!I$8:I$115,MATCH(AF14,Reit!F$8:F$115,0)),"")</f>
        <v>242</v>
      </c>
      <c r="AF14" s="733" t="str">
        <f t="shared" si="1"/>
        <v>Olav Türk</v>
      </c>
      <c r="AG14" s="732">
        <f ca="1">IFERROR(INDEX(Reit!I$8:I$115,MATCH(AH14,Reit!F$8:F$115,0)),"")</f>
        <v>168</v>
      </c>
      <c r="AH14" s="733" t="str">
        <f t="shared" si="2"/>
        <v>Sirje Maala</v>
      </c>
      <c r="AI14" s="732" t="str">
        <f>IFERROR(INDEX(Reit!I$8:I$115,MATCH(AJ14,Reit!F$8:F$115,0)),"")</f>
        <v/>
      </c>
      <c r="AJ14" s="733" t="str">
        <f t="shared" si="3"/>
        <v/>
      </c>
      <c r="AK14" s="732" t="str">
        <f>IFERROR(INDEX(Reit!I$8:I$115,MATCH(AL14,Reit!F$8:F$115,0)),"")</f>
        <v/>
      </c>
      <c r="AL14" s="733" t="str">
        <f t="shared" si="4"/>
        <v/>
      </c>
    </row>
    <row r="15" spans="1:38" hidden="1" x14ac:dyDescent="0.2">
      <c r="A15" s="1265">
        <v>2</v>
      </c>
      <c r="B15" s="1275" t="s">
        <v>527</v>
      </c>
      <c r="C15" s="1277"/>
      <c r="D15" s="1276"/>
      <c r="E15" s="1277"/>
      <c r="F15" s="1277"/>
      <c r="G15" s="1277"/>
      <c r="H15" s="1278" t="str">
        <f>(IF(C15-D14&gt;0,1)+IF(E15-D16&gt;0,1)+IF(F15-D17&gt;0,1)+IF(G15-D18&gt;0,1))&amp;"-"&amp;(IF(C15-D14&lt;0,1)+IF(E15-D16&lt;0,1)+IF(F15-D17&lt;0,1)+IF(G15-D18&lt;0,1))</f>
        <v>0-0</v>
      </c>
      <c r="I15" s="1277" t="str">
        <f>IF(AND(B15&lt;&gt;"",R$13=TRUE),A$13&amp;RANK(S15,S$14:S$18,0)," ")</f>
        <v xml:space="preserve"> </v>
      </c>
      <c r="J15" s="1196">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1282">
        <f>SUM(AND(T15=T14,C15&gt;D14),AND(T15=T16,E15&gt;D16),AND(T15=T17,F15&gt;D17),AND(T15=T18,G15&gt;D18))</f>
        <v>0</v>
      </c>
      <c r="L15" s="1290">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1282">
        <f>SUM(AND(R15=R14,C15&gt;D14),AND(R15=R16,E15&gt;D16),AND(R15=R17,F15&gt;D17),AND(R15=R18,G15&gt;D18))</f>
        <v>0</v>
      </c>
      <c r="N15" s="1283" t="str">
        <f>SUM(C15:G15)&amp;"-"&amp;SUM(D14:D18)</f>
        <v>0-0</v>
      </c>
      <c r="O15" s="1284">
        <f>C15+E15+F15+G15-D14-D16-D17-D18</f>
        <v>0</v>
      </c>
      <c r="P15" s="1220" t="e">
        <f>SUM(C15:G15,D14:D18)/SUM(D14:D18)</f>
        <v>#DIV/0!</v>
      </c>
      <c r="Q15" s="1291">
        <f>VALUE(LEFT(H15,1))</f>
        <v>0</v>
      </c>
      <c r="R15" s="1285">
        <f>Q15*100000+J15*10000+K15*1000+100*L15</f>
        <v>0</v>
      </c>
      <c r="S15" s="1286">
        <f t="shared" si="7"/>
        <v>0.01</v>
      </c>
      <c r="T15" s="1287" t="str">
        <f>Q15&amp;J15</f>
        <v>00</v>
      </c>
      <c r="U15" s="1288"/>
      <c r="AD15" s="731">
        <f t="shared" ca="1" si="6"/>
        <v>317</v>
      </c>
      <c r="AE15" s="732">
        <f ca="1">IFERROR(INDEX(Reit!I$8:I$115,MATCH(AF15,Reit!F$8:F$115,0)),"")</f>
        <v>179</v>
      </c>
      <c r="AF15" s="733" t="str">
        <f t="shared" si="1"/>
        <v>Jaan Sepp</v>
      </c>
      <c r="AG15" s="732">
        <f ca="1">IFERROR(INDEX(Reit!I$8:I$115,MATCH(AH15,Reit!F$8:F$115,0)),"")</f>
        <v>138</v>
      </c>
      <c r="AH15" s="733" t="str">
        <f t="shared" si="2"/>
        <v>Meelis Luud</v>
      </c>
      <c r="AI15" s="732" t="str">
        <f>IFERROR(INDEX(Reit!I$8:I$115,MATCH(AJ15,Reit!F$8:F$115,0)),"")</f>
        <v/>
      </c>
      <c r="AJ15" s="733" t="str">
        <f t="shared" si="3"/>
        <v/>
      </c>
      <c r="AK15" s="732" t="str">
        <f>IFERROR(INDEX(Reit!I$8:I$115,MATCH(AL15,Reit!F$8:F$115,0)),"")</f>
        <v/>
      </c>
      <c r="AL15" s="733" t="str">
        <f t="shared" si="4"/>
        <v/>
      </c>
    </row>
    <row r="16" spans="1:38" hidden="1" x14ac:dyDescent="0.2">
      <c r="A16" s="1265">
        <v>3</v>
      </c>
      <c r="B16" s="1289" t="s">
        <v>480</v>
      </c>
      <c r="C16" s="1277"/>
      <c r="D16" s="1292"/>
      <c r="E16" s="1276"/>
      <c r="F16" s="1277"/>
      <c r="G16" s="1277"/>
      <c r="H16" s="1278" t="str">
        <f>(IF(C16-E14&gt;0,1)+IF(D16-E15&gt;0,1)+IF(F16-E17&gt;0,1)+IF(G16-E18&gt;0,1))&amp;"-"&amp;(IF(C16-E14&lt;0,1)+IF(D16-E15&lt;0,1)+IF(F16-E17&lt;0,1)+IF(G16-E18&lt;0,1))</f>
        <v>0-0</v>
      </c>
      <c r="I16" s="1277" t="str">
        <f>IF(AND(B16&lt;&gt;"",R$13=TRUE),A$13&amp;RANK(S16,S$14:S$18,0)," ")</f>
        <v xml:space="preserve"> </v>
      </c>
      <c r="J16" s="1196">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1282">
        <f>SUM(AND(T16=T14,C16&gt;E14),AND(T16=T15,D16&gt;E15),AND(T16=T17,F16&gt;E17),AND(T16=T18,G16&gt;E18))</f>
        <v>0</v>
      </c>
      <c r="L16" s="1290">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1282">
        <f>SUM(AND(R16=R14,C16&gt;E14),AND(R16=R15,D16&gt;E15),AND(R16=R17,F16&gt;E17),AND(R16=R18,G16&gt;E18))</f>
        <v>0</v>
      </c>
      <c r="N16" s="1283" t="str">
        <f>SUM(C16:G16)&amp;"-"&amp;SUM(E14:E18)</f>
        <v>0-0</v>
      </c>
      <c r="O16" s="1284">
        <f>C16+D16+F16+G16-E14-E15-E17-E18</f>
        <v>0</v>
      </c>
      <c r="P16" s="1220" t="e">
        <f>SUM(C16:G16,E14:E18)/SUM(E14:E18)</f>
        <v>#DIV/0!</v>
      </c>
      <c r="Q16" s="1291">
        <f>VALUE(LEFT(H16,1))</f>
        <v>0</v>
      </c>
      <c r="R16" s="1285">
        <f>Q16*100000+J16*10000+K16*1000+100*L16</f>
        <v>0</v>
      </c>
      <c r="S16" s="1286">
        <f t="shared" si="7"/>
        <v>0.01</v>
      </c>
      <c r="T16" s="1287" t="str">
        <f>Q16&amp;J16</f>
        <v>00</v>
      </c>
      <c r="U16" s="1288"/>
      <c r="AD16" s="731">
        <f t="shared" ca="1" si="6"/>
        <v>61</v>
      </c>
      <c r="AE16" s="732">
        <f ca="1">IFERROR(INDEX(Reit!I$8:I$115,MATCH(AF16,Reit!F$8:F$115,0)),"")</f>
        <v>18</v>
      </c>
      <c r="AF16" s="733" t="str">
        <f t="shared" si="1"/>
        <v>Heili Vasser</v>
      </c>
      <c r="AG16" s="732">
        <f ca="1">IFERROR(INDEX(Reit!I$8:I$115,MATCH(AH16,Reit!F$8:F$115,0)),"")</f>
        <v>43</v>
      </c>
      <c r="AH16" s="733" t="str">
        <f t="shared" si="2"/>
        <v>Vello Vasser</v>
      </c>
      <c r="AI16" s="732" t="str">
        <f>IFERROR(INDEX(Reit!I$8:I$115,MATCH(AJ16,Reit!F$8:F$115,0)),"")</f>
        <v/>
      </c>
      <c r="AJ16" s="733" t="str">
        <f t="shared" si="3"/>
        <v/>
      </c>
      <c r="AK16" s="732" t="str">
        <f>IFERROR(INDEX(Reit!I$8:I$115,MATCH(AL16,Reit!F$8:F$115,0)),"")</f>
        <v/>
      </c>
      <c r="AL16" s="733" t="str">
        <f t="shared" si="4"/>
        <v/>
      </c>
    </row>
    <row r="17" spans="1:38" hidden="1" x14ac:dyDescent="0.2">
      <c r="A17" s="1265">
        <v>4</v>
      </c>
      <c r="B17" s="1293" t="s">
        <v>366</v>
      </c>
      <c r="C17" s="1277"/>
      <c r="D17" s="1292"/>
      <c r="E17" s="1277"/>
      <c r="F17" s="1276"/>
      <c r="G17" s="1294"/>
      <c r="H17" s="1278" t="str">
        <f>(IF(C17-F14&gt;0,1)+IF(D17-F15&gt;0,1)+IF(E17-F16&gt;0,1)+IF(G17-F18&gt;0,1))&amp;"-"&amp;(IF(C17-F14&lt;0,1)+IF(D17-F15&lt;0,1)+IF(E17-F16&lt;0,1)+IF(G17-F18&lt;0,1))</f>
        <v>0-0</v>
      </c>
      <c r="I17" s="1277" t="str">
        <f>IF(AND(B17&lt;&gt;"",R$13=TRUE),A$13&amp;RANK(S17,S$14:S$18,0)," ")</f>
        <v xml:space="preserve"> </v>
      </c>
      <c r="J17" s="1196">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1282">
        <f>SUM(AND(T17=T14,C17&gt;F14),AND(T17=T15,D17&gt;F15),AND(T17=T16,E17&gt;F16),AND(T17=T18,G17&gt;F18))</f>
        <v>0</v>
      </c>
      <c r="L17" s="1290">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1282">
        <f>SUM(AND(R17=R14,C17&gt;F14),AND(R17=R15,D17&gt;F15),AND(R17=R16,E17&gt;F16),AND(R17=R18,G17&gt;F18))</f>
        <v>0</v>
      </c>
      <c r="N17" s="1283" t="str">
        <f>SUM(C17:G17)&amp;"-"&amp;SUM(F14:F18)</f>
        <v>0-0</v>
      </c>
      <c r="O17" s="1284">
        <f>C17+D17+E17+G17-F14-F15-F16-F18</f>
        <v>0</v>
      </c>
      <c r="P17" s="1220" t="e">
        <f>SUM(C17:G17,F14:F18)/SUM(F14:F18)</f>
        <v>#DIV/0!</v>
      </c>
      <c r="Q17" s="1291">
        <f>VALUE(LEFT(H17,1))</f>
        <v>0</v>
      </c>
      <c r="R17" s="1285">
        <f>Q17*100000+J17*10000+K17*1000+100*L17</f>
        <v>0</v>
      </c>
      <c r="S17" s="1286">
        <f t="shared" si="7"/>
        <v>0.01</v>
      </c>
      <c r="T17" s="1287" t="str">
        <f>Q17&amp;J17</f>
        <v>00</v>
      </c>
      <c r="AD17" s="731">
        <f t="shared" ca="1" si="6"/>
        <v>316</v>
      </c>
      <c r="AE17" s="732">
        <f ca="1">IFERROR(INDEX(Reit!I$8:I$115,MATCH(AF17,Reit!F$8:F$115,0)),"")</f>
        <v>150</v>
      </c>
      <c r="AF17" s="733" t="str">
        <f t="shared" si="1"/>
        <v>Ljudmila Varendi</v>
      </c>
      <c r="AG17" s="732">
        <f ca="1">IFERROR(INDEX(Reit!I$8:I$115,MATCH(AH17,Reit!F$8:F$115,0)),"")</f>
        <v>166</v>
      </c>
      <c r="AH17" s="733" t="str">
        <f t="shared" si="2"/>
        <v>Viktor Švarõgin</v>
      </c>
      <c r="AI17" s="732" t="str">
        <f>IFERROR(INDEX(Reit!I$8:I$115,MATCH(AJ17,Reit!F$8:F$115,0)),"")</f>
        <v/>
      </c>
      <c r="AJ17" s="733" t="str">
        <f t="shared" si="3"/>
        <v/>
      </c>
      <c r="AK17" s="732" t="str">
        <f>IFERROR(INDEX(Reit!I$8:I$115,MATCH(AL17,Reit!F$8:F$115,0)),"")</f>
        <v/>
      </c>
      <c r="AL17" s="733" t="str">
        <f t="shared" si="4"/>
        <v/>
      </c>
    </row>
    <row r="18" spans="1:38" hidden="1" x14ac:dyDescent="0.2">
      <c r="A18" s="1265">
        <v>5</v>
      </c>
      <c r="B18" s="1293" t="s">
        <v>293</v>
      </c>
      <c r="C18" s="1277"/>
      <c r="D18" s="1277"/>
      <c r="E18" s="1277"/>
      <c r="F18" s="1277"/>
      <c r="G18" s="1276"/>
      <c r="H18" s="1278" t="str">
        <f>(IF(C18-G14&gt;0,1)+IF(D18-G15&gt;0,1)+IF(E18-G16&gt;0,1)+IF(F18-G17&gt;0,1))&amp;"-"&amp;(IF(C18-G14&lt;0,1)+IF(D18-G15&lt;0,1)+IF(E18-G16&lt;0,1)+IF(F18-G17&lt;0,1))</f>
        <v>0-0</v>
      </c>
      <c r="I18" s="1277" t="str">
        <f>IF(AND(B18&lt;&gt;"",R$13=TRUE),A$13&amp;RANK(S18,S$14:S$18,0)," ")</f>
        <v xml:space="preserve"> </v>
      </c>
      <c r="J18" s="1196">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1282">
        <f>SUM(AND(T18=T14,C18&gt;G14),AND(T18=T15,D18&gt;G15),AND(T18=T16,E18&gt;G16),AND(T18=T17,F18&gt;G17))</f>
        <v>0</v>
      </c>
      <c r="L18" s="1290">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1282">
        <f>SUM(AND(R18=R14,C18&gt;G14),AND(R18=R15,D18&gt;G15),AND(R18=R16,E18&gt;G16),AND(R18=R17,F18&gt;G17))</f>
        <v>0</v>
      </c>
      <c r="N18" s="1283" t="str">
        <f>SUM(C18:G18)&amp;"-"&amp;SUM(G14:G18)</f>
        <v>0-0</v>
      </c>
      <c r="O18" s="1284">
        <f>C18+D18+E18+F18-G14-G15-G16-G17</f>
        <v>0</v>
      </c>
      <c r="P18" s="1220" t="e">
        <f>SUM(C18:G18,G14:G18)/SUM(G14:G18)</f>
        <v>#DIV/0!</v>
      </c>
      <c r="Q18" s="1291">
        <f>VALUE(LEFT(H18,1))</f>
        <v>0</v>
      </c>
      <c r="R18" s="1285">
        <f>Q18*100000+J18*10000+K18*1000+100*L18</f>
        <v>0</v>
      </c>
      <c r="S18" s="1286">
        <f t="shared" si="7"/>
        <v>0.01</v>
      </c>
      <c r="T18" s="1287" t="str">
        <f>Q18&amp;J18</f>
        <v>00</v>
      </c>
      <c r="AD18" s="731">
        <f t="shared" ca="1" si="6"/>
        <v>127</v>
      </c>
      <c r="AE18" s="732">
        <f ca="1">IFERROR(INDEX(Reit!I$8:I$115,MATCH(AF18,Reit!F$8:F$115,0)),"")</f>
        <v>14</v>
      </c>
      <c r="AF18" s="733" t="str">
        <f t="shared" si="1"/>
        <v>Aarne Välja</v>
      </c>
      <c r="AG18" s="732">
        <f ca="1">IFERROR(INDEX(Reit!I$8:I$115,MATCH(AH18,Reit!F$8:F$115,0)),"")</f>
        <v>113</v>
      </c>
      <c r="AH18" s="733" t="str">
        <f t="shared" si="2"/>
        <v>Janek Tarto</v>
      </c>
      <c r="AI18" s="732" t="str">
        <f>IFERROR(INDEX(Reit!I$8:I$115,MATCH(AJ18,Reit!F$8:F$115,0)),"")</f>
        <v/>
      </c>
      <c r="AJ18" s="733" t="str">
        <f t="shared" si="3"/>
        <v/>
      </c>
      <c r="AK18" s="732" t="str">
        <f>IFERROR(INDEX(Reit!I$8:I$115,MATCH(AL18,Reit!F$8:F$115,0)),"")</f>
        <v/>
      </c>
      <c r="AL18" s="733" t="str">
        <f t="shared" si="4"/>
        <v/>
      </c>
    </row>
    <row r="19" spans="1:38" hidden="1" x14ac:dyDescent="0.2">
      <c r="A19" s="1295"/>
      <c r="B19" s="1296"/>
      <c r="C19" s="1297"/>
      <c r="D19" s="1297"/>
      <c r="E19" s="1297"/>
      <c r="F19" s="1298"/>
      <c r="G19" s="1299"/>
      <c r="H19" s="1298"/>
      <c r="I19" s="1303"/>
      <c r="J19" s="1177"/>
      <c r="K19" s="1177"/>
      <c r="L19" s="1177"/>
      <c r="M19" s="1177"/>
      <c r="N19" s="1177"/>
      <c r="O19" s="1177"/>
      <c r="P19" s="1177"/>
      <c r="Q19" s="1177"/>
      <c r="R19" s="1301" t="s">
        <v>335</v>
      </c>
      <c r="S19" s="1177"/>
      <c r="T19" s="1177"/>
      <c r="AD19" s="731">
        <f t="shared" si="6"/>
        <v>0</v>
      </c>
      <c r="AE19" s="732" t="str">
        <f>IFERROR(INDEX(Reit!I$8:I$115,MATCH(AF19,Reit!F$8:F$115,0)),"")</f>
        <v/>
      </c>
      <c r="AF19" s="733" t="str">
        <f t="shared" si="1"/>
        <v/>
      </c>
      <c r="AG19" s="732" t="str">
        <f>IFERROR(INDEX(Reit!I$8:I$115,MATCH(AH19,Reit!F$8:F$115,0)),"")</f>
        <v/>
      </c>
      <c r="AH19" s="733" t="str">
        <f t="shared" si="2"/>
        <v/>
      </c>
      <c r="AI19" s="732" t="str">
        <f>IFERROR(INDEX(Reit!I$8:I$115,MATCH(AJ19,Reit!F$8:F$115,0)),"")</f>
        <v/>
      </c>
      <c r="AJ19" s="733" t="str">
        <f t="shared" si="3"/>
        <v/>
      </c>
      <c r="AK19" s="732" t="str">
        <f>IFERROR(INDEX(Reit!I$8:I$115,MATCH(AL19,Reit!F$8:F$115,0)),"")</f>
        <v/>
      </c>
      <c r="AL19" s="733" t="str">
        <f t="shared" si="4"/>
        <v/>
      </c>
    </row>
    <row r="20" spans="1:38" hidden="1" x14ac:dyDescent="0.2">
      <c r="A20" s="1265" t="s">
        <v>247</v>
      </c>
      <c r="B20" s="1266"/>
      <c r="C20" s="1267">
        <v>1</v>
      </c>
      <c r="D20" s="1267">
        <v>2</v>
      </c>
      <c r="E20" s="1267">
        <v>3</v>
      </c>
      <c r="F20" s="1267"/>
      <c r="G20" s="1267"/>
      <c r="H20" s="1268" t="s">
        <v>313</v>
      </c>
      <c r="I20" s="1268" t="s">
        <v>296</v>
      </c>
      <c r="J20" s="1269" t="s">
        <v>314</v>
      </c>
      <c r="K20" s="1270" t="s">
        <v>315</v>
      </c>
      <c r="L20" s="1271" t="s">
        <v>316</v>
      </c>
      <c r="M20" s="1271" t="s">
        <v>317</v>
      </c>
      <c r="N20" s="604" t="s">
        <v>344</v>
      </c>
      <c r="O20" s="604" t="s">
        <v>344</v>
      </c>
      <c r="P20" s="1272" t="s">
        <v>318</v>
      </c>
      <c r="Q20" s="1273" t="s">
        <v>183</v>
      </c>
      <c r="R20" s="1273" t="b">
        <f>OR(AND(COUNTA(B21:B25)=3,COUNTA(C21:G25)=6),AND(COUNTA(B21:B25)=4,COUNTA(C21:G25)=12),AND(COUNTA(B21:B25)=5,COUNTA(C21:G25)=20))</f>
        <v>0</v>
      </c>
      <c r="S20" s="1273" t="s">
        <v>319</v>
      </c>
      <c r="T20" s="1274" t="s">
        <v>320</v>
      </c>
      <c r="AD20" s="731">
        <f t="shared" si="6"/>
        <v>0</v>
      </c>
      <c r="AE20" s="732" t="str">
        <f>IFERROR(INDEX(Reit!I$8:I$115,MATCH(AF20,Reit!F$8:F$115,0)),"")</f>
        <v/>
      </c>
      <c r="AF20" s="733" t="str">
        <f t="shared" si="1"/>
        <v/>
      </c>
      <c r="AG20" s="732" t="str">
        <f>IFERROR(INDEX(Reit!I$8:I$115,MATCH(AH20,Reit!F$8:F$115,0)),"")</f>
        <v/>
      </c>
      <c r="AH20" s="733" t="str">
        <f t="shared" si="2"/>
        <v/>
      </c>
      <c r="AI20" s="732" t="str">
        <f>IFERROR(INDEX(Reit!I$8:I$115,MATCH(AJ20,Reit!F$8:F$115,0)),"")</f>
        <v/>
      </c>
      <c r="AJ20" s="733" t="str">
        <f t="shared" si="3"/>
        <v/>
      </c>
      <c r="AK20" s="732" t="str">
        <f>IFERROR(INDEX(Reit!I$8:I$115,MATCH(AL20,Reit!F$8:F$115,0)),"")</f>
        <v/>
      </c>
      <c r="AL20" s="733" t="str">
        <f t="shared" si="4"/>
        <v/>
      </c>
    </row>
    <row r="21" spans="1:38" hidden="1" x14ac:dyDescent="0.2">
      <c r="A21" s="1265">
        <v>1</v>
      </c>
      <c r="B21" s="1275"/>
      <c r="C21" s="1276"/>
      <c r="D21" s="1277"/>
      <c r="E21" s="1277"/>
      <c r="F21" s="1277"/>
      <c r="G21" s="1277"/>
      <c r="H21" s="1278" t="str">
        <f>(IF(D21-C22&gt;0,1)+IF(E21-C23&gt;0,1)+IF(F21-C24&gt;0,1)+IF(G21-C25&gt;0,1))&amp;"-"&amp;(IF(D21-C22&lt;0,1)+IF(E21-C23&lt;0,1)+IF(F21-C24&lt;0,1)+IF(G21-C25&lt;0,1))</f>
        <v>0-0</v>
      </c>
      <c r="I21" s="1277" t="str">
        <f>IF(AND(B21&lt;&gt;"",R$20=TRUE),A$20&amp;RANK(R21,R$21:R$25,0)," ")</f>
        <v xml:space="preserve"> </v>
      </c>
      <c r="J21" s="1279">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1280">
        <f>SUM(AND(T21=T22,D21&gt;C22),AND(T21=T23,E21&gt;C23),AND(T21=T24,F21&gt;C24),AND(T21=T25,G21&gt;C25))</f>
        <v>0</v>
      </c>
      <c r="L21" s="1281">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1282">
        <f>SUM(AND(R21=R22,D21&gt;C22),AND(R21=R23,E21&gt;C23),AND(R21=R24,F21&gt;C24),AND(R21=R25,G21&gt;C25))</f>
        <v>0</v>
      </c>
      <c r="N21" s="1283" t="str">
        <f>SUM(C21:G21)&amp;"-"&amp;SUM(C21:C25)</f>
        <v>0-0</v>
      </c>
      <c r="O21" s="1284">
        <f>D21+E21+F21+G21-C22-C23-C24-C25</f>
        <v>0</v>
      </c>
      <c r="P21" s="1220" t="e">
        <f>SUM(C21:G21,C21:C25)/SUM(C21:C25)</f>
        <v>#DIV/0!</v>
      </c>
      <c r="Q21" s="1285">
        <f>VALUE(LEFT(H21,1))</f>
        <v>0</v>
      </c>
      <c r="R21" s="1285">
        <f>Q21*100000+J21*10000+K21*1000+100*L21</f>
        <v>0</v>
      </c>
      <c r="S21" s="1286">
        <f t="shared" ref="S21:S25" si="8">R21+M21*0.1+IF(ISNONTEXT(B21),0,0.01)+0.0001*O21</f>
        <v>0</v>
      </c>
      <c r="T21" s="1287" t="str">
        <f>Q21&amp;J21</f>
        <v>00</v>
      </c>
      <c r="U21" s="1288"/>
      <c r="AD21" s="731">
        <f t="shared" si="6"/>
        <v>0</v>
      </c>
      <c r="AE21" s="732" t="str">
        <f>IFERROR(INDEX(Reit!I$8:I$115,MATCH(AF21,Reit!F$8:F$115,0)),"")</f>
        <v/>
      </c>
      <c r="AF21" s="733" t="str">
        <f t="shared" si="1"/>
        <v/>
      </c>
      <c r="AG21" s="732" t="str">
        <f>IFERROR(INDEX(Reit!I$8:I$115,MATCH(AH21,Reit!F$8:F$115,0)),"")</f>
        <v/>
      </c>
      <c r="AH21" s="733" t="str">
        <f t="shared" si="2"/>
        <v/>
      </c>
      <c r="AI21" s="732" t="str">
        <f>IFERROR(INDEX(Reit!I$8:I$115,MATCH(AJ21,Reit!F$8:F$115,0)),"")</f>
        <v/>
      </c>
      <c r="AJ21" s="733" t="str">
        <f t="shared" si="3"/>
        <v/>
      </c>
      <c r="AK21" s="732" t="str">
        <f>IFERROR(INDEX(Reit!I$8:I$115,MATCH(AL21,Reit!F$8:F$115,0)),"")</f>
        <v/>
      </c>
      <c r="AL21" s="733" t="str">
        <f t="shared" si="4"/>
        <v/>
      </c>
    </row>
    <row r="22" spans="1:38" hidden="1" x14ac:dyDescent="0.2">
      <c r="A22" s="1265">
        <v>2</v>
      </c>
      <c r="B22" s="1289"/>
      <c r="C22" s="1277"/>
      <c r="D22" s="1276"/>
      <c r="E22" s="1277"/>
      <c r="F22" s="1277"/>
      <c r="G22" s="1277"/>
      <c r="H22" s="1278" t="str">
        <f>(IF(C22-D21&gt;0,1)+IF(E22-D23&gt;0,1)+IF(F22-D24&gt;0,1)+IF(G22-D25&gt;0,1))&amp;"-"&amp;(IF(C22-D21&lt;0,1)+IF(E22-D23&lt;0,1)+IF(F22-D24&lt;0,1)+IF(G22-D25&lt;0,1))</f>
        <v>0-0</v>
      </c>
      <c r="I22" s="1277" t="str">
        <f>IF(AND(B22&lt;&gt;"",R$20=TRUE),A$20&amp;RANK(R22,R$21:R$25,0)," ")</f>
        <v xml:space="preserve"> </v>
      </c>
      <c r="J22" s="1196">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1282">
        <f>SUM(AND(T22=T21,C22&gt;D21),AND(T22=T23,E22&gt;D23),AND(T22=T24,F22&gt;D24),AND(T22=T25,G22&gt;D25))</f>
        <v>0</v>
      </c>
      <c r="L22" s="1290">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1282">
        <f>SUM(AND(R22=R21,C22&gt;D21),AND(R22=R23,E22&gt;D23),AND(R22=R24,F22&gt;D24),AND(R22=R25,G22&gt;D25))</f>
        <v>0</v>
      </c>
      <c r="N22" s="1283" t="str">
        <f>SUM(C22:G22)&amp;"-"&amp;SUM(D21:D25)</f>
        <v>0-0</v>
      </c>
      <c r="O22" s="1284">
        <f>C22+E22+F22+G22-D21-D23-D24-D25</f>
        <v>0</v>
      </c>
      <c r="P22" s="1220" t="e">
        <f>SUM(C22:G22,D21:D25)/SUM(D21:D25)</f>
        <v>#DIV/0!</v>
      </c>
      <c r="Q22" s="1291">
        <f>VALUE(LEFT(H22,1))</f>
        <v>0</v>
      </c>
      <c r="R22" s="1285">
        <f>Q22*100000+J22*10000+K22*1000+100*L22</f>
        <v>0</v>
      </c>
      <c r="S22" s="1286">
        <f t="shared" si="8"/>
        <v>0</v>
      </c>
      <c r="T22" s="1287" t="str">
        <f>Q22&amp;J22</f>
        <v>00</v>
      </c>
      <c r="U22" s="1288"/>
      <c r="AD22" s="731">
        <f t="shared" si="6"/>
        <v>0</v>
      </c>
      <c r="AE22" s="732" t="str">
        <f>IFERROR(INDEX(Reit!I$8:I$115,MATCH(AF22,Reit!F$8:F$115,0)),"")</f>
        <v/>
      </c>
      <c r="AF22" s="733" t="str">
        <f t="shared" si="1"/>
        <v/>
      </c>
      <c r="AG22" s="732" t="str">
        <f>IFERROR(INDEX(Reit!I$8:I$115,MATCH(AH22,Reit!F$8:F$115,0)),"")</f>
        <v/>
      </c>
      <c r="AH22" s="733" t="str">
        <f t="shared" si="2"/>
        <v/>
      </c>
      <c r="AI22" s="732" t="str">
        <f>IFERROR(INDEX(Reit!I$8:I$115,MATCH(AJ22,Reit!F$8:F$115,0)),"")</f>
        <v/>
      </c>
      <c r="AJ22" s="733" t="str">
        <f t="shared" si="3"/>
        <v/>
      </c>
      <c r="AK22" s="732" t="str">
        <f>IFERROR(INDEX(Reit!I$8:I$115,MATCH(AL22,Reit!F$8:F$115,0)),"")</f>
        <v/>
      </c>
      <c r="AL22" s="733" t="str">
        <f t="shared" si="4"/>
        <v/>
      </c>
    </row>
    <row r="23" spans="1:38" hidden="1" x14ac:dyDescent="0.2">
      <c r="A23" s="1265">
        <v>3</v>
      </c>
      <c r="B23" s="1289"/>
      <c r="C23" s="1277"/>
      <c r="D23" s="1292"/>
      <c r="E23" s="1276"/>
      <c r="F23" s="1277"/>
      <c r="G23" s="1277"/>
      <c r="H23" s="1278" t="str">
        <f>(IF(C23-E21&gt;0,1)+IF(D23-E22&gt;0,1)+IF(F23-E24&gt;0,1)+IF(G23-E25&gt;0,1))&amp;"-"&amp;(IF(C23-E21&lt;0,1)+IF(D23-E22&lt;0,1)+IF(F23-E24&lt;0,1)+IF(G23-E25&lt;0,1))</f>
        <v>0-0</v>
      </c>
      <c r="I23" s="1277" t="str">
        <f>IF(AND(B23&lt;&gt;"",R$20=TRUE),A$20&amp;RANK(R23,R$21:R$25,0)," ")</f>
        <v xml:space="preserve"> </v>
      </c>
      <c r="J23" s="1196">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1282">
        <f>SUM(AND(T23=T21,C23&gt;E21),AND(T23=T22,D23&gt;E22),AND(T23=T24,F23&gt;E24),AND(T23=T25,G23&gt;E25))</f>
        <v>0</v>
      </c>
      <c r="L23" s="1290">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1282">
        <f>SUM(AND(R23=R21,C23&gt;E21),AND(R23=R22,D23&gt;E22),AND(R23=R24,F23&gt;E24),AND(R23=R25,G23&gt;E25))</f>
        <v>0</v>
      </c>
      <c r="N23" s="1283" t="str">
        <f>SUM(C23:G23)&amp;"-"&amp;SUM(E21:E25)</f>
        <v>0-0</v>
      </c>
      <c r="O23" s="1284">
        <f>C23+D23+F23+G23-E21-E22-E24-E25</f>
        <v>0</v>
      </c>
      <c r="P23" s="1220" t="e">
        <f>SUM(C23:G23,E21:E25)/SUM(E21:E25)</f>
        <v>#DIV/0!</v>
      </c>
      <c r="Q23" s="1291">
        <f>VALUE(LEFT(H23,1))</f>
        <v>0</v>
      </c>
      <c r="R23" s="1285">
        <f>Q23*100000+J23*10000+K23*1000+100*L23</f>
        <v>0</v>
      </c>
      <c r="S23" s="1286">
        <f t="shared" si="8"/>
        <v>0</v>
      </c>
      <c r="T23" s="1287" t="str">
        <f>Q23&amp;J23</f>
        <v>00</v>
      </c>
      <c r="U23" s="1288"/>
      <c r="AD23" s="731">
        <f t="shared" si="6"/>
        <v>0</v>
      </c>
      <c r="AE23" s="732" t="str">
        <f>IFERROR(INDEX(Reit!I$8:I$115,MATCH(AF23,Reit!F$8:F$115,0)),"")</f>
        <v/>
      </c>
      <c r="AF23" s="733" t="str">
        <f t="shared" si="1"/>
        <v/>
      </c>
      <c r="AG23" s="732" t="str">
        <f>IFERROR(INDEX(Reit!I$8:I$115,MATCH(AH23,Reit!F$8:F$115,0)),"")</f>
        <v/>
      </c>
      <c r="AH23" s="733" t="str">
        <f t="shared" si="2"/>
        <v/>
      </c>
      <c r="AI23" s="732" t="str">
        <f>IFERROR(INDEX(Reit!I$8:I$115,MATCH(AJ23,Reit!F$8:F$115,0)),"")</f>
        <v/>
      </c>
      <c r="AJ23" s="733" t="str">
        <f t="shared" si="3"/>
        <v/>
      </c>
      <c r="AK23" s="732" t="str">
        <f>IFERROR(INDEX(Reit!I$8:I$115,MATCH(AL23,Reit!F$8:F$115,0)),"")</f>
        <v/>
      </c>
      <c r="AL23" s="733" t="str">
        <f t="shared" si="4"/>
        <v/>
      </c>
    </row>
    <row r="24" spans="1:38" hidden="1" x14ac:dyDescent="0.2">
      <c r="A24" s="1265">
        <v>4</v>
      </c>
      <c r="B24" s="1289"/>
      <c r="C24" s="1277"/>
      <c r="D24" s="1292"/>
      <c r="E24" s="1277"/>
      <c r="F24" s="1276"/>
      <c r="G24" s="1294"/>
      <c r="H24" s="1278" t="str">
        <f>(IF(C24-F21&gt;0,1)+IF(D24-F22&gt;0,1)+IF(E24-F23&gt;0,1)+IF(G24-F25&gt;0,1))&amp;"-"&amp;(IF(C24-F21&lt;0,1)+IF(D24-F22&lt;0,1)+IF(E24-F23&lt;0,1)+IF(G24-F25&lt;0,1))</f>
        <v>0-0</v>
      </c>
      <c r="I24" s="1277" t="str">
        <f>IF(AND(B24&lt;&gt;"",R$20=TRUE),A$20&amp;RANK(R24,R$21:R$25,0)," ")</f>
        <v xml:space="preserve"> </v>
      </c>
      <c r="J24" s="1196">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1282">
        <f>SUM(AND(T24=T21,C24&gt;F21),AND(T24=T22,D24&gt;F22),AND(T24=T23,E24&gt;F23),AND(T24=T25,G24&gt;F25))</f>
        <v>0</v>
      </c>
      <c r="L24" s="1290">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1282">
        <f>SUM(AND(R24=R21,C24&gt;F21),AND(R24=R22,D24&gt;F22),AND(R24=R23,E24&gt;F23),AND(R24=R25,G24&gt;F25))</f>
        <v>0</v>
      </c>
      <c r="N24" s="1283" t="str">
        <f>SUM(C24:G24)&amp;"-"&amp;SUM(F21:F25)</f>
        <v>0-0</v>
      </c>
      <c r="O24" s="1284">
        <f>C24+D24+E24+G24-F21-F22-F23-F25</f>
        <v>0</v>
      </c>
      <c r="P24" s="1220" t="e">
        <f>SUM(C24:G24,F21:F25)/SUM(F21:F25)</f>
        <v>#DIV/0!</v>
      </c>
      <c r="Q24" s="1291">
        <f>VALUE(LEFT(H24,1))</f>
        <v>0</v>
      </c>
      <c r="R24" s="1285">
        <f>Q24*100000+J24*10000+K24*1000+100*L24</f>
        <v>0</v>
      </c>
      <c r="S24" s="1286">
        <f t="shared" si="8"/>
        <v>0</v>
      </c>
      <c r="T24" s="1287" t="str">
        <f>Q24&amp;J24</f>
        <v>00</v>
      </c>
      <c r="AD24" s="731">
        <f t="shared" si="6"/>
        <v>0</v>
      </c>
      <c r="AE24" s="732" t="str">
        <f>IFERROR(INDEX(Reit!I$8:I$115,MATCH(AF24,Reit!F$8:F$115,0)),"")</f>
        <v/>
      </c>
      <c r="AF24" s="733" t="str">
        <f t="shared" si="1"/>
        <v/>
      </c>
      <c r="AG24" s="732" t="str">
        <f>IFERROR(INDEX(Reit!I$8:I$115,MATCH(AH24,Reit!F$8:F$115,0)),"")</f>
        <v/>
      </c>
      <c r="AH24" s="733" t="str">
        <f t="shared" si="2"/>
        <v/>
      </c>
      <c r="AI24" s="732" t="str">
        <f>IFERROR(INDEX(Reit!I$8:I$115,MATCH(AJ24,Reit!F$8:F$115,0)),"")</f>
        <v/>
      </c>
      <c r="AJ24" s="733" t="str">
        <f t="shared" si="3"/>
        <v/>
      </c>
      <c r="AK24" s="732" t="str">
        <f>IFERROR(INDEX(Reit!I$8:I$115,MATCH(AL24,Reit!F$8:F$115,0)),"")</f>
        <v/>
      </c>
      <c r="AL24" s="733" t="str">
        <f t="shared" si="4"/>
        <v/>
      </c>
    </row>
    <row r="25" spans="1:38" hidden="1" x14ac:dyDescent="0.2">
      <c r="A25" s="1265">
        <v>5</v>
      </c>
      <c r="B25" s="1293"/>
      <c r="C25" s="1277"/>
      <c r="D25" s="1277"/>
      <c r="E25" s="1277"/>
      <c r="F25" s="1277"/>
      <c r="G25" s="1276"/>
      <c r="H25" s="1278" t="str">
        <f>(IF(C25-G21&gt;0,1)+IF(D25-G22&gt;0,1)+IF(E25-G23&gt;0,1)+IF(F25-G24&gt;0,1))&amp;"-"&amp;(IF(C25-G21&lt;0,1)+IF(D25-G22&lt;0,1)+IF(E25-G23&lt;0,1)+IF(F25-G24&lt;0,1))</f>
        <v>0-0</v>
      </c>
      <c r="I25" s="1277" t="str">
        <f>IF(AND(B25&lt;&gt;"",R$20=TRUE),A$20&amp;RANK(R25,R$21:R$25,0)," ")</f>
        <v xml:space="preserve"> </v>
      </c>
      <c r="J25" s="1196">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1282">
        <f>SUM(AND(T25=T21,C25&gt;G21),AND(T25=T22,D25&gt;G22),AND(T25=T23,E25&gt;G23),AND(T25=T24,F25&gt;G24))</f>
        <v>0</v>
      </c>
      <c r="L25" s="1290">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1282">
        <f>SUM(AND(R25=R21,C25&gt;G21),AND(R25=R22,D25&gt;G22),AND(R25=R23,E25&gt;G23),AND(R25=R24,F25&gt;G24))</f>
        <v>0</v>
      </c>
      <c r="N25" s="1283" t="str">
        <f>SUM(C25:G25)&amp;"-"&amp;SUM(G21:G25)</f>
        <v>0-0</v>
      </c>
      <c r="O25" s="1284">
        <f>C25+D25+E25+F25-G21-G22-G23-G24</f>
        <v>0</v>
      </c>
      <c r="P25" s="1220" t="e">
        <f>SUM(C25:G25,G21:G25)/SUM(G21:G25)</f>
        <v>#DIV/0!</v>
      </c>
      <c r="Q25" s="1291">
        <f>VALUE(LEFT(H25,1))</f>
        <v>0</v>
      </c>
      <c r="R25" s="1285">
        <f>Q25*100000+J25*10000+K25*1000+100*L25</f>
        <v>0</v>
      </c>
      <c r="S25" s="1286">
        <f t="shared" si="8"/>
        <v>0</v>
      </c>
      <c r="T25" s="1287" t="str">
        <f>Q25&amp;J25</f>
        <v>00</v>
      </c>
    </row>
    <row r="26" spans="1:38" hidden="1" x14ac:dyDescent="0.2">
      <c r="A26" s="1304"/>
      <c r="B26" s="1305"/>
      <c r="C26" s="1299"/>
      <c r="D26" s="1299"/>
      <c r="E26" s="1299"/>
      <c r="F26" s="811"/>
      <c r="G26" s="811"/>
      <c r="H26" s="1305"/>
      <c r="I26" s="1305"/>
      <c r="J26" s="1177"/>
      <c r="K26" s="1177"/>
      <c r="L26" s="1177"/>
      <c r="M26" s="1177"/>
      <c r="N26" s="1177"/>
      <c r="O26" s="1177"/>
      <c r="P26" s="1177"/>
      <c r="Q26" s="1177"/>
      <c r="R26" s="1301" t="s">
        <v>335</v>
      </c>
      <c r="S26" s="1177"/>
      <c r="T26" s="1177"/>
    </row>
    <row r="27" spans="1:38" hidden="1" x14ac:dyDescent="0.2">
      <c r="A27" s="1265" t="s">
        <v>248</v>
      </c>
      <c r="B27" s="1266"/>
      <c r="C27" s="1267">
        <v>1</v>
      </c>
      <c r="D27" s="1267">
        <v>2</v>
      </c>
      <c r="E27" s="1267">
        <v>3</v>
      </c>
      <c r="F27" s="1267"/>
      <c r="G27" s="1267"/>
      <c r="H27" s="1268" t="s">
        <v>313</v>
      </c>
      <c r="I27" s="1268" t="s">
        <v>296</v>
      </c>
      <c r="J27" s="1269" t="s">
        <v>314</v>
      </c>
      <c r="K27" s="1270" t="s">
        <v>315</v>
      </c>
      <c r="L27" s="1271" t="s">
        <v>316</v>
      </c>
      <c r="M27" s="1271" t="s">
        <v>317</v>
      </c>
      <c r="N27" s="604" t="s">
        <v>344</v>
      </c>
      <c r="O27" s="604" t="s">
        <v>344</v>
      </c>
      <c r="P27" s="1272" t="s">
        <v>318</v>
      </c>
      <c r="Q27" s="1273" t="s">
        <v>183</v>
      </c>
      <c r="R27" s="1273" t="b">
        <f>OR(AND(COUNTA(B28:B32)=3,COUNTA(C28:G32)=6),AND(COUNTA(B28:B32)=4,COUNTA(C28:G32)=12),AND(COUNTA(B28:B32)=5,COUNTA(C28:G32)=20))</f>
        <v>0</v>
      </c>
      <c r="S27" s="1273" t="s">
        <v>319</v>
      </c>
      <c r="T27" s="1274" t="s">
        <v>320</v>
      </c>
      <c r="U27" s="1288"/>
    </row>
    <row r="28" spans="1:38" hidden="1" x14ac:dyDescent="0.2">
      <c r="A28" s="1265">
        <v>1</v>
      </c>
      <c r="B28" s="1306"/>
      <c r="C28" s="1276"/>
      <c r="D28" s="1277"/>
      <c r="E28" s="1277"/>
      <c r="F28" s="1277"/>
      <c r="G28" s="1277"/>
      <c r="H28" s="1278" t="str">
        <f>(IF(D28-C29&gt;0,1)+IF(E28-C30&gt;0,1)+IF(F28-C31&gt;0,1)+IF(G28-C32&gt;0,1))&amp;"-"&amp;(IF(D28-C29&lt;0,1)+IF(E28-C30&lt;0,1)+IF(F28-C31&lt;0,1)+IF(G28-C32&lt;0,1))</f>
        <v>0-0</v>
      </c>
      <c r="I28" s="1277" t="str">
        <f>IF(AND(B28&lt;&gt;"",R$27=TRUE),A$27&amp;RANK(R28,R$28:R$32,0)," ")</f>
        <v xml:space="preserve"> </v>
      </c>
      <c r="J28" s="1279">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1280">
        <f>SUM(AND(T28=T29,D28&gt;C29),AND(T28=T30,E28&gt;C30),AND(T28=T31,F28&gt;C31),AND(T28=T32,G28&gt;C32))</f>
        <v>0</v>
      </c>
      <c r="L28" s="1281">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1282">
        <f>SUM(AND(R28=R29,D28&gt;C29),AND(R28=R30,E28&gt;C30),AND(R28=R31,F28&gt;C31),AND(R28=R32,G28&gt;C32))</f>
        <v>0</v>
      </c>
      <c r="N28" s="1283" t="str">
        <f>SUM(C28:G28)&amp;"-"&amp;SUM(C28:C32)</f>
        <v>0-0</v>
      </c>
      <c r="O28" s="1284">
        <f>D28+E28+F28+G28-C29-C30-C31-C32</f>
        <v>0</v>
      </c>
      <c r="P28" s="1220" t="e">
        <f>SUM(C28:G28,C28:C32)/SUM(C28:C32)</f>
        <v>#DIV/0!</v>
      </c>
      <c r="Q28" s="1285">
        <f>VALUE(LEFT(H28,1))</f>
        <v>0</v>
      </c>
      <c r="R28" s="1285">
        <f>Q28*100000+J28*10000+K28*1000+100*L28</f>
        <v>0</v>
      </c>
      <c r="S28" s="1286">
        <f t="shared" ref="S28:S32" si="9">R28+M28*0.1+IF(ISNONTEXT(B28),0,0.01)+0.0001*O28</f>
        <v>0</v>
      </c>
      <c r="T28" s="1287" t="str">
        <f>Q28&amp;J28</f>
        <v>00</v>
      </c>
      <c r="U28" s="1288"/>
    </row>
    <row r="29" spans="1:38" hidden="1" x14ac:dyDescent="0.2">
      <c r="A29" s="1265">
        <v>2</v>
      </c>
      <c r="B29" s="1289"/>
      <c r="C29" s="1277"/>
      <c r="D29" s="1276"/>
      <c r="E29" s="1277"/>
      <c r="F29" s="1277"/>
      <c r="G29" s="1277"/>
      <c r="H29" s="1278" t="str">
        <f>(IF(C29-D28&gt;0,1)+IF(E29-D30&gt;0,1)+IF(F29-D31&gt;0,1)+IF(G29-D32&gt;0,1))&amp;"-"&amp;(IF(C29-D28&lt;0,1)+IF(E29-D30&lt;0,1)+IF(F29-D31&lt;0,1)+IF(G29-D32&lt;0,1))</f>
        <v>0-0</v>
      </c>
      <c r="I29" s="1277" t="str">
        <f>IF(AND(B29&lt;&gt;"",R$27=TRUE),A$27&amp;RANK(R29,R$28:R$32,0)," ")</f>
        <v xml:space="preserve"> </v>
      </c>
      <c r="J29" s="1196">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1282">
        <f>SUM(AND(T29=T28,C29&gt;D28),AND(T29=T30,E29&gt;D30),AND(T29=T31,F29&gt;D31),AND(T29=T32,G29&gt;D32))</f>
        <v>0</v>
      </c>
      <c r="L29" s="1290">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1282">
        <f>SUM(AND(R29=R28,C29&gt;D28),AND(R29=R30,E29&gt;D30),AND(R29=R31,F29&gt;D31),AND(R29=R32,G29&gt;D32))</f>
        <v>0</v>
      </c>
      <c r="N29" s="1283" t="str">
        <f>SUM(C29:G29)&amp;"-"&amp;SUM(D28:D32)</f>
        <v>0-0</v>
      </c>
      <c r="O29" s="1284">
        <f>C29+E29+F29+G29-D28-D30-D31-D32</f>
        <v>0</v>
      </c>
      <c r="P29" s="1220" t="e">
        <f>SUM(C29:G29,D28:D32)/SUM(D28:D32)</f>
        <v>#DIV/0!</v>
      </c>
      <c r="Q29" s="1291">
        <f>VALUE(LEFT(H29,1))</f>
        <v>0</v>
      </c>
      <c r="R29" s="1285">
        <f>Q29*100000+J29*10000+K29*1000+100*L29</f>
        <v>0</v>
      </c>
      <c r="S29" s="1286">
        <f t="shared" si="9"/>
        <v>0</v>
      </c>
      <c r="T29" s="1287" t="str">
        <f>Q29&amp;J29</f>
        <v>00</v>
      </c>
    </row>
    <row r="30" spans="1:38" hidden="1" x14ac:dyDescent="0.2">
      <c r="A30" s="1265">
        <v>3</v>
      </c>
      <c r="B30" s="1289"/>
      <c r="C30" s="1277"/>
      <c r="D30" s="1292"/>
      <c r="E30" s="1276"/>
      <c r="F30" s="1277"/>
      <c r="G30" s="1277"/>
      <c r="H30" s="1278" t="str">
        <f>(IF(C30-E28&gt;0,1)+IF(D30-E29&gt;0,1)+IF(F30-E31&gt;0,1)+IF(G30-E32&gt;0,1))&amp;"-"&amp;(IF(C30-E28&lt;0,1)+IF(D30-E29&lt;0,1)+IF(F30-E31&lt;0,1)+IF(G30-E32&lt;0,1))</f>
        <v>0-0</v>
      </c>
      <c r="I30" s="1277" t="str">
        <f>IF(AND(B30&lt;&gt;"",R$27=TRUE),A$27&amp;RANK(R30,R$28:R$32,0)," ")</f>
        <v xml:space="preserve"> </v>
      </c>
      <c r="J30" s="1196">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1282">
        <f>SUM(AND(T30=T28,C30&gt;E28),AND(T30=T29,D30&gt;E29),AND(T30=T31,F30&gt;E31),AND(T30=T32,G30&gt;E32))</f>
        <v>0</v>
      </c>
      <c r="L30" s="1290">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1282">
        <f>SUM(AND(R30=R28,C30&gt;E28),AND(R30=R29,D30&gt;E29),AND(R30=R31,F30&gt;E31),AND(R30=R32,G30&gt;E32))</f>
        <v>0</v>
      </c>
      <c r="N30" s="1283" t="str">
        <f>SUM(C30:G30)&amp;"-"&amp;SUM(E28:E32)</f>
        <v>0-0</v>
      </c>
      <c r="O30" s="1284">
        <f>C30+D30+F30+G30-E28-E29-E31-E32</f>
        <v>0</v>
      </c>
      <c r="P30" s="1220" t="e">
        <f>SUM(C30:G30,E28:E32)/SUM(E28:E32)</f>
        <v>#DIV/0!</v>
      </c>
      <c r="Q30" s="1291">
        <f>VALUE(LEFT(H30,1))</f>
        <v>0</v>
      </c>
      <c r="R30" s="1285">
        <f>Q30*100000+J30*10000+K30*1000+100*L30</f>
        <v>0</v>
      </c>
      <c r="S30" s="1286">
        <f t="shared" si="9"/>
        <v>0</v>
      </c>
      <c r="T30" s="1287" t="str">
        <f>Q30&amp;J30</f>
        <v>00</v>
      </c>
      <c r="U30" s="1307"/>
      <c r="V30" s="1307"/>
    </row>
    <row r="31" spans="1:38" hidden="1" x14ac:dyDescent="0.2">
      <c r="A31" s="1265">
        <v>4</v>
      </c>
      <c r="B31" s="1293"/>
      <c r="C31" s="1277"/>
      <c r="D31" s="1292"/>
      <c r="E31" s="1277"/>
      <c r="F31" s="1276"/>
      <c r="G31" s="1294"/>
      <c r="H31" s="1278" t="str">
        <f>(IF(C31-F28&gt;0,1)+IF(D31-F29&gt;0,1)+IF(E31-F30&gt;0,1)+IF(G31-F32&gt;0,1))&amp;"-"&amp;(IF(C31-F28&lt;0,1)+IF(D31-F29&lt;0,1)+IF(E31-F30&lt;0,1)+IF(G31-F32&lt;0,1))</f>
        <v>0-0</v>
      </c>
      <c r="I31" s="1277" t="str">
        <f>IF(AND(B31&lt;&gt;"",R$27=TRUE),A$27&amp;RANK(R31,R$28:R$32,0)," ")</f>
        <v xml:space="preserve"> </v>
      </c>
      <c r="J31" s="1196">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1282">
        <f>SUM(AND(T31=T28,C31&gt;F28),AND(T31=T29,D31&gt;F29),AND(T31=T30,E31&gt;F30),AND(T31=T32,G31&gt;F32))</f>
        <v>0</v>
      </c>
      <c r="L31" s="1290">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1282">
        <f>SUM(AND(R31=R28,C31&gt;F28),AND(R31=R29,D31&gt;F29),AND(R31=R30,E31&gt;F30),AND(R31=R32,G31&gt;F32))</f>
        <v>0</v>
      </c>
      <c r="N31" s="1283" t="str">
        <f>SUM(C31:G31)&amp;"-"&amp;SUM(F28:F32)</f>
        <v>0-0</v>
      </c>
      <c r="O31" s="1284">
        <f>C31+D31+E31+G31-F28-F29-F30-F32</f>
        <v>0</v>
      </c>
      <c r="P31" s="1220" t="e">
        <f>SUM(C31:G31,F28:F32)/SUM(F28:F32)</f>
        <v>#DIV/0!</v>
      </c>
      <c r="Q31" s="1291">
        <f>VALUE(LEFT(H31,1))</f>
        <v>0</v>
      </c>
      <c r="R31" s="1285">
        <f>Q31*100000+J31*10000+K31*1000+100*L31</f>
        <v>0</v>
      </c>
      <c r="S31" s="1286">
        <f t="shared" si="9"/>
        <v>0</v>
      </c>
      <c r="T31" s="1287" t="str">
        <f>Q31&amp;J31</f>
        <v>00</v>
      </c>
    </row>
    <row r="32" spans="1:38" hidden="1" x14ac:dyDescent="0.2">
      <c r="A32" s="1265">
        <v>5</v>
      </c>
      <c r="B32" s="1293"/>
      <c r="C32" s="1277"/>
      <c r="D32" s="1277"/>
      <c r="E32" s="1277"/>
      <c r="F32" s="1277"/>
      <c r="G32" s="1276"/>
      <c r="H32" s="1278" t="str">
        <f>(IF(C32-G28&gt;0,1)+IF(D32-G29&gt;0,1)+IF(E32-G30&gt;0,1)+IF(F32-G31&gt;0,1))&amp;"-"&amp;(IF(C32-G28&lt;0,1)+IF(D32-G29&lt;0,1)+IF(E32-G30&lt;0,1)+IF(F32-G31&lt;0,1))</f>
        <v>0-0</v>
      </c>
      <c r="I32" s="1277" t="str">
        <f>IF(AND(B32&lt;&gt;"",R$27=TRUE),A$27&amp;RANK(R32,R$28:R$32,0)," ")</f>
        <v xml:space="preserve"> </v>
      </c>
      <c r="J32" s="1196">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1282">
        <f>SUM(AND(T32=T28,C32&gt;G28),AND(T32=T29,D32&gt;G29),AND(T32=T30,E32&gt;G30),AND(T32=T31,F32&gt;G31))</f>
        <v>0</v>
      </c>
      <c r="L32" s="1290">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1282">
        <f>SUM(AND(R32=R28,C32&gt;G28),AND(R32=R29,D32&gt;G29),AND(R32=R30,E32&gt;G30),AND(R32=R31,F32&gt;G31))</f>
        <v>0</v>
      </c>
      <c r="N32" s="1283" t="str">
        <f>SUM(C32:G32)&amp;"-"&amp;SUM(G28:G32)</f>
        <v>0-0</v>
      </c>
      <c r="O32" s="1284">
        <f>C32+D32+E32+F32-G28-G29-G30-G31</f>
        <v>0</v>
      </c>
      <c r="P32" s="1220" t="e">
        <f>SUM(C32:G32,G28:G32)/SUM(G28:G32)</f>
        <v>#DIV/0!</v>
      </c>
      <c r="Q32" s="1291">
        <f>VALUE(LEFT(H32,1))</f>
        <v>0</v>
      </c>
      <c r="R32" s="1285">
        <f>Q32*100000+J32*10000+K32*1000+100*L32</f>
        <v>0</v>
      </c>
      <c r="S32" s="1286">
        <f t="shared" si="9"/>
        <v>0</v>
      </c>
      <c r="T32" s="1287" t="str">
        <f>Q32&amp;J32</f>
        <v>00</v>
      </c>
    </row>
    <row r="33" spans="1:20" hidden="1" x14ac:dyDescent="0.2">
      <c r="A33" s="1295"/>
      <c r="B33" s="1299"/>
      <c r="C33" s="1299"/>
      <c r="D33" s="1299"/>
      <c r="E33" s="1299"/>
      <c r="F33" s="1297"/>
      <c r="G33" s="1299"/>
      <c r="H33" s="1308"/>
      <c r="I33" s="1309"/>
      <c r="J33" s="1177"/>
      <c r="K33" s="1177"/>
      <c r="L33" s="1177"/>
      <c r="M33" s="1177"/>
      <c r="N33" s="1177"/>
      <c r="O33" s="1177"/>
      <c r="P33" s="1177"/>
      <c r="Q33" s="1177"/>
      <c r="R33" s="1301" t="s">
        <v>335</v>
      </c>
      <c r="S33" s="1177"/>
      <c r="T33" s="1177"/>
    </row>
    <row r="34" spans="1:20" hidden="1" x14ac:dyDescent="0.2">
      <c r="A34" s="1265" t="s">
        <v>249</v>
      </c>
      <c r="B34" s="1266"/>
      <c r="C34" s="1267">
        <v>1</v>
      </c>
      <c r="D34" s="1267">
        <v>2</v>
      </c>
      <c r="E34" s="1267">
        <v>3</v>
      </c>
      <c r="F34" s="1267">
        <v>4</v>
      </c>
      <c r="G34" s="1267">
        <v>5</v>
      </c>
      <c r="H34" s="1267" t="s">
        <v>313</v>
      </c>
      <c r="I34" s="1268" t="s">
        <v>296</v>
      </c>
      <c r="J34" s="1269" t="s">
        <v>314</v>
      </c>
      <c r="K34" s="1270" t="s">
        <v>315</v>
      </c>
      <c r="L34" s="1271" t="s">
        <v>316</v>
      </c>
      <c r="M34" s="1271" t="s">
        <v>317</v>
      </c>
      <c r="N34" s="604" t="s">
        <v>344</v>
      </c>
      <c r="O34" s="604" t="s">
        <v>344</v>
      </c>
      <c r="P34" s="1272" t="s">
        <v>318</v>
      </c>
      <c r="Q34" s="1273" t="s">
        <v>183</v>
      </c>
      <c r="R34" s="1273" t="b">
        <f>OR(AND(COUNTA(B35:B39)=3,COUNTA(C35:G39)=6),AND(COUNTA(B35:B39)=4,COUNTA(C35:G39)=12),AND(COUNTA(B35:B39)=5,COUNTA(C35:G39)=20))</f>
        <v>0</v>
      </c>
      <c r="S34" s="1273" t="s">
        <v>319</v>
      </c>
      <c r="T34" s="1274" t="s">
        <v>320</v>
      </c>
    </row>
    <row r="35" spans="1:20" hidden="1" x14ac:dyDescent="0.2">
      <c r="A35" s="1265">
        <v>1</v>
      </c>
      <c r="B35" s="1306"/>
      <c r="C35" s="1276"/>
      <c r="D35" s="1277"/>
      <c r="E35" s="1277"/>
      <c r="F35" s="1277"/>
      <c r="G35" s="1277"/>
      <c r="H35" s="1278" t="str">
        <f>(IF(D35-C36&gt;0,1)+IF(E35-C37&gt;0,1)+IF(F35-C38&gt;0,1)+IF(G35-C39&gt;0,1))&amp;"-"&amp;(IF(D35-C36&lt;0,1)+IF(E35-C37&lt;0,1)+IF(F35-C38&lt;0,1)+IF(G35-C39&lt;0,1))</f>
        <v>0-0</v>
      </c>
      <c r="I35" s="1277" t="str">
        <f>IF(AND(B35&lt;&gt;"",R$34=TRUE),A$34&amp;RANK(R35,R$35:R$39,0)," ")</f>
        <v xml:space="preserve"> </v>
      </c>
      <c r="J35" s="1279">
        <f>IF(AND(Q35=1,Q36=1,D35&gt;C36),1)+IF(AND(Q35=1,Q37=1,E35&gt;C37),1)+IF(AND(Q35=1,Q38=1,F35&gt;C38),1)+IF(AND(Q35=1,Q39=1,G35&gt;C39),1)+IF(AND(Q35=2,Q36=2,D35&gt;C36),1)+IF(AND(Q35=2,Q37=2,E35&gt;C37),1)+IF(AND(Q35=2,Q38=2,F35&gt;C38),1)+IF(AND(Q35=2,Q39=2,G35&gt;C39),1)+IF(AND(Q35=3,Q36=3,D35&gt;C36),1)+IF(AND(Q35=3,Q37=3,E35&gt;C37),1)+IF(AND(Q35=3,Q38=3,F35&gt;C38),1)+IF(AND(Q35=3,Q39=3,G35&gt;C39),1)</f>
        <v>0</v>
      </c>
      <c r="K35" s="1280">
        <f>SUM(AND(T35=T36,D35&gt;C36),AND(T35=T37,E35&gt;C37),AND(T35=T38,F35&gt;C38),AND(T35=T39,G35&gt;C39))</f>
        <v>0</v>
      </c>
      <c r="L35" s="1281">
        <f>IF(AND(Q35=1,Q36=1),D35-C36)+IF(AND(Q35=1,Q37=1),E35-C37)+IF(AND(Q35=1,Q38=1),F35-C38)+IF(AND(Q35=1,Q39=1),G35-C39)+IF(AND(Q35=2,Q36=2),D35-C36)+IF(AND(Q35=2,Q37=2),E35-C37)+IF(AND(Q35=2,Q38=2),F35-C38)+IF(AND(Q35=2,Q39=2),G35-C39)+IF(AND(Q35=3,Q36=3),D35-C36)+IF(AND(Q35=3,Q37=3),E35-C37)+IF(AND(Q35=3,Q38=3),F35-C38)+IF(AND(Q35=3,Q39=3),G35-C39)+IF(AND(Q35=4,Q36=4),D35-C36)+IF(AND(Q35=4,Q37=4),E35-C37)+IF(AND(Q35=4,Q38=4),F35-C38)+IF(AND(Q35=4,Q39=4),G35-C39)</f>
        <v>0</v>
      </c>
      <c r="M35" s="1282">
        <f>SUM(AND(R35=R36,D35&gt;C36),AND(R35=R37,E35&gt;C37),AND(R35=R38,F35&gt;C38),AND(R35=R39,G35&gt;C39))</f>
        <v>0</v>
      </c>
      <c r="N35" s="1283" t="str">
        <f>SUM(C35:G35)&amp;"-"&amp;SUM(C35:C39)</f>
        <v>0-0</v>
      </c>
      <c r="O35" s="1284">
        <f>D35+E35+F35+G35-C36-C37-C38-C39</f>
        <v>0</v>
      </c>
      <c r="P35" s="1220" t="e">
        <f>SUM(C35:G35,C35:C39)/SUM(C35:C39)</f>
        <v>#DIV/0!</v>
      </c>
      <c r="Q35" s="1285">
        <f>VALUE(LEFT(H35,1))</f>
        <v>0</v>
      </c>
      <c r="R35" s="1285">
        <f>Q35*100000+J35*10000+K35*1000+100*L35</f>
        <v>0</v>
      </c>
      <c r="S35" s="1286">
        <f t="shared" ref="S35:S39" si="10">R35+M35*0.1+IF(ISNONTEXT(B35),0,0.01)+0.0001*O35</f>
        <v>0</v>
      </c>
      <c r="T35" s="1287" t="str">
        <f>Q35&amp;J35</f>
        <v>00</v>
      </c>
    </row>
    <row r="36" spans="1:20" hidden="1" x14ac:dyDescent="0.2">
      <c r="A36" s="1265">
        <v>2</v>
      </c>
      <c r="B36" s="1289"/>
      <c r="C36" s="1277"/>
      <c r="D36" s="1276"/>
      <c r="E36" s="1277"/>
      <c r="F36" s="1277"/>
      <c r="G36" s="1277"/>
      <c r="H36" s="1278" t="str">
        <f>(IF(C36-D35&gt;0,1)+IF(E36-D37&gt;0,1)+IF(F36-D38&gt;0,1)+IF(G36-D39&gt;0,1))&amp;"-"&amp;(IF(C36-D35&lt;0,1)+IF(E36-D37&lt;0,1)+IF(F36-D38&lt;0,1)+IF(G36-D39&lt;0,1))</f>
        <v>0-0</v>
      </c>
      <c r="I36" s="1277" t="str">
        <f>IF(AND(B36&lt;&gt;"",R$34=TRUE),A$34&amp;RANK(R36,R$35:R$39,0)," ")</f>
        <v xml:space="preserve"> </v>
      </c>
      <c r="J36" s="1196">
        <f>IF(AND(Q36=1,Q35=1,C36&gt;D35),1)+IF(AND(Q36=1,Q37=1,E36&gt;D37),1)+IF(AND(Q36=1,Q38=1,F36&gt;D38),1)+IF(AND(Q36=1,Q39=1,G36&gt;D39),1)+IF(AND(Q36=2,Q35=2,C36&gt;D35),1)+IF(AND(Q36=2,Q37=2,E36&gt;D37),1)+IF(AND(Q36=2,Q38=2,F36&gt;D38),1)+IF(AND(Q36=2,Q39=2,G36&gt;D39),1)+IF(AND(Q36=3,Q35=3,C36&gt;D35),1)+IF(AND(Q36=3,Q37=3,E36&gt;D37),1)+IF(AND(Q36=3,Q38=3,F36&gt;D38),1)+IF(AND(Q36=3,Q39=3,G36&gt;D39),1)</f>
        <v>0</v>
      </c>
      <c r="K36" s="1282">
        <f>SUM(AND(T36=T35,C36&gt;D35),AND(T36=T37,E36&gt;D37),AND(T36=T38,F36&gt;D38),AND(T36=T39,G36&gt;D39))</f>
        <v>0</v>
      </c>
      <c r="L36" s="1290">
        <f>IF(AND(Q36=1,Q35=1),C36-D35)+IF(AND(Q36=1,Q37=1),E36-D37)+IF(AND(Q36=1,Q38=1),F36-D38)+IF(AND(Q36=1,Q39=1),G36-D39)+IF(AND(Q36=2,Q35=2),C36-D35)+IF(AND(Q36=2,Q37=2),E36-D37)+IF(AND(Q36=2,Q38=2),F36-D38)+IF(AND(Q36=2,Q39=2),G36-D39)+IF(AND(Q36=3,Q35=3),C36-D35)+IF(AND(Q36=3,Q37=3),E36-D37)+IF(AND(Q36=3,Q38=3),F36-D38)+IF(AND(Q36=3,Q39=3),G36-D39)+IF(AND(Q36=4,Q35=4),C36-D35)+IF(AND(Q36=4,Q37=4),E36-D37)+IF(AND(Q36=4,Q38=4),F36-D38)+IF(AND(Q36=4,Q39=4),G36-D39)</f>
        <v>0</v>
      </c>
      <c r="M36" s="1282">
        <f>SUM(AND(R36=R35,C36&gt;D35),AND(R36=R37,E36&gt;D37),AND(R36=R38,F36&gt;D38),AND(R36=R39,G36&gt;D39))</f>
        <v>0</v>
      </c>
      <c r="N36" s="1283" t="str">
        <f>SUM(C36:G36)&amp;"-"&amp;SUM(D35:D39)</f>
        <v>0-0</v>
      </c>
      <c r="O36" s="1284">
        <f>C36+E36+F36+G36-D35-D37-D38-D39</f>
        <v>0</v>
      </c>
      <c r="P36" s="1220" t="e">
        <f>SUM(C36:G36,D35:D39)/SUM(D35:D39)</f>
        <v>#DIV/0!</v>
      </c>
      <c r="Q36" s="1291">
        <f>VALUE(LEFT(H36,1))</f>
        <v>0</v>
      </c>
      <c r="R36" s="1285">
        <f>Q36*100000+J36*10000+K36*1000+100*L36</f>
        <v>0</v>
      </c>
      <c r="S36" s="1286">
        <f t="shared" si="10"/>
        <v>0</v>
      </c>
      <c r="T36" s="1287" t="str">
        <f>Q36&amp;J36</f>
        <v>00</v>
      </c>
    </row>
    <row r="37" spans="1:20" hidden="1" x14ac:dyDescent="0.2">
      <c r="A37" s="1265">
        <v>3</v>
      </c>
      <c r="B37" s="1289"/>
      <c r="C37" s="1277"/>
      <c r="D37" s="1292"/>
      <c r="E37" s="1276"/>
      <c r="F37" s="1277"/>
      <c r="G37" s="1277"/>
      <c r="H37" s="1278" t="str">
        <f>(IF(C37-E35&gt;0,1)+IF(D37-E36&gt;0,1)+IF(F37-E38&gt;0,1)+IF(G37-E39&gt;0,1))&amp;"-"&amp;(IF(C37-E35&lt;0,1)+IF(D37-E36&lt;0,1)+IF(F37-E38&lt;0,1)+IF(G37-E39&lt;0,1))</f>
        <v>0-0</v>
      </c>
      <c r="I37" s="1277" t="str">
        <f>IF(AND(B37&lt;&gt;"",R$34=TRUE),A$34&amp;RANK(R37,R$35:R$39,0)," ")</f>
        <v xml:space="preserve"> </v>
      </c>
      <c r="J37" s="1196">
        <f>IF(AND(Q37=1,Q35=1,C37&gt;E35),1)+IF(AND(Q37=1,Q36=1,D37&gt;E36),1)+IF(AND(Q37=1,Q38=1,F37&gt;E38),1)+IF(AND(Q37=1,Q39=1,G37&gt;E39),1)+IF(AND(Q37=2,Q35=2,C37&gt;E35),1)+IF(AND(Q37=2,Q36=2,D37&gt;E36),1)+IF(AND(Q37=2,Q38=2,F37&gt;E38),1)+IF(AND(Q37=2,Q39=2,G37&gt;E39),1)+IF(AND(Q37=3,Q35=3,C37&gt;E35),1)+IF(AND(Q37=3,Q36=3,D37&gt;E36),1)+IF(AND(Q37=3,Q38=3,F37&gt;E38),1)+IF(AND(Q37=3,Q39=3,G37&gt;E39),1)</f>
        <v>0</v>
      </c>
      <c r="K37" s="1282">
        <f>SUM(AND(T37=T35,C37&gt;E35),AND(T37=T36,D37&gt;E36),AND(T37=T38,F37&gt;E38),AND(T37=T39,G37&gt;E39))</f>
        <v>0</v>
      </c>
      <c r="L37" s="1290">
        <f>IF(AND(Q37=1,Q35=1),C37-E35)+IF(AND(Q37=1,Q36=1),D37-E36)+IF(AND(Q37=1,Q38=1),F37-E38)+IF(AND(Q37=1,Q39=1),G37-E39)+IF(AND(Q37=2,Q35=2),C37-E35)+IF(AND(Q37=2,Q36=2),D37-E36)+IF(AND(Q37=2,Q38=2),F37-E38)+IF(AND(Q37=2,Q39=2),G37-E39)+IF(AND(Q37=3,Q35=3),C37-E35)+IF(AND(Q37=3,Q36=3),D37-E36)+IF(AND(Q37=3,Q38=3),F37-E38)+IF(AND(Q37=3,Q39=3),G37-E39)+IF(AND(Q37=4,Q35=4),C37-E35)+IF(AND(Q37=4,Q36=4),D37-E36)+IF(AND(Q37=4,Q38=4),F37-E38)+IF(AND(Q37=4,Q39=4),G37-E39)</f>
        <v>0</v>
      </c>
      <c r="M37" s="1282">
        <f>SUM(AND(R37=R35,C37&gt;E35),AND(R37=R36,D37&gt;E36),AND(R37=R38,F37&gt;E38),AND(R37=R39,G37&gt;E39))</f>
        <v>0</v>
      </c>
      <c r="N37" s="1283" t="str">
        <f>SUM(C37:G37)&amp;"-"&amp;SUM(E35:E39)</f>
        <v>0-0</v>
      </c>
      <c r="O37" s="1284">
        <f>C37+D37+F37+G37-E35-E36-E38-E39</f>
        <v>0</v>
      </c>
      <c r="P37" s="1220" t="e">
        <f>SUM(C37:G37,E35:E39)/SUM(E35:E39)</f>
        <v>#DIV/0!</v>
      </c>
      <c r="Q37" s="1291">
        <f>VALUE(LEFT(H37,1))</f>
        <v>0</v>
      </c>
      <c r="R37" s="1285">
        <f>Q37*100000+J37*10000+K37*1000+100*L37</f>
        <v>0</v>
      </c>
      <c r="S37" s="1286">
        <f t="shared" si="10"/>
        <v>0</v>
      </c>
      <c r="T37" s="1287" t="str">
        <f>Q37&amp;J37</f>
        <v>00</v>
      </c>
    </row>
    <row r="38" spans="1:20" hidden="1" x14ac:dyDescent="0.2">
      <c r="A38" s="1265">
        <v>4</v>
      </c>
      <c r="B38" s="1293"/>
      <c r="C38" s="1277"/>
      <c r="D38" s="1292"/>
      <c r="E38" s="1277"/>
      <c r="F38" s="1276"/>
      <c r="G38" s="1294"/>
      <c r="H38" s="1278" t="str">
        <f>(IF(C38-F35&gt;0,1)+IF(D38-F36&gt;0,1)+IF(E38-F37&gt;0,1)+IF(G38-F39&gt;0,1))&amp;"-"&amp;(IF(C38-F35&lt;0,1)+IF(D38-F36&lt;0,1)+IF(E38-F37&lt;0,1)+IF(G38-F39&lt;0,1))</f>
        <v>0-0</v>
      </c>
      <c r="I38" s="1277" t="str">
        <f>IF(AND(B38&lt;&gt;"",R$34=TRUE),A$34&amp;RANK(R38,R$35:R$39,0)," ")</f>
        <v xml:space="preserve"> </v>
      </c>
      <c r="J38" s="1196">
        <f>IF(AND(Q38=1,Q35=1,C38&gt;F35),1)+IF(AND(Q38=1,Q36=1,D38&gt;F36),1)+IF(AND(Q38=1,Q37=1,E38&gt;F37),1)+IF(AND(Q38=1,Q39=1,G38&gt;F39),1)+IF(AND(Q38=2,Q35=2,C38&gt;F35),1)+IF(AND(Q38=2,Q36=2,D38&gt;F36),1)+IF(AND(Q38=2,Q37=2,E38&gt;F37),1)+IF(AND(Q38=2,Q39=2,G38&gt;F39),1)+IF(AND(Q38=3,Q35=3,C38&gt;F35),1)+IF(AND(Q38=3,Q36=3,D38&gt;F36),1)+IF(AND(Q38=3,Q37=3,E38&gt;F37),1)+IF(AND(Q38=3,Q39=3,G38&gt;F39),1)</f>
        <v>0</v>
      </c>
      <c r="K38" s="1282">
        <f>SUM(AND(T38=T35,C38&gt;F35),AND(T38=T36,D38&gt;F36),AND(T38=T37,E38&gt;F37),AND(T38=T39,G38&gt;F39))</f>
        <v>0</v>
      </c>
      <c r="L38" s="1290">
        <f>IF(AND(Q38=1,Q35=1),C38-F35)+IF(AND(Q38=1,Q36=1),D38-F36)+IF(AND(Q38=1,Q37=1),E38-F37)+IF(AND(Q38=1,Q39=1),G38-F39)+IF(AND(Q38=2,Q35=2),C38-F35)+IF(AND(Q38=2,Q36=2),D38-F36)+IF(AND(Q38=2,Q37=2),E38-F37)+IF(AND(Q38=2,Q39=2),G38-F39)+IF(AND(Q38=3,Q35=3),C38-F35)+IF(AND(Q38=3,Q36=3),D38-F36)+IF(AND(Q38=3,Q37=3),E38-F37)+IF(AND(Q38=3,Q39=3),G38-F39)+IF(AND(Q38=4,Q35=4),C38-F35)+IF(AND(Q38=4,Q36=4),D38-F36)+IF(AND(Q38=4,Q37=4),E38-F37)+IF(AND(Q38=4,Q39=4),G38-F39)</f>
        <v>0</v>
      </c>
      <c r="M38" s="1282">
        <f>SUM(AND(R38=R35,C38&gt;F35),AND(R38=R36,D38&gt;F36),AND(R38=R37,E38&gt;F37),AND(R38=R39,G38&gt;F39))</f>
        <v>0</v>
      </c>
      <c r="N38" s="1283" t="str">
        <f>SUM(C38:G38)&amp;"-"&amp;SUM(F35:F39)</f>
        <v>0-0</v>
      </c>
      <c r="O38" s="1284">
        <f>C38+D38+E38+G38-F35-F36-F37-F39</f>
        <v>0</v>
      </c>
      <c r="P38" s="1220" t="e">
        <f>SUM(C38:G38,F35:F39)/SUM(F35:F39)</f>
        <v>#DIV/0!</v>
      </c>
      <c r="Q38" s="1291">
        <f>VALUE(LEFT(H38,1))</f>
        <v>0</v>
      </c>
      <c r="R38" s="1285">
        <f>Q38*100000+J38*10000+K38*1000+100*L38</f>
        <v>0</v>
      </c>
      <c r="S38" s="1286">
        <f t="shared" si="10"/>
        <v>0</v>
      </c>
      <c r="T38" s="1287" t="str">
        <f>Q38&amp;J38</f>
        <v>00</v>
      </c>
    </row>
    <row r="39" spans="1:20" hidden="1" x14ac:dyDescent="0.2">
      <c r="A39" s="1265">
        <v>5</v>
      </c>
      <c r="B39" s="1293"/>
      <c r="C39" s="1277"/>
      <c r="D39" s="1277"/>
      <c r="E39" s="1277"/>
      <c r="F39" s="1277"/>
      <c r="G39" s="1276"/>
      <c r="H39" s="1278" t="str">
        <f>(IF(C39-G35&gt;0,1)+IF(D39-G36&gt;0,1)+IF(E39-G37&gt;0,1)+IF(F39-G38&gt;0,1))&amp;"-"&amp;(IF(C39-G35&lt;0,1)+IF(D39-G36&lt;0,1)+IF(E39-G37&lt;0,1)+IF(F39-G38&lt;0,1))</f>
        <v>0-0</v>
      </c>
      <c r="I39" s="1277" t="str">
        <f>IF(AND(B39&lt;&gt;"",R$34=TRUE),A$34&amp;RANK(R39,R$35:R$39,0)," ")</f>
        <v xml:space="preserve"> </v>
      </c>
      <c r="J39" s="1196">
        <f>IF(AND(Q39=1,Q35=1,C39&gt;G35),1)+IF(AND(Q39=1,Q36=1,D39&gt;G36),1)+IF(AND(Q39=1,Q37=1,E39&gt;G37),1)+IF(AND(Q39=1,Q38=1,F39&gt;G38),1)+IF(AND(Q39=2,Q35=2,C39&gt;G35),1)+IF(AND(Q39=2,Q36=2,D39&gt;G36),1)+IF(AND(Q39=2,Q37=2,E39&gt;G37),1)+IF(AND(Q39=2,Q38=2,F39&gt;G38),1)+IF(AND(Q39=3,Q35=3,C39&gt;G35),1)+IF(AND(Q39=3,Q36=3,D39&gt;G36),1)+IF(AND(Q39=3,Q37=3,E39&gt;G37),1)+IF(AND(Q39=3,Q38=3,F39&gt;G38),1)</f>
        <v>0</v>
      </c>
      <c r="K39" s="1282">
        <f>SUM(AND(T39=T35,C39&gt;G35),AND(T39=T36,D39&gt;G36),AND(T39=T37,E39&gt;G37),AND(T39=T38,F39&gt;G38))</f>
        <v>0</v>
      </c>
      <c r="L39" s="1290">
        <f>IF(AND(Q39=1,Q35=1),C39-G35)+IF(AND(Q39=1,Q36=1),D39-G36)+IF(AND(Q39=1,Q37=1),E39-G37)+IF(AND(Q39=1,Q38=1),F39-G38)+IF(AND(Q39=2,Q35=2),C39-G35)+IF(AND(Q39=2,Q36=2),D39-G36)+IF(AND(Q39=2,Q37=2),E39-G37)+IF(AND(Q39=2,Q38=2),F39-G38)+IF(AND(Q39=3,Q35=3),C39-G35)+IF(AND(Q39=3,Q36=3),D39-G36)+IF(AND(Q39=3,Q37=3),E39-G37)+IF(AND(Q39=3,Q38=3),F39-G38)+IF(AND(Q39=4,Q35=4),C39-G35)+IF(AND(Q39=4,Q36=4),D39-G36)+IF(AND(Q39=4,Q37=4),E39-G37)+IF(AND(Q39=4,Q38=4),F39-G38)</f>
        <v>0</v>
      </c>
      <c r="M39" s="1282">
        <f>SUM(AND(R39=R35,C39&gt;G35),AND(R39=R36,D39&gt;G36),AND(R39=R37,E39&gt;G37),AND(R39=R38,F39&gt;G38))</f>
        <v>0</v>
      </c>
      <c r="N39" s="1283" t="str">
        <f>SUM(C39:G39)&amp;"-"&amp;SUM(G35:G39)</f>
        <v>0-0</v>
      </c>
      <c r="O39" s="1284">
        <f>C39+D39+E39+F39-G35-G36-G37-G38</f>
        <v>0</v>
      </c>
      <c r="P39" s="1220" t="e">
        <f>SUM(C39:G39,G35:G39)/SUM(G35:G39)</f>
        <v>#DIV/0!</v>
      </c>
      <c r="Q39" s="1291">
        <f>VALUE(LEFT(H39,1))</f>
        <v>0</v>
      </c>
      <c r="R39" s="1285">
        <f>Q39*100000+J39*10000+K39*1000+100*L39</f>
        <v>0</v>
      </c>
      <c r="S39" s="1286">
        <f t="shared" si="10"/>
        <v>0</v>
      </c>
      <c r="T39" s="1287" t="str">
        <f>Q39&amp;J39</f>
        <v>00</v>
      </c>
    </row>
    <row r="40" spans="1:20" hidden="1" x14ac:dyDescent="0.2">
      <c r="A40" s="1295"/>
      <c r="B40" s="1296"/>
      <c r="C40" s="1297"/>
      <c r="D40" s="1297"/>
      <c r="E40" s="1297"/>
      <c r="F40" s="1298"/>
      <c r="G40" s="1299"/>
      <c r="H40" s="1298"/>
      <c r="I40" s="1303"/>
      <c r="J40" s="1177"/>
      <c r="K40" s="1177"/>
      <c r="L40" s="1177"/>
      <c r="M40" s="1177"/>
      <c r="N40" s="1177"/>
      <c r="O40" s="1177"/>
      <c r="P40" s="1177"/>
      <c r="Q40" s="1177"/>
      <c r="R40" s="1301" t="s">
        <v>335</v>
      </c>
      <c r="S40" s="1177"/>
      <c r="T40" s="1177"/>
    </row>
    <row r="41" spans="1:20" hidden="1" x14ac:dyDescent="0.2">
      <c r="A41" s="1265" t="s">
        <v>250</v>
      </c>
      <c r="B41" s="1266"/>
      <c r="C41" s="1267">
        <v>1</v>
      </c>
      <c r="D41" s="1267">
        <v>2</v>
      </c>
      <c r="E41" s="1267">
        <v>3</v>
      </c>
      <c r="F41" s="1267">
        <v>4</v>
      </c>
      <c r="G41" s="1267">
        <v>5</v>
      </c>
      <c r="H41" s="1268" t="s">
        <v>313</v>
      </c>
      <c r="I41" s="1268" t="s">
        <v>296</v>
      </c>
      <c r="J41" s="1269" t="s">
        <v>314</v>
      </c>
      <c r="K41" s="1270" t="s">
        <v>315</v>
      </c>
      <c r="L41" s="1271" t="s">
        <v>316</v>
      </c>
      <c r="M41" s="1271" t="s">
        <v>317</v>
      </c>
      <c r="N41" s="604" t="s">
        <v>344</v>
      </c>
      <c r="O41" s="604" t="s">
        <v>344</v>
      </c>
      <c r="P41" s="1272" t="s">
        <v>318</v>
      </c>
      <c r="Q41" s="1273" t="s">
        <v>183</v>
      </c>
      <c r="R41" s="1273" t="b">
        <f>OR(AND(COUNTA(B42:B46)=3,COUNTA(C42:G46)=6),AND(COUNTA(B42:B46)=4,COUNTA(C42:G46)=12),AND(COUNTA(B42:B46)=5,COUNTA(C42:G46)=20))</f>
        <v>0</v>
      </c>
      <c r="S41" s="1273" t="s">
        <v>319</v>
      </c>
      <c r="T41" s="1274" t="s">
        <v>320</v>
      </c>
    </row>
    <row r="42" spans="1:20" hidden="1" x14ac:dyDescent="0.2">
      <c r="A42" s="1265">
        <v>1</v>
      </c>
      <c r="B42" s="1306"/>
      <c r="C42" s="1276"/>
      <c r="D42" s="1277"/>
      <c r="E42" s="1277"/>
      <c r="F42" s="1277"/>
      <c r="G42" s="1277"/>
      <c r="H42" s="1278" t="str">
        <f>(IF(D42-C43&gt;0,1)+IF(E42-C44&gt;0,1)+IF(F42-C45&gt;0,1)+IF(G42-C46&gt;0,1))&amp;"-"&amp;(IF(D42-C43&lt;0,1)+IF(E42-C44&lt;0,1)+IF(F42-C45&lt;0,1)+IF(G42-C46&lt;0,1))</f>
        <v>0-0</v>
      </c>
      <c r="I42" s="1277" t="str">
        <f>IF(AND(B42&lt;&gt;"",R$41=TRUE),A$41&amp;RANK(R42,R$42:R$46,0)," ")</f>
        <v xml:space="preserve"> </v>
      </c>
      <c r="J42" s="1279">
        <f>IF(AND(Q42=1,Q43=1,D42&gt;C43),1)+IF(AND(Q42=1,Q44=1,E42&gt;C44),1)+IF(AND(Q42=1,Q45=1,F42&gt;C45),1)+IF(AND(Q42=1,Q46=1,G42&gt;C46),1)+IF(AND(Q42=2,Q43=2,D42&gt;C43),1)+IF(AND(Q42=2,Q44=2,E42&gt;C44),1)+IF(AND(Q42=2,Q45=2,F42&gt;C45),1)+IF(AND(Q42=2,Q46=2,G42&gt;C46),1)+IF(AND(Q42=3,Q43=3,D42&gt;C43),1)+IF(AND(Q42=3,Q44=3,E42&gt;C44),1)+IF(AND(Q42=3,Q45=3,F42&gt;C45),1)+IF(AND(Q42=3,Q46=3,G42&gt;C46),1)</f>
        <v>0</v>
      </c>
      <c r="K42" s="1280">
        <f>SUM(AND(T42=T43,D42&gt;C43),AND(T42=T44,E42&gt;C44),AND(T42=T45,F42&gt;C45),AND(T42=T46,G42&gt;C46))</f>
        <v>0</v>
      </c>
      <c r="L42" s="1281">
        <f>IF(AND(Q42=1,Q43=1),D42-C43)+IF(AND(Q42=1,Q44=1),E42-C44)+IF(AND(Q42=1,Q45=1),F42-C45)+IF(AND(Q42=1,Q46=1),G42-C46)+IF(AND(Q42=2,Q43=2),D42-C43)+IF(AND(Q42=2,Q44=2),E42-C44)+IF(AND(Q42=2,Q45=2),F42-C45)+IF(AND(Q42=2,Q46=2),G42-C46)+IF(AND(Q42=3,Q43=3),D42-C43)+IF(AND(Q42=3,Q44=3),E42-C44)+IF(AND(Q42=3,Q45=3),F42-C45)+IF(AND(Q42=3,Q46=3),G42-C46)+IF(AND(Q42=4,Q43=4),D42-C43)+IF(AND(Q42=4,Q44=4),E42-C44)+IF(AND(Q42=4,Q45=4),F42-C45)+IF(AND(Q42=4,Q46=4),G42-C46)</f>
        <v>0</v>
      </c>
      <c r="M42" s="1282">
        <f>SUM(AND(R42=R43,D42&gt;C43),AND(R42=R44,E42&gt;C44),AND(R42=R45,F42&gt;C45),AND(R42=R46,G42&gt;C46))</f>
        <v>0</v>
      </c>
      <c r="N42" s="1283" t="str">
        <f>SUM(C42:G42)&amp;"-"&amp;SUM(C42:C46)</f>
        <v>0-0</v>
      </c>
      <c r="O42" s="1284">
        <f>D42+E42+F42+G42-C43-C44-C45-C46</f>
        <v>0</v>
      </c>
      <c r="P42" s="1220" t="e">
        <f>SUM(C42:G42,C42:C46)/SUM(C42:C46)</f>
        <v>#DIV/0!</v>
      </c>
      <c r="Q42" s="1285">
        <f>VALUE(LEFT(H42,1))</f>
        <v>0</v>
      </c>
      <c r="R42" s="1285">
        <f>Q42*100000+J42*10000+K42*1000+100*L42</f>
        <v>0</v>
      </c>
      <c r="S42" s="1286">
        <f t="shared" ref="S42:S46" si="11">R42+M42*0.1+IF(ISNONTEXT(B42),0,0.01)+0.0001*O42</f>
        <v>0</v>
      </c>
      <c r="T42" s="1287" t="str">
        <f>Q42&amp;J42</f>
        <v>00</v>
      </c>
    </row>
    <row r="43" spans="1:20" hidden="1" x14ac:dyDescent="0.2">
      <c r="A43" s="1265">
        <v>2</v>
      </c>
      <c r="B43" s="1289"/>
      <c r="C43" s="1277"/>
      <c r="D43" s="1276"/>
      <c r="E43" s="1277"/>
      <c r="F43" s="1277"/>
      <c r="G43" s="1277"/>
      <c r="H43" s="1278" t="str">
        <f>(IF(C43-D42&gt;0,1)+IF(E43-D44&gt;0,1)+IF(F43-D45&gt;0,1)+IF(G43-D46&gt;0,1))&amp;"-"&amp;(IF(C43-D42&lt;0,1)+IF(E43-D44&lt;0,1)+IF(F43-D45&lt;0,1)+IF(G43-D46&lt;0,1))</f>
        <v>0-0</v>
      </c>
      <c r="I43" s="1277" t="str">
        <f>IF(AND(B43&lt;&gt;"",R$41=TRUE),A$41&amp;RANK(R43,R$42:R$46,0)," ")</f>
        <v xml:space="preserve"> </v>
      </c>
      <c r="J43" s="1196">
        <f>IF(AND(Q43=1,Q42=1,C43&gt;D42),1)+IF(AND(Q43=1,Q44=1,E43&gt;D44),1)+IF(AND(Q43=1,Q45=1,F43&gt;D45),1)+IF(AND(Q43=1,Q46=1,G43&gt;D46),1)+IF(AND(Q43=2,Q42=2,C43&gt;D42),1)+IF(AND(Q43=2,Q44=2,E43&gt;D44),1)+IF(AND(Q43=2,Q45=2,F43&gt;D45),1)+IF(AND(Q43=2,Q46=2,G43&gt;D46),1)+IF(AND(Q43=3,Q42=3,C43&gt;D42),1)+IF(AND(Q43=3,Q44=3,E43&gt;D44),1)+IF(AND(Q43=3,Q45=3,F43&gt;D45),1)+IF(AND(Q43=3,Q46=3,G43&gt;D46),1)</f>
        <v>0</v>
      </c>
      <c r="K43" s="1282">
        <f>SUM(AND(T43=T42,C43&gt;D42),AND(T43=T44,E43&gt;D44),AND(T43=T45,F43&gt;D45),AND(T43=T46,G43&gt;D46))</f>
        <v>0</v>
      </c>
      <c r="L43" s="1290">
        <f>IF(AND(Q43=1,Q42=1),C43-D42)+IF(AND(Q43=1,Q44=1),E43-D44)+IF(AND(Q43=1,Q45=1),F43-D45)+IF(AND(Q43=1,Q46=1),G43-D46)+IF(AND(Q43=2,Q42=2),C43-D42)+IF(AND(Q43=2,Q44=2),E43-D44)+IF(AND(Q43=2,Q45=2),F43-D45)+IF(AND(Q43=2,Q46=2),G43-D46)+IF(AND(Q43=3,Q42=3),C43-D42)+IF(AND(Q43=3,Q44=3),E43-D44)+IF(AND(Q43=3,Q45=3),F43-D45)+IF(AND(Q43=3,Q46=3),G43-D46)+IF(AND(Q43=4,Q42=4),C43-D42)+IF(AND(Q43=4,Q44=4),E43-D44)+IF(AND(Q43=4,Q45=4),F43-D45)+IF(AND(Q43=4,Q46=4),G43-D46)</f>
        <v>0</v>
      </c>
      <c r="M43" s="1282">
        <f>SUM(AND(R43=R42,C43&gt;D42),AND(R43=R44,E43&gt;D44),AND(R43=R45,F43&gt;D45),AND(R43=R46,G43&gt;D46))</f>
        <v>0</v>
      </c>
      <c r="N43" s="1283" t="str">
        <f>SUM(C43:G43)&amp;"-"&amp;SUM(D42:D46)</f>
        <v>0-0</v>
      </c>
      <c r="O43" s="1284">
        <f>C43+E43+F43+G43-D42-D44-D45-D46</f>
        <v>0</v>
      </c>
      <c r="P43" s="1220" t="e">
        <f>SUM(C43:G43,D42:D46)/SUM(D42:D46)</f>
        <v>#DIV/0!</v>
      </c>
      <c r="Q43" s="1291">
        <f>VALUE(LEFT(H43,1))</f>
        <v>0</v>
      </c>
      <c r="R43" s="1285">
        <f>Q43*100000+J43*10000+K43*1000+100*L43</f>
        <v>0</v>
      </c>
      <c r="S43" s="1286">
        <f t="shared" si="11"/>
        <v>0</v>
      </c>
      <c r="T43" s="1287" t="str">
        <f>Q43&amp;J43</f>
        <v>00</v>
      </c>
    </row>
    <row r="44" spans="1:20" hidden="1" x14ac:dyDescent="0.2">
      <c r="A44" s="1265">
        <v>3</v>
      </c>
      <c r="B44" s="1289"/>
      <c r="C44" s="1277"/>
      <c r="D44" s="1292"/>
      <c r="E44" s="1276"/>
      <c r="F44" s="1277"/>
      <c r="G44" s="1277"/>
      <c r="H44" s="1278" t="str">
        <f>(IF(C44-E42&gt;0,1)+IF(D44-E43&gt;0,1)+IF(F44-E45&gt;0,1)+IF(G44-E46&gt;0,1))&amp;"-"&amp;(IF(C44-E42&lt;0,1)+IF(D44-E43&lt;0,1)+IF(F44-E45&lt;0,1)+IF(G44-E46&lt;0,1))</f>
        <v>0-0</v>
      </c>
      <c r="I44" s="1277" t="str">
        <f>IF(AND(B44&lt;&gt;"",R$41=TRUE),A$41&amp;RANK(R44,R$42:R$46,0)," ")</f>
        <v xml:space="preserve"> </v>
      </c>
      <c r="J44" s="1196">
        <f>IF(AND(Q44=1,Q42=1,C44&gt;E42),1)+IF(AND(Q44=1,Q43=1,D44&gt;E43),1)+IF(AND(Q44=1,Q45=1,F44&gt;E45),1)+IF(AND(Q44=1,Q46=1,G44&gt;E46),1)+IF(AND(Q44=2,Q42=2,C44&gt;E42),1)+IF(AND(Q44=2,Q43=2,D44&gt;E43),1)+IF(AND(Q44=2,Q45=2,F44&gt;E45),1)+IF(AND(Q44=2,Q46=2,G44&gt;E46),1)+IF(AND(Q44=3,Q42=3,C44&gt;E42),1)+IF(AND(Q44=3,Q43=3,D44&gt;E43),1)+IF(AND(Q44=3,Q45=3,F44&gt;E45),1)+IF(AND(Q44=3,Q46=3,G44&gt;E46),1)</f>
        <v>0</v>
      </c>
      <c r="K44" s="1282">
        <f>SUM(AND(T44=T42,C44&gt;E42),AND(T44=T43,D44&gt;E43),AND(T44=T45,F44&gt;E45),AND(T44=T46,G44&gt;E46))</f>
        <v>0</v>
      </c>
      <c r="L44" s="1290">
        <f>IF(AND(Q44=1,Q42=1),C44-E42)+IF(AND(Q44=1,Q43=1),D44-E43)+IF(AND(Q44=1,Q45=1),F44-E45)+IF(AND(Q44=1,Q46=1),G44-E46)+IF(AND(Q44=2,Q42=2),C44-E42)+IF(AND(Q44=2,Q43=2),D44-E43)+IF(AND(Q44=2,Q45=2),F44-E45)+IF(AND(Q44=2,Q46=2),G44-E46)+IF(AND(Q44=3,Q42=3),C44-E42)+IF(AND(Q44=3,Q43=3),D44-E43)+IF(AND(Q44=3,Q45=3),F44-E45)+IF(AND(Q44=3,Q46=3),G44-E46)+IF(AND(Q44=4,Q42=4),C44-E42)+IF(AND(Q44=4,Q43=4),D44-E43)+IF(AND(Q44=4,Q45=4),F44-E45)+IF(AND(Q44=4,Q46=4),G44-E46)</f>
        <v>0</v>
      </c>
      <c r="M44" s="1282">
        <f>SUM(AND(R44=R42,C44&gt;E42),AND(R44=R43,D44&gt;E43),AND(R44=R45,F44&gt;E45),AND(R44=R46,G44&gt;E46))</f>
        <v>0</v>
      </c>
      <c r="N44" s="1283" t="str">
        <f>SUM(C44:G44)&amp;"-"&amp;SUM(E42:E46)</f>
        <v>0-0</v>
      </c>
      <c r="O44" s="1284">
        <f>C44+D44+F44+G44-E42-E43-E45-E46</f>
        <v>0</v>
      </c>
      <c r="P44" s="1220" t="e">
        <f>SUM(C44:G44,E42:E46)/SUM(E42:E46)</f>
        <v>#DIV/0!</v>
      </c>
      <c r="Q44" s="1291">
        <f>VALUE(LEFT(H44,1))</f>
        <v>0</v>
      </c>
      <c r="R44" s="1285">
        <f>Q44*100000+J44*10000+K44*1000+100*L44</f>
        <v>0</v>
      </c>
      <c r="S44" s="1286">
        <f t="shared" si="11"/>
        <v>0</v>
      </c>
      <c r="T44" s="1287" t="str">
        <f>Q44&amp;J44</f>
        <v>00</v>
      </c>
    </row>
    <row r="45" spans="1:20" hidden="1" x14ac:dyDescent="0.2">
      <c r="A45" s="1265">
        <v>4</v>
      </c>
      <c r="B45" s="1293"/>
      <c r="C45" s="1277"/>
      <c r="D45" s="1292"/>
      <c r="E45" s="1277"/>
      <c r="F45" s="1276"/>
      <c r="G45" s="1294"/>
      <c r="H45" s="1278" t="str">
        <f>(IF(C45-F42&gt;0,1)+IF(D45-F43&gt;0,1)+IF(E45-F44&gt;0,1)+IF(G45-F46&gt;0,1))&amp;"-"&amp;(IF(C45-F42&lt;0,1)+IF(D45-F43&lt;0,1)+IF(E45-F44&lt;0,1)+IF(G45-F46&lt;0,1))</f>
        <v>0-0</v>
      </c>
      <c r="I45" s="1277" t="str">
        <f>IF(AND(B45&lt;&gt;"",R$41=TRUE),A$41&amp;RANK(R45,R$42:R$46,0)," ")</f>
        <v xml:space="preserve"> </v>
      </c>
      <c r="J45" s="1196">
        <f>IF(AND(Q45=1,Q42=1,C45&gt;F42),1)+IF(AND(Q45=1,Q43=1,D45&gt;F43),1)+IF(AND(Q45=1,Q44=1,E45&gt;F44),1)+IF(AND(Q45=1,Q46=1,G45&gt;F46),1)+IF(AND(Q45=2,Q42=2,C45&gt;F42),1)+IF(AND(Q45=2,Q43=2,D45&gt;F43),1)+IF(AND(Q45=2,Q44=2,E45&gt;F44),1)+IF(AND(Q45=2,Q46=2,G45&gt;F46),1)+IF(AND(Q45=3,Q42=3,C45&gt;F42),1)+IF(AND(Q45=3,Q43=3,D45&gt;F43),1)+IF(AND(Q45=3,Q44=3,E45&gt;F44),1)+IF(AND(Q45=3,Q46=3,G45&gt;F46),1)</f>
        <v>0</v>
      </c>
      <c r="K45" s="1282">
        <f>SUM(AND(T45=T42,C45&gt;F42),AND(T45=T43,D45&gt;F43),AND(T45=T44,E45&gt;F44),AND(T45=T46,G45&gt;F46))</f>
        <v>0</v>
      </c>
      <c r="L45" s="1290">
        <f>IF(AND(Q45=1,Q42=1),C45-F42)+IF(AND(Q45=1,Q43=1),D45-F43)+IF(AND(Q45=1,Q44=1),E45-F44)+IF(AND(Q45=1,Q46=1),G45-F46)+IF(AND(Q45=2,Q42=2),C45-F42)+IF(AND(Q45=2,Q43=2),D45-F43)+IF(AND(Q45=2,Q44=2),E45-F44)+IF(AND(Q45=2,Q46=2),G45-F46)+IF(AND(Q45=3,Q42=3),C45-F42)+IF(AND(Q45=3,Q43=3),D45-F43)+IF(AND(Q45=3,Q44=3),E45-F44)+IF(AND(Q45=3,Q46=3),G45-F46)+IF(AND(Q45=4,Q42=4),C45-F42)+IF(AND(Q45=4,Q43=4),D45-F43)+IF(AND(Q45=4,Q44=4),E45-F44)+IF(AND(Q45=4,Q46=4),G45-F46)</f>
        <v>0</v>
      </c>
      <c r="M45" s="1282">
        <f>SUM(AND(R45=R42,C45&gt;F42),AND(R45=R43,D45&gt;F43),AND(R45=R44,E45&gt;F44),AND(R45=R46,G45&gt;F46))</f>
        <v>0</v>
      </c>
      <c r="N45" s="1283" t="str">
        <f>SUM(C45:G45)&amp;"-"&amp;SUM(F42:F46)</f>
        <v>0-0</v>
      </c>
      <c r="O45" s="1284">
        <f>C45+D45+E45+G45-F42-F43-F44-F46</f>
        <v>0</v>
      </c>
      <c r="P45" s="1220" t="e">
        <f>SUM(C45:G45,F42:F46)/SUM(F42:F46)</f>
        <v>#DIV/0!</v>
      </c>
      <c r="Q45" s="1291">
        <f>VALUE(LEFT(H45,1))</f>
        <v>0</v>
      </c>
      <c r="R45" s="1285">
        <f>Q45*100000+J45*10000+K45*1000+100*L45</f>
        <v>0</v>
      </c>
      <c r="S45" s="1286">
        <f t="shared" si="11"/>
        <v>0</v>
      </c>
      <c r="T45" s="1287" t="str">
        <f>Q45&amp;J45</f>
        <v>00</v>
      </c>
    </row>
    <row r="46" spans="1:20" hidden="1" x14ac:dyDescent="0.2">
      <c r="A46" s="1265">
        <v>5</v>
      </c>
      <c r="B46" s="1293"/>
      <c r="C46" s="1277"/>
      <c r="D46" s="1277"/>
      <c r="E46" s="1277"/>
      <c r="F46" s="1277"/>
      <c r="G46" s="1276"/>
      <c r="H46" s="1278" t="str">
        <f>(IF(C46-G42&gt;0,1)+IF(D46-G43&gt;0,1)+IF(E46-G44&gt;0,1)+IF(F46-G45&gt;0,1))&amp;"-"&amp;(IF(C46-G42&lt;0,1)+IF(D46-G43&lt;0,1)+IF(E46-G44&lt;0,1)+IF(F46-G45&lt;0,1))</f>
        <v>0-0</v>
      </c>
      <c r="I46" s="1277" t="str">
        <f>IF(AND(B46&lt;&gt;"",R$41=TRUE),A$41&amp;RANK(R46,R$42:R$46,0)," ")</f>
        <v xml:space="preserve"> </v>
      </c>
      <c r="J46" s="1196">
        <f>IF(AND(Q46=1,Q42=1,C46&gt;G42),1)+IF(AND(Q46=1,Q43=1,D46&gt;G43),1)+IF(AND(Q46=1,Q44=1,E46&gt;G44),1)+IF(AND(Q46=1,Q45=1,F46&gt;G45),1)+IF(AND(Q46=2,Q42=2,C46&gt;G42),1)+IF(AND(Q46=2,Q43=2,D46&gt;G43),1)+IF(AND(Q46=2,Q44=2,E46&gt;G44),1)+IF(AND(Q46=2,Q45=2,F46&gt;G45),1)+IF(AND(Q46=3,Q42=3,C46&gt;G42),1)+IF(AND(Q46=3,Q43=3,D46&gt;G43),1)+IF(AND(Q46=3,Q44=3,E46&gt;G44),1)+IF(AND(Q46=3,Q45=3,F46&gt;G45),1)</f>
        <v>0</v>
      </c>
      <c r="K46" s="1282">
        <f>SUM(AND(T46=T42,C46&gt;G42),AND(T46=T43,D46&gt;G43),AND(T46=T44,E46&gt;G44),AND(T46=T45,F46&gt;G45))</f>
        <v>0</v>
      </c>
      <c r="L46" s="1290">
        <f>IF(AND(Q46=1,Q42=1),C46-G42)+IF(AND(Q46=1,Q43=1),D46-G43)+IF(AND(Q46=1,Q44=1),E46-G44)+IF(AND(Q46=1,Q45=1),F46-G45)+IF(AND(Q46=2,Q42=2),C46-G42)+IF(AND(Q46=2,Q43=2),D46-G43)+IF(AND(Q46=2,Q44=2),E46-G44)+IF(AND(Q46=2,Q45=2),F46-G45)+IF(AND(Q46=3,Q42=3),C46-G42)+IF(AND(Q46=3,Q43=3),D46-G43)+IF(AND(Q46=3,Q44=3),E46-G44)+IF(AND(Q46=3,Q45=3),F46-G45)+IF(AND(Q46=4,Q42=4),C46-G42)+IF(AND(Q46=4,Q43=4),D46-G43)+IF(AND(Q46=4,Q44=4),E46-G44)+IF(AND(Q46=4,Q45=4),F46-G45)</f>
        <v>0</v>
      </c>
      <c r="M46" s="1282">
        <f>SUM(AND(R46=R42,C46&gt;G42),AND(R46=R43,D46&gt;G43),AND(R46=R44,E46&gt;G44),AND(R46=R45,F46&gt;G45))</f>
        <v>0</v>
      </c>
      <c r="N46" s="1283" t="str">
        <f>SUM(C46:G46)&amp;"-"&amp;SUM(G42:G46)</f>
        <v>0-0</v>
      </c>
      <c r="O46" s="1284">
        <f>C46+D46+E46+F46-G42-G43-G44-G45</f>
        <v>0</v>
      </c>
      <c r="P46" s="1220" t="e">
        <f>SUM(C46:G46,G42:G46)/SUM(G42:G46)</f>
        <v>#DIV/0!</v>
      </c>
      <c r="Q46" s="1291">
        <f>VALUE(LEFT(H46,1))</f>
        <v>0</v>
      </c>
      <c r="R46" s="1285">
        <f>Q46*100000+J46*10000+K46*1000+100*L46</f>
        <v>0</v>
      </c>
      <c r="S46" s="1286">
        <f t="shared" si="11"/>
        <v>0</v>
      </c>
      <c r="T46" s="1287" t="str">
        <f>Q46&amp;J46</f>
        <v>00</v>
      </c>
    </row>
    <row r="47" spans="1:20" hidden="1" x14ac:dyDescent="0.2">
      <c r="A47" s="1295"/>
      <c r="B47" s="1296"/>
      <c r="C47" s="1297"/>
      <c r="D47" s="1297"/>
      <c r="E47" s="1297"/>
      <c r="F47" s="1298"/>
      <c r="G47" s="1299"/>
      <c r="H47" s="1298"/>
      <c r="I47" s="1303"/>
      <c r="J47" s="1177"/>
      <c r="K47" s="1177"/>
      <c r="L47" s="1177"/>
      <c r="M47" s="1177"/>
      <c r="N47" s="1177"/>
      <c r="O47" s="1177"/>
      <c r="P47" s="1177"/>
      <c r="Q47" s="1177"/>
      <c r="R47" s="1301" t="s">
        <v>335</v>
      </c>
      <c r="S47" s="1177"/>
      <c r="T47" s="1177"/>
    </row>
    <row r="48" spans="1:20" hidden="1" x14ac:dyDescent="0.2">
      <c r="A48" s="1265" t="s">
        <v>251</v>
      </c>
      <c r="B48" s="1266"/>
      <c r="C48" s="1267">
        <v>1</v>
      </c>
      <c r="D48" s="1267">
        <v>2</v>
      </c>
      <c r="E48" s="1267">
        <v>3</v>
      </c>
      <c r="F48" s="1267">
        <v>4</v>
      </c>
      <c r="G48" s="1267">
        <v>5</v>
      </c>
      <c r="H48" s="1268" t="s">
        <v>313</v>
      </c>
      <c r="I48" s="1268" t="s">
        <v>296</v>
      </c>
      <c r="J48" s="1269" t="s">
        <v>314</v>
      </c>
      <c r="K48" s="1270" t="s">
        <v>315</v>
      </c>
      <c r="L48" s="1271" t="s">
        <v>316</v>
      </c>
      <c r="M48" s="1271" t="s">
        <v>317</v>
      </c>
      <c r="N48" s="604" t="s">
        <v>344</v>
      </c>
      <c r="O48" s="604" t="s">
        <v>344</v>
      </c>
      <c r="P48" s="1272" t="s">
        <v>318</v>
      </c>
      <c r="Q48" s="1273" t="s">
        <v>183</v>
      </c>
      <c r="R48" s="1273" t="b">
        <f>OR(AND(COUNTA(B49:B53)=3,COUNTA(C49:G53)=6),AND(COUNTA(B49:B53)=4,COUNTA(C49:G53)=12),AND(COUNTA(B49:B53)=5,COUNTA(C49:G53)=20))</f>
        <v>0</v>
      </c>
      <c r="S48" s="1273" t="s">
        <v>319</v>
      </c>
      <c r="T48" s="1274" t="s">
        <v>320</v>
      </c>
    </row>
    <row r="49" spans="1:20" hidden="1" x14ac:dyDescent="0.2">
      <c r="A49" s="1265">
        <v>1</v>
      </c>
      <c r="B49" s="1306"/>
      <c r="C49" s="1276"/>
      <c r="D49" s="1277"/>
      <c r="E49" s="1277"/>
      <c r="F49" s="1277"/>
      <c r="G49" s="1277"/>
      <c r="H49" s="1278" t="str">
        <f>(IF(D49-C50&gt;0,1)+IF(E49-C51&gt;0,1)+IF(F49-C52&gt;0,1)+IF(G49-C53&gt;0,1))&amp;"-"&amp;(IF(D49-C50&lt;0,1)+IF(E49-C51&lt;0,1)+IF(F49-C52&lt;0,1)+IF(G49-C53&lt;0,1))</f>
        <v>0-0</v>
      </c>
      <c r="I49" s="1277" t="str">
        <f>IF(AND(B49&lt;&gt;"",R$48=TRUE),A$48&amp;RANK(R49,R$49:R$53,0)," ")</f>
        <v xml:space="preserve"> </v>
      </c>
      <c r="J49" s="1279">
        <f>IF(AND(Q49=1,Q50=1,D49&gt;C50),1)+IF(AND(Q49=1,Q51=1,E49&gt;C51),1)+IF(AND(Q49=1,Q52=1,F49&gt;C52),1)+IF(AND(Q49=1,Q53=1,G49&gt;C53),1)+IF(AND(Q49=2,Q50=2,D49&gt;C50),1)+IF(AND(Q49=2,Q51=2,E49&gt;C51),1)+IF(AND(Q49=2,Q52=2,F49&gt;C52),1)+IF(AND(Q49=2,Q53=2,G49&gt;C53),1)+IF(AND(Q49=3,Q50=3,D49&gt;C50),1)+IF(AND(Q49=3,Q51=3,E49&gt;C51),1)+IF(AND(Q49=3,Q52=3,F49&gt;C52),1)+IF(AND(Q49=3,Q53=3,G49&gt;C53),1)</f>
        <v>0</v>
      </c>
      <c r="K49" s="1280">
        <f>SUM(AND(T49=T50,D49&gt;C50),AND(T49=T51,E49&gt;C51),AND(T49=T52,F49&gt;C52),AND(T49=T53,G49&gt;C53))</f>
        <v>0</v>
      </c>
      <c r="L49" s="1281">
        <f>IF(AND(Q49=1,Q50=1),D49-C50)+IF(AND(Q49=1,Q51=1),E49-C51)+IF(AND(Q49=1,Q52=1),F49-C52)+IF(AND(Q49=1,Q53=1),G49-C53)+IF(AND(Q49=2,Q50=2),D49-C50)+IF(AND(Q49=2,Q51=2),E49-C51)+IF(AND(Q49=2,Q52=2),F49-C52)+IF(AND(Q49=2,Q53=2),G49-C53)+IF(AND(Q49=3,Q50=3),D49-C50)+IF(AND(Q49=3,Q51=3),E49-C51)+IF(AND(Q49=3,Q52=3),F49-C52)+IF(AND(Q49=3,Q53=3),G49-C53)+IF(AND(Q49=4,Q50=4),D49-C50)+IF(AND(Q49=4,Q51=4),E49-C51)+IF(AND(Q49=4,Q52=4),F49-C52)+IF(AND(Q49=4,Q53=4),G49-C53)</f>
        <v>0</v>
      </c>
      <c r="M49" s="1282">
        <f>SUM(AND(R49=R50,D49&gt;C50),AND(R49=R51,E49&gt;C51),AND(R49=R52,F49&gt;C52),AND(R49=R53,G49&gt;C53))</f>
        <v>0</v>
      </c>
      <c r="N49" s="1283" t="str">
        <f>SUM(C49:G49)&amp;"-"&amp;SUM(C49:C53)</f>
        <v>0-0</v>
      </c>
      <c r="O49" s="1284">
        <f>D49+E49+F49+G49-C50-C51-C52-C53</f>
        <v>0</v>
      </c>
      <c r="P49" s="1220" t="e">
        <f>SUM(C49:G49,C49:C53)/SUM(C49:C53)</f>
        <v>#DIV/0!</v>
      </c>
      <c r="Q49" s="1285">
        <f>VALUE(LEFT(H49,1))</f>
        <v>0</v>
      </c>
      <c r="R49" s="1285">
        <f>Q49*100000+J49*10000+K49*1000+100*L49</f>
        <v>0</v>
      </c>
      <c r="S49" s="1286">
        <f t="shared" ref="S49:S53" si="12">R49+M49*0.1+IF(ISNONTEXT(B49),0,0.01)+0.0001*O49</f>
        <v>0</v>
      </c>
      <c r="T49" s="1287" t="str">
        <f>Q49&amp;J49</f>
        <v>00</v>
      </c>
    </row>
    <row r="50" spans="1:20" hidden="1" x14ac:dyDescent="0.2">
      <c r="A50" s="1265">
        <v>2</v>
      </c>
      <c r="B50" s="1289"/>
      <c r="C50" s="1277"/>
      <c r="D50" s="1276"/>
      <c r="E50" s="1277"/>
      <c r="F50" s="1277"/>
      <c r="G50" s="1277"/>
      <c r="H50" s="1278" t="str">
        <f>(IF(C50-D49&gt;0,1)+IF(E50-D51&gt;0,1)+IF(F50-D52&gt;0,1)+IF(G50-D53&gt;0,1))&amp;"-"&amp;(IF(C50-D49&lt;0,1)+IF(E50-D51&lt;0,1)+IF(F50-D52&lt;0,1)+IF(G50-D53&lt;0,1))</f>
        <v>0-0</v>
      </c>
      <c r="I50" s="1277" t="str">
        <f>IF(AND(B50&lt;&gt;"",R$48=TRUE),A$48&amp;RANK(R50,R$49:R$53,0)," ")</f>
        <v xml:space="preserve"> </v>
      </c>
      <c r="J50" s="1196">
        <f>IF(AND(Q50=1,Q49=1,C50&gt;D49),1)+IF(AND(Q50=1,Q51=1,E50&gt;D51),1)+IF(AND(Q50=1,Q52=1,F50&gt;D52),1)+IF(AND(Q50=1,Q53=1,G50&gt;D53),1)+IF(AND(Q50=2,Q49=2,C50&gt;D49),1)+IF(AND(Q50=2,Q51=2,E50&gt;D51),1)+IF(AND(Q50=2,Q52=2,F50&gt;D52),1)+IF(AND(Q50=2,Q53=2,G50&gt;D53),1)+IF(AND(Q50=3,Q49=3,C50&gt;D49),1)+IF(AND(Q50=3,Q51=3,E50&gt;D51),1)+IF(AND(Q50=3,Q52=3,F50&gt;D52),1)+IF(AND(Q50=3,Q53=3,G50&gt;D53),1)</f>
        <v>0</v>
      </c>
      <c r="K50" s="1282">
        <f>SUM(AND(T50=T49,C50&gt;D49),AND(T50=T51,E50&gt;D51),AND(T50=T52,F50&gt;D52),AND(T50=T53,G50&gt;D53))</f>
        <v>0</v>
      </c>
      <c r="L50" s="1290">
        <f>IF(AND(Q50=1,Q49=1),C50-D49)+IF(AND(Q50=1,Q51=1),E50-D51)+IF(AND(Q50=1,Q52=1),F50-D52)+IF(AND(Q50=1,Q53=1),G50-D53)+IF(AND(Q50=2,Q49=2),C50-D49)+IF(AND(Q50=2,Q51=2),E50-D51)+IF(AND(Q50=2,Q52=2),F50-D52)+IF(AND(Q50=2,Q53=2),G50-D53)+IF(AND(Q50=3,Q49=3),C50-D49)+IF(AND(Q50=3,Q51=3),E50-D51)+IF(AND(Q50=3,Q52=3),F50-D52)+IF(AND(Q50=3,Q53=3),G50-D53)+IF(AND(Q50=4,Q49=4),C50-D49)+IF(AND(Q50=4,Q51=4),E50-D51)+IF(AND(Q50=4,Q52=4),F50-D52)+IF(AND(Q50=4,Q53=4),G50-D53)</f>
        <v>0</v>
      </c>
      <c r="M50" s="1282">
        <f>SUM(AND(R50=R49,C50&gt;D49),AND(R50=R51,E50&gt;D51),AND(R50=R52,F50&gt;D52),AND(R50=R53,G50&gt;D53))</f>
        <v>0</v>
      </c>
      <c r="N50" s="1283" t="str">
        <f>SUM(C50:G50)&amp;"-"&amp;SUM(D49:D53)</f>
        <v>0-0</v>
      </c>
      <c r="O50" s="1284">
        <f>C50+E50+F50+G50-D49-D51-D52-D53</f>
        <v>0</v>
      </c>
      <c r="P50" s="1220" t="e">
        <f>SUM(C50:G50,D49:D53)/SUM(D49:D53)</f>
        <v>#DIV/0!</v>
      </c>
      <c r="Q50" s="1291">
        <f>VALUE(LEFT(H50,1))</f>
        <v>0</v>
      </c>
      <c r="R50" s="1285">
        <f>Q50*100000+J50*10000+K50*1000+100*L50</f>
        <v>0</v>
      </c>
      <c r="S50" s="1286">
        <f t="shared" si="12"/>
        <v>0</v>
      </c>
      <c r="T50" s="1287" t="str">
        <f>Q50&amp;J50</f>
        <v>00</v>
      </c>
    </row>
    <row r="51" spans="1:20" hidden="1" x14ac:dyDescent="0.2">
      <c r="A51" s="1265">
        <v>3</v>
      </c>
      <c r="B51" s="1289"/>
      <c r="C51" s="1277"/>
      <c r="D51" s="1292"/>
      <c r="E51" s="1276"/>
      <c r="F51" s="1277"/>
      <c r="G51" s="1277"/>
      <c r="H51" s="1278" t="str">
        <f>(IF(C51-E49&gt;0,1)+IF(D51-E50&gt;0,1)+IF(F51-E52&gt;0,1)+IF(G51-E53&gt;0,1))&amp;"-"&amp;(IF(C51-E49&lt;0,1)+IF(D51-E50&lt;0,1)+IF(F51-E52&lt;0,1)+IF(G51-E53&lt;0,1))</f>
        <v>0-0</v>
      </c>
      <c r="I51" s="1277" t="str">
        <f>IF(AND(B51&lt;&gt;"",R$48=TRUE),A$48&amp;RANK(R51,R$49:R$53,0)," ")</f>
        <v xml:space="preserve"> </v>
      </c>
      <c r="J51" s="1196">
        <f>IF(AND(Q51=1,Q49=1,C51&gt;E49),1)+IF(AND(Q51=1,Q50=1,D51&gt;E50),1)+IF(AND(Q51=1,Q52=1,F51&gt;E52),1)+IF(AND(Q51=1,Q53=1,G51&gt;E53),1)+IF(AND(Q51=2,Q49=2,C51&gt;E49),1)+IF(AND(Q51=2,Q50=2,D51&gt;E50),1)+IF(AND(Q51=2,Q52=2,F51&gt;E52),1)+IF(AND(Q51=2,Q53=2,G51&gt;E53),1)+IF(AND(Q51=3,Q49=3,C51&gt;E49),1)+IF(AND(Q51=3,Q50=3,D51&gt;E50),1)+IF(AND(Q51=3,Q52=3,F51&gt;E52),1)+IF(AND(Q51=3,Q53=3,G51&gt;E53),1)</f>
        <v>0</v>
      </c>
      <c r="K51" s="1282">
        <f>SUM(AND(T51=T49,C51&gt;E49),AND(T51=T50,D51&gt;E50),AND(T51=T52,F51&gt;E52),AND(T51=T53,G51&gt;E53))</f>
        <v>0</v>
      </c>
      <c r="L51" s="1290">
        <f>IF(AND(Q51=1,Q49=1),C51-E49)+IF(AND(Q51=1,Q50=1),D51-E50)+IF(AND(Q51=1,Q52=1),F51-E52)+IF(AND(Q51=1,Q53=1),G51-E53)+IF(AND(Q51=2,Q49=2),C51-E49)+IF(AND(Q51=2,Q50=2),D51-E50)+IF(AND(Q51=2,Q52=2),F51-E52)+IF(AND(Q51=2,Q53=2),G51-E53)+IF(AND(Q51=3,Q49=3),C51-E49)+IF(AND(Q51=3,Q50=3),D51-E50)+IF(AND(Q51=3,Q52=3),F51-E52)+IF(AND(Q51=3,Q53=3),G51-E53)+IF(AND(Q51=4,Q49=4),C51-E49)+IF(AND(Q51=4,Q50=4),D51-E50)+IF(AND(Q51=4,Q52=4),F51-E52)+IF(AND(Q51=4,Q53=4),G51-E53)</f>
        <v>0</v>
      </c>
      <c r="M51" s="1282">
        <f>SUM(AND(R51=R49,C51&gt;E49),AND(R51=R50,D51&gt;E50),AND(R51=R52,F51&gt;E52),AND(R51=R53,G51&gt;E53))</f>
        <v>0</v>
      </c>
      <c r="N51" s="1283" t="str">
        <f>SUM(C51:G51)&amp;"-"&amp;SUM(E49:E53)</f>
        <v>0-0</v>
      </c>
      <c r="O51" s="1284">
        <f>C51+D51+F51+G51-E49-E50-E52-E53</f>
        <v>0</v>
      </c>
      <c r="P51" s="1220" t="e">
        <f>SUM(C51:G51,E49:E53)/SUM(E49:E53)</f>
        <v>#DIV/0!</v>
      </c>
      <c r="Q51" s="1291">
        <f>VALUE(LEFT(H51,1))</f>
        <v>0</v>
      </c>
      <c r="R51" s="1285">
        <f>Q51*100000+J51*10000+K51*1000+100*L51</f>
        <v>0</v>
      </c>
      <c r="S51" s="1286">
        <f t="shared" si="12"/>
        <v>0</v>
      </c>
      <c r="T51" s="1287" t="str">
        <f>Q51&amp;J51</f>
        <v>00</v>
      </c>
    </row>
    <row r="52" spans="1:20" hidden="1" x14ac:dyDescent="0.2">
      <c r="A52" s="1265">
        <v>4</v>
      </c>
      <c r="B52" s="1293"/>
      <c r="C52" s="1277"/>
      <c r="D52" s="1292"/>
      <c r="E52" s="1277"/>
      <c r="F52" s="1276"/>
      <c r="G52" s="1294"/>
      <c r="H52" s="1278" t="str">
        <f>(IF(C52-F49&gt;0,1)+IF(D52-F50&gt;0,1)+IF(E52-F51&gt;0,1)+IF(G52-F53&gt;0,1))&amp;"-"&amp;(IF(C52-F49&lt;0,1)+IF(D52-F50&lt;0,1)+IF(E52-F51&lt;0,1)+IF(G52-F53&lt;0,1))</f>
        <v>0-0</v>
      </c>
      <c r="I52" s="1277" t="str">
        <f>IF(AND(B52&lt;&gt;"",R$48=TRUE),A$48&amp;RANK(R52,R$49:R$53,0)," ")</f>
        <v xml:space="preserve"> </v>
      </c>
      <c r="J52" s="1196">
        <f>IF(AND(Q52=1,Q49=1,C52&gt;F49),1)+IF(AND(Q52=1,Q50=1,D52&gt;F50),1)+IF(AND(Q52=1,Q51=1,E52&gt;F51),1)+IF(AND(Q52=1,Q53=1,G52&gt;F53),1)+IF(AND(Q52=2,Q49=2,C52&gt;F49),1)+IF(AND(Q52=2,Q50=2,D52&gt;F50),1)+IF(AND(Q52=2,Q51=2,E52&gt;F51),1)+IF(AND(Q52=2,Q53=2,G52&gt;F53),1)+IF(AND(Q52=3,Q49=3,C52&gt;F49),1)+IF(AND(Q52=3,Q50=3,D52&gt;F50),1)+IF(AND(Q52=3,Q51=3,E52&gt;F51),1)+IF(AND(Q52=3,Q53=3,G52&gt;F53),1)</f>
        <v>0</v>
      </c>
      <c r="K52" s="1282">
        <f>SUM(AND(T52=T49,C52&gt;F49),AND(T52=T50,D52&gt;F50),AND(T52=T51,E52&gt;F51),AND(T52=T53,G52&gt;F53))</f>
        <v>0</v>
      </c>
      <c r="L52" s="1290">
        <f>IF(AND(Q52=1,Q49=1),C52-F49)+IF(AND(Q52=1,Q50=1),D52-F50)+IF(AND(Q52=1,Q51=1),E52-F51)+IF(AND(Q52=1,Q53=1),G52-F53)+IF(AND(Q52=2,Q49=2),C52-F49)+IF(AND(Q52=2,Q50=2),D52-F50)+IF(AND(Q52=2,Q51=2),E52-F51)+IF(AND(Q52=2,Q53=2),G52-F53)+IF(AND(Q52=3,Q49=3),C52-F49)+IF(AND(Q52=3,Q50=3),D52-F50)+IF(AND(Q52=3,Q51=3),E52-F51)+IF(AND(Q52=3,Q53=3),G52-F53)+IF(AND(Q52=4,Q49=4),C52-F49)+IF(AND(Q52=4,Q50=4),D52-F50)+IF(AND(Q52=4,Q51=4),E52-F51)+IF(AND(Q52=4,Q53=4),G52-F53)</f>
        <v>0</v>
      </c>
      <c r="M52" s="1282">
        <f>SUM(AND(R52=R49,C52&gt;F49),AND(R52=R50,D52&gt;F50),AND(R52=R51,E52&gt;F51),AND(R52=R53,G52&gt;F53))</f>
        <v>0</v>
      </c>
      <c r="N52" s="1283" t="str">
        <f>SUM(C52:G52)&amp;"-"&amp;SUM(F49:F53)</f>
        <v>0-0</v>
      </c>
      <c r="O52" s="1284">
        <f>C52+D52+E52+G52-F49-F50-F51-F53</f>
        <v>0</v>
      </c>
      <c r="P52" s="1220" t="e">
        <f>SUM(C52:G52,F49:F53)/SUM(F49:F53)</f>
        <v>#DIV/0!</v>
      </c>
      <c r="Q52" s="1291">
        <f>VALUE(LEFT(H52,1))</f>
        <v>0</v>
      </c>
      <c r="R52" s="1285">
        <f>Q52*100000+J52*10000+K52*1000+100*L52</f>
        <v>0</v>
      </c>
      <c r="S52" s="1286">
        <f t="shared" si="12"/>
        <v>0</v>
      </c>
      <c r="T52" s="1287" t="str">
        <f>Q52&amp;J52</f>
        <v>00</v>
      </c>
    </row>
    <row r="53" spans="1:20" hidden="1" x14ac:dyDescent="0.2">
      <c r="A53" s="1265">
        <v>5</v>
      </c>
      <c r="B53" s="1293"/>
      <c r="C53" s="1277"/>
      <c r="D53" s="1277"/>
      <c r="E53" s="1277"/>
      <c r="F53" s="1277"/>
      <c r="G53" s="1276"/>
      <c r="H53" s="1278" t="str">
        <f>(IF(C53-G49&gt;0,1)+IF(D53-G50&gt;0,1)+IF(E53-G51&gt;0,1)+IF(F53-G52&gt;0,1))&amp;"-"&amp;(IF(C53-G49&lt;0,1)+IF(D53-G50&lt;0,1)+IF(E53-G51&lt;0,1)+IF(F53-G52&lt;0,1))</f>
        <v>0-0</v>
      </c>
      <c r="I53" s="1277" t="str">
        <f>IF(AND(B53&lt;&gt;"",R$48=TRUE),A$48&amp;RANK(R53,R$49:R$53,0)," ")</f>
        <v xml:space="preserve"> </v>
      </c>
      <c r="J53" s="1196">
        <f>IF(AND(Q53=1,Q49=1,C53&gt;G49),1)+IF(AND(Q53=1,Q50=1,D53&gt;G50),1)+IF(AND(Q53=1,Q51=1,E53&gt;G51),1)+IF(AND(Q53=1,Q52=1,F53&gt;G52),1)+IF(AND(Q53=2,Q49=2,C53&gt;G49),1)+IF(AND(Q53=2,Q50=2,D53&gt;G50),1)+IF(AND(Q53=2,Q51=2,E53&gt;G51),1)+IF(AND(Q53=2,Q52=2,F53&gt;G52),1)+IF(AND(Q53=3,Q49=3,C53&gt;G49),1)+IF(AND(Q53=3,Q50=3,D53&gt;G50),1)+IF(AND(Q53=3,Q51=3,E53&gt;G51),1)+IF(AND(Q53=3,Q52=3,F53&gt;G52),1)</f>
        <v>0</v>
      </c>
      <c r="K53" s="1282">
        <f>SUM(AND(T53=T49,C53&gt;G49),AND(T53=T50,D53&gt;G50),AND(T53=T51,E53&gt;G51),AND(T53=T52,F53&gt;G52))</f>
        <v>0</v>
      </c>
      <c r="L53" s="1290">
        <f>IF(AND(Q53=1,Q49=1),C53-G49)+IF(AND(Q53=1,Q50=1),D53-G50)+IF(AND(Q53=1,Q51=1),E53-G51)+IF(AND(Q53=1,Q52=1),F53-G52)+IF(AND(Q53=2,Q49=2),C53-G49)+IF(AND(Q53=2,Q50=2),D53-G50)+IF(AND(Q53=2,Q51=2),E53-G51)+IF(AND(Q53=2,Q52=2),F53-G52)+IF(AND(Q53=3,Q49=3),C53-G49)+IF(AND(Q53=3,Q50=3),D53-G50)+IF(AND(Q53=3,Q51=3),E53-G51)+IF(AND(Q53=3,Q52=3),F53-G52)+IF(AND(Q53=4,Q49=4),C53-G49)+IF(AND(Q53=4,Q50=4),D53-G50)+IF(AND(Q53=4,Q51=4),E53-G51)+IF(AND(Q53=4,Q52=4),F53-G52)</f>
        <v>0</v>
      </c>
      <c r="M53" s="1282">
        <f>SUM(AND(R53=R49,C53&gt;G49),AND(R53=R50,D53&gt;G50),AND(R53=R51,E53&gt;G51),AND(R53=R52,F53&gt;G52))</f>
        <v>0</v>
      </c>
      <c r="N53" s="1283" t="str">
        <f>SUM(C53:G53)&amp;"-"&amp;SUM(G49:G53)</f>
        <v>0-0</v>
      </c>
      <c r="O53" s="1284">
        <f>C53+D53+E53+F53-G49-G50-G51-G52</f>
        <v>0</v>
      </c>
      <c r="P53" s="1220" t="e">
        <f>SUM(C53:G53,G49:G53)/SUM(G49:G53)</f>
        <v>#DIV/0!</v>
      </c>
      <c r="Q53" s="1291">
        <f>VALUE(LEFT(H53,1))</f>
        <v>0</v>
      </c>
      <c r="R53" s="1285">
        <f>Q53*100000+J53*10000+K53*1000+100*L53</f>
        <v>0</v>
      </c>
      <c r="S53" s="1286">
        <f t="shared" si="12"/>
        <v>0</v>
      </c>
      <c r="T53" s="1287" t="str">
        <f>Q53&amp;J53</f>
        <v>00</v>
      </c>
    </row>
    <row r="54" spans="1:20" hidden="1" x14ac:dyDescent="0.2">
      <c r="A54" s="1304"/>
      <c r="B54" s="1305"/>
      <c r="C54" s="1299"/>
      <c r="D54" s="1299"/>
      <c r="E54" s="1299"/>
      <c r="F54" s="811"/>
      <c r="G54" s="811"/>
      <c r="H54" s="1305"/>
      <c r="I54" s="1305"/>
      <c r="J54" s="1177"/>
      <c r="K54" s="1177"/>
      <c r="L54" s="1177"/>
      <c r="M54" s="1177"/>
      <c r="N54" s="1177"/>
      <c r="O54" s="1177"/>
      <c r="P54" s="1177"/>
      <c r="Q54" s="1177"/>
      <c r="R54" s="1301" t="s">
        <v>335</v>
      </c>
      <c r="S54" s="1177"/>
      <c r="T54" s="1177"/>
    </row>
    <row r="55" spans="1:20" hidden="1" x14ac:dyDescent="0.2">
      <c r="A55" s="1265" t="s">
        <v>252</v>
      </c>
      <c r="B55" s="1266"/>
      <c r="C55" s="1267">
        <v>1</v>
      </c>
      <c r="D55" s="1267">
        <v>2</v>
      </c>
      <c r="E55" s="1267">
        <v>3</v>
      </c>
      <c r="F55" s="1267">
        <v>4</v>
      </c>
      <c r="G55" s="1267">
        <v>5</v>
      </c>
      <c r="H55" s="1268" t="s">
        <v>313</v>
      </c>
      <c r="I55" s="1268" t="s">
        <v>296</v>
      </c>
      <c r="J55" s="1269" t="s">
        <v>314</v>
      </c>
      <c r="K55" s="1270" t="s">
        <v>315</v>
      </c>
      <c r="L55" s="1271" t="s">
        <v>316</v>
      </c>
      <c r="M55" s="1271" t="s">
        <v>317</v>
      </c>
      <c r="N55" s="604" t="s">
        <v>344</v>
      </c>
      <c r="O55" s="604" t="s">
        <v>344</v>
      </c>
      <c r="P55" s="1272" t="s">
        <v>318</v>
      </c>
      <c r="Q55" s="1273" t="s">
        <v>183</v>
      </c>
      <c r="R55" s="1273" t="b">
        <f>OR(AND(COUNTA(B56:B60)=3,COUNTA(C56:G60)=6),AND(COUNTA(B56:B60)=4,COUNTA(C56:G60)=12),AND(COUNTA(B56:B60)=5,COUNTA(C56:G60)=20))</f>
        <v>0</v>
      </c>
      <c r="S55" s="1273" t="s">
        <v>319</v>
      </c>
      <c r="T55" s="1274" t="s">
        <v>320</v>
      </c>
    </row>
    <row r="56" spans="1:20" hidden="1" x14ac:dyDescent="0.2">
      <c r="A56" s="1265">
        <v>1</v>
      </c>
      <c r="B56" s="1306"/>
      <c r="C56" s="1276"/>
      <c r="D56" s="1277"/>
      <c r="E56" s="1277"/>
      <c r="F56" s="1277"/>
      <c r="G56" s="1277"/>
      <c r="H56" s="1278" t="str">
        <f>(IF(D56-C20&gt;0,1)+IF(E56-C58&gt;0,1)+IF(F56-C59&gt;0,1)+IF(G56-C60&gt;0,1))&amp;"-"&amp;(IF(D56-C20&lt;0,1)+IF(E56-C58&lt;0,1)+IF(F56-C59&lt;0,1)+IF(G56-C60&lt;0,1))</f>
        <v>0-1</v>
      </c>
      <c r="I56" s="1277" t="str">
        <f>IF(AND(B56&lt;&gt;"",R$55=TRUE),A$55&amp;RANK(R56,R$56:R$60,0)," ")</f>
        <v xml:space="preserve"> </v>
      </c>
      <c r="J56" s="1279">
        <f>IF(AND(Q56=1,Q20=1,D56&gt;C20),1)+IF(AND(Q56=1,Q58=1,E56&gt;C58),1)+IF(AND(Q56=1,Q59=1,F56&gt;C59),1)+IF(AND(Q56=1,Q60=1,G56&gt;C60),1)+IF(AND(Q56=2,Q20=2,D56&gt;C20),1)+IF(AND(Q56=2,Q58=2,E56&gt;C58),1)+IF(AND(Q56=2,Q59=2,F56&gt;C59),1)+IF(AND(Q56=2,Q60=2,G56&gt;C60),1)+IF(AND(Q56=3,Q20=3,D56&gt;C20),1)+IF(AND(Q56=3,Q58=3,E56&gt;C58),1)+IF(AND(Q56=3,Q59=3,F56&gt;C59),1)+IF(AND(Q56=3,Q60=3,G56&gt;C60),1)</f>
        <v>0</v>
      </c>
      <c r="K56" s="1280">
        <f>SUM(AND(T56=T20,D56&gt;C20),AND(T56=T58,E56&gt;C58),AND(T56=T59,F56&gt;C59),AND(T56=T60,G56&gt;C60))</f>
        <v>0</v>
      </c>
      <c r="L56" s="1281">
        <f>IF(AND(Q56=1,Q20=1),D56-C20)+IF(AND(Q56=1,Q58=1),E56-C58)+IF(AND(Q56=1,Q59=1),F56-C59)+IF(AND(Q56=1,Q60=1),G56-C60)+IF(AND(Q56=2,Q20=2),D56-C20)+IF(AND(Q56=2,Q58=2),E56-C58)+IF(AND(Q56=2,Q59=2),F56-C59)+IF(AND(Q56=2,Q60=2),G56-C60)+IF(AND(Q56=3,Q20=3),D56-C20)+IF(AND(Q56=3,Q58=3),E56-C58)+IF(AND(Q56=3,Q59=3),F56-C59)+IF(AND(Q56=3,Q60=3),G56-C60)+IF(AND(Q56=4,Q20=4),D56-C20)+IF(AND(Q56=4,Q58=4),E56-C58)+IF(AND(Q56=4,Q59=4),F56-C59)+IF(AND(Q56=4,Q60=4),G56-C60)</f>
        <v>0</v>
      </c>
      <c r="M56" s="1282">
        <f>SUM(AND(R56=R20,D56&gt;C20),AND(R56=R58,E56&gt;C58),AND(R56=R59,F56&gt;C59),AND(R56=R60,G56&gt;C60))</f>
        <v>0</v>
      </c>
      <c r="N56" s="1283" t="str">
        <f>SUM(C56:G56)&amp;"-"&amp;SUM(C56:C60)</f>
        <v>0-0</v>
      </c>
      <c r="O56" s="1284">
        <f>D56+E56+F56+G56-C20-C58-C59-C60</f>
        <v>-1</v>
      </c>
      <c r="P56" s="1220" t="e">
        <f>SUM(C56:G56,C56:C60)/SUM(C56:C60)</f>
        <v>#DIV/0!</v>
      </c>
      <c r="Q56" s="1285">
        <f>VALUE(LEFT(H56,1))</f>
        <v>0</v>
      </c>
      <c r="R56" s="1285">
        <f>Q56*100000+J56*10000+K56*1000+100*L56</f>
        <v>0</v>
      </c>
      <c r="S56" s="1286">
        <f t="shared" ref="S56:S60" si="13">R56+M56*0.1+IF(ISNONTEXT(B56),0,0.01)+0.0001*O56</f>
        <v>-1E-4</v>
      </c>
      <c r="T56" s="1287" t="str">
        <f>Q56&amp;J56</f>
        <v>00</v>
      </c>
    </row>
    <row r="57" spans="1:20" hidden="1" x14ac:dyDescent="0.2">
      <c r="A57" s="1265">
        <v>2</v>
      </c>
      <c r="B57" s="1289"/>
      <c r="C57" s="1277"/>
      <c r="D57" s="1276"/>
      <c r="E57" s="1277"/>
      <c r="F57" s="1277"/>
      <c r="G57" s="1277"/>
      <c r="H57" s="1278" t="str">
        <f>(IF(C20-D56&gt;0,1)+IF(E20-D58&gt;0,1)+IF(F20-D59&gt;0,1)+IF(G20-D60&gt;0,1))&amp;"-"&amp;(IF(C20-D56&lt;0,1)+IF(E20-D58&lt;0,1)+IF(F20-D59&lt;0,1)+IF(G20-D60&lt;0,1))</f>
        <v>2-0</v>
      </c>
      <c r="I57" s="1277" t="str">
        <f>IF(AND(B20&lt;&gt;"",R$55=TRUE),A$55&amp;RANK(R20,R$56:R$60,0)," ")</f>
        <v xml:space="preserve"> </v>
      </c>
      <c r="J57" s="1196">
        <f>IF(AND(Q20=1,Q56=1,C20&gt;D56),1)+IF(AND(Q20=1,Q58=1,E20&gt;D58),1)+IF(AND(Q20=1,Q59=1,F20&gt;D59),1)+IF(AND(Q20=1,Q60=1,G20&gt;D60),1)+IF(AND(Q20=2,Q56=2,C20&gt;D56),1)+IF(AND(Q20=2,Q58=2,E20&gt;D58),1)+IF(AND(Q20=2,Q59=2,F20&gt;D59),1)+IF(AND(Q20=2,Q60=2,G20&gt;D60),1)+IF(AND(Q20=3,Q56=3,C20&gt;D56),1)+IF(AND(Q20=3,Q58=3,E20&gt;D58),1)+IF(AND(Q20=3,Q59=3,F20&gt;D59),1)+IF(AND(Q20=3,Q60=3,G20&gt;D60),1)</f>
        <v>0</v>
      </c>
      <c r="K57" s="1282">
        <f>SUM(AND(T20=T56,C20&gt;D56),AND(T20=T58,E20&gt;D58),AND(T20=T59,F20&gt;D59),AND(T20=T60,G20&gt;D60))</f>
        <v>0</v>
      </c>
      <c r="L57" s="1290">
        <f>IF(AND(Q20=1,Q56=1),C20-D56)+IF(AND(Q20=1,Q58=1),E20-D58)+IF(AND(Q20=1,Q59=1),F20-D59)+IF(AND(Q20=1,Q60=1),G20-D60)+IF(AND(Q20=2,Q56=2),C20-D56)+IF(AND(Q20=2,Q58=2),E20-D58)+IF(AND(Q20=2,Q59=2),F20-D59)+IF(AND(Q20=2,Q60=2),G20-D60)+IF(AND(Q20=3,Q56=3),C20-D56)+IF(AND(Q20=3,Q58=3),E20-D58)+IF(AND(Q20=3,Q59=3),F20-D59)+IF(AND(Q20=3,Q60=3),G20-D60)+IF(AND(Q20=4,Q56=4),C20-D56)+IF(AND(Q20=4,Q58=4),E20-D58)+IF(AND(Q20=4,Q59=4),F20-D59)+IF(AND(Q20=4,Q60=4),G20-D60)</f>
        <v>0</v>
      </c>
      <c r="M57" s="1282">
        <f>SUM(AND(R20=R56,C20&gt;D56),AND(R20=R58,E20&gt;D58),AND(R20=R59,F20&gt;D59),AND(R20=R60,G20&gt;D60))</f>
        <v>0</v>
      </c>
      <c r="N57" s="1283" t="str">
        <f>SUM(C20:G20)&amp;"-"&amp;SUM(D56:D60)</f>
        <v>6-0</v>
      </c>
      <c r="O57" s="1284">
        <f>C20+E20+F20+G20-D56-D58-D59-D60</f>
        <v>4</v>
      </c>
      <c r="P57" s="1220" t="e">
        <f>SUM(C20:G20,D56:D60)/SUM(D56:D60)</f>
        <v>#DIV/0!</v>
      </c>
      <c r="Q57" s="1291" t="e">
        <f>VALUE(LEFT(H20,1))</f>
        <v>#VALUE!</v>
      </c>
      <c r="R57" s="1285" t="e">
        <f>Q20*100000+J20*10000+K20*1000+100*L20</f>
        <v>#VALUE!</v>
      </c>
      <c r="S57" s="1286" t="e">
        <f>R20+M20*0.1+IF(ISNONTEXT(B20),0,0.01)+0.0001*O20</f>
        <v>#VALUE!</v>
      </c>
      <c r="T57" s="1287" t="str">
        <f>Q20&amp;J20</f>
        <v>VVo</v>
      </c>
    </row>
    <row r="58" spans="1:20" hidden="1" x14ac:dyDescent="0.2">
      <c r="A58" s="1265">
        <v>3</v>
      </c>
      <c r="B58" s="1289"/>
      <c r="C58" s="1277"/>
      <c r="D58" s="1292"/>
      <c r="E58" s="1276"/>
      <c r="F58" s="1277"/>
      <c r="G58" s="1277"/>
      <c r="H58" s="1278" t="str">
        <f>(IF(C58-E56&gt;0,1)+IF(D58-E20&gt;0,1)+IF(F58-E59&gt;0,1)+IF(G58-E60&gt;0,1))&amp;"-"&amp;(IF(C58-E56&lt;0,1)+IF(D58-E20&lt;0,1)+IF(F58-E59&lt;0,1)+IF(G58-E60&lt;0,1))</f>
        <v>0-1</v>
      </c>
      <c r="I58" s="1277" t="str">
        <f>IF(AND(B58&lt;&gt;"",R$55=TRUE),A$55&amp;RANK(R58,R$56:R$60,0)," ")</f>
        <v xml:space="preserve"> </v>
      </c>
      <c r="J58" s="1196">
        <f>IF(AND(Q58=1,Q56=1,C58&gt;E56),1)+IF(AND(Q58=1,Q20=1,D58&gt;E20),1)+IF(AND(Q58=1,Q59=1,F58&gt;E59),1)+IF(AND(Q58=1,Q60=1,G58&gt;E60),1)+IF(AND(Q58=2,Q56=2,C58&gt;E56),1)+IF(AND(Q58=2,Q20=2,D58&gt;E20),1)+IF(AND(Q58=2,Q59=2,F58&gt;E59),1)+IF(AND(Q58=2,Q60=2,G58&gt;E60),1)+IF(AND(Q58=3,Q56=3,C58&gt;E56),1)+IF(AND(Q58=3,Q20=3,D58&gt;E20),1)+IF(AND(Q58=3,Q59=3,F58&gt;E59),1)+IF(AND(Q58=3,Q60=3,G58&gt;E60),1)</f>
        <v>0</v>
      </c>
      <c r="K58" s="1282">
        <f>SUM(AND(T58=T56,C58&gt;E56),AND(T58=T20,D58&gt;E20),AND(T58=T59,F58&gt;E59),AND(T58=T60,G58&gt;E60))</f>
        <v>0</v>
      </c>
      <c r="L58" s="1290">
        <f>IF(AND(Q58=1,Q56=1),C58-E56)+IF(AND(Q58=1,Q20=1),D58-E20)+IF(AND(Q58=1,Q59=1),F58-E59)+IF(AND(Q58=1,Q60=1),G58-E60)+IF(AND(Q58=2,Q56=2),C58-E56)+IF(AND(Q58=2,Q20=2),D58-E20)+IF(AND(Q58=2,Q59=2),F58-E59)+IF(AND(Q58=2,Q60=2),G58-E60)+IF(AND(Q58=3,Q56=3),C58-E56)+IF(AND(Q58=3,Q20=3),D58-E20)+IF(AND(Q58=3,Q59=3),F58-E59)+IF(AND(Q58=3,Q60=3),G58-E60)+IF(AND(Q58=4,Q56=4),C58-E56)+IF(AND(Q58=4,Q20=4),D58-E20)+IF(AND(Q58=4,Q59=4),F58-E59)+IF(AND(Q58=4,Q60=4),G58-E60)</f>
        <v>0</v>
      </c>
      <c r="M58" s="1282">
        <f>SUM(AND(R58=R56,C58&gt;E56),AND(R58=R20,D58&gt;E20),AND(R58=R59,F58&gt;E59),AND(R58=R60,G58&gt;E60))</f>
        <v>0</v>
      </c>
      <c r="N58" s="1283" t="str">
        <f>SUM(C58:G58)&amp;"-"&amp;SUM(E56:E60)</f>
        <v>0-0</v>
      </c>
      <c r="O58" s="1284">
        <f>C58+D58+F58+G58-E56-E20-E59-E60</f>
        <v>-3</v>
      </c>
      <c r="P58" s="1220" t="e">
        <f>SUM(C58:G58,E56:E60)/SUM(E56:E60)</f>
        <v>#DIV/0!</v>
      </c>
      <c r="Q58" s="1291">
        <f>VALUE(LEFT(H58,1))</f>
        <v>0</v>
      </c>
      <c r="R58" s="1285">
        <f>Q58*100000+J58*10000+K58*1000+100*L58</f>
        <v>0</v>
      </c>
      <c r="S58" s="1286">
        <f t="shared" si="13"/>
        <v>-3.0000000000000003E-4</v>
      </c>
      <c r="T58" s="1287" t="str">
        <f>Q58&amp;J58</f>
        <v>00</v>
      </c>
    </row>
    <row r="59" spans="1:20" hidden="1" x14ac:dyDescent="0.2">
      <c r="A59" s="1265">
        <v>4</v>
      </c>
      <c r="B59" s="1293"/>
      <c r="C59" s="1277"/>
      <c r="D59" s="1292"/>
      <c r="E59" s="1277"/>
      <c r="F59" s="1276"/>
      <c r="G59" s="1294"/>
      <c r="H59" s="1278" t="str">
        <f>(IF(C59-F56&gt;0,1)+IF(D59-F20&gt;0,1)+IF(E59-F58&gt;0,1)+IF(G59-F60&gt;0,1))&amp;"-"&amp;(IF(C59-F56&lt;0,1)+IF(D59-F20&lt;0,1)+IF(E59-F58&lt;0,1)+IF(G59-F60&lt;0,1))</f>
        <v>0-0</v>
      </c>
      <c r="I59" s="1277" t="str">
        <f>IF(AND(B59&lt;&gt;"",R$55=TRUE),A$55&amp;RANK(R59,R$56:R$60,0)," ")</f>
        <v xml:space="preserve"> </v>
      </c>
      <c r="J59" s="1196">
        <f>IF(AND(Q59=1,Q56=1,C59&gt;F56),1)+IF(AND(Q59=1,Q20=1,D59&gt;F20),1)+IF(AND(Q59=1,Q58=1,E59&gt;F58),1)+IF(AND(Q59=1,Q60=1,G59&gt;F60),1)+IF(AND(Q59=2,Q56=2,C59&gt;F56),1)+IF(AND(Q59=2,Q20=2,D59&gt;F20),1)+IF(AND(Q59=2,Q58=2,E59&gt;F58),1)+IF(AND(Q59=2,Q60=2,G59&gt;F60),1)+IF(AND(Q59=3,Q56=3,C59&gt;F56),1)+IF(AND(Q59=3,Q20=3,D59&gt;F20),1)+IF(AND(Q59=3,Q58=3,E59&gt;F58),1)+IF(AND(Q59=3,Q60=3,G59&gt;F60),1)</f>
        <v>0</v>
      </c>
      <c r="K59" s="1282">
        <f>SUM(AND(T59=T56,C59&gt;F56),AND(T59=T20,D59&gt;F20),AND(T59=T58,E59&gt;F58),AND(T59=T60,G59&gt;F60))</f>
        <v>0</v>
      </c>
      <c r="L59" s="1290">
        <f>IF(AND(Q59=1,Q56=1),C59-F56)+IF(AND(Q59=1,Q20=1),D59-F20)+IF(AND(Q59=1,Q58=1),E59-F58)+IF(AND(Q59=1,Q60=1),G59-F60)+IF(AND(Q59=2,Q56=2),C59-F56)+IF(AND(Q59=2,Q20=2),D59-F20)+IF(AND(Q59=2,Q58=2),E59-F58)+IF(AND(Q59=2,Q60=2),G59-F60)+IF(AND(Q59=3,Q56=3),C59-F56)+IF(AND(Q59=3,Q20=3),D59-F20)+IF(AND(Q59=3,Q58=3),E59-F58)+IF(AND(Q59=3,Q60=3),G59-F60)+IF(AND(Q59=4,Q56=4),C59-F56)+IF(AND(Q59=4,Q20=4),D59-F20)+IF(AND(Q59=4,Q58=4),E59-F58)+IF(AND(Q59=4,Q60=4),G59-F60)</f>
        <v>0</v>
      </c>
      <c r="M59" s="1282">
        <f>SUM(AND(R59=R56,C59&gt;F56),AND(R59=R20,D59&gt;F20),AND(R59=R58,E59&gt;F58),AND(R59=R60,G59&gt;F60))</f>
        <v>0</v>
      </c>
      <c r="N59" s="1283" t="str">
        <f>SUM(C59:G59)&amp;"-"&amp;SUM(F56:F60)</f>
        <v>0-0</v>
      </c>
      <c r="O59" s="1284">
        <f>C59+D59+E59+G59-F56-F20-F58-F60</f>
        <v>0</v>
      </c>
      <c r="P59" s="1220" t="e">
        <f>SUM(C59:G59,F56:F60)/SUM(F56:F60)</f>
        <v>#DIV/0!</v>
      </c>
      <c r="Q59" s="1291">
        <f>VALUE(LEFT(H59,1))</f>
        <v>0</v>
      </c>
      <c r="R59" s="1285">
        <f>Q59*100000+J59*10000+K59*1000+100*L59</f>
        <v>0</v>
      </c>
      <c r="S59" s="1286">
        <f t="shared" si="13"/>
        <v>0</v>
      </c>
      <c r="T59" s="1287" t="str">
        <f>Q59&amp;J59</f>
        <v>00</v>
      </c>
    </row>
    <row r="60" spans="1:20" hidden="1" x14ac:dyDescent="0.2">
      <c r="A60" s="1265">
        <v>5</v>
      </c>
      <c r="B60" s="1293"/>
      <c r="C60" s="1277"/>
      <c r="D60" s="1277"/>
      <c r="E60" s="1277"/>
      <c r="F60" s="1277"/>
      <c r="G60" s="1276"/>
      <c r="H60" s="1278" t="str">
        <f>(IF(C60-G56&gt;0,1)+IF(D60-G20&gt;0,1)+IF(E60-G58&gt;0,1)+IF(F60-G59&gt;0,1))&amp;"-"&amp;(IF(C60-G56&lt;0,1)+IF(D60-G20&lt;0,1)+IF(E60-G58&lt;0,1)+IF(F60-G59&lt;0,1))</f>
        <v>0-0</v>
      </c>
      <c r="I60" s="1277" t="str">
        <f>IF(AND(B60&lt;&gt;"",R$55=TRUE),A$55&amp;RANK(R60,R$56:R$60,0)," ")</f>
        <v xml:space="preserve"> </v>
      </c>
      <c r="J60" s="1196">
        <f>IF(AND(Q60=1,Q56=1,C60&gt;G56),1)+IF(AND(Q60=1,Q20=1,D60&gt;G20),1)+IF(AND(Q60=1,Q58=1,E60&gt;G58),1)+IF(AND(Q60=1,Q59=1,F60&gt;G59),1)+IF(AND(Q60=2,Q56=2,C60&gt;G56),1)+IF(AND(Q60=2,Q20=2,D60&gt;G20),1)+IF(AND(Q60=2,Q58=2,E60&gt;G58),1)+IF(AND(Q60=2,Q59=2,F60&gt;G59),1)+IF(AND(Q60=3,Q56=3,C60&gt;G56),1)+IF(AND(Q60=3,Q20=3,D60&gt;G20),1)+IF(AND(Q60=3,Q58=3,E60&gt;G58),1)+IF(AND(Q60=3,Q59=3,F60&gt;G59),1)</f>
        <v>0</v>
      </c>
      <c r="K60" s="1282">
        <f>SUM(AND(T60=T56,C60&gt;G56),AND(T60=T20,D60&gt;G20),AND(T60=T58,E60&gt;G58),AND(T60=T59,F60&gt;G59))</f>
        <v>0</v>
      </c>
      <c r="L60" s="1290">
        <f>IF(AND(Q60=1,Q56=1),C60-G56)+IF(AND(Q60=1,Q20=1),D60-G20)+IF(AND(Q60=1,Q58=1),E60-G58)+IF(AND(Q60=1,Q59=1),F60-G59)+IF(AND(Q60=2,Q56=2),C60-G56)+IF(AND(Q60=2,Q20=2),D60-G20)+IF(AND(Q60=2,Q58=2),E60-G58)+IF(AND(Q60=2,Q59=2),F60-G59)+IF(AND(Q60=3,Q56=3),C60-G56)+IF(AND(Q60=3,Q20=3),D60-G20)+IF(AND(Q60=3,Q58=3),E60-G58)+IF(AND(Q60=3,Q59=3),F60-G59)+IF(AND(Q60=4,Q56=4),C60-G56)+IF(AND(Q60=4,Q20=4),D60-G20)+IF(AND(Q60=4,Q58=4),E60-G58)+IF(AND(Q60=4,Q59=4),F60-G59)</f>
        <v>0</v>
      </c>
      <c r="M60" s="1282">
        <f>SUM(AND(R60=R56,C60&gt;G56),AND(R60=R20,D60&gt;G20),AND(R60=R58,E60&gt;G58),AND(R60=R59,F60&gt;G59))</f>
        <v>0</v>
      </c>
      <c r="N60" s="1283" t="str">
        <f>SUM(C60:G60)&amp;"-"&amp;SUM(G56:G60)</f>
        <v>0-0</v>
      </c>
      <c r="O60" s="1284">
        <f>C60+D60+E60+F60-G56-G20-G58-G59</f>
        <v>0</v>
      </c>
      <c r="P60" s="1220" t="e">
        <f>SUM(C60:G60,G56:G60)/SUM(G56:G60)</f>
        <v>#DIV/0!</v>
      </c>
      <c r="Q60" s="1291">
        <f>VALUE(LEFT(H60,1))</f>
        <v>0</v>
      </c>
      <c r="R60" s="1285">
        <f>Q60*100000+J60*10000+K60*1000+100*L60</f>
        <v>0</v>
      </c>
      <c r="S60" s="1286">
        <f t="shared" si="13"/>
        <v>0</v>
      </c>
      <c r="T60" s="1287" t="str">
        <f>Q60&amp;J60</f>
        <v>00</v>
      </c>
    </row>
    <row r="61" spans="1:20" hidden="1" x14ac:dyDescent="0.2">
      <c r="A61" s="1299"/>
      <c r="B61" s="1299"/>
      <c r="C61" s="1299"/>
      <c r="D61" s="1299"/>
      <c r="E61" s="1299"/>
      <c r="F61" s="1299"/>
      <c r="G61" s="1299"/>
      <c r="H61" s="1299"/>
      <c r="I61" s="1299"/>
      <c r="J61" s="1299"/>
      <c r="K61" s="1177"/>
      <c r="L61" s="1299"/>
      <c r="M61" s="1177"/>
      <c r="N61" s="1299"/>
      <c r="O61" s="1305"/>
      <c r="P61" s="1177"/>
      <c r="Q61" s="1177"/>
      <c r="R61" s="1177"/>
      <c r="S61" s="1177"/>
      <c r="T61" s="1177"/>
    </row>
    <row r="62" spans="1:20" hidden="1" x14ac:dyDescent="0.2">
      <c r="A62" s="1299"/>
      <c r="B62" s="1310" t="s">
        <v>280</v>
      </c>
      <c r="C62" s="1311" t="s">
        <v>326</v>
      </c>
      <c r="D62" s="1297"/>
      <c r="E62" s="1299"/>
      <c r="F62" s="1177"/>
      <c r="G62" s="1299"/>
      <c r="H62" s="1299"/>
      <c r="I62" s="1299"/>
      <c r="J62" s="1299"/>
      <c r="K62" s="1177"/>
      <c r="L62" s="1299"/>
      <c r="M62" s="1177"/>
      <c r="N62" s="1299"/>
      <c r="O62" s="1305"/>
      <c r="P62" s="1177"/>
      <c r="Q62" s="1177"/>
      <c r="R62" s="1177"/>
      <c r="S62" s="1177"/>
      <c r="T62" s="1177"/>
    </row>
    <row r="63" spans="1:20" hidden="1" x14ac:dyDescent="0.2">
      <c r="A63" s="1299"/>
      <c r="B63" s="1310" t="s">
        <v>281</v>
      </c>
      <c r="C63" s="1311" t="s">
        <v>327</v>
      </c>
      <c r="D63" s="1299"/>
      <c r="E63" s="1299"/>
      <c r="F63" s="1177"/>
      <c r="G63" s="1299"/>
      <c r="H63" s="1299"/>
      <c r="I63" s="1299"/>
      <c r="J63" s="1299"/>
      <c r="K63" s="1177"/>
      <c r="L63" s="1299"/>
      <c r="M63" s="1177"/>
      <c r="N63" s="1299"/>
      <c r="O63" s="1305"/>
      <c r="P63" s="1177"/>
      <c r="Q63" s="1177"/>
      <c r="R63" s="1177"/>
      <c r="S63" s="1177"/>
      <c r="T63" s="1177"/>
    </row>
    <row r="64" spans="1:20" hidden="1" x14ac:dyDescent="0.2">
      <c r="A64" s="1299"/>
      <c r="B64" s="1310" t="s">
        <v>282</v>
      </c>
      <c r="C64" s="1311" t="s">
        <v>329</v>
      </c>
      <c r="D64" s="1299"/>
      <c r="E64" s="1299"/>
      <c r="F64" s="1177"/>
      <c r="G64" s="1299"/>
      <c r="H64" s="1299"/>
      <c r="I64" s="1299"/>
      <c r="J64" s="1299"/>
      <c r="K64" s="1177"/>
      <c r="L64" s="1299"/>
      <c r="M64" s="1177"/>
      <c r="N64" s="1299"/>
      <c r="O64" s="1305"/>
      <c r="P64" s="1177"/>
      <c r="Q64" s="1177"/>
      <c r="R64" s="1177"/>
      <c r="S64" s="1177"/>
      <c r="T64" s="1177"/>
    </row>
    <row r="65" spans="1:22" hidden="1" x14ac:dyDescent="0.2">
      <c r="A65" s="1299"/>
      <c r="B65" s="1299"/>
      <c r="C65" s="1299"/>
      <c r="D65" s="1299"/>
      <c r="E65" s="1299"/>
      <c r="F65" s="1299"/>
      <c r="G65" s="1299"/>
      <c r="H65" s="1299"/>
      <c r="I65" s="1299"/>
      <c r="J65" s="1299"/>
      <c r="K65" s="1177"/>
      <c r="L65" s="1299"/>
      <c r="M65" s="1177"/>
      <c r="N65" s="1299"/>
      <c r="O65" s="1305"/>
      <c r="P65" s="1177"/>
      <c r="Q65" s="1177"/>
      <c r="R65" s="1177"/>
      <c r="S65" s="1177"/>
      <c r="T65" s="1177"/>
    </row>
    <row r="66" spans="1:22" hidden="1" x14ac:dyDescent="0.2">
      <c r="A66" s="1299"/>
      <c r="B66" s="1310" t="s">
        <v>280</v>
      </c>
      <c r="C66" s="1312" t="s">
        <v>325</v>
      </c>
      <c r="D66" s="1312" t="s">
        <v>326</v>
      </c>
      <c r="E66" s="1299"/>
      <c r="F66" s="1299"/>
      <c r="G66" s="1299"/>
      <c r="H66" s="1299"/>
      <c r="I66" s="1299"/>
      <c r="J66" s="1299"/>
      <c r="K66" s="1177"/>
      <c r="L66" s="1299"/>
      <c r="M66" s="1177"/>
      <c r="N66" s="1299"/>
      <c r="O66" s="1305"/>
      <c r="P66" s="1177"/>
      <c r="Q66" s="1177"/>
      <c r="R66" s="1177"/>
      <c r="S66" s="1177"/>
      <c r="T66" s="1177"/>
    </row>
    <row r="67" spans="1:22" hidden="1" x14ac:dyDescent="0.2">
      <c r="A67" s="1299"/>
      <c r="B67" s="1310" t="s">
        <v>281</v>
      </c>
      <c r="C67" s="1312" t="s">
        <v>327</v>
      </c>
      <c r="D67" s="1312" t="s">
        <v>324</v>
      </c>
      <c r="E67" s="1299"/>
      <c r="F67" s="1299"/>
      <c r="G67" s="1299"/>
      <c r="H67" s="1299"/>
      <c r="I67" s="1299"/>
      <c r="J67" s="1299"/>
      <c r="K67" s="1177"/>
      <c r="L67" s="1299"/>
      <c r="M67" s="1177"/>
      <c r="N67" s="1299"/>
      <c r="O67" s="1305"/>
      <c r="P67" s="1177"/>
      <c r="Q67" s="1177"/>
      <c r="R67" s="1177"/>
      <c r="S67" s="1177"/>
      <c r="T67" s="1177"/>
    </row>
    <row r="68" spans="1:22" hidden="1" x14ac:dyDescent="0.2">
      <c r="A68" s="1299"/>
      <c r="B68" s="1310" t="s">
        <v>282</v>
      </c>
      <c r="C68" s="1312" t="s">
        <v>329</v>
      </c>
      <c r="D68" s="1312" t="s">
        <v>322</v>
      </c>
      <c r="E68" s="1299"/>
      <c r="F68" s="1299"/>
      <c r="G68" s="1299"/>
      <c r="H68" s="1299"/>
      <c r="I68" s="1299"/>
      <c r="J68" s="1299"/>
      <c r="K68" s="1177"/>
      <c r="L68" s="1299"/>
      <c r="M68" s="1177"/>
      <c r="N68" s="1299"/>
      <c r="O68" s="1305"/>
      <c r="P68" s="1177"/>
      <c r="Q68" s="1177"/>
      <c r="R68" s="1177"/>
      <c r="S68" s="1177"/>
      <c r="T68" s="1177"/>
    </row>
    <row r="69" spans="1:22" hidden="1" x14ac:dyDescent="0.2">
      <c r="A69" s="1299"/>
      <c r="B69" s="1313"/>
      <c r="C69" s="1298"/>
      <c r="D69" s="1298"/>
      <c r="E69" s="1299"/>
      <c r="F69" s="1299"/>
      <c r="G69" s="1299"/>
      <c r="H69" s="1299"/>
      <c r="I69" s="1299"/>
      <c r="J69" s="1299"/>
      <c r="K69" s="1177"/>
      <c r="L69" s="1299"/>
      <c r="M69" s="1177"/>
      <c r="N69" s="1299"/>
      <c r="O69" s="1305"/>
      <c r="P69" s="1177"/>
      <c r="Q69" s="1177"/>
      <c r="R69" s="1177"/>
      <c r="S69" s="1177"/>
      <c r="T69" s="1177"/>
    </row>
    <row r="70" spans="1:22" hidden="1" x14ac:dyDescent="0.2">
      <c r="A70" s="1299"/>
      <c r="B70" s="1310" t="s">
        <v>280</v>
      </c>
      <c r="C70" s="1312" t="s">
        <v>323</v>
      </c>
      <c r="D70" s="1312" t="s">
        <v>324</v>
      </c>
      <c r="E70" s="1299"/>
      <c r="F70" s="1177"/>
      <c r="G70" s="1177"/>
      <c r="H70" s="1299"/>
      <c r="I70" s="1299"/>
      <c r="J70" s="1299"/>
      <c r="K70" s="1177"/>
      <c r="L70" s="1299"/>
      <c r="M70" s="1177"/>
      <c r="N70" s="1299"/>
      <c r="O70" s="1305"/>
      <c r="P70" s="1177"/>
      <c r="Q70" s="1177"/>
      <c r="R70" s="1177"/>
      <c r="S70" s="1177"/>
      <c r="T70" s="1177"/>
    </row>
    <row r="71" spans="1:22" hidden="1" x14ac:dyDescent="0.2">
      <c r="A71" s="1299"/>
      <c r="B71" s="1310" t="s">
        <v>281</v>
      </c>
      <c r="C71" s="1312" t="s">
        <v>325</v>
      </c>
      <c r="D71" s="1312" t="s">
        <v>326</v>
      </c>
      <c r="E71" s="1299"/>
      <c r="F71" s="1177"/>
      <c r="G71" s="1177"/>
      <c r="H71" s="1177"/>
      <c r="I71" s="1299"/>
      <c r="J71" s="1299"/>
      <c r="K71" s="1177"/>
      <c r="L71" s="1299"/>
      <c r="M71" s="1177"/>
      <c r="N71" s="1299"/>
      <c r="O71" s="1305"/>
      <c r="P71" s="1177"/>
      <c r="Q71" s="1177"/>
      <c r="R71" s="1177"/>
      <c r="S71" s="1177"/>
      <c r="T71" s="1177"/>
      <c r="U71" s="746"/>
      <c r="V71" s="746"/>
    </row>
    <row r="72" spans="1:22" hidden="1" x14ac:dyDescent="0.2">
      <c r="A72" s="1299"/>
      <c r="B72" s="1310" t="s">
        <v>282</v>
      </c>
      <c r="C72" s="1312" t="s">
        <v>327</v>
      </c>
      <c r="D72" s="1312" t="s">
        <v>328</v>
      </c>
      <c r="E72" s="1299"/>
      <c r="F72" s="1177"/>
      <c r="G72" s="1177"/>
      <c r="H72" s="1299"/>
      <c r="I72" s="1299"/>
      <c r="J72" s="1299"/>
      <c r="K72" s="1177"/>
      <c r="L72" s="1299"/>
      <c r="M72" s="1177"/>
      <c r="N72" s="1299"/>
      <c r="O72" s="1305"/>
      <c r="P72" s="1177"/>
      <c r="Q72" s="1177"/>
      <c r="R72" s="1177"/>
      <c r="S72" s="1177"/>
      <c r="T72" s="1177"/>
      <c r="U72" s="746"/>
      <c r="V72" s="746"/>
    </row>
    <row r="73" spans="1:22" hidden="1" x14ac:dyDescent="0.2">
      <c r="A73" s="1299"/>
      <c r="B73" s="1310" t="s">
        <v>283</v>
      </c>
      <c r="C73" s="1314" t="s">
        <v>329</v>
      </c>
      <c r="D73" s="1312" t="s">
        <v>330</v>
      </c>
      <c r="E73" s="1299"/>
      <c r="F73" s="1177"/>
      <c r="G73" s="1177"/>
      <c r="H73" s="1299"/>
      <c r="I73" s="1299"/>
      <c r="J73" s="1299"/>
      <c r="K73" s="1177"/>
      <c r="L73" s="1299"/>
      <c r="M73" s="1177"/>
      <c r="N73" s="1299"/>
      <c r="O73" s="1305"/>
      <c r="P73" s="1177"/>
      <c r="Q73" s="1177"/>
      <c r="R73" s="1177"/>
      <c r="S73" s="1177"/>
      <c r="T73" s="1177"/>
      <c r="U73" s="746"/>
      <c r="V73" s="746"/>
    </row>
    <row r="74" spans="1:22" hidden="1" x14ac:dyDescent="0.2">
      <c r="A74" s="1299"/>
      <c r="B74" s="1310" t="s">
        <v>284</v>
      </c>
      <c r="C74" s="1312" t="s">
        <v>321</v>
      </c>
      <c r="D74" s="1312" t="s">
        <v>322</v>
      </c>
      <c r="E74" s="1299"/>
      <c r="F74" s="1177"/>
      <c r="G74" s="1177"/>
      <c r="H74" s="1299"/>
      <c r="I74" s="1299"/>
      <c r="J74" s="1299"/>
      <c r="K74" s="1177"/>
      <c r="L74" s="1299"/>
      <c r="M74" s="1177"/>
      <c r="N74" s="1299"/>
      <c r="O74" s="1305"/>
      <c r="P74" s="1177"/>
      <c r="Q74" s="1177"/>
      <c r="R74" s="1177"/>
      <c r="S74" s="1177"/>
      <c r="T74" s="1177"/>
      <c r="U74" s="746"/>
      <c r="V74" s="746"/>
    </row>
    <row r="75" spans="1:22" hidden="1" x14ac:dyDescent="0.2">
      <c r="A75" s="625"/>
      <c r="E75" s="625"/>
      <c r="F75" s="625"/>
      <c r="G75" s="625"/>
      <c r="H75" s="625"/>
      <c r="I75" s="625"/>
      <c r="J75" s="625"/>
      <c r="K75" s="625"/>
      <c r="L75" s="625"/>
      <c r="M75" s="625"/>
      <c r="N75" s="746"/>
      <c r="O75" s="746"/>
      <c r="P75" s="746"/>
      <c r="Q75" s="746"/>
      <c r="R75" s="746"/>
      <c r="S75" s="746"/>
      <c r="T75" s="746"/>
      <c r="U75" s="746"/>
      <c r="V75" s="746"/>
    </row>
    <row r="76" spans="1:22" hidden="1" x14ac:dyDescent="0.2">
      <c r="A76" s="746"/>
      <c r="B76" s="746"/>
      <c r="C76" s="746"/>
      <c r="D76" s="746"/>
      <c r="E76" s="746"/>
      <c r="F76" s="746"/>
      <c r="G76" s="746"/>
      <c r="H76" s="746"/>
      <c r="I76" s="746"/>
      <c r="J76" s="746"/>
      <c r="K76" s="746"/>
      <c r="L76" s="746"/>
      <c r="M76" s="746"/>
      <c r="N76" s="746"/>
      <c r="O76" s="746"/>
      <c r="P76" s="746"/>
      <c r="Q76" s="746"/>
      <c r="R76" s="746"/>
      <c r="S76" s="746"/>
      <c r="T76" s="746"/>
      <c r="U76" s="746"/>
      <c r="V76" s="746"/>
    </row>
    <row r="77" spans="1:22" hidden="1" x14ac:dyDescent="0.2">
      <c r="A77" s="746"/>
      <c r="B77" s="746"/>
      <c r="C77" s="746"/>
      <c r="D77" s="746"/>
      <c r="E77" s="746"/>
      <c r="F77" s="746"/>
      <c r="G77" s="746"/>
      <c r="H77" s="746"/>
      <c r="I77" s="746"/>
      <c r="J77" s="746"/>
      <c r="K77" s="746"/>
      <c r="L77" s="746"/>
      <c r="M77" s="746"/>
      <c r="N77" s="746"/>
      <c r="O77" s="746"/>
      <c r="P77" s="746"/>
      <c r="Q77" s="746"/>
      <c r="R77" s="746"/>
      <c r="S77" s="746"/>
      <c r="T77" s="746"/>
      <c r="U77" s="746"/>
      <c r="V77" s="746"/>
    </row>
    <row r="78" spans="1:22" hidden="1" x14ac:dyDescent="0.2">
      <c r="A78" s="746"/>
      <c r="B78" s="746"/>
      <c r="C78" s="746"/>
      <c r="D78" s="746"/>
      <c r="E78" s="746"/>
      <c r="F78" s="746"/>
      <c r="G78" s="746"/>
      <c r="H78" s="746"/>
      <c r="I78" s="746"/>
      <c r="J78" s="746"/>
      <c r="K78" s="746"/>
      <c r="L78" s="746"/>
      <c r="M78" s="746"/>
      <c r="N78" s="746"/>
      <c r="O78" s="746"/>
      <c r="P78" s="746"/>
      <c r="Q78" s="746"/>
      <c r="R78" s="746"/>
      <c r="S78" s="746"/>
      <c r="T78" s="746"/>
      <c r="U78" s="746"/>
      <c r="V78" s="746"/>
    </row>
    <row r="79" spans="1:22" hidden="1" x14ac:dyDescent="0.2">
      <c r="A79" s="746"/>
      <c r="B79" s="746"/>
      <c r="C79" s="746"/>
      <c r="D79" s="746"/>
      <c r="E79" s="746"/>
      <c r="F79" s="746"/>
      <c r="G79" s="746"/>
      <c r="H79" s="746"/>
      <c r="I79" s="746"/>
      <c r="J79" s="746"/>
      <c r="K79" s="746"/>
      <c r="L79" s="746"/>
      <c r="M79" s="746"/>
      <c r="N79" s="746"/>
      <c r="O79" s="746"/>
      <c r="P79" s="746"/>
      <c r="Q79" s="746"/>
      <c r="R79" s="746"/>
      <c r="S79" s="746"/>
      <c r="T79" s="746"/>
      <c r="U79" s="746"/>
      <c r="V79" s="746"/>
    </row>
    <row r="80" spans="1:22" hidden="1" x14ac:dyDescent="0.2">
      <c r="A80" s="746"/>
      <c r="B80" s="746"/>
      <c r="C80" s="746"/>
      <c r="D80" s="746"/>
      <c r="E80" s="746"/>
      <c r="F80" s="746"/>
      <c r="G80" s="746"/>
      <c r="H80" s="746"/>
      <c r="I80" s="746"/>
      <c r="J80" s="746"/>
      <c r="K80" s="746"/>
      <c r="L80" s="746"/>
      <c r="M80" s="746"/>
      <c r="N80" s="746"/>
      <c r="O80" s="746"/>
      <c r="P80" s="746"/>
      <c r="Q80" s="746"/>
      <c r="R80" s="746"/>
      <c r="S80" s="746"/>
      <c r="T80" s="746"/>
      <c r="U80" s="746"/>
      <c r="V80" s="746"/>
    </row>
    <row r="81" spans="1:22" hidden="1" x14ac:dyDescent="0.2">
      <c r="A81" s="746"/>
      <c r="B81" s="746"/>
      <c r="C81" s="746"/>
      <c r="D81" s="746"/>
      <c r="E81" s="746"/>
      <c r="F81" s="746"/>
      <c r="G81" s="746"/>
      <c r="H81" s="746"/>
      <c r="I81" s="746"/>
      <c r="J81" s="746"/>
      <c r="K81" s="746"/>
      <c r="L81" s="746"/>
      <c r="M81" s="746"/>
      <c r="N81" s="746"/>
      <c r="O81" s="746"/>
      <c r="P81" s="746"/>
      <c r="Q81" s="746"/>
      <c r="R81" s="746"/>
      <c r="S81" s="746"/>
      <c r="T81" s="746"/>
      <c r="U81" s="746"/>
      <c r="V81" s="746"/>
    </row>
    <row r="82" spans="1:22" hidden="1" x14ac:dyDescent="0.2">
      <c r="A82" s="746"/>
      <c r="B82" s="746"/>
      <c r="C82" s="746"/>
      <c r="D82" s="746"/>
      <c r="E82" s="746"/>
      <c r="F82" s="746"/>
      <c r="G82" s="746"/>
      <c r="H82" s="746"/>
      <c r="I82" s="746"/>
      <c r="J82" s="746"/>
      <c r="K82" s="746"/>
      <c r="L82" s="746"/>
      <c r="M82" s="746"/>
      <c r="N82" s="746"/>
      <c r="O82" s="746"/>
      <c r="P82" s="746"/>
      <c r="Q82" s="746"/>
      <c r="R82" s="746"/>
      <c r="S82" s="746"/>
      <c r="T82" s="746"/>
      <c r="U82" s="746"/>
      <c r="V82" s="746"/>
    </row>
    <row r="83" spans="1:22" hidden="1" x14ac:dyDescent="0.2">
      <c r="A83" s="746"/>
      <c r="B83" s="746"/>
      <c r="C83" s="746"/>
      <c r="D83" s="746"/>
      <c r="E83" s="746"/>
      <c r="F83" s="746"/>
      <c r="G83" s="746"/>
      <c r="H83" s="746"/>
      <c r="I83" s="746"/>
      <c r="J83" s="746"/>
      <c r="K83" s="746"/>
      <c r="L83" s="746"/>
      <c r="M83" s="746"/>
      <c r="N83" s="746"/>
      <c r="O83" s="746"/>
      <c r="P83" s="746"/>
      <c r="Q83" s="746"/>
      <c r="R83" s="746"/>
      <c r="S83" s="746"/>
      <c r="T83" s="746"/>
      <c r="U83" s="746"/>
      <c r="V83" s="746"/>
    </row>
    <row r="84" spans="1:22" hidden="1" x14ac:dyDescent="0.2">
      <c r="A84" s="746"/>
      <c r="B84" s="746"/>
      <c r="C84" s="746"/>
      <c r="D84" s="746"/>
      <c r="E84" s="746"/>
      <c r="F84" s="746"/>
      <c r="G84" s="746"/>
      <c r="H84" s="746"/>
      <c r="I84" s="746"/>
      <c r="J84" s="746"/>
      <c r="K84" s="746"/>
      <c r="L84" s="746"/>
      <c r="M84" s="746"/>
      <c r="N84" s="746"/>
      <c r="O84" s="746"/>
      <c r="P84" s="746"/>
      <c r="Q84" s="746"/>
      <c r="R84" s="746"/>
      <c r="S84" s="746"/>
      <c r="T84" s="746"/>
      <c r="U84" s="746"/>
      <c r="V84" s="746"/>
    </row>
    <row r="85" spans="1:22" hidden="1" x14ac:dyDescent="0.2">
      <c r="A85" s="746"/>
      <c r="B85" s="746"/>
      <c r="C85" s="746"/>
      <c r="D85" s="746"/>
      <c r="E85" s="746"/>
      <c r="F85" s="746"/>
      <c r="G85" s="746"/>
      <c r="H85" s="746"/>
      <c r="I85" s="746"/>
      <c r="J85" s="746"/>
      <c r="K85" s="746"/>
      <c r="L85" s="746"/>
      <c r="M85" s="746"/>
      <c r="N85" s="746"/>
      <c r="O85" s="746"/>
      <c r="P85" s="746"/>
      <c r="Q85" s="746"/>
      <c r="R85" s="746"/>
      <c r="S85" s="746"/>
      <c r="T85" s="746"/>
      <c r="U85" s="746"/>
      <c r="V85" s="746"/>
    </row>
    <row r="86" spans="1:22" hidden="1" x14ac:dyDescent="0.2">
      <c r="A86" s="746"/>
      <c r="B86" s="746"/>
      <c r="C86" s="746"/>
      <c r="D86" s="746"/>
      <c r="E86" s="746"/>
      <c r="F86" s="746"/>
      <c r="G86" s="746"/>
      <c r="H86" s="746"/>
      <c r="I86" s="746"/>
      <c r="J86" s="746"/>
      <c r="K86" s="746"/>
      <c r="L86" s="746"/>
      <c r="M86" s="746"/>
      <c r="N86" s="746"/>
      <c r="O86" s="746"/>
      <c r="P86" s="746"/>
      <c r="Q86" s="746"/>
      <c r="R86" s="746"/>
      <c r="S86" s="746"/>
      <c r="T86" s="746"/>
      <c r="U86" s="746"/>
      <c r="V86" s="746"/>
    </row>
    <row r="87" spans="1:22" hidden="1" x14ac:dyDescent="0.2">
      <c r="A87" s="746"/>
      <c r="B87" s="746"/>
      <c r="C87" s="746"/>
      <c r="D87" s="746"/>
      <c r="E87" s="746"/>
      <c r="F87" s="746"/>
      <c r="G87" s="746"/>
      <c r="H87" s="746"/>
      <c r="I87" s="746"/>
      <c r="J87" s="746"/>
      <c r="K87" s="746"/>
      <c r="L87" s="746"/>
      <c r="M87" s="746"/>
      <c r="N87" s="746"/>
      <c r="O87" s="746"/>
      <c r="P87" s="746"/>
      <c r="Q87" s="746"/>
      <c r="R87" s="746"/>
      <c r="S87" s="746"/>
      <c r="T87" s="746"/>
      <c r="U87" s="746"/>
      <c r="V87" s="746"/>
    </row>
    <row r="88" spans="1:22" hidden="1" x14ac:dyDescent="0.2">
      <c r="A88" s="746"/>
      <c r="B88" s="746"/>
      <c r="C88" s="746"/>
      <c r="D88" s="746"/>
      <c r="E88" s="746"/>
      <c r="F88" s="746"/>
      <c r="G88" s="746"/>
      <c r="H88" s="746"/>
      <c r="I88" s="746"/>
      <c r="J88" s="746"/>
      <c r="K88" s="746"/>
      <c r="L88" s="746"/>
      <c r="M88" s="746"/>
      <c r="N88" s="746"/>
      <c r="O88" s="746"/>
      <c r="P88" s="746"/>
      <c r="Q88" s="746"/>
      <c r="R88" s="746"/>
      <c r="S88" s="746"/>
      <c r="T88" s="746"/>
      <c r="U88" s="746"/>
      <c r="V88" s="746"/>
    </row>
    <row r="89" spans="1:22" hidden="1" x14ac:dyDescent="0.2">
      <c r="A89" s="746"/>
      <c r="B89" s="746"/>
      <c r="C89" s="746"/>
      <c r="D89" s="746"/>
      <c r="E89" s="746"/>
      <c r="F89" s="746"/>
      <c r="G89" s="746"/>
      <c r="H89" s="746"/>
      <c r="I89" s="746"/>
      <c r="J89" s="746"/>
      <c r="K89" s="746"/>
      <c r="L89" s="746"/>
      <c r="M89" s="746"/>
      <c r="N89" s="746"/>
      <c r="O89" s="746"/>
      <c r="P89" s="746"/>
      <c r="Q89" s="746"/>
      <c r="R89" s="746"/>
      <c r="S89" s="746"/>
      <c r="T89" s="746"/>
      <c r="U89" s="746"/>
      <c r="V89" s="746"/>
    </row>
    <row r="90" spans="1:22" hidden="1" x14ac:dyDescent="0.2">
      <c r="A90" s="746"/>
      <c r="B90" s="746"/>
      <c r="C90" s="746"/>
      <c r="D90" s="746"/>
      <c r="E90" s="746"/>
      <c r="F90" s="746"/>
      <c r="G90" s="746"/>
      <c r="H90" s="746"/>
      <c r="I90" s="746"/>
      <c r="J90" s="746"/>
      <c r="K90" s="746"/>
      <c r="L90" s="746"/>
      <c r="M90" s="746"/>
      <c r="N90" s="746"/>
      <c r="O90" s="746"/>
      <c r="P90" s="746"/>
      <c r="Q90" s="746"/>
      <c r="R90" s="746"/>
      <c r="S90" s="746"/>
      <c r="T90" s="746"/>
      <c r="U90" s="746"/>
      <c r="V90" s="746"/>
    </row>
    <row r="91" spans="1:22" hidden="1" x14ac:dyDescent="0.2">
      <c r="A91" s="746"/>
      <c r="B91" s="746"/>
      <c r="C91" s="746"/>
      <c r="D91" s="746"/>
      <c r="E91" s="746"/>
      <c r="F91" s="746"/>
      <c r="G91" s="746"/>
      <c r="H91" s="746"/>
      <c r="I91" s="746"/>
      <c r="J91" s="746"/>
      <c r="K91" s="746"/>
      <c r="L91" s="746"/>
      <c r="M91" s="746"/>
      <c r="N91" s="746"/>
      <c r="O91" s="746"/>
      <c r="P91" s="746"/>
      <c r="Q91" s="746"/>
      <c r="R91" s="746"/>
      <c r="S91" s="746"/>
      <c r="T91" s="746"/>
      <c r="U91" s="746"/>
      <c r="V91" s="746"/>
    </row>
    <row r="92" spans="1:22" hidden="1" x14ac:dyDescent="0.2">
      <c r="A92" s="746"/>
      <c r="B92" s="746"/>
      <c r="C92" s="746"/>
      <c r="D92" s="746"/>
      <c r="E92" s="746"/>
      <c r="F92" s="746"/>
      <c r="G92" s="746"/>
      <c r="H92" s="746"/>
      <c r="I92" s="746"/>
      <c r="J92" s="746"/>
      <c r="K92" s="746"/>
      <c r="L92" s="746"/>
      <c r="M92" s="746"/>
      <c r="N92" s="746"/>
      <c r="O92" s="746"/>
      <c r="P92" s="746"/>
      <c r="Q92" s="746"/>
      <c r="R92" s="746"/>
      <c r="S92" s="746"/>
      <c r="T92" s="746"/>
      <c r="U92" s="746"/>
      <c r="V92" s="746"/>
    </row>
    <row r="93" spans="1:22" hidden="1" x14ac:dyDescent="0.2">
      <c r="A93" s="746"/>
      <c r="B93" s="746"/>
      <c r="C93" s="746"/>
      <c r="D93" s="746"/>
      <c r="E93" s="746"/>
      <c r="F93" s="746"/>
      <c r="G93" s="746"/>
      <c r="H93" s="746"/>
      <c r="I93" s="746"/>
      <c r="J93" s="746"/>
      <c r="K93" s="746"/>
      <c r="L93" s="746"/>
      <c r="M93" s="746"/>
      <c r="N93" s="746"/>
      <c r="O93" s="746"/>
      <c r="P93" s="746"/>
      <c r="Q93" s="746"/>
      <c r="R93" s="746"/>
      <c r="S93" s="746"/>
      <c r="T93" s="746"/>
      <c r="U93" s="746"/>
      <c r="V93" s="746"/>
    </row>
    <row r="94" spans="1:22" hidden="1" x14ac:dyDescent="0.2">
      <c r="A94" s="746"/>
      <c r="B94" s="746"/>
      <c r="C94" s="746"/>
      <c r="D94" s="746"/>
      <c r="E94" s="746"/>
      <c r="F94" s="746"/>
      <c r="G94" s="746"/>
      <c r="H94" s="746"/>
      <c r="I94" s="746"/>
      <c r="J94" s="746"/>
      <c r="K94" s="746"/>
      <c r="L94" s="746"/>
      <c r="M94" s="746"/>
      <c r="N94" s="746"/>
      <c r="O94" s="746"/>
      <c r="P94" s="746"/>
      <c r="Q94" s="746"/>
      <c r="R94" s="746"/>
      <c r="S94" s="746"/>
      <c r="T94" s="746"/>
      <c r="U94" s="746"/>
      <c r="V94" s="746"/>
    </row>
    <row r="95" spans="1:22" hidden="1" x14ac:dyDescent="0.2">
      <c r="A95" s="746"/>
      <c r="B95" s="746"/>
      <c r="C95" s="746"/>
      <c r="D95" s="746"/>
      <c r="E95" s="746"/>
      <c r="F95" s="746"/>
      <c r="G95" s="746"/>
      <c r="H95" s="746"/>
      <c r="I95" s="746"/>
      <c r="J95" s="746"/>
      <c r="K95" s="746"/>
      <c r="L95" s="746"/>
      <c r="M95" s="746"/>
      <c r="N95" s="746"/>
      <c r="O95" s="746"/>
      <c r="P95" s="746"/>
      <c r="Q95" s="746"/>
      <c r="R95" s="746"/>
      <c r="S95" s="746"/>
      <c r="T95" s="746"/>
      <c r="U95" s="746"/>
      <c r="V95" s="746"/>
    </row>
    <row r="96" spans="1:22" hidden="1" x14ac:dyDescent="0.2">
      <c r="A96" s="746"/>
      <c r="B96" s="746"/>
      <c r="C96" s="746"/>
      <c r="D96" s="746"/>
      <c r="E96" s="746"/>
      <c r="F96" s="746"/>
      <c r="G96" s="746"/>
      <c r="H96" s="746"/>
      <c r="I96" s="746"/>
      <c r="J96" s="746"/>
      <c r="K96" s="746"/>
      <c r="L96" s="746"/>
      <c r="M96" s="746"/>
      <c r="N96" s="746"/>
      <c r="O96" s="746"/>
      <c r="P96" s="746"/>
      <c r="Q96" s="746"/>
      <c r="R96" s="746"/>
      <c r="S96" s="746"/>
      <c r="T96" s="746"/>
      <c r="U96" s="746"/>
      <c r="V96" s="746"/>
    </row>
    <row r="97" spans="1:22" hidden="1" x14ac:dyDescent="0.2">
      <c r="A97" s="746"/>
      <c r="B97" s="746"/>
      <c r="C97" s="746"/>
      <c r="D97" s="746"/>
      <c r="E97" s="746"/>
      <c r="F97" s="746"/>
      <c r="G97" s="746"/>
      <c r="H97" s="746"/>
      <c r="I97" s="746"/>
      <c r="J97" s="746"/>
      <c r="K97" s="746"/>
      <c r="L97" s="746"/>
      <c r="M97" s="746"/>
      <c r="N97" s="746"/>
      <c r="O97" s="746"/>
      <c r="P97" s="746"/>
      <c r="Q97" s="746"/>
      <c r="R97" s="746"/>
      <c r="S97" s="746"/>
      <c r="T97" s="746"/>
      <c r="U97" s="746"/>
      <c r="V97" s="746"/>
    </row>
    <row r="98" spans="1:22" hidden="1" x14ac:dyDescent="0.2">
      <c r="A98" s="746"/>
      <c r="B98" s="746"/>
      <c r="C98" s="746"/>
      <c r="D98" s="746"/>
      <c r="E98" s="746"/>
      <c r="F98" s="746"/>
      <c r="G98" s="746"/>
      <c r="H98" s="746"/>
      <c r="I98" s="746"/>
      <c r="J98" s="746"/>
      <c r="K98" s="746"/>
      <c r="L98" s="746"/>
      <c r="M98" s="746"/>
      <c r="N98" s="746"/>
      <c r="O98" s="746"/>
      <c r="P98" s="746"/>
      <c r="Q98" s="746"/>
      <c r="R98" s="746"/>
      <c r="S98" s="746"/>
      <c r="T98" s="746"/>
      <c r="U98" s="746"/>
      <c r="V98" s="746"/>
    </row>
    <row r="99" spans="1:22" hidden="1" x14ac:dyDescent="0.2">
      <c r="A99" s="746"/>
      <c r="B99" s="746"/>
      <c r="C99" s="746"/>
      <c r="D99" s="746"/>
      <c r="E99" s="746"/>
      <c r="F99" s="746"/>
      <c r="G99" s="746"/>
      <c r="H99" s="746"/>
      <c r="I99" s="746"/>
      <c r="J99" s="746"/>
      <c r="K99" s="746"/>
      <c r="L99" s="746"/>
      <c r="M99" s="746"/>
      <c r="N99" s="746"/>
      <c r="O99" s="746"/>
      <c r="P99" s="746"/>
      <c r="Q99" s="746"/>
      <c r="R99" s="746"/>
      <c r="S99" s="746"/>
      <c r="T99" s="746"/>
      <c r="U99" s="746"/>
      <c r="V99" s="746"/>
    </row>
    <row r="100" spans="1:22" hidden="1" x14ac:dyDescent="0.2">
      <c r="A100" s="1315" t="s">
        <v>454</v>
      </c>
      <c r="B100" s="746"/>
      <c r="C100" s="746"/>
      <c r="D100" s="746"/>
      <c r="E100" s="746"/>
      <c r="F100" s="746"/>
      <c r="G100" s="746"/>
      <c r="H100" s="746"/>
      <c r="I100" s="746"/>
      <c r="J100" s="746"/>
      <c r="L100" s="746"/>
      <c r="M100" s="746"/>
      <c r="N100" s="746"/>
      <c r="O100" s="746"/>
      <c r="P100" s="746"/>
      <c r="Q100" s="746"/>
      <c r="R100" s="746"/>
      <c r="S100" s="746"/>
      <c r="T100" s="746"/>
      <c r="U100" s="746"/>
      <c r="V100" s="746"/>
    </row>
    <row r="101" spans="1:22" hidden="1" x14ac:dyDescent="0.2">
      <c r="A101" s="746"/>
      <c r="B101" s="746"/>
      <c r="C101" s="746"/>
      <c r="D101" s="746"/>
      <c r="E101" s="746"/>
      <c r="F101" s="746"/>
      <c r="G101" s="746"/>
      <c r="H101" s="746"/>
      <c r="I101" s="746"/>
      <c r="J101" s="746"/>
      <c r="L101" s="746"/>
      <c r="M101" s="746"/>
      <c r="N101" s="746"/>
      <c r="O101" s="746"/>
      <c r="P101" s="746"/>
      <c r="Q101" s="746"/>
      <c r="R101" s="746"/>
      <c r="S101" s="746"/>
      <c r="T101" s="746"/>
      <c r="U101" s="746"/>
      <c r="V101" s="746"/>
    </row>
    <row r="102" spans="1:22" hidden="1" x14ac:dyDescent="0.2">
      <c r="A102" s="1316" t="s">
        <v>336</v>
      </c>
      <c r="B102" s="1317" t="str">
        <f>IF(A102="-","-",IFERROR(INDEX(B$1:B$100,MATCH(A102,I$1:I$100,0)),""))</f>
        <v/>
      </c>
      <c r="C102" s="1318">
        <v>13</v>
      </c>
      <c r="D102" s="1318"/>
      <c r="E102" s="1318"/>
      <c r="F102" s="1319"/>
      <c r="L102" s="746"/>
      <c r="M102" s="746"/>
      <c r="N102" s="746"/>
      <c r="O102" s="746"/>
      <c r="P102" s="746"/>
      <c r="Q102" s="746"/>
      <c r="R102" s="746"/>
      <c r="S102" s="746"/>
      <c r="T102" s="746"/>
      <c r="U102" s="746"/>
      <c r="V102" s="746"/>
    </row>
    <row r="103" spans="1:22" hidden="1" x14ac:dyDescent="0.2">
      <c r="A103" s="1316"/>
      <c r="B103" s="1320"/>
      <c r="C103" s="1321" t="str">
        <f>IF(COUNT(C102,C104)=2,IF(C102&gt;C104,B102,B104),"")</f>
        <v/>
      </c>
      <c r="D103" s="1319"/>
      <c r="E103" s="1318">
        <v>13</v>
      </c>
      <c r="F103" s="1319"/>
      <c r="L103" s="625"/>
      <c r="M103" s="746"/>
      <c r="N103" s="746"/>
      <c r="O103" s="746"/>
      <c r="P103" s="746"/>
      <c r="Q103" s="746"/>
      <c r="R103" s="746"/>
      <c r="S103" s="746"/>
      <c r="T103" s="746"/>
      <c r="U103" s="746"/>
      <c r="V103" s="746"/>
    </row>
    <row r="104" spans="1:22" hidden="1" x14ac:dyDescent="0.2">
      <c r="A104" s="1316" t="s">
        <v>337</v>
      </c>
      <c r="B104" s="1322" t="str">
        <f>IF(A104="-","-",IFERROR(INDEX(B$1:B$100,MATCH(A104,I$1:I$100,0)),""))</f>
        <v/>
      </c>
      <c r="C104" s="1323">
        <v>6</v>
      </c>
      <c r="D104" s="1324"/>
      <c r="E104" s="1319"/>
      <c r="F104" s="1319"/>
      <c r="L104" s="625"/>
      <c r="M104" s="746"/>
      <c r="N104" s="746"/>
      <c r="O104" s="746"/>
      <c r="P104" s="746"/>
      <c r="Q104" s="746"/>
      <c r="R104" s="746"/>
      <c r="S104" s="746"/>
      <c r="T104" s="746"/>
      <c r="U104" s="746"/>
      <c r="V104" s="746"/>
    </row>
    <row r="105" spans="1:22" ht="13.5" hidden="1" thickBot="1" x14ac:dyDescent="0.25">
      <c r="A105" s="1316"/>
      <c r="B105" s="1325"/>
      <c r="C105" s="1326"/>
      <c r="D105" s="1327"/>
      <c r="E105" s="1328"/>
      <c r="F105" s="1329" t="str">
        <f>IF(COUNT(E103,E107)=2,IF(E103&gt;E107,C103,C107),"")</f>
        <v/>
      </c>
      <c r="L105" s="746"/>
      <c r="M105" s="746"/>
      <c r="N105" s="746"/>
      <c r="O105" s="746"/>
      <c r="P105" s="746"/>
      <c r="Q105" s="746"/>
      <c r="R105" s="746"/>
      <c r="S105" s="746"/>
      <c r="T105" s="746"/>
      <c r="U105" s="746"/>
      <c r="V105" s="746"/>
    </row>
    <row r="106" spans="1:22" hidden="1" x14ac:dyDescent="0.2">
      <c r="A106" s="1316" t="s">
        <v>338</v>
      </c>
      <c r="B106" s="1317" t="str">
        <f>IF(A106="-","-",IFERROR(INDEX(B$1:B$100,MATCH(A106,I$1:I$100,0)),""))</f>
        <v/>
      </c>
      <c r="C106" s="1318">
        <v>6</v>
      </c>
      <c r="D106" s="1327"/>
      <c r="E106" s="1330"/>
      <c r="F106" s="1331" t="s">
        <v>331</v>
      </c>
      <c r="G106" s="1243"/>
      <c r="L106" s="746"/>
      <c r="M106" s="746"/>
      <c r="N106" s="746"/>
      <c r="O106" s="746"/>
      <c r="P106" s="746"/>
      <c r="Q106" s="746"/>
    </row>
    <row r="107" spans="1:22" hidden="1" x14ac:dyDescent="0.2">
      <c r="A107" s="1316"/>
      <c r="B107" s="1320"/>
      <c r="C107" s="1321" t="str">
        <f>IF(COUNT(C106,C108)=2,IF(C106&gt;C108,B106,B108),"")</f>
        <v/>
      </c>
      <c r="D107" s="1332"/>
      <c r="E107" s="1323">
        <v>0</v>
      </c>
      <c r="F107" s="1333"/>
      <c r="G107" s="622"/>
      <c r="L107" s="746"/>
      <c r="M107" s="746"/>
      <c r="N107" s="746"/>
      <c r="O107" s="746"/>
      <c r="P107" s="746"/>
      <c r="Q107" s="746"/>
    </row>
    <row r="108" spans="1:22" ht="13.5" hidden="1" thickBot="1" x14ac:dyDescent="0.25">
      <c r="A108" s="1316" t="s">
        <v>339</v>
      </c>
      <c r="B108" s="1322" t="str">
        <f>IF(A108="-","-",IFERROR(INDEX(B$1:B$100,MATCH(A108,I$1:I$100,0)),""))</f>
        <v/>
      </c>
      <c r="C108" s="1323">
        <v>13</v>
      </c>
      <c r="D108" s="1318"/>
      <c r="E108" s="1326"/>
      <c r="F108" s="1334" t="str">
        <f>IF(COUNT(E103,E107)=2,IF(E103&lt;E107,C103,C107),"")</f>
        <v/>
      </c>
      <c r="G108" s="1246"/>
      <c r="L108" s="746"/>
      <c r="M108" s="746"/>
      <c r="N108" s="746"/>
      <c r="O108" s="746"/>
      <c r="P108" s="746"/>
      <c r="Q108" s="746"/>
      <c r="R108" s="746"/>
      <c r="S108" s="746"/>
      <c r="T108" s="746"/>
      <c r="U108" s="746"/>
      <c r="V108" s="746"/>
    </row>
    <row r="109" spans="1:22" hidden="1" x14ac:dyDescent="0.2">
      <c r="A109" s="746"/>
      <c r="B109" s="1318"/>
      <c r="C109" s="1318"/>
      <c r="D109" s="1318"/>
      <c r="E109" s="1326"/>
      <c r="F109" s="1335" t="s">
        <v>332</v>
      </c>
      <c r="L109" s="746"/>
      <c r="M109" s="746"/>
      <c r="N109" s="746"/>
      <c r="O109" s="746"/>
      <c r="P109" s="746"/>
      <c r="Q109" s="746"/>
    </row>
    <row r="110" spans="1:22" hidden="1" x14ac:dyDescent="0.2">
      <c r="A110" s="746"/>
      <c r="B110" s="1318"/>
      <c r="C110" s="1329" t="str">
        <f>IF(COUNT(C102,C104)=2,IF(C102&lt;C104,B102,B104),"")</f>
        <v/>
      </c>
      <c r="D110" s="1319"/>
      <c r="E110" s="1326">
        <v>13</v>
      </c>
      <c r="F110" s="1333"/>
      <c r="L110" s="746"/>
      <c r="M110" s="746"/>
      <c r="N110" s="746"/>
      <c r="O110" s="746"/>
      <c r="P110" s="746"/>
      <c r="Q110" s="746"/>
    </row>
    <row r="111" spans="1:22" ht="13.5" hidden="1" thickBot="1" x14ac:dyDescent="0.25">
      <c r="A111" s="746"/>
      <c r="B111" s="1318"/>
      <c r="C111" s="1336"/>
      <c r="D111" s="1337"/>
      <c r="E111" s="1338"/>
      <c r="F111" s="1329" t="str">
        <f>IF(COUNT(E110,E112)=2,IF(E110&gt;E112,C110,C112),"")</f>
        <v/>
      </c>
      <c r="L111" s="746"/>
      <c r="M111" s="746"/>
      <c r="N111" s="746"/>
      <c r="O111" s="746"/>
      <c r="P111" s="746"/>
      <c r="Q111" s="746"/>
    </row>
    <row r="112" spans="1:22" hidden="1" x14ac:dyDescent="0.2">
      <c r="A112" s="746"/>
      <c r="B112" s="1318"/>
      <c r="C112" s="1339" t="str">
        <f>IF(COUNT(C106,C108)=2,IF(C106&lt;C108,B106,B108),"")</f>
        <v/>
      </c>
      <c r="D112" s="1332"/>
      <c r="E112" s="1323">
        <v>9</v>
      </c>
      <c r="F112" s="1331" t="s">
        <v>300</v>
      </c>
      <c r="G112" s="1243"/>
      <c r="L112" s="746"/>
      <c r="M112" s="746"/>
      <c r="N112" s="746"/>
      <c r="O112" s="746"/>
      <c r="P112" s="746"/>
      <c r="Q112" s="746"/>
    </row>
    <row r="113" spans="1:17" hidden="1" x14ac:dyDescent="0.2">
      <c r="A113" s="746"/>
      <c r="B113" s="1319"/>
      <c r="C113" s="1319"/>
      <c r="D113" s="1319"/>
      <c r="E113" s="1319"/>
      <c r="F113" s="1333"/>
      <c r="G113" s="622"/>
      <c r="L113" s="746"/>
      <c r="M113" s="746"/>
      <c r="N113" s="746"/>
      <c r="O113" s="746"/>
      <c r="P113" s="746"/>
      <c r="Q113" s="746"/>
    </row>
    <row r="114" spans="1:17" ht="13.5" hidden="1" thickBot="1" x14ac:dyDescent="0.25">
      <c r="A114" s="746"/>
      <c r="B114" s="1319"/>
      <c r="C114" s="1333"/>
      <c r="D114" s="1333"/>
      <c r="E114" s="1319"/>
      <c r="F114" s="1340" t="str">
        <f>IF(COUNT(E110,E112)=2,IF(E110&lt;E112,C110,C112),"")</f>
        <v/>
      </c>
      <c r="G114" s="1246"/>
      <c r="L114" s="746"/>
      <c r="M114" s="746"/>
      <c r="N114" s="746"/>
      <c r="O114" s="746"/>
      <c r="P114" s="746"/>
      <c r="Q114" s="746"/>
    </row>
    <row r="115" spans="1:17" hidden="1" x14ac:dyDescent="0.2">
      <c r="A115" s="746"/>
      <c r="B115" s="1319"/>
      <c r="C115" s="1333"/>
      <c r="D115" s="1333"/>
      <c r="E115" s="1319"/>
      <c r="F115" s="1335" t="s">
        <v>298</v>
      </c>
      <c r="L115" s="746"/>
      <c r="M115" s="746"/>
      <c r="N115" s="746"/>
      <c r="O115" s="746"/>
      <c r="P115" s="746"/>
      <c r="Q115" s="746"/>
    </row>
    <row r="116" spans="1:17" hidden="1" x14ac:dyDescent="0.2">
      <c r="A116" s="746"/>
      <c r="N116" s="746"/>
      <c r="O116" s="746"/>
      <c r="P116" s="746"/>
      <c r="Q116" s="746"/>
    </row>
    <row r="117" spans="1:17" hidden="1" x14ac:dyDescent="0.2">
      <c r="A117" s="1315" t="s">
        <v>466</v>
      </c>
      <c r="N117" s="746"/>
      <c r="O117" s="746"/>
      <c r="P117" s="746"/>
      <c r="Q117" s="746"/>
    </row>
    <row r="118" spans="1:17" hidden="1" x14ac:dyDescent="0.2">
      <c r="N118" s="746"/>
      <c r="O118" s="746"/>
      <c r="P118" s="746"/>
      <c r="Q118" s="746"/>
    </row>
    <row r="119" spans="1:17" hidden="1" x14ac:dyDescent="0.2">
      <c r="A119" s="1316" t="s">
        <v>340</v>
      </c>
      <c r="B119" s="1317" t="str">
        <f>IF(A119="-","-",IFERROR(INDEX(B$1:B$100,MATCH(A119,I$1:I$100,0)),""))</f>
        <v/>
      </c>
      <c r="C119" s="1318">
        <v>12</v>
      </c>
      <c r="D119" s="1318"/>
      <c r="E119" s="1318"/>
      <c r="F119" s="1319"/>
      <c r="N119" s="746"/>
      <c r="O119" s="746"/>
      <c r="P119" s="746"/>
      <c r="Q119" s="746"/>
    </row>
    <row r="120" spans="1:17" hidden="1" x14ac:dyDescent="0.2">
      <c r="A120" s="1316"/>
      <c r="B120" s="1320"/>
      <c r="C120" s="1321" t="str">
        <f>IF(COUNT(C119,C121)=2,IF(C119&gt;C121,B119,B121),"")</f>
        <v/>
      </c>
      <c r="D120" s="1319"/>
      <c r="E120" s="1318">
        <v>0</v>
      </c>
      <c r="F120" s="1319"/>
      <c r="N120" s="746"/>
      <c r="O120" s="746"/>
      <c r="P120" s="746"/>
      <c r="Q120" s="746"/>
    </row>
    <row r="121" spans="1:17" hidden="1" x14ac:dyDescent="0.2">
      <c r="A121" s="1316" t="s">
        <v>341</v>
      </c>
      <c r="B121" s="1322" t="str">
        <f>IF(A121="-","-",IFERROR(INDEX(B$1:B$100,MATCH(A121,I$1:I$100,0)),""))</f>
        <v/>
      </c>
      <c r="C121" s="1323">
        <v>13</v>
      </c>
      <c r="D121" s="1324"/>
      <c r="E121" s="1319"/>
      <c r="F121" s="1319"/>
      <c r="N121" s="746"/>
      <c r="O121" s="746"/>
      <c r="P121" s="746"/>
      <c r="Q121" s="746"/>
    </row>
    <row r="122" spans="1:17" ht="13.5" hidden="1" thickBot="1" x14ac:dyDescent="0.25">
      <c r="A122" s="1316"/>
      <c r="B122" s="1325"/>
      <c r="C122" s="1326"/>
      <c r="D122" s="1327"/>
      <c r="E122" s="1328"/>
      <c r="F122" s="1329" t="str">
        <f>IF(COUNT(E120,E124)=2,IF(E120&gt;E124,C120,C124),"")</f>
        <v/>
      </c>
      <c r="N122" s="746"/>
      <c r="O122" s="746"/>
      <c r="P122" s="746"/>
      <c r="Q122" s="746"/>
    </row>
    <row r="123" spans="1:17" hidden="1" x14ac:dyDescent="0.2">
      <c r="A123" s="1316" t="s">
        <v>342</v>
      </c>
      <c r="B123" s="1317" t="str">
        <f>IF(A123="-","-",IFERROR(INDEX(B$1:B$100,MATCH(A123,I$1:I$100,0)),""))</f>
        <v/>
      </c>
      <c r="C123" s="1318">
        <v>6</v>
      </c>
      <c r="D123" s="1327"/>
      <c r="E123" s="1330"/>
      <c r="F123" s="1331" t="s">
        <v>299</v>
      </c>
      <c r="G123" s="1243"/>
      <c r="N123" s="746"/>
      <c r="O123" s="746"/>
      <c r="P123" s="746"/>
      <c r="Q123" s="746"/>
    </row>
    <row r="124" spans="1:17" hidden="1" x14ac:dyDescent="0.2">
      <c r="A124" s="1316"/>
      <c r="B124" s="1320"/>
      <c r="C124" s="1321" t="str">
        <f>IF(COUNT(C123,C125)=2,IF(C123&gt;C125,B123,B125),"")</f>
        <v/>
      </c>
      <c r="D124" s="1332"/>
      <c r="E124" s="1323">
        <v>13</v>
      </c>
      <c r="F124" s="1333"/>
      <c r="G124" s="622"/>
      <c r="N124" s="746"/>
      <c r="O124" s="746"/>
      <c r="P124" s="746"/>
      <c r="Q124" s="746"/>
    </row>
    <row r="125" spans="1:17" ht="13.5" hidden="1" thickBot="1" x14ac:dyDescent="0.25">
      <c r="A125" s="1316" t="s">
        <v>343</v>
      </c>
      <c r="B125" s="1322" t="str">
        <f>IF(A125="-","-",IFERROR(INDEX(B$1:B$100,MATCH(A125,I$1:I$100,0)),""))</f>
        <v/>
      </c>
      <c r="C125" s="1323">
        <v>13</v>
      </c>
      <c r="D125" s="1318"/>
      <c r="E125" s="1326"/>
      <c r="F125" s="1334" t="str">
        <f>IF(COUNT(E120,E124)=2,IF(E120&lt;E124,C120,C124),"")</f>
        <v/>
      </c>
      <c r="G125" s="1246"/>
      <c r="N125" s="746"/>
      <c r="O125" s="746"/>
      <c r="P125" s="746"/>
      <c r="Q125" s="746"/>
    </row>
    <row r="126" spans="1:17" hidden="1" x14ac:dyDescent="0.2">
      <c r="A126" s="746"/>
      <c r="B126" s="1318"/>
      <c r="C126" s="1318"/>
      <c r="D126" s="1318"/>
      <c r="E126" s="1326"/>
      <c r="F126" s="1335" t="s">
        <v>297</v>
      </c>
      <c r="N126" s="746"/>
      <c r="O126" s="746"/>
      <c r="P126" s="746"/>
      <c r="Q126" s="746"/>
    </row>
    <row r="127" spans="1:17" hidden="1" x14ac:dyDescent="0.2">
      <c r="A127" s="746"/>
      <c r="B127" s="1318"/>
      <c r="C127" s="1329" t="str">
        <f>IF(COUNT(C119,C121)=2,IF(C119&lt;C121,B119,B121),"")</f>
        <v/>
      </c>
      <c r="D127" s="1319"/>
      <c r="E127" s="1326">
        <v>13</v>
      </c>
      <c r="F127" s="1333"/>
      <c r="N127" s="746"/>
      <c r="O127" s="746"/>
      <c r="P127" s="746"/>
      <c r="Q127" s="746"/>
    </row>
    <row r="128" spans="1:17" ht="13.5" hidden="1" thickBot="1" x14ac:dyDescent="0.25">
      <c r="A128" s="746"/>
      <c r="B128" s="1318"/>
      <c r="C128" s="1336"/>
      <c r="D128" s="1337"/>
      <c r="E128" s="1338"/>
      <c r="F128" s="1329" t="str">
        <f>IF(COUNT(E127,E129)=2,IF(E127&gt;E129,C127,C129),"")</f>
        <v/>
      </c>
      <c r="N128" s="746"/>
      <c r="O128" s="746"/>
      <c r="P128" s="746"/>
      <c r="Q128" s="746"/>
    </row>
    <row r="129" spans="1:17" hidden="1" x14ac:dyDescent="0.2">
      <c r="A129" s="746"/>
      <c r="B129" s="1318"/>
      <c r="C129" s="1339" t="str">
        <f>IF(COUNT(C123,C125)=2,IF(C123&lt;C125,B123,B125),"")</f>
        <v/>
      </c>
      <c r="D129" s="1332"/>
      <c r="E129" s="1323">
        <v>7</v>
      </c>
      <c r="F129" s="1331" t="s">
        <v>305</v>
      </c>
      <c r="G129" s="1243"/>
      <c r="N129" s="746"/>
      <c r="O129" s="746"/>
      <c r="P129" s="746"/>
      <c r="Q129" s="746"/>
    </row>
    <row r="130" spans="1:17" hidden="1" x14ac:dyDescent="0.2">
      <c r="A130" s="746"/>
      <c r="B130" s="1319"/>
      <c r="C130" s="1319"/>
      <c r="D130" s="1319"/>
      <c r="E130" s="1319"/>
      <c r="F130" s="1333"/>
      <c r="G130" s="622"/>
      <c r="N130" s="746"/>
      <c r="O130" s="746"/>
      <c r="P130" s="746"/>
      <c r="Q130" s="746"/>
    </row>
    <row r="131" spans="1:17" ht="13.5" hidden="1" thickBot="1" x14ac:dyDescent="0.25">
      <c r="A131" s="746"/>
      <c r="B131" s="1319"/>
      <c r="C131" s="1333"/>
      <c r="D131" s="1333"/>
      <c r="E131" s="1319"/>
      <c r="F131" s="1340" t="str">
        <f>IF(COUNT(E127,E129)=2,IF(E127&lt;E129,C127,C129),"")</f>
        <v/>
      </c>
      <c r="G131" s="1246"/>
      <c r="N131" s="746"/>
      <c r="O131" s="746"/>
      <c r="P131" s="746"/>
      <c r="Q131" s="746"/>
    </row>
    <row r="132" spans="1:17" hidden="1" x14ac:dyDescent="0.2">
      <c r="A132" s="746"/>
      <c r="B132" s="1319"/>
      <c r="C132" s="1333"/>
      <c r="D132" s="1333"/>
      <c r="E132" s="1319"/>
      <c r="F132" s="1331" t="s">
        <v>301</v>
      </c>
      <c r="N132" s="746"/>
      <c r="O132" s="746"/>
      <c r="P132" s="746"/>
      <c r="Q132" s="746"/>
    </row>
    <row r="133" spans="1:17" hidden="1" x14ac:dyDescent="0.2"/>
    <row r="134" spans="1:17" hidden="1" x14ac:dyDescent="0.2">
      <c r="A134" s="1315" t="s">
        <v>465</v>
      </c>
    </row>
    <row r="135" spans="1:17" hidden="1" x14ac:dyDescent="0.2"/>
    <row r="136" spans="1:17" hidden="1" x14ac:dyDescent="0.2">
      <c r="B136" s="1316" t="s">
        <v>362</v>
      </c>
      <c r="C136" s="1317" t="str">
        <f>IF(B136="-","-",IFERROR(INDEX(B$1:B$100,MATCH(B136,I$1:I$100,0)),""))</f>
        <v/>
      </c>
      <c r="D136" s="1319"/>
      <c r="E136" s="1341">
        <v>7</v>
      </c>
      <c r="F136" s="1333"/>
    </row>
    <row r="137" spans="1:17" ht="13.5" hidden="1" thickBot="1" x14ac:dyDescent="0.25">
      <c r="B137" s="1316"/>
      <c r="C137" s="1320"/>
      <c r="D137" s="1337"/>
      <c r="E137" s="1338"/>
      <c r="F137" s="1329" t="str">
        <f>IF(COUNT(E136,E138)=2,IF(E136&gt;E138,C136,C138),"")</f>
        <v/>
      </c>
    </row>
    <row r="138" spans="1:17" hidden="1" x14ac:dyDescent="0.2">
      <c r="B138" s="1316" t="s">
        <v>360</v>
      </c>
      <c r="C138" s="1317" t="str">
        <f>IF(B138="-","-",IFERROR(INDEX(B$1:B$100,MATCH(B138,I$1:I$100,0)),""))</f>
        <v/>
      </c>
      <c r="D138" s="1332"/>
      <c r="E138" s="1323">
        <v>13</v>
      </c>
      <c r="F138" s="1331" t="s">
        <v>304</v>
      </c>
      <c r="G138" s="1243"/>
    </row>
    <row r="139" spans="1:17" hidden="1" x14ac:dyDescent="0.2">
      <c r="C139" s="1319"/>
      <c r="D139" s="1319"/>
      <c r="E139" s="1319"/>
      <c r="F139" s="1333"/>
      <c r="G139" s="622"/>
    </row>
    <row r="140" spans="1:17" ht="13.5" hidden="1" thickBot="1" x14ac:dyDescent="0.25">
      <c r="C140" s="1333"/>
      <c r="D140" s="1333"/>
      <c r="E140" s="1319"/>
      <c r="F140" s="1340" t="str">
        <f>IF(COUNT(E136,E138)=2,IF(E136&lt;E138,C136,C138),"")</f>
        <v/>
      </c>
      <c r="G140" s="1246"/>
    </row>
    <row r="141" spans="1:17" hidden="1" x14ac:dyDescent="0.2">
      <c r="C141" s="1333"/>
      <c r="D141" s="1333"/>
      <c r="E141" s="1319"/>
      <c r="F141" s="1331" t="s">
        <v>302</v>
      </c>
    </row>
    <row r="142" spans="1:17" hidden="1" x14ac:dyDescent="0.2"/>
    <row r="143" spans="1:17" hidden="1" x14ac:dyDescent="0.2"/>
    <row r="144" spans="1:17"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573"/>
      <c r="B299" s="573"/>
      <c r="C299" s="1261" t="s">
        <v>54</v>
      </c>
    </row>
    <row r="300" spans="1:3" x14ac:dyDescent="0.2">
      <c r="A300" s="627">
        <v>1</v>
      </c>
      <c r="B300" s="1342" t="s">
        <v>524</v>
      </c>
      <c r="C300" s="1169">
        <v>40</v>
      </c>
    </row>
    <row r="301" spans="1:3" x14ac:dyDescent="0.2">
      <c r="A301" s="627">
        <v>2</v>
      </c>
      <c r="B301" s="1342" t="s">
        <v>289</v>
      </c>
      <c r="C301" s="1169">
        <v>34</v>
      </c>
    </row>
    <row r="302" spans="1:3" x14ac:dyDescent="0.2">
      <c r="A302" s="627">
        <v>3</v>
      </c>
      <c r="B302" s="1342" t="s">
        <v>306</v>
      </c>
      <c r="C302" s="1169">
        <v>30</v>
      </c>
    </row>
    <row r="303" spans="1:3" x14ac:dyDescent="0.2">
      <c r="A303" s="627">
        <v>4</v>
      </c>
      <c r="B303" s="1342" t="s">
        <v>525</v>
      </c>
      <c r="C303" s="1169">
        <v>26</v>
      </c>
    </row>
    <row r="304" spans="1:3" x14ac:dyDescent="0.2">
      <c r="A304" s="627">
        <v>5</v>
      </c>
      <c r="B304" s="1342" t="s">
        <v>290</v>
      </c>
      <c r="C304" s="1169">
        <v>24</v>
      </c>
    </row>
    <row r="305" spans="1:3" x14ac:dyDescent="0.2">
      <c r="A305" s="627">
        <v>6</v>
      </c>
      <c r="B305" s="1342" t="s">
        <v>526</v>
      </c>
      <c r="C305" s="1169">
        <v>22</v>
      </c>
    </row>
    <row r="306" spans="1:3" x14ac:dyDescent="0.2">
      <c r="A306" s="627">
        <v>7</v>
      </c>
      <c r="B306" s="1342" t="s">
        <v>527</v>
      </c>
      <c r="C306" s="1169">
        <v>20</v>
      </c>
    </row>
    <row r="307" spans="1:3" x14ac:dyDescent="0.2">
      <c r="A307" s="627">
        <v>8</v>
      </c>
      <c r="B307" s="1342" t="s">
        <v>480</v>
      </c>
      <c r="C307" s="1169">
        <v>18</v>
      </c>
    </row>
    <row r="308" spans="1:3" x14ac:dyDescent="0.2">
      <c r="A308" s="627">
        <v>9</v>
      </c>
      <c r="B308" s="1342" t="s">
        <v>366</v>
      </c>
      <c r="C308" s="1169">
        <v>16</v>
      </c>
    </row>
    <row r="309" spans="1:3" x14ac:dyDescent="0.2">
      <c r="A309" s="627">
        <v>10</v>
      </c>
      <c r="B309" s="1342" t="s">
        <v>293</v>
      </c>
      <c r="C309" s="1169">
        <v>14</v>
      </c>
    </row>
  </sheetData>
  <conditionalFormatting sqref="A300:A309">
    <cfRule type="duplicateValues" dxfId="1815" priority="421"/>
  </conditionalFormatting>
  <conditionalFormatting sqref="B300:B309">
    <cfRule type="expression" dxfId="1814" priority="416">
      <formula>A300=3</formula>
    </cfRule>
    <cfRule type="expression" dxfId="1813" priority="417">
      <formula>A300=2</formula>
    </cfRule>
    <cfRule type="expression" dxfId="1812" priority="418">
      <formula>A300=1</formula>
    </cfRule>
    <cfRule type="containsBlanks" dxfId="1811" priority="419">
      <formula>LEN(TRIM(B300))=0</formula>
    </cfRule>
    <cfRule type="duplicateValues" dxfId="1810" priority="420"/>
  </conditionalFormatting>
  <conditionalFormatting sqref="I56:I60">
    <cfRule type="expression" dxfId="1809" priority="305">
      <formula>FIND(2,I56,1)</formula>
    </cfRule>
    <cfRule type="expression" dxfId="1808" priority="306">
      <formula>FIND(1,I56,1)</formula>
    </cfRule>
  </conditionalFormatting>
  <conditionalFormatting sqref="D7 C8">
    <cfRule type="aboveAverage" dxfId="1807" priority="394"/>
  </conditionalFormatting>
  <conditionalFormatting sqref="E7 C9">
    <cfRule type="aboveAverage" dxfId="1806" priority="393"/>
  </conditionalFormatting>
  <conditionalFormatting sqref="F7 C10">
    <cfRule type="aboveAverage" dxfId="1805" priority="392"/>
  </conditionalFormatting>
  <conditionalFormatting sqref="E8 D9">
    <cfRule type="aboveAverage" dxfId="1804" priority="391"/>
  </conditionalFormatting>
  <conditionalFormatting sqref="G7 C11">
    <cfRule type="aboveAverage" dxfId="1803" priority="390"/>
  </conditionalFormatting>
  <conditionalFormatting sqref="F8 D10">
    <cfRule type="aboveAverage" dxfId="1802" priority="389"/>
  </conditionalFormatting>
  <conditionalFormatting sqref="G8 D11">
    <cfRule type="aboveAverage" dxfId="1801" priority="388"/>
  </conditionalFormatting>
  <conditionalFormatting sqref="F9 E10">
    <cfRule type="aboveAverage" dxfId="1800" priority="387"/>
  </conditionalFormatting>
  <conditionalFormatting sqref="G9 E11">
    <cfRule type="aboveAverage" dxfId="1799" priority="386"/>
  </conditionalFormatting>
  <conditionalFormatting sqref="F11 G10">
    <cfRule type="aboveAverage" dxfId="1798" priority="385"/>
  </conditionalFormatting>
  <conditionalFormatting sqref="D14 C15">
    <cfRule type="aboveAverage" dxfId="1797" priority="384"/>
  </conditionalFormatting>
  <conditionalFormatting sqref="E14 C16">
    <cfRule type="aboveAverage" dxfId="1796" priority="383"/>
  </conditionalFormatting>
  <conditionalFormatting sqref="F14 C17">
    <cfRule type="aboveAverage" dxfId="1795" priority="382"/>
  </conditionalFormatting>
  <conditionalFormatting sqref="E15 D16">
    <cfRule type="aboveAverage" dxfId="1794" priority="381"/>
  </conditionalFormatting>
  <conditionalFormatting sqref="G14 C18">
    <cfRule type="aboveAverage" dxfId="1793" priority="380"/>
  </conditionalFormatting>
  <conditionalFormatting sqref="F15 D17">
    <cfRule type="aboveAverage" dxfId="1792" priority="379"/>
  </conditionalFormatting>
  <conditionalFormatting sqref="G15 D18">
    <cfRule type="aboveAverage" dxfId="1791" priority="378"/>
  </conditionalFormatting>
  <conditionalFormatting sqref="F16 E17">
    <cfRule type="aboveAverage" dxfId="1790" priority="377"/>
  </conditionalFormatting>
  <conditionalFormatting sqref="G16 E18">
    <cfRule type="aboveAverage" dxfId="1789" priority="376"/>
  </conditionalFormatting>
  <conditionalFormatting sqref="F18 G17">
    <cfRule type="aboveAverage" dxfId="1788" priority="375"/>
  </conditionalFormatting>
  <conditionalFormatting sqref="D21 C22">
    <cfRule type="aboveAverage" dxfId="1787" priority="374"/>
  </conditionalFormatting>
  <conditionalFormatting sqref="E21 C23">
    <cfRule type="aboveAverage" dxfId="1786" priority="373"/>
  </conditionalFormatting>
  <conditionalFormatting sqref="F21 C24">
    <cfRule type="aboveAverage" dxfId="1785" priority="372"/>
  </conditionalFormatting>
  <conditionalFormatting sqref="E22 D23">
    <cfRule type="aboveAverage" dxfId="1784" priority="371"/>
  </conditionalFormatting>
  <conditionalFormatting sqref="G21 C25">
    <cfRule type="aboveAverage" dxfId="1783" priority="370"/>
  </conditionalFormatting>
  <conditionalFormatting sqref="F22 D24">
    <cfRule type="aboveAverage" dxfId="1782" priority="369"/>
  </conditionalFormatting>
  <conditionalFormatting sqref="G22 D25">
    <cfRule type="aboveAverage" dxfId="1781" priority="368"/>
  </conditionalFormatting>
  <conditionalFormatting sqref="F23 E24">
    <cfRule type="aboveAverage" dxfId="1780" priority="367"/>
  </conditionalFormatting>
  <conditionalFormatting sqref="G23 E25">
    <cfRule type="aboveAverage" dxfId="1779" priority="366"/>
  </conditionalFormatting>
  <conditionalFormatting sqref="F25 G24">
    <cfRule type="aboveAverage" dxfId="1778" priority="365"/>
  </conditionalFormatting>
  <conditionalFormatting sqref="D28 C29">
    <cfRule type="aboveAverage" dxfId="1777" priority="364"/>
  </conditionalFormatting>
  <conditionalFormatting sqref="E28 C30">
    <cfRule type="aboveAverage" dxfId="1776" priority="363"/>
  </conditionalFormatting>
  <conditionalFormatting sqref="F28 C31">
    <cfRule type="aboveAverage" dxfId="1775" priority="362"/>
  </conditionalFormatting>
  <conditionalFormatting sqref="E29 D30">
    <cfRule type="aboveAverage" dxfId="1774" priority="361"/>
  </conditionalFormatting>
  <conditionalFormatting sqref="G28 C32">
    <cfRule type="aboveAverage" dxfId="1773" priority="360"/>
  </conditionalFormatting>
  <conditionalFormatting sqref="F29 D31">
    <cfRule type="aboveAverage" dxfId="1772" priority="359"/>
  </conditionalFormatting>
  <conditionalFormatting sqref="G29 D32">
    <cfRule type="aboveAverage" dxfId="1771" priority="358"/>
  </conditionalFormatting>
  <conditionalFormatting sqref="F30 E31">
    <cfRule type="aboveAverage" dxfId="1770" priority="357"/>
  </conditionalFormatting>
  <conditionalFormatting sqref="G30 E32">
    <cfRule type="aboveAverage" dxfId="1769" priority="356"/>
  </conditionalFormatting>
  <conditionalFormatting sqref="F32 G31">
    <cfRule type="aboveAverage" dxfId="1768" priority="355"/>
  </conditionalFormatting>
  <conditionalFormatting sqref="D35 C36">
    <cfRule type="aboveAverage" dxfId="1767" priority="354"/>
  </conditionalFormatting>
  <conditionalFormatting sqref="E35 C37">
    <cfRule type="aboveAverage" dxfId="1766" priority="353"/>
  </conditionalFormatting>
  <conditionalFormatting sqref="F35 C38">
    <cfRule type="aboveAverage" dxfId="1765" priority="352"/>
  </conditionalFormatting>
  <conditionalFormatting sqref="E36 D37">
    <cfRule type="aboveAverage" dxfId="1764" priority="351"/>
  </conditionalFormatting>
  <conditionalFormatting sqref="G35 C39">
    <cfRule type="aboveAverage" dxfId="1763" priority="350"/>
  </conditionalFormatting>
  <conditionalFormatting sqref="F36 D38">
    <cfRule type="aboveAverage" dxfId="1762" priority="349"/>
  </conditionalFormatting>
  <conditionalFormatting sqref="G36 D39">
    <cfRule type="aboveAverage" dxfId="1761" priority="348"/>
  </conditionalFormatting>
  <conditionalFormatting sqref="F37 E38">
    <cfRule type="aboveAverage" dxfId="1760" priority="347"/>
  </conditionalFormatting>
  <conditionalFormatting sqref="G37 E39">
    <cfRule type="aboveAverage" dxfId="1759" priority="346"/>
  </conditionalFormatting>
  <conditionalFormatting sqref="F39 G38">
    <cfRule type="aboveAverage" dxfId="1758" priority="345"/>
  </conditionalFormatting>
  <conditionalFormatting sqref="D42 C43">
    <cfRule type="aboveAverage" dxfId="1757" priority="344"/>
  </conditionalFormatting>
  <conditionalFormatting sqref="E42 C44">
    <cfRule type="aboveAverage" dxfId="1756" priority="343"/>
  </conditionalFormatting>
  <conditionalFormatting sqref="F42 C45">
    <cfRule type="aboveAverage" dxfId="1755" priority="342"/>
  </conditionalFormatting>
  <conditionalFormatting sqref="E43 D44">
    <cfRule type="aboveAverage" dxfId="1754" priority="341"/>
  </conditionalFormatting>
  <conditionalFormatting sqref="G42 C46">
    <cfRule type="aboveAverage" dxfId="1753" priority="340"/>
  </conditionalFormatting>
  <conditionalFormatting sqref="F43 D45">
    <cfRule type="aboveAverage" dxfId="1752" priority="339"/>
  </conditionalFormatting>
  <conditionalFormatting sqref="G43 D46">
    <cfRule type="aboveAverage" dxfId="1751" priority="338"/>
  </conditionalFormatting>
  <conditionalFormatting sqref="F44 E45">
    <cfRule type="aboveAverage" dxfId="1750" priority="337"/>
  </conditionalFormatting>
  <conditionalFormatting sqref="G44 E46">
    <cfRule type="aboveAverage" dxfId="1749" priority="336"/>
  </conditionalFormatting>
  <conditionalFormatting sqref="F46 G45">
    <cfRule type="aboveAverage" dxfId="1748" priority="335"/>
  </conditionalFormatting>
  <conditionalFormatting sqref="D49 C50">
    <cfRule type="aboveAverage" dxfId="1747" priority="334"/>
  </conditionalFormatting>
  <conditionalFormatting sqref="E49 C51">
    <cfRule type="aboveAverage" dxfId="1746" priority="333"/>
  </conditionalFormatting>
  <conditionalFormatting sqref="F49 C52">
    <cfRule type="aboveAverage" dxfId="1745" priority="332"/>
  </conditionalFormatting>
  <conditionalFormatting sqref="E50 D51">
    <cfRule type="aboveAverage" dxfId="1744" priority="331"/>
  </conditionalFormatting>
  <conditionalFormatting sqref="G49 C53">
    <cfRule type="aboveAverage" dxfId="1743" priority="330"/>
  </conditionalFormatting>
  <conditionalFormatting sqref="F50 D52">
    <cfRule type="aboveAverage" dxfId="1742" priority="329"/>
  </conditionalFormatting>
  <conditionalFormatting sqref="G50 D53">
    <cfRule type="aboveAverage" dxfId="1741" priority="328"/>
  </conditionalFormatting>
  <conditionalFormatting sqref="F51 E52">
    <cfRule type="aboveAverage" dxfId="1740" priority="327"/>
  </conditionalFormatting>
  <conditionalFormatting sqref="G51 E53">
    <cfRule type="aboveAverage" dxfId="1739" priority="326"/>
  </conditionalFormatting>
  <conditionalFormatting sqref="F53 G52">
    <cfRule type="aboveAverage" dxfId="1738" priority="325"/>
  </conditionalFormatting>
  <conditionalFormatting sqref="D56 C57">
    <cfRule type="aboveAverage" dxfId="1737" priority="324"/>
  </conditionalFormatting>
  <conditionalFormatting sqref="E56 C58">
    <cfRule type="aboveAverage" dxfId="1736" priority="323"/>
  </conditionalFormatting>
  <conditionalFormatting sqref="F56 C59">
    <cfRule type="aboveAverage" dxfId="1735" priority="322"/>
  </conditionalFormatting>
  <conditionalFormatting sqref="E57 D58">
    <cfRule type="aboveAverage" dxfId="1734" priority="321"/>
  </conditionalFormatting>
  <conditionalFormatting sqref="G56 C60">
    <cfRule type="aboveAverage" dxfId="1733" priority="320"/>
  </conditionalFormatting>
  <conditionalFormatting sqref="F57 D59">
    <cfRule type="aboveAverage" dxfId="1732" priority="319"/>
  </conditionalFormatting>
  <conditionalFormatting sqref="G57 D60">
    <cfRule type="aboveAverage" dxfId="1731" priority="318"/>
  </conditionalFormatting>
  <conditionalFormatting sqref="F58 E59">
    <cfRule type="aboveAverage" dxfId="1730" priority="317"/>
  </conditionalFormatting>
  <conditionalFormatting sqref="G58 E60">
    <cfRule type="aboveAverage" dxfId="1729" priority="316"/>
  </conditionalFormatting>
  <conditionalFormatting sqref="F60 G59">
    <cfRule type="aboveAverage" dxfId="1728" priority="315"/>
  </conditionalFormatting>
  <conditionalFormatting sqref="I28:I32">
    <cfRule type="expression" dxfId="1727" priority="309">
      <formula>FIND(2,I28,1)</formula>
    </cfRule>
    <cfRule type="expression" dxfId="1726" priority="310">
      <formula>FIND(1,I28,1)</formula>
    </cfRule>
  </conditionalFormatting>
  <conditionalFormatting sqref="I21:I25">
    <cfRule type="expression" dxfId="1725" priority="311">
      <formula>FIND(2,I21,1)</formula>
    </cfRule>
    <cfRule type="expression" dxfId="1724" priority="312">
      <formula>FIND(1,I21,1)</formula>
    </cfRule>
  </conditionalFormatting>
  <conditionalFormatting sqref="I49:I53">
    <cfRule type="expression" dxfId="1723" priority="307">
      <formula>FIND(2,I49,1)</formula>
    </cfRule>
    <cfRule type="expression" dxfId="1722" priority="308">
      <formula>FIND(1,I49,1)</formula>
    </cfRule>
  </conditionalFormatting>
  <conditionalFormatting sqref="I7:I11">
    <cfRule type="expression" dxfId="1721" priority="313">
      <formula>FIND(2,I7,1)</formula>
    </cfRule>
    <cfRule type="expression" dxfId="1720" priority="314">
      <formula>FIND(1,I7,1)</formula>
    </cfRule>
  </conditionalFormatting>
  <conditionalFormatting sqref="I35:I39">
    <cfRule type="expression" dxfId="1719" priority="303">
      <formula>FIND(2,I35,1)</formula>
    </cfRule>
    <cfRule type="expression" dxfId="1718" priority="304">
      <formula>FIND(1,I35,1)</formula>
    </cfRule>
  </conditionalFormatting>
  <conditionalFormatting sqref="I42:I46">
    <cfRule type="expression" dxfId="1717" priority="301">
      <formula>FIND(2,I42,1)</formula>
    </cfRule>
    <cfRule type="expression" dxfId="1716" priority="302">
      <formula>FIND(1,I42,1)</formula>
    </cfRule>
  </conditionalFormatting>
  <conditionalFormatting sqref="H14:H18">
    <cfRule type="expression" dxfId="1715" priority="245">
      <formula>AND(Q14=4,IF(COUNTIF(Q$14:Q$18,"=4")&gt;=2,TRUE))</formula>
    </cfRule>
    <cfRule type="expression" dxfId="1714" priority="395">
      <formula>AND(Q14=3,IF(COUNTIF(Q$14:Q$18,"=3")&gt;=2,TRUE))</formula>
    </cfRule>
    <cfRule type="expression" dxfId="1713" priority="396">
      <formula>AND(Q14=2,IF(COUNTIF(Q$14:Q$18,"=2")&gt;=2,TRUE))</formula>
    </cfRule>
    <cfRule type="expression" dxfId="1712" priority="397">
      <formula>AND(Q14=1,IF(COUNTIF(Q$14:Q$18,"=1")&gt;=2,TRUE))</formula>
    </cfRule>
  </conditionalFormatting>
  <conditionalFormatting sqref="B7:B60">
    <cfRule type="duplicateValues" dxfId="1711" priority="300"/>
  </conditionalFormatting>
  <conditionalFormatting sqref="L7:L11">
    <cfRule type="expression" dxfId="1710" priority="283">
      <formula>K7=0</formula>
    </cfRule>
    <cfRule type="expression" dxfId="1709" priority="292">
      <formula>IF(COUNTIF(J$7:J$11,"=2")=2,TRUE)</formula>
    </cfRule>
    <cfRule type="expression" dxfId="1708" priority="293">
      <formula>IF(COUNTIF(J$7:J$11,"=1")=2,TRUE)</formula>
    </cfRule>
    <cfRule type="expression" dxfId="1707" priority="294">
      <formula>AND(IF(COUNTIF(Q$7:Q$11,"=1")=2,TRUE),IF(COUNTIF(Q$7:Q$11,"=2")=2,TRUE))</formula>
    </cfRule>
    <cfRule type="expression" dxfId="1706" priority="295">
      <formula>AND(Q7=4,IF(COUNTIF(Q$7:Q$11,"=4")=1,TRUE))</formula>
    </cfRule>
    <cfRule type="expression" dxfId="1705" priority="296">
      <formula>AND(Q7=3,IF(COUNTIF(Q$7:Q$11,"=3")=1,TRUE))</formula>
    </cfRule>
    <cfRule type="expression" dxfId="1704" priority="297">
      <formula>AND(Q7=2,IF(COUNTIF(Q$7:Q$11,"=2")=1,TRUE))</formula>
    </cfRule>
    <cfRule type="expression" dxfId="1703" priority="298">
      <formula>AND(Q7=1,IF(COUNTIF(Q$7:Q$11,"=1")=1,TRUE))</formula>
    </cfRule>
    <cfRule type="expression" dxfId="1702" priority="299">
      <formula>OR(Q7=0,Q7=5)</formula>
    </cfRule>
  </conditionalFormatting>
  <conditionalFormatting sqref="O7:O11">
    <cfRule type="expression" dxfId="1701" priority="291">
      <formula>OR(AND(J7=1,K7=1,L7=0,M7=1),AND(J7=2,K7=2,L7=0,M7=2))</formula>
    </cfRule>
  </conditionalFormatting>
  <conditionalFormatting sqref="M7:M11">
    <cfRule type="expression" dxfId="1700" priority="284">
      <formula>AND(L7&gt;0,IF(COUNTIF(L$7:L$11,L7)&gt;1,TRUE,FALSE))</formula>
    </cfRule>
    <cfRule type="expression" dxfId="1699" priority="285">
      <formula>AND(IF(COUNTIF(R$7:R$11,"=1")=2,TRUE),IF(COUNTIF(R$7:R$11,"=2")=2,TRUE))</formula>
    </cfRule>
    <cfRule type="expression" dxfId="1698" priority="286">
      <formula>AND(R7=4,IF(COUNTIF(R$7:R$11,"=4")=1,TRUE))</formula>
    </cfRule>
    <cfRule type="expression" dxfId="1697" priority="287">
      <formula>AND(R7=3,IF(COUNTIF(R$7:R$11,"=3")=1,TRUE))</formula>
    </cfRule>
    <cfRule type="expression" dxfId="1696" priority="288">
      <formula>AND(R7=2,IF(COUNTIF(R$7:R$11,"=2")=1,TRUE))</formula>
    </cfRule>
    <cfRule type="expression" dxfId="1695" priority="289">
      <formula>AND(R7=1,IF(COUNTIF(R$7:R$11,"=1")=1,TRUE))</formula>
    </cfRule>
    <cfRule type="expression" dxfId="1694" priority="290">
      <formula>OR(R7=0,R7=5)</formula>
    </cfRule>
  </conditionalFormatting>
  <conditionalFormatting sqref="J7:J11">
    <cfRule type="expression" dxfId="1693" priority="279">
      <formula>AND(Q7=4,IF(COUNTIF(Q$7:Q$11,"=4")&gt;=2,TRUE))</formula>
    </cfRule>
    <cfRule type="expression" dxfId="1692" priority="280">
      <formula>AND(Q7=3,IF(COUNTIF(Q$7:Q$11,"=3")&gt;=2,TRUE))</formula>
    </cfRule>
    <cfRule type="expression" dxfId="1691" priority="281">
      <formula>AND(Q7=2,IF(COUNTIF(Q$7:Q$11,"=2")&gt;=2,TRUE))</formula>
    </cfRule>
    <cfRule type="expression" dxfId="1690" priority="282">
      <formula>AND(Q7=1,IF(COUNTIF(Q$7:Q$11,"=1")&gt;=2,TRUE))</formula>
    </cfRule>
  </conditionalFormatting>
  <conditionalFormatting sqref="H7:H11">
    <cfRule type="expression" dxfId="1689" priority="246">
      <formula>AND(Q7=4,IF(COUNTIF(Q$7:Q$11,"=4")&gt;=2,TRUE))</formula>
    </cfRule>
    <cfRule type="expression" dxfId="1688" priority="398">
      <formula>AND(Q7=3,IF(COUNTIF(Q$7:Q$11,"=3")&gt;=2,TRUE))</formula>
    </cfRule>
    <cfRule type="expression" dxfId="1687" priority="399">
      <formula>AND(Q7=2,IF(COUNTIF(Q$7:Q$11,"=2")&gt;=2,TRUE))</formula>
    </cfRule>
    <cfRule type="expression" dxfId="1686" priority="400">
      <formula>AND(Q7=1,IF(COUNTIF(Q$7:Q$11,"=1")&gt;=2,TRUE))</formula>
    </cfRule>
  </conditionalFormatting>
  <conditionalFormatting sqref="K7:K11">
    <cfRule type="expression" dxfId="1685" priority="401">
      <formula>AND(J7&gt;0,IF(COUNTIF(J$7:J$11,"=1")=2,TRUE),IF(COUNTIF(J$7:J$11,"=2")=2,TRUE))</formula>
    </cfRule>
    <cfRule type="expression" dxfId="1684" priority="402">
      <formula>IF(COUNTIF(L$7:L$11,"=2")=2,TRUE)</formula>
    </cfRule>
    <cfRule type="expression" dxfId="1683" priority="403">
      <formula>IF(COUNTIF(L$7:L$11,"=1")=2,TRUE)</formula>
    </cfRule>
    <cfRule type="expression" dxfId="1682" priority="404">
      <formula>AND(IF(COUNTIF(R$7:R$11,"=1")=2,TRUE),IF(COUNTIF(S$7:S$11,"=2")=2,TRUE))</formula>
    </cfRule>
    <cfRule type="expression" dxfId="1681" priority="405">
      <formula>AND(R7=4,IF(COUNTIF(R$7:R$11,"=4")=1,TRUE))</formula>
    </cfRule>
    <cfRule type="expression" dxfId="1680" priority="406">
      <formula>AND(R7=3,IF(COUNTIF(R$7:R$11,"=3")=1,TRUE))</formula>
    </cfRule>
    <cfRule type="expression" dxfId="1679" priority="407">
      <formula>AND(R7=2,IF(COUNTIF(R$7:R$11,"=2")=1,TRUE))</formula>
    </cfRule>
    <cfRule type="expression" dxfId="1678" priority="408">
      <formula>AND(R7=1,IF(COUNTIF(R$7:R$11,"=1")=1,TRUE))</formula>
    </cfRule>
    <cfRule type="expression" dxfId="1677" priority="409">
      <formula>OR(R7=0,R7=5)</formula>
    </cfRule>
  </conditionalFormatting>
  <conditionalFormatting sqref="I14:I18">
    <cfRule type="expression" dxfId="1676" priority="268">
      <formula>FIND(2,I14,1)</formula>
    </cfRule>
    <cfRule type="expression" dxfId="1675" priority="269">
      <formula>FIND(1,I14,1)</formula>
    </cfRule>
  </conditionalFormatting>
  <conditionalFormatting sqref="L14:L18">
    <cfRule type="expression" dxfId="1674" priority="251">
      <formula>K14=0</formula>
    </cfRule>
    <cfRule type="expression" dxfId="1673" priority="260">
      <formula>IF(COUNTIF(J$14:J$18,"=2")=2,TRUE)</formula>
    </cfRule>
    <cfRule type="expression" dxfId="1672" priority="261">
      <formula>IF(COUNTIF(J$14:J$18,"=1")=2,TRUE)</formula>
    </cfRule>
    <cfRule type="expression" dxfId="1671" priority="262">
      <formula>AND(IF(COUNTIF(Q$14:Q$18,"=1")=2,TRUE),IF(COUNTIF(Q$14:Q$18,"=2")=2,TRUE))</formula>
    </cfRule>
    <cfRule type="expression" dxfId="1670" priority="263">
      <formula>AND(Q14=4,IF(COUNTIF(Q$14:Q$18,"=4")=1,TRUE))</formula>
    </cfRule>
    <cfRule type="expression" dxfId="1669" priority="264">
      <formula>AND(Q14=3,IF(COUNTIF(Q$14:Q$18,"=3")=1,TRUE))</formula>
    </cfRule>
    <cfRule type="expression" dxfId="1668" priority="265">
      <formula>AND(Q14=2,IF(COUNTIF(Q$14:Q$18,"=2")=1,TRUE))</formula>
    </cfRule>
    <cfRule type="expression" dxfId="1667" priority="266">
      <formula>AND(Q14=1,IF(COUNTIF(Q$14:Q$18,"=1")=1,TRUE))</formula>
    </cfRule>
    <cfRule type="expression" dxfId="1666" priority="267">
      <formula>OR(Q14=0,Q14=5)</formula>
    </cfRule>
  </conditionalFormatting>
  <conditionalFormatting sqref="O14:O18">
    <cfRule type="expression" dxfId="1665" priority="259">
      <formula>OR(AND(J14=1,K14=1,L14=0,M14=1),AND(J14=2,K14=2,L14=0,M14=2))</formula>
    </cfRule>
  </conditionalFormatting>
  <conditionalFormatting sqref="M14:M18">
    <cfRule type="expression" dxfId="1664" priority="252">
      <formula>AND(L14&gt;0,IF(COUNTIF(L$14:L$18,L14)&gt;1,TRUE,FALSE))</formula>
    </cfRule>
    <cfRule type="expression" dxfId="1663" priority="253">
      <formula>AND(IF(COUNTIF(R$14:R$18,"=1")=2,TRUE),IF(COUNTIF(R$14:R$18,"=2")=2,TRUE))</formula>
    </cfRule>
    <cfRule type="expression" dxfId="1662" priority="254">
      <formula>AND(R14=4,IF(COUNTIF(R$14:R$18,"=4")=1,TRUE))</formula>
    </cfRule>
    <cfRule type="expression" dxfId="1661" priority="255">
      <formula>AND(R14=3,IF(COUNTIF(R$14:R$18,"=3")=1,TRUE))</formula>
    </cfRule>
    <cfRule type="expression" dxfId="1660" priority="256">
      <formula>AND(R14=2,IF(COUNTIF(R$14:R$18,"=2")=1,TRUE))</formula>
    </cfRule>
    <cfRule type="expression" dxfId="1659" priority="257">
      <formula>AND(R14=1,IF(COUNTIF(R$14:R$18,"=1")=1,TRUE))</formula>
    </cfRule>
    <cfRule type="expression" dxfId="1658" priority="258">
      <formula>OR(R14=0,R14=5)</formula>
    </cfRule>
  </conditionalFormatting>
  <conditionalFormatting sqref="J14:J18">
    <cfRule type="expression" dxfId="1657" priority="247">
      <formula>AND(Q14=4,IF(COUNTIF(Q$14:Q$18,"=4")&gt;=2,TRUE))</formula>
    </cfRule>
    <cfRule type="expression" dxfId="1656" priority="248">
      <formula>AND(Q14=3,IF(COUNTIF(Q$14:Q$18,"=3")&gt;=2,TRUE))</formula>
    </cfRule>
    <cfRule type="expression" dxfId="1655" priority="249">
      <formula>AND(Q14=2,IF(COUNTIF(Q$14:Q$18,"=2")&gt;=2,TRUE))</formula>
    </cfRule>
    <cfRule type="expression" dxfId="1654" priority="250">
      <formula>AND(Q14=1,IF(COUNTIF(Q$14:Q$18,"=1")&gt;=2,TRUE))</formula>
    </cfRule>
  </conditionalFormatting>
  <conditionalFormatting sqref="K14:K18">
    <cfRule type="expression" dxfId="1653" priority="270">
      <formula>AND(J14&gt;0,IF(COUNTIF(J$14:J$18,"=1")=2,TRUE),IF(COUNTIF(J$14:J$18,"=2")=2,TRUE))</formula>
    </cfRule>
    <cfRule type="expression" dxfId="1652" priority="271">
      <formula>IF(COUNTIF(L$14:L$18,"=2")=2,TRUE)</formula>
    </cfRule>
    <cfRule type="expression" dxfId="1651" priority="272">
      <formula>IF(COUNTIF(L$14:L$18,"=1")=2,TRUE)</formula>
    </cfRule>
    <cfRule type="expression" dxfId="1650" priority="273">
      <formula>AND(IF(COUNTIF(R$14:R$18,"=1")=2,TRUE),IF(COUNTIF(S$14:S$18,"=2")=2,TRUE))</formula>
    </cfRule>
    <cfRule type="expression" dxfId="1649" priority="274">
      <formula>AND(R14=4,IF(COUNTIF(R$14:R$18,"=4")=1,TRUE))</formula>
    </cfRule>
    <cfRule type="expression" dxfId="1648" priority="275">
      <formula>AND(R14=3,IF(COUNTIF(R$14:R$18,"=3")=1,TRUE))</formula>
    </cfRule>
    <cfRule type="expression" dxfId="1647" priority="276">
      <formula>AND(R14=2,IF(COUNTIF(R$14:R$18,"=2")=1,TRUE))</formula>
    </cfRule>
    <cfRule type="expression" dxfId="1646" priority="277">
      <formula>AND(R14=1,IF(COUNTIF(R$14:R$18,"=1")=1,TRUE))</formula>
    </cfRule>
    <cfRule type="expression" dxfId="1645" priority="278">
      <formula>OR(R14=0,R14=5)</formula>
    </cfRule>
  </conditionalFormatting>
  <conditionalFormatting sqref="L21:L25">
    <cfRule type="expression" dxfId="1644" priority="219">
      <formula>K21=0</formula>
    </cfRule>
    <cfRule type="expression" dxfId="1643" priority="228">
      <formula>IF(COUNTIF(J$21:J$25,"=2")=2,TRUE)</formula>
    </cfRule>
    <cfRule type="expression" dxfId="1642" priority="229">
      <formula>IF(COUNTIF(J$21:J$25,"=1")=2,TRUE)</formula>
    </cfRule>
    <cfRule type="expression" dxfId="1641" priority="230">
      <formula>AND(IF(COUNTIF(Q$21:Q$25,"=1")=2,TRUE),IF(COUNTIF(Q$21:Q$25,"=2")=2,TRUE))</formula>
    </cfRule>
    <cfRule type="expression" dxfId="1640" priority="231">
      <formula>AND(Q21=4,IF(COUNTIF(Q$21:Q$25,"=4")=1,TRUE))</formula>
    </cfRule>
    <cfRule type="expression" dxfId="1639" priority="232">
      <formula>AND(Q21=3,IF(COUNTIF(Q$21:Q$25,"=3")=1,TRUE))</formula>
    </cfRule>
    <cfRule type="expression" dxfId="1638" priority="233">
      <formula>AND(Q21=2,IF(COUNTIF(Q$21:Q$25,"=2")=1,TRUE))</formula>
    </cfRule>
    <cfRule type="expression" dxfId="1637" priority="234">
      <formula>AND(Q21=1,IF(COUNTIF(Q$21:Q$25,"=1")=1,TRUE))</formula>
    </cfRule>
    <cfRule type="expression" dxfId="1636" priority="235">
      <formula>OR(Q21=0,Q21=5)</formula>
    </cfRule>
  </conditionalFormatting>
  <conditionalFormatting sqref="O21:O25">
    <cfRule type="expression" dxfId="1635" priority="227">
      <formula>OR(AND(J21=1,K21=1,L21=0,M21=1),AND(J21=2,K21=2,L21=0,M21=2))</formula>
    </cfRule>
  </conditionalFormatting>
  <conditionalFormatting sqref="M21:M25">
    <cfRule type="expression" dxfId="1634" priority="220">
      <formula>AND(L21&gt;0,IF(COUNTIF(L$21:L$25,L21)&gt;1,TRUE,FALSE))</formula>
    </cfRule>
    <cfRule type="expression" dxfId="1633" priority="221">
      <formula>AND(IF(COUNTIF(R$21:R$25,"=1")=2,TRUE),IF(COUNTIF(R$21:R$25,"=2")=2,TRUE))</formula>
    </cfRule>
    <cfRule type="expression" dxfId="1632" priority="222">
      <formula>AND(R21=4,IF(COUNTIF(R$21:R$25,"=4")=1,TRUE))</formula>
    </cfRule>
    <cfRule type="expression" dxfId="1631" priority="223">
      <formula>AND(R21=3,IF(COUNTIF(R$21:R$25,"=3")=1,TRUE))</formula>
    </cfRule>
    <cfRule type="expression" dxfId="1630" priority="224">
      <formula>AND(R21=2,IF(COUNTIF(R$21:R$25,"=2")=1,TRUE))</formula>
    </cfRule>
    <cfRule type="expression" dxfId="1629" priority="225">
      <formula>AND(R21=1,IF(COUNTIF(R$21:R$25,"=1")=1,TRUE))</formula>
    </cfRule>
    <cfRule type="expression" dxfId="1628" priority="226">
      <formula>OR(R21=0,R21=5)</formula>
    </cfRule>
  </conditionalFormatting>
  <conditionalFormatting sqref="J21:J25">
    <cfRule type="expression" dxfId="1627" priority="215">
      <formula>AND(Q21=4,IF(COUNTIF(Q$21:Q$25,"=4")&gt;=2,TRUE))</formula>
    </cfRule>
    <cfRule type="expression" dxfId="1626" priority="216">
      <formula>AND(Q21=3,IF(COUNTIF(Q$21:Q$25,"=3")&gt;=2,TRUE))</formula>
    </cfRule>
    <cfRule type="expression" dxfId="1625" priority="217">
      <formula>AND(Q21=2,IF(COUNTIF(Q$21:Q$25,"=2")&gt;=2,TRUE))</formula>
    </cfRule>
    <cfRule type="expression" dxfId="1624" priority="218">
      <formula>AND(Q21=1,IF(COUNTIF(Q$21:Q$25,"=1")&gt;=2,TRUE))</formula>
    </cfRule>
  </conditionalFormatting>
  <conditionalFormatting sqref="K21:K25">
    <cfRule type="expression" dxfId="1623" priority="236">
      <formula>AND(J21&gt;0,IF(COUNTIF(J$21:J$25,"=1")=2,TRUE),IF(COUNTIF(J$21:J$25,"=2")=2,TRUE))</formula>
    </cfRule>
    <cfRule type="expression" dxfId="1622" priority="237">
      <formula>IF(COUNTIF(L$21:L$25,"=2")=2,TRUE)</formula>
    </cfRule>
    <cfRule type="expression" dxfId="1621" priority="238">
      <formula>IF(COUNTIF(L$21:L$25,"=1")=2,TRUE)</formula>
    </cfRule>
    <cfRule type="expression" dxfId="1620" priority="239">
      <formula>AND(IF(COUNTIF(R$21:R$25,"=1")=2,TRUE),IF(COUNTIF(S$21:S$25,"=2")=2,TRUE))</formula>
    </cfRule>
    <cfRule type="expression" dxfId="1619" priority="240">
      <formula>AND(R21=4,IF(COUNTIF(R$21:R$25,"=4")=1,TRUE))</formula>
    </cfRule>
    <cfRule type="expression" dxfId="1618" priority="241">
      <formula>AND(R21=3,IF(COUNTIF(R$21:R$25,"=3")=1,TRUE))</formula>
    </cfRule>
    <cfRule type="expression" dxfId="1617" priority="242">
      <formula>AND(R21=2,IF(COUNTIF(R$21:R$25,"=2")=1,TRUE))</formula>
    </cfRule>
    <cfRule type="expression" dxfId="1616" priority="243">
      <formula>AND(R21=1,IF(COUNTIF(R$21:R$25,"=1")=1,TRUE))</formula>
    </cfRule>
    <cfRule type="expression" dxfId="1615" priority="244">
      <formula>OR(R21=0,R21=5)</formula>
    </cfRule>
  </conditionalFormatting>
  <conditionalFormatting sqref="H21:H25">
    <cfRule type="expression" dxfId="1614" priority="211">
      <formula>AND(Q21=4,IF(COUNTIF(Q$21:Q$25,"=4")&gt;=2,TRUE))</formula>
    </cfRule>
    <cfRule type="expression" dxfId="1613" priority="212">
      <formula>AND(Q21=3,IF(COUNTIF(Q$21:Q$25,"=3")&gt;=2,TRUE))</formula>
    </cfRule>
    <cfRule type="expression" dxfId="1612" priority="213">
      <formula>AND(Q21=2,IF(COUNTIF(Q$21:Q$25,"=2")&gt;=2,TRUE))</formula>
    </cfRule>
    <cfRule type="expression" dxfId="1611" priority="214">
      <formula>AND(Q21=1,IF(COUNTIF(Q$21:Q$25,"=1")&gt;=2,TRUE))</formula>
    </cfRule>
  </conditionalFormatting>
  <conditionalFormatting sqref="L28:L32">
    <cfRule type="expression" dxfId="1610" priority="185">
      <formula>K28=0</formula>
    </cfRule>
    <cfRule type="expression" dxfId="1609" priority="194">
      <formula>IF(COUNTIF(J$28:J$32,"=2")=2,TRUE)</formula>
    </cfRule>
    <cfRule type="expression" dxfId="1608" priority="195">
      <formula>IF(COUNTIF(J$28:J$32,"=1")=2,TRUE)</formula>
    </cfRule>
    <cfRule type="expression" dxfId="1607" priority="196">
      <formula>AND(IF(COUNTIF(Q$28:Q$32,"=1")=2,TRUE),IF(COUNTIF(Q$28:Q$32,"=2")=2,TRUE))</formula>
    </cfRule>
    <cfRule type="expression" dxfId="1606" priority="197">
      <formula>AND(Q28=4,IF(COUNTIF(Q$28:Q$32,"=4")=1,TRUE))</formula>
    </cfRule>
    <cfRule type="expression" dxfId="1605" priority="198">
      <formula>AND(Q28=3,IF(COUNTIF(Q$28:Q$32,"=3")=1,TRUE))</formula>
    </cfRule>
    <cfRule type="expression" dxfId="1604" priority="199">
      <formula>AND(Q28=2,IF(COUNTIF(Q$28:Q$32,"=2")=1,TRUE))</formula>
    </cfRule>
    <cfRule type="expression" dxfId="1603" priority="200">
      <formula>AND(Q28=1,IF(COUNTIF(Q$28:Q$32,"=1")=1,TRUE))</formula>
    </cfRule>
    <cfRule type="expression" dxfId="1602" priority="201">
      <formula>OR(Q28=0,Q28=5)</formula>
    </cfRule>
  </conditionalFormatting>
  <conditionalFormatting sqref="O28:O32">
    <cfRule type="expression" dxfId="1601" priority="193">
      <formula>OR(AND(J28=1,K28=1,L28=0,M28=1),AND(J28=2,K28=2,L28=0,M28=2))</formula>
    </cfRule>
  </conditionalFormatting>
  <conditionalFormatting sqref="M28:M32">
    <cfRule type="expression" dxfId="1600" priority="186">
      <formula>AND(L28&gt;0,IF(COUNTIF(L$28:L$32,L28)&gt;1,TRUE,FALSE))</formula>
    </cfRule>
    <cfRule type="expression" dxfId="1599" priority="187">
      <formula>AND(IF(COUNTIF(R$28:R$32,"=1")=2,TRUE),IF(COUNTIF(R$28:R$32,"=2")=2,TRUE))</formula>
    </cfRule>
    <cfRule type="expression" dxfId="1598" priority="188">
      <formula>AND(R28=4,IF(COUNTIF(R$28:R$32,"=4")=1,TRUE))</formula>
    </cfRule>
    <cfRule type="expression" dxfId="1597" priority="189">
      <formula>AND(R28=3,IF(COUNTIF(R$28:R$32,"=3")=1,TRUE))</formula>
    </cfRule>
    <cfRule type="expression" dxfId="1596" priority="190">
      <formula>AND(R28=2,IF(COUNTIF(R$28:R$32,"=2")=1,TRUE))</formula>
    </cfRule>
    <cfRule type="expression" dxfId="1595" priority="191">
      <formula>AND(R28=1,IF(COUNTIF(R$28:R$32,"=1")=1,TRUE))</formula>
    </cfRule>
    <cfRule type="expression" dxfId="1594" priority="192">
      <formula>OR(R28=0,R28=5)</formula>
    </cfRule>
  </conditionalFormatting>
  <conditionalFormatting sqref="J28:J32">
    <cfRule type="expression" dxfId="1593" priority="181">
      <formula>AND(Q28=4,IF(COUNTIF(Q$28:Q$32,"=4")&gt;=2,TRUE))</formula>
    </cfRule>
    <cfRule type="expression" dxfId="1592" priority="182">
      <formula>AND(Q28=3,IF(COUNTIF(Q$28:Q$32,"=3")&gt;=2,TRUE))</formula>
    </cfRule>
    <cfRule type="expression" dxfId="1591" priority="183">
      <formula>AND(Q28=2,IF(COUNTIF(Q$28:Q$32,"=2")&gt;=2,TRUE))</formula>
    </cfRule>
    <cfRule type="expression" dxfId="1590" priority="184">
      <formula>AND(Q28=1,IF(COUNTIF(Q$28:Q$32,"=1")&gt;=2,TRUE))</formula>
    </cfRule>
  </conditionalFormatting>
  <conditionalFormatting sqref="K28:K32">
    <cfRule type="expression" dxfId="1589" priority="202">
      <formula>AND(J28&gt;0,IF(COUNTIF(J$28:J$32,"=1")=2,TRUE),IF(COUNTIF(J$28:J$32,"=2")=2,TRUE))</formula>
    </cfRule>
    <cfRule type="expression" dxfId="1588" priority="203">
      <formula>IF(COUNTIF(L$28:L$32,"=2")=2,TRUE)</formula>
    </cfRule>
    <cfRule type="expression" dxfId="1587" priority="204">
      <formula>IF(COUNTIF(L$28:L$32,"=1")=2,TRUE)</formula>
    </cfRule>
    <cfRule type="expression" dxfId="1586" priority="205">
      <formula>AND(IF(COUNTIF(R$28:R$32,"=1")=2,TRUE),IF(COUNTIF(S$28:S$32,"=2")=2,TRUE))</formula>
    </cfRule>
    <cfRule type="expression" dxfId="1585" priority="206">
      <formula>AND(R28=4,IF(COUNTIF(R$28:R$32,"=4")=1,TRUE))</formula>
    </cfRule>
    <cfRule type="expression" dxfId="1584" priority="207">
      <formula>AND(R28=3,IF(COUNTIF(R$28:R$32,"=3")=1,TRUE))</formula>
    </cfRule>
    <cfRule type="expression" dxfId="1583" priority="208">
      <formula>AND(R28=2,IF(COUNTIF(R$28:R$32,"=2")=1,TRUE))</formula>
    </cfRule>
    <cfRule type="expression" dxfId="1582" priority="209">
      <formula>AND(R28=1,IF(COUNTIF(R$28:R$32,"=1")=1,TRUE))</formula>
    </cfRule>
    <cfRule type="expression" dxfId="1581" priority="210">
      <formula>OR(R28=0,R28=5)</formula>
    </cfRule>
  </conditionalFormatting>
  <conditionalFormatting sqref="H28:H32">
    <cfRule type="expression" dxfId="1580" priority="177">
      <formula>AND(Q28=4,IF(COUNTIF(Q$28:Q$32,"=4")&gt;=2,TRUE))</formula>
    </cfRule>
    <cfRule type="expression" dxfId="1579" priority="178">
      <formula>AND(Q28=3,IF(COUNTIF(Q$28:Q$32,"=3")&gt;=2,TRUE))</formula>
    </cfRule>
    <cfRule type="expression" dxfId="1578" priority="179">
      <formula>AND(Q28=2,IF(COUNTIF(Q$28:Q$32,"=2")&gt;=2,TRUE))</formula>
    </cfRule>
    <cfRule type="expression" dxfId="1577" priority="180">
      <formula>AND(Q28=1,IF(COUNTIF(Q$28:Q$32,"=1")&gt;=2,TRUE))</formula>
    </cfRule>
  </conditionalFormatting>
  <conditionalFormatting sqref="L35:L39">
    <cfRule type="expression" dxfId="1576" priority="151">
      <formula>K35=0</formula>
    </cfRule>
    <cfRule type="expression" dxfId="1575" priority="160">
      <formula>IF(COUNTIF(J$35:J$39,"=2")=2,TRUE)</formula>
    </cfRule>
    <cfRule type="expression" dxfId="1574" priority="161">
      <formula>IF(COUNTIF(J$35:J$39,"=1")=2,TRUE)</formula>
    </cfRule>
    <cfRule type="expression" dxfId="1573" priority="162">
      <formula>AND(IF(COUNTIF(Q$35:Q$39,"=1")=2,TRUE),IF(COUNTIF(Q$35:Q$39,"=2")=2,TRUE))</formula>
    </cfRule>
    <cfRule type="expression" dxfId="1572" priority="163">
      <formula>AND(Q35=4,IF(COUNTIF(Q$35:Q$39,"=4")=1,TRUE))</formula>
    </cfRule>
    <cfRule type="expression" dxfId="1571" priority="164">
      <formula>AND(Q35=3,IF(COUNTIF(Q$35:Q$39,"=3")=1,TRUE))</formula>
    </cfRule>
    <cfRule type="expression" dxfId="1570" priority="165">
      <formula>AND(Q35=2,IF(COUNTIF(Q$35:Q$39,"=2")=1,TRUE))</formula>
    </cfRule>
    <cfRule type="expression" dxfId="1569" priority="166">
      <formula>AND(Q35=1,IF(COUNTIF(Q$35:Q$39,"=1")=1,TRUE))</formula>
    </cfRule>
    <cfRule type="expression" dxfId="1568" priority="167">
      <formula>OR(Q35=0,Q35=5)</formula>
    </cfRule>
  </conditionalFormatting>
  <conditionalFormatting sqref="O35:O39">
    <cfRule type="expression" dxfId="1567" priority="159">
      <formula>OR(AND(J35=1,K35=1,L35=0,M35=1),AND(J35=2,K35=2,L35=0,M35=2))</formula>
    </cfRule>
  </conditionalFormatting>
  <conditionalFormatting sqref="M35:M39">
    <cfRule type="expression" dxfId="1566" priority="152">
      <formula>AND(L35&gt;0,IF(COUNTIF(L$35:L$39,L35)&gt;1,TRUE,FALSE))</formula>
    </cfRule>
    <cfRule type="expression" dxfId="1565" priority="153">
      <formula>AND(IF(COUNTIF(R$35:R$39,"=1")=2,TRUE),IF(COUNTIF(R$35:R$39,"=2")=2,TRUE))</formula>
    </cfRule>
    <cfRule type="expression" dxfId="1564" priority="154">
      <formula>AND(R35=4,IF(COUNTIF(R$35:R$39,"=4")=1,TRUE))</formula>
    </cfRule>
    <cfRule type="expression" dxfId="1563" priority="155">
      <formula>AND(R35=3,IF(COUNTIF(R$35:R$39,"=3")=1,TRUE))</formula>
    </cfRule>
    <cfRule type="expression" dxfId="1562" priority="156">
      <formula>AND(R35=2,IF(COUNTIF(R$35:R$39,"=2")=1,TRUE))</formula>
    </cfRule>
    <cfRule type="expression" dxfId="1561" priority="157">
      <formula>AND(R35=1,IF(COUNTIF(R$35:R$39,"=1")=1,TRUE))</formula>
    </cfRule>
    <cfRule type="expression" dxfId="1560" priority="158">
      <formula>OR(R35=0,R35=5)</formula>
    </cfRule>
  </conditionalFormatting>
  <conditionalFormatting sqref="J35:J39">
    <cfRule type="expression" dxfId="1559" priority="147">
      <formula>AND(Q35=4,IF(COUNTIF(Q$35:Q$39,"=4")&gt;=2,TRUE))</formula>
    </cfRule>
    <cfRule type="expression" dxfId="1558" priority="148">
      <formula>AND(Q35=3,IF(COUNTIF(Q$35:Q$39,"=3")&gt;=2,TRUE))</formula>
    </cfRule>
    <cfRule type="expression" dxfId="1557" priority="149">
      <formula>AND(Q35=2,IF(COUNTIF(Q$35:Q$39,"=2")&gt;=2,TRUE))</formula>
    </cfRule>
    <cfRule type="expression" dxfId="1556" priority="150">
      <formula>AND(Q35=1,IF(COUNTIF(Q$35:Q$39,"=1")&gt;=2,TRUE))</formula>
    </cfRule>
  </conditionalFormatting>
  <conditionalFormatting sqref="K35:K39">
    <cfRule type="expression" dxfId="1555" priority="168">
      <formula>AND(J35&gt;0,IF(COUNTIF(J$35:J$39,"=1")=2,TRUE),IF(COUNTIF(J$35:J$39,"=2")=2,TRUE))</formula>
    </cfRule>
    <cfRule type="expression" dxfId="1554" priority="169">
      <formula>IF(COUNTIF(L$35:L$39,"=2")=2,TRUE)</formula>
    </cfRule>
    <cfRule type="expression" dxfId="1553" priority="170">
      <formula>IF(COUNTIF(L$35:L$39,"=1")=2,TRUE)</formula>
    </cfRule>
    <cfRule type="expression" dxfId="1552" priority="171">
      <formula>AND(IF(COUNTIF(R$35:R$39,"=1")=2,TRUE),IF(COUNTIF(S$35:S$39,"=2")=2,TRUE))</formula>
    </cfRule>
    <cfRule type="expression" dxfId="1551" priority="172">
      <formula>AND(R35=4,IF(COUNTIF(R$35:R$39,"=4")=1,TRUE))</formula>
    </cfRule>
    <cfRule type="expression" dxfId="1550" priority="173">
      <formula>AND(R35=3,IF(COUNTIF(R$35:R$39,"=3")=1,TRUE))</formula>
    </cfRule>
    <cfRule type="expression" dxfId="1549" priority="174">
      <formula>AND(R35=2,IF(COUNTIF(R$35:R$39,"=2")=1,TRUE))</formula>
    </cfRule>
    <cfRule type="expression" dxfId="1548" priority="175">
      <formula>AND(R35=1,IF(COUNTIF(R$35:R$39,"=1")=1,TRUE))</formula>
    </cfRule>
    <cfRule type="expression" dxfId="1547" priority="176">
      <formula>OR(R35=0,R35=5)</formula>
    </cfRule>
  </conditionalFormatting>
  <conditionalFormatting sqref="H35:H39">
    <cfRule type="expression" dxfId="1546" priority="143">
      <formula>AND(Q35=4,IF(COUNTIF(Q$35:Q$39,"=4")&gt;=2,TRUE))</formula>
    </cfRule>
    <cfRule type="expression" dxfId="1545" priority="144">
      <formula>AND(Q35=3,IF(COUNTIF(Q$35:Q$39,"=3")&gt;=2,TRUE))</formula>
    </cfRule>
    <cfRule type="expression" dxfId="1544" priority="145">
      <formula>AND(Q35=2,IF(COUNTIF(Q$35:Q$39,"=2")&gt;=2,TRUE))</formula>
    </cfRule>
    <cfRule type="expression" dxfId="1543" priority="146">
      <formula>AND(Q35=1,IF(COUNTIF(Q$35:Q$39,"=1")&gt;=2,TRUE))</formula>
    </cfRule>
  </conditionalFormatting>
  <conditionalFormatting sqref="L42:L46">
    <cfRule type="expression" dxfId="1542" priority="117">
      <formula>K42=0</formula>
    </cfRule>
    <cfRule type="expression" dxfId="1541" priority="126">
      <formula>IF(COUNTIF(J$42:J$46,"=2")=2,TRUE)</formula>
    </cfRule>
    <cfRule type="expression" dxfId="1540" priority="127">
      <formula>IF(COUNTIF(J$42:J$46,"=1")=2,TRUE)</formula>
    </cfRule>
    <cfRule type="expression" dxfId="1539" priority="128">
      <formula>AND(IF(COUNTIF(Q$42:Q$46,"=1")=2,TRUE),IF(COUNTIF(Q$42:Q$46,"=2")=2,TRUE))</formula>
    </cfRule>
    <cfRule type="expression" dxfId="1538" priority="129">
      <formula>AND(Q42=4,IF(COUNTIF(Q$42:Q$46,"=4")=1,TRUE))</formula>
    </cfRule>
    <cfRule type="expression" dxfId="1537" priority="130">
      <formula>AND(Q42=3,IF(COUNTIF(Q$42:Q$46,"=3")=1,TRUE))</formula>
    </cfRule>
    <cfRule type="expression" dxfId="1536" priority="131">
      <formula>AND(Q42=2,IF(COUNTIF(Q$42:Q$46,"=2")=1,TRUE))</formula>
    </cfRule>
    <cfRule type="expression" dxfId="1535" priority="132">
      <formula>AND(Q42=1,IF(COUNTIF(Q$42:Q$46,"=1")=1,TRUE))</formula>
    </cfRule>
    <cfRule type="expression" dxfId="1534" priority="133">
      <formula>OR(Q42=0,Q42=5)</formula>
    </cfRule>
  </conditionalFormatting>
  <conditionalFormatting sqref="O42:O46">
    <cfRule type="expression" dxfId="1533" priority="125">
      <formula>OR(AND(J42=1,K42=1,L42=0,M42=1),AND(J42=2,K42=2,L42=0,M42=2))</formula>
    </cfRule>
  </conditionalFormatting>
  <conditionalFormatting sqref="M42:M46">
    <cfRule type="expression" dxfId="1532" priority="118">
      <formula>AND(L42&gt;0,IF(COUNTIF(L$42:L$46,L42)&gt;1,TRUE,FALSE))</formula>
    </cfRule>
    <cfRule type="expression" dxfId="1531" priority="119">
      <formula>AND(IF(COUNTIF(R$42:R$46,"=1")=2,TRUE),IF(COUNTIF(R$42:R$46,"=2")=2,TRUE))</formula>
    </cfRule>
    <cfRule type="expression" dxfId="1530" priority="120">
      <formula>AND(R42=4,IF(COUNTIF(R$42:R$46,"=4")=1,TRUE))</formula>
    </cfRule>
    <cfRule type="expression" dxfId="1529" priority="121">
      <formula>AND(R42=3,IF(COUNTIF(R$42:R$46,"=3")=1,TRUE))</formula>
    </cfRule>
    <cfRule type="expression" dxfId="1528" priority="122">
      <formula>AND(R42=2,IF(COUNTIF(R$42:R$46,"=2")=1,TRUE))</formula>
    </cfRule>
    <cfRule type="expression" dxfId="1527" priority="123">
      <formula>AND(R42=1,IF(COUNTIF(R$42:R$46,"=1")=1,TRUE))</formula>
    </cfRule>
    <cfRule type="expression" dxfId="1526" priority="124">
      <formula>OR(R42=0,R42=5)</formula>
    </cfRule>
  </conditionalFormatting>
  <conditionalFormatting sqref="J42:J46">
    <cfRule type="expression" dxfId="1525" priority="113">
      <formula>AND(Q42=4,IF(COUNTIF(Q$42:Q$46,"=4")&gt;=2,TRUE))</formula>
    </cfRule>
    <cfRule type="expression" dxfId="1524" priority="114">
      <formula>AND(Q42=3,IF(COUNTIF(Q$42:Q$46,"=3")&gt;=2,TRUE))</formula>
    </cfRule>
    <cfRule type="expression" dxfId="1523" priority="115">
      <formula>AND(Q42=2,IF(COUNTIF(Q$42:Q$46,"=2")&gt;=2,TRUE))</formula>
    </cfRule>
    <cfRule type="expression" dxfId="1522" priority="116">
      <formula>AND(Q42=1,IF(COUNTIF(Q$42:Q$46,"=1")&gt;=2,TRUE))</formula>
    </cfRule>
  </conditionalFormatting>
  <conditionalFormatting sqref="K42:K46">
    <cfRule type="expression" dxfId="1521" priority="134">
      <formula>AND(J42&gt;0,IF(COUNTIF(J$42:J$46,"=1")=2,TRUE),IF(COUNTIF(J$42:J$46,"=2")=2,TRUE))</formula>
    </cfRule>
    <cfRule type="expression" dxfId="1520" priority="135">
      <formula>IF(COUNTIF(L$42:L$46,"=2")=2,TRUE)</formula>
    </cfRule>
    <cfRule type="expression" dxfId="1519" priority="136">
      <formula>IF(COUNTIF(L$42:L$46,"=1")=2,TRUE)</formula>
    </cfRule>
    <cfRule type="expression" dxfId="1518" priority="137">
      <formula>AND(IF(COUNTIF(R$42:R$46,"=1")=2,TRUE),IF(COUNTIF(S$42:S$46,"=2")=2,TRUE))</formula>
    </cfRule>
    <cfRule type="expression" dxfId="1517" priority="138">
      <formula>AND(R42=4,IF(COUNTIF(R$42:R$46,"=4")=1,TRUE))</formula>
    </cfRule>
    <cfRule type="expression" dxfId="1516" priority="139">
      <formula>AND(R42=3,IF(COUNTIF(R$42:R$46,"=3")=1,TRUE))</formula>
    </cfRule>
    <cfRule type="expression" dxfId="1515" priority="140">
      <formula>AND(R42=2,IF(COUNTIF(R$42:R$46,"=2")=1,TRUE))</formula>
    </cfRule>
    <cfRule type="expression" dxfId="1514" priority="141">
      <formula>AND(R42=1,IF(COUNTIF(R$42:R$46,"=1")=1,TRUE))</formula>
    </cfRule>
    <cfRule type="expression" dxfId="1513" priority="142">
      <formula>OR(R42=0,R42=5)</formula>
    </cfRule>
  </conditionalFormatting>
  <conditionalFormatting sqref="H42:H46">
    <cfRule type="expression" dxfId="1512" priority="109">
      <formula>AND(Q42=4,IF(COUNTIF(Q$42:Q$46,"=4")&gt;=2,TRUE))</formula>
    </cfRule>
    <cfRule type="expression" dxfId="1511" priority="110">
      <formula>AND(Q42=3,IF(COUNTIF(Q$42:Q$46,"=3")&gt;=2,TRUE))</formula>
    </cfRule>
    <cfRule type="expression" dxfId="1510" priority="111">
      <formula>AND(Q42=2,IF(COUNTIF(Q$42:Q$46,"=2")&gt;=2,TRUE))</formula>
    </cfRule>
    <cfRule type="expression" dxfId="1509" priority="112">
      <formula>AND(Q42=1,IF(COUNTIF(Q$42:Q$46,"=1")&gt;=2,TRUE))</formula>
    </cfRule>
  </conditionalFormatting>
  <conditionalFormatting sqref="L49:L53">
    <cfRule type="expression" dxfId="1508" priority="83">
      <formula>K49=0</formula>
    </cfRule>
    <cfRule type="expression" dxfId="1507" priority="92">
      <formula>IF(COUNTIF(J$49:J$53,"=2")=2,TRUE)</formula>
    </cfRule>
    <cfRule type="expression" dxfId="1506" priority="93">
      <formula>IF(COUNTIF(J$49:J$53,"=1")=2,TRUE)</formula>
    </cfRule>
    <cfRule type="expression" dxfId="1505" priority="94">
      <formula>AND(IF(COUNTIF(Q$49:Q$53,"=1")=2,TRUE),IF(COUNTIF(Q$49:Q$53,"=2")=2,TRUE))</formula>
    </cfRule>
    <cfRule type="expression" dxfId="1504" priority="95">
      <formula>AND(Q49=4,IF(COUNTIF(Q$49:Q$53,"=4")=1,TRUE))</formula>
    </cfRule>
    <cfRule type="expression" dxfId="1503" priority="96">
      <formula>AND(Q49=3,IF(COUNTIF(Q$49:Q$53,"=3")=1,TRUE))</formula>
    </cfRule>
    <cfRule type="expression" dxfId="1502" priority="97">
      <formula>AND(Q49=2,IF(COUNTIF(Q$49:Q$53,"=2")=1,TRUE))</formula>
    </cfRule>
    <cfRule type="expression" dxfId="1501" priority="98">
      <formula>AND(Q49=1,IF(COUNTIF(Q$49:Q$53,"=1")=1,TRUE))</formula>
    </cfRule>
    <cfRule type="expression" dxfId="1500" priority="99">
      <formula>OR(Q49=0,Q49=5)</formula>
    </cfRule>
  </conditionalFormatting>
  <conditionalFormatting sqref="O49:O53">
    <cfRule type="expression" dxfId="1499" priority="91">
      <formula>OR(AND(J49=1,K49=1,L49=0,M49=1),AND(J49=2,K49=2,L49=0,M49=2))</formula>
    </cfRule>
  </conditionalFormatting>
  <conditionalFormatting sqref="M49:M53">
    <cfRule type="expression" dxfId="1498" priority="84">
      <formula>AND(L49&gt;0,IF(COUNTIF(L$49:L$53,L49)&gt;1,TRUE,FALSE))</formula>
    </cfRule>
    <cfRule type="expression" dxfId="1497" priority="85">
      <formula>AND(IF(COUNTIF(R$49:R$53,"=1")=2,TRUE),IF(COUNTIF(R$49:R$53,"=2")=2,TRUE))</formula>
    </cfRule>
    <cfRule type="expression" dxfId="1496" priority="86">
      <formula>AND(R49=4,IF(COUNTIF(R$49:R$53,"=4")=1,TRUE))</formula>
    </cfRule>
    <cfRule type="expression" dxfId="1495" priority="87">
      <formula>AND(R49=3,IF(COUNTIF(R$49:R$53,"=3")=1,TRUE))</formula>
    </cfRule>
    <cfRule type="expression" dxfId="1494" priority="88">
      <formula>AND(R49=2,IF(COUNTIF(R$49:R$53,"=2")=1,TRUE))</formula>
    </cfRule>
    <cfRule type="expression" dxfId="1493" priority="89">
      <formula>AND(R49=1,IF(COUNTIF(R$49:R$53,"=1")=1,TRUE))</formula>
    </cfRule>
    <cfRule type="expression" dxfId="1492" priority="90">
      <formula>OR(R49=0,R49=5)</formula>
    </cfRule>
  </conditionalFormatting>
  <conditionalFormatting sqref="J49:J53">
    <cfRule type="expression" dxfId="1491" priority="79">
      <formula>AND(Q49=4,IF(COUNTIF(Q$49:Q$53,"=4")&gt;=2,TRUE))</formula>
    </cfRule>
    <cfRule type="expression" dxfId="1490" priority="80">
      <formula>AND(Q49=3,IF(COUNTIF(Q$49:Q$53,"=3")&gt;=2,TRUE))</formula>
    </cfRule>
    <cfRule type="expression" dxfId="1489" priority="81">
      <formula>AND(Q49=2,IF(COUNTIF(Q$49:Q$53,"=2")&gt;=2,TRUE))</formula>
    </cfRule>
    <cfRule type="expression" dxfId="1488" priority="82">
      <formula>AND(Q49=1,IF(COUNTIF(Q$49:Q$53,"=1")&gt;=2,TRUE))</formula>
    </cfRule>
  </conditionalFormatting>
  <conditionalFormatting sqref="K49:K53">
    <cfRule type="expression" dxfId="1487" priority="100">
      <formula>AND(J49&gt;0,IF(COUNTIF(J$49:J$53,"=1")=2,TRUE),IF(COUNTIF(J$49:J$53,"=2")=2,TRUE))</formula>
    </cfRule>
    <cfRule type="expression" dxfId="1486" priority="101">
      <formula>IF(COUNTIF(L$49:L$53,"=2")=2,TRUE)</formula>
    </cfRule>
    <cfRule type="expression" dxfId="1485" priority="102">
      <formula>IF(COUNTIF(L$49:L$53,"=1")=2,TRUE)</formula>
    </cfRule>
    <cfRule type="expression" dxfId="1484" priority="103">
      <formula>AND(IF(COUNTIF(R$49:R$53,"=1")=2,TRUE),IF(COUNTIF(S$49:S$53,"=2")=2,TRUE))</formula>
    </cfRule>
    <cfRule type="expression" dxfId="1483" priority="104">
      <formula>AND(R49=4,IF(COUNTIF(R$49:R$53,"=4")=1,TRUE))</formula>
    </cfRule>
    <cfRule type="expression" dxfId="1482" priority="105">
      <formula>AND(R49=3,IF(COUNTIF(R$49:R$53,"=3")=1,TRUE))</formula>
    </cfRule>
    <cfRule type="expression" dxfId="1481" priority="106">
      <formula>AND(R49=2,IF(COUNTIF(R$49:R$53,"=2")=1,TRUE))</formula>
    </cfRule>
    <cfRule type="expression" dxfId="1480" priority="107">
      <formula>AND(R49=1,IF(COUNTIF(R$49:R$53,"=1")=1,TRUE))</formula>
    </cfRule>
    <cfRule type="expression" dxfId="1479" priority="108">
      <formula>OR(R49=0,R49=5)</formula>
    </cfRule>
  </conditionalFormatting>
  <conditionalFormatting sqref="H49:H53">
    <cfRule type="expression" dxfId="1478" priority="75">
      <formula>AND(Q49=4,IF(COUNTIF(Q$49:Q$53,"=4")&gt;=2,TRUE))</formula>
    </cfRule>
    <cfRule type="expression" dxfId="1477" priority="76">
      <formula>AND(Q49=3,IF(COUNTIF(Q$49:Q$53,"=3")&gt;=2,TRUE))</formula>
    </cfRule>
    <cfRule type="expression" dxfId="1476" priority="77">
      <formula>AND(Q49=2,IF(COUNTIF(Q$49:Q$53,"=2")&gt;=2,TRUE))</formula>
    </cfRule>
    <cfRule type="expression" dxfId="1475" priority="78">
      <formula>AND(Q49=1,IF(COUNTIF(Q$49:Q$53,"=1")&gt;=2,TRUE))</formula>
    </cfRule>
  </conditionalFormatting>
  <conditionalFormatting sqref="L56:L60">
    <cfRule type="expression" dxfId="1474" priority="49">
      <formula>K56=0</formula>
    </cfRule>
    <cfRule type="expression" dxfId="1473" priority="58">
      <formula>IF(COUNTIF(J$56:J$60,"=2")=2,TRUE)</formula>
    </cfRule>
    <cfRule type="expression" dxfId="1472" priority="59">
      <formula>IF(COUNTIF(J$56:J$60,"=1")=2,TRUE)</formula>
    </cfRule>
    <cfRule type="expression" dxfId="1471" priority="60">
      <formula>AND(IF(COUNTIF(Q$56:Q$60,"=1")=2,TRUE),IF(COUNTIF(Q$56:Q$60,"=2")=2,TRUE))</formula>
    </cfRule>
    <cfRule type="expression" dxfId="1470" priority="61">
      <formula>AND(Q56=4,IF(COUNTIF(Q$56:Q$60,"=4")=1,TRUE))</formula>
    </cfRule>
    <cfRule type="expression" dxfId="1469" priority="62">
      <formula>AND(Q56=3,IF(COUNTIF(Q$56:Q$60,"=3")=1,TRUE))</formula>
    </cfRule>
    <cfRule type="expression" dxfId="1468" priority="63">
      <formula>AND(Q56=2,IF(COUNTIF(Q$56:Q$60,"=2")=1,TRUE))</formula>
    </cfRule>
    <cfRule type="expression" dxfId="1467" priority="64">
      <formula>AND(Q56=1,IF(COUNTIF(Q$56:Q$60,"=1")=1,TRUE))</formula>
    </cfRule>
    <cfRule type="expression" dxfId="1466" priority="65">
      <formula>OR(Q56=0,Q56=5)</formula>
    </cfRule>
  </conditionalFormatting>
  <conditionalFormatting sqref="O56:O60">
    <cfRule type="expression" dxfId="1465" priority="57">
      <formula>OR(AND(J56=1,K56=1,L56=0,M56=1),AND(J56=2,K56=2,L56=0,M56=2))</formula>
    </cfRule>
  </conditionalFormatting>
  <conditionalFormatting sqref="M56:M60">
    <cfRule type="expression" dxfId="1464" priority="50">
      <formula>AND(L56&gt;0,IF(COUNTIF(L$56:L$60,L56)&gt;1,TRUE,FALSE))</formula>
    </cfRule>
    <cfRule type="expression" dxfId="1463" priority="51">
      <formula>AND(IF(COUNTIF(R$56:R$60,"=1")=2,TRUE),IF(COUNTIF(R$56:R$60,"=2")=2,TRUE))</formula>
    </cfRule>
    <cfRule type="expression" dxfId="1462" priority="52">
      <formula>AND(R56=4,IF(COUNTIF(R$56:R$60,"=4")=1,TRUE))</formula>
    </cfRule>
    <cfRule type="expression" dxfId="1461" priority="53">
      <formula>AND(R56=3,IF(COUNTIF(R$56:R$60,"=3")=1,TRUE))</formula>
    </cfRule>
    <cfRule type="expression" dxfId="1460" priority="54">
      <formula>AND(R56=2,IF(COUNTIF(R$56:R$60,"=2")=1,TRUE))</formula>
    </cfRule>
    <cfRule type="expression" dxfId="1459" priority="55">
      <formula>AND(R56=1,IF(COUNTIF(R$56:R$60,"=1")=1,TRUE))</formula>
    </cfRule>
    <cfRule type="expression" dxfId="1458" priority="56">
      <formula>OR(R56=0,R56=5)</formula>
    </cfRule>
  </conditionalFormatting>
  <conditionalFormatting sqref="J56:J60">
    <cfRule type="expression" dxfId="1457" priority="45">
      <formula>AND(Q56=4,IF(COUNTIF(Q$56:Q$60,"=4")&gt;=2,TRUE))</formula>
    </cfRule>
    <cfRule type="expression" dxfId="1456" priority="46">
      <formula>AND(Q56=3,IF(COUNTIF(Q$56:Q$60,"=3")&gt;=2,TRUE))</formula>
    </cfRule>
    <cfRule type="expression" dxfId="1455" priority="47">
      <formula>AND(Q56=2,IF(COUNTIF(Q$56:Q$60,"=2")&gt;=2,TRUE))</formula>
    </cfRule>
    <cfRule type="expression" dxfId="1454" priority="48">
      <formula>AND(Q56=1,IF(COUNTIF(Q$56:Q$60,"=1")&gt;=2,TRUE))</formula>
    </cfRule>
  </conditionalFormatting>
  <conditionalFormatting sqref="K56:K60">
    <cfRule type="expression" dxfId="1453" priority="66">
      <formula>AND(J56&gt;0,IF(COUNTIF(J$56:J$60,"=1")=2,TRUE),IF(COUNTIF(J$56:J$60,"=2")=2,TRUE))</formula>
    </cfRule>
    <cfRule type="expression" dxfId="1452" priority="67">
      <formula>IF(COUNTIF(L$56:L$60,"=2")=2,TRUE)</formula>
    </cfRule>
    <cfRule type="expression" dxfId="1451" priority="68">
      <formula>IF(COUNTIF(L$56:L$60,"=1")=2,TRUE)</formula>
    </cfRule>
    <cfRule type="expression" dxfId="1450" priority="69">
      <formula>AND(IF(COUNTIF(R$56:R$60,"=1")=2,TRUE),IF(COUNTIF(S$56:S$60,"=2")=2,TRUE))</formula>
    </cfRule>
    <cfRule type="expression" dxfId="1449" priority="70">
      <formula>AND(R56=4,IF(COUNTIF(R$56:R$60,"=4")=1,TRUE))</formula>
    </cfRule>
    <cfRule type="expression" dxfId="1448" priority="71">
      <formula>AND(R56=3,IF(COUNTIF(R$56:R$60,"=3")=1,TRUE))</formula>
    </cfRule>
    <cfRule type="expression" dxfId="1447" priority="72">
      <formula>AND(R56=2,IF(COUNTIF(R$56:R$60,"=2")=1,TRUE))</formula>
    </cfRule>
    <cfRule type="expression" dxfId="1446" priority="73">
      <formula>AND(R56=1,IF(COUNTIF(R$56:R$60,"=1")=1,TRUE))</formula>
    </cfRule>
    <cfRule type="expression" dxfId="1445" priority="74">
      <formula>OR(R56=0,R56=5)</formula>
    </cfRule>
  </conditionalFormatting>
  <conditionalFormatting sqref="H56:H60">
    <cfRule type="expression" dxfId="1444" priority="41">
      <formula>AND(Q56=4,IF(COUNTIF(Q$56:Q$60,"=4")&gt;=2,TRUE))</formula>
    </cfRule>
    <cfRule type="expression" dxfId="1443" priority="42">
      <formula>AND(Q56=3,IF(COUNTIF(Q$56:Q$60,"=3")&gt;=2,TRUE))</formula>
    </cfRule>
    <cfRule type="expression" dxfId="1442" priority="43">
      <formula>AND(Q56=2,IF(COUNTIF(Q$50:Q$56,"=2")&gt;=2,TRUE))</formula>
    </cfRule>
    <cfRule type="expression" dxfId="1441" priority="44">
      <formula>AND(Q56=1,IF(COUNTIF(Q$56:Q$60,"=1")&gt;=2,TRUE))</formula>
    </cfRule>
  </conditionalFormatting>
  <conditionalFormatting sqref="H7:H61">
    <cfRule type="containsText" dxfId="1440" priority="40" operator="containsText" text="0-0">
      <formula>NOT(ISERROR(SEARCH("0-0",H7)))</formula>
    </cfRule>
  </conditionalFormatting>
  <conditionalFormatting sqref="C102 C104">
    <cfRule type="containsBlanks" dxfId="1439" priority="36">
      <formula>LEN(TRIM(C102))=0</formula>
    </cfRule>
    <cfRule type="aboveAverage" dxfId="1438" priority="37"/>
  </conditionalFormatting>
  <conditionalFormatting sqref="C106 C108">
    <cfRule type="containsBlanks" dxfId="1437" priority="34">
      <formula>LEN(TRIM(C106))=0</formula>
    </cfRule>
    <cfRule type="aboveAverage" dxfId="1436" priority="35"/>
  </conditionalFormatting>
  <conditionalFormatting sqref="E110 E112">
    <cfRule type="aboveAverage" dxfId="1435" priority="33"/>
  </conditionalFormatting>
  <conditionalFormatting sqref="E110 E112">
    <cfRule type="containsBlanks" dxfId="1434" priority="32">
      <formula>LEN(TRIM(E110))=0</formula>
    </cfRule>
  </conditionalFormatting>
  <conditionalFormatting sqref="C119 C121">
    <cfRule type="containsBlanks" dxfId="1433" priority="30">
      <formula>LEN(TRIM(C119))=0</formula>
    </cfRule>
    <cfRule type="aboveAverage" dxfId="1432" priority="31"/>
  </conditionalFormatting>
  <conditionalFormatting sqref="C123 C125">
    <cfRule type="containsBlanks" dxfId="1431" priority="28">
      <formula>LEN(TRIM(C123))=0</formula>
    </cfRule>
    <cfRule type="aboveAverage" dxfId="1430" priority="29"/>
  </conditionalFormatting>
  <conditionalFormatting sqref="E103 E107">
    <cfRule type="containsBlanks" dxfId="1429" priority="38">
      <formula>LEN(TRIM(E103))=0</formula>
    </cfRule>
    <cfRule type="aboveAverage" dxfId="1428" priority="39"/>
  </conditionalFormatting>
  <conditionalFormatting sqref="E127 E129">
    <cfRule type="aboveAverage" dxfId="1427" priority="25"/>
  </conditionalFormatting>
  <conditionalFormatting sqref="E127 E129">
    <cfRule type="containsBlanks" dxfId="1426" priority="24">
      <formula>LEN(TRIM(E127))=0</formula>
    </cfRule>
  </conditionalFormatting>
  <conditionalFormatting sqref="E120 E124">
    <cfRule type="containsBlanks" dxfId="1425" priority="26">
      <formula>LEN(TRIM(E120))=0</formula>
    </cfRule>
    <cfRule type="aboveAverage" dxfId="1424" priority="27"/>
  </conditionalFormatting>
  <conditionalFormatting sqref="A102:A108">
    <cfRule type="cellIs" dxfId="1423" priority="22" operator="equal">
      <formula>"-"</formula>
    </cfRule>
    <cfRule type="duplicateValues" dxfId="1422" priority="23"/>
  </conditionalFormatting>
  <conditionalFormatting sqref="A119:A125">
    <cfRule type="cellIs" dxfId="1421" priority="20" operator="equal">
      <formula>"-"</formula>
    </cfRule>
    <cfRule type="duplicateValues" dxfId="1420" priority="21"/>
  </conditionalFormatting>
  <conditionalFormatting sqref="E136 E138">
    <cfRule type="aboveAverage" dxfId="1419" priority="19"/>
  </conditionalFormatting>
  <conditionalFormatting sqref="E136 E138">
    <cfRule type="containsBlanks" dxfId="1418" priority="18">
      <formula>LEN(TRIM(E136))=0</formula>
    </cfRule>
  </conditionalFormatting>
  <conditionalFormatting sqref="B136:B138">
    <cfRule type="cellIs" dxfId="1417" priority="16" operator="equal">
      <formula>"-"</formula>
    </cfRule>
    <cfRule type="duplicateValues" dxfId="1416" priority="17"/>
  </conditionalFormatting>
  <conditionalFormatting sqref="AF7:AF24 AJ7:AJ24 AL7:AL24">
    <cfRule type="expression" dxfId="1415" priority="1">
      <formula>AND(AE7="",COUNTIF(AF7,"*,*")=0)</formula>
    </cfRule>
  </conditionalFormatting>
  <conditionalFormatting sqref="AH7:AH24">
    <cfRule type="expression" dxfId="1414" priority="2">
      <formula>AND(AG7="",FIND(",",AH7))</formula>
    </cfRule>
    <cfRule type="expression" dxfId="1413" priority="3">
      <formula>AND(AG7="",COUNTIF(AH7,"*,*")=0)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11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11"/>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33.28515625" style="581" bestFit="1" customWidth="1"/>
    <col min="3" max="3" width="4.7109375" style="581" customWidth="1"/>
    <col min="4" max="4" width="1.140625" style="581" customWidth="1"/>
    <col min="5" max="5" width="2.7109375" style="581" customWidth="1"/>
    <col min="6" max="6" width="9.140625" style="581"/>
    <col min="7" max="7" width="2.7109375" style="581" customWidth="1"/>
    <col min="8" max="8" width="1.140625" style="581" customWidth="1"/>
    <col min="9" max="9" width="2.7109375" style="581" customWidth="1"/>
    <col min="10" max="10" width="9.140625" style="581"/>
    <col min="11" max="11" width="2.7109375" style="581" customWidth="1"/>
    <col min="12" max="12" width="1.140625" style="581" customWidth="1"/>
    <col min="13" max="13" width="2.7109375" style="581" customWidth="1"/>
    <col min="14" max="14" width="9.140625" style="581"/>
    <col min="15" max="15" width="2.7109375" style="581" customWidth="1"/>
    <col min="16" max="16" width="1.140625" style="581" customWidth="1"/>
    <col min="17" max="17" width="2.7109375" style="581" customWidth="1"/>
    <col min="18" max="18" width="9.140625" style="581"/>
    <col min="19" max="19" width="2.7109375" style="581" hidden="1" customWidth="1"/>
    <col min="20" max="20" width="1.140625" style="581" hidden="1" customWidth="1"/>
    <col min="21" max="21" width="2.7109375" style="581" hidden="1" customWidth="1"/>
    <col min="22" max="22" width="0" style="581" hidden="1" customWidth="1"/>
    <col min="23" max="23" width="5.7109375" style="581" customWidth="1"/>
    <col min="24" max="24" width="5.5703125" style="581" customWidth="1"/>
    <col min="25" max="25" width="7" style="581" customWidth="1"/>
    <col min="26" max="26" width="2.7109375" style="581" customWidth="1"/>
    <col min="27" max="27" width="1.140625" style="581" customWidth="1"/>
    <col min="28" max="28" width="2.7109375" style="581" customWidth="1"/>
    <col min="29" max="29" width="4.7109375" style="581" customWidth="1"/>
    <col min="30" max="30" width="9.140625" style="581"/>
    <col min="31" max="32" width="9.140625" style="581" hidden="1" customWidth="1"/>
    <col min="33" max="33" width="18.28515625" style="581" hidden="1" customWidth="1"/>
    <col min="34" max="34" width="9.140625" style="581" hidden="1" customWidth="1"/>
    <col min="35" max="35" width="16.5703125" style="581" hidden="1" customWidth="1"/>
    <col min="36" max="36" width="9.140625" style="581" hidden="1" customWidth="1"/>
    <col min="37" max="37" width="17.28515625" style="581" hidden="1" customWidth="1"/>
    <col min="38" max="38" width="9.140625" style="581" hidden="1" customWidth="1"/>
    <col min="39" max="39" width="15.28515625" style="581" hidden="1" customWidth="1"/>
    <col min="40" max="16384" width="9.140625" style="581"/>
  </cols>
  <sheetData>
    <row r="1" spans="1:40" x14ac:dyDescent="0.2">
      <c r="A1" s="572" t="str">
        <f>UPPER((Kalend!E17)&amp;" - "&amp;(Kalend!C17)&amp;" - "&amp;(Kalend!D17))</f>
        <v>5 - IDA-VIRUMAA MV - SEGADUO</v>
      </c>
      <c r="B1" s="573"/>
      <c r="C1" s="574"/>
      <c r="D1" s="573"/>
      <c r="E1" s="573"/>
      <c r="F1" s="575"/>
      <c r="G1" s="575"/>
      <c r="H1" s="575"/>
      <c r="I1" s="575"/>
      <c r="J1" s="576"/>
      <c r="K1" s="577"/>
      <c r="L1" s="578"/>
      <c r="M1" s="579"/>
      <c r="N1" s="579"/>
      <c r="O1" s="573"/>
      <c r="P1" s="573"/>
      <c r="Q1" s="577"/>
      <c r="R1" s="577"/>
      <c r="S1" s="577"/>
      <c r="T1" s="578"/>
      <c r="U1" s="578"/>
      <c r="V1" s="578"/>
      <c r="W1" s="573"/>
      <c r="X1" s="574"/>
      <c r="Y1" s="574"/>
      <c r="Z1" s="573"/>
      <c r="AA1" s="573"/>
      <c r="AB1" s="573"/>
      <c r="AC1" s="573"/>
      <c r="AE1" s="582" t="s">
        <v>53</v>
      </c>
      <c r="AF1" s="580"/>
      <c r="AG1" s="580"/>
      <c r="AH1" s="580"/>
      <c r="AI1" s="580"/>
      <c r="AJ1" s="580"/>
      <c r="AK1" s="580"/>
      <c r="AL1" s="580"/>
      <c r="AM1" s="580"/>
      <c r="AN1" s="573"/>
    </row>
    <row r="2" spans="1:40" x14ac:dyDescent="0.2">
      <c r="A2" s="583" t="str">
        <f>"Toimumisaeg: "&amp;(Kalend!A17)&amp;" kell "&amp;(Kalend!B17)</f>
        <v>Toimumisaeg: P, 26.06.2022 kell 11:00</v>
      </c>
      <c r="B2" s="573"/>
      <c r="C2" s="573"/>
      <c r="D2" s="573"/>
      <c r="E2" s="573"/>
      <c r="F2" s="573"/>
      <c r="G2" s="573"/>
      <c r="H2" s="573"/>
      <c r="I2" s="573"/>
      <c r="J2" s="573"/>
      <c r="K2" s="573"/>
      <c r="L2" s="579"/>
      <c r="M2" s="579"/>
      <c r="N2" s="579"/>
      <c r="O2" s="573"/>
      <c r="P2" s="573"/>
      <c r="Q2" s="573"/>
      <c r="R2" s="573"/>
      <c r="S2" s="573"/>
      <c r="T2" s="579"/>
      <c r="U2" s="579"/>
      <c r="V2" s="579"/>
      <c r="W2" s="573"/>
      <c r="X2" s="573"/>
      <c r="Y2" s="573"/>
      <c r="Z2" s="573"/>
      <c r="AA2" s="573"/>
      <c r="AB2" s="721" t="s">
        <v>269</v>
      </c>
      <c r="AC2" s="573"/>
      <c r="AE2" s="573"/>
      <c r="AF2" s="573"/>
      <c r="AG2" s="573"/>
      <c r="AH2" s="573"/>
      <c r="AI2" s="573"/>
      <c r="AJ2" s="573"/>
      <c r="AK2" s="573"/>
      <c r="AL2" s="573"/>
      <c r="AM2" s="573"/>
      <c r="AN2" s="573"/>
    </row>
    <row r="3" spans="1:40" x14ac:dyDescent="0.2">
      <c r="A3" s="583" t="str">
        <f>"Toimumiskoht: "&amp;(Kalend!F17)</f>
        <v>Toimumiskoht: Voka staadion</v>
      </c>
      <c r="B3" s="573"/>
      <c r="C3" s="573"/>
      <c r="D3" s="573"/>
      <c r="E3" s="573"/>
      <c r="F3" s="573"/>
      <c r="G3" s="585"/>
      <c r="H3" s="585"/>
      <c r="I3" s="586" t="s">
        <v>270</v>
      </c>
      <c r="J3" s="587">
        <v>1</v>
      </c>
      <c r="K3" s="588" t="s">
        <v>271</v>
      </c>
      <c r="L3" s="579"/>
      <c r="M3" s="579"/>
      <c r="N3" s="579"/>
      <c r="O3" s="573"/>
      <c r="P3" s="573"/>
      <c r="Q3" s="573"/>
      <c r="R3" s="573"/>
      <c r="S3" s="573"/>
      <c r="T3" s="579"/>
      <c r="U3" s="579"/>
      <c r="V3" s="579"/>
      <c r="W3" s="573"/>
      <c r="X3" s="573"/>
      <c r="Y3" s="573"/>
      <c r="Z3" s="573"/>
      <c r="AA3" s="573"/>
      <c r="AB3" s="573"/>
      <c r="AC3" s="573"/>
      <c r="AE3" s="573"/>
      <c r="AF3" s="573"/>
      <c r="AG3" s="573"/>
      <c r="AH3" s="573"/>
      <c r="AI3" s="573"/>
      <c r="AJ3" s="573"/>
      <c r="AK3" s="573"/>
      <c r="AL3" s="573"/>
      <c r="AM3" s="573"/>
      <c r="AN3" s="573"/>
    </row>
    <row r="4" spans="1:40" x14ac:dyDescent="0.2">
      <c r="A4" s="583" t="str">
        <f>"Korraldaja: "&amp;(Kalend!G17)</f>
        <v>Korraldaja: Johannes Neiland</v>
      </c>
      <c r="B4" s="573"/>
      <c r="C4" s="573"/>
      <c r="D4" s="573"/>
      <c r="E4" s="573"/>
      <c r="F4" s="573"/>
      <c r="G4" s="589"/>
      <c r="H4" s="589"/>
      <c r="I4" s="590" t="s">
        <v>272</v>
      </c>
      <c r="J4" s="587">
        <v>0.5</v>
      </c>
      <c r="K4" s="588" t="s">
        <v>271</v>
      </c>
      <c r="L4" s="573"/>
      <c r="M4" s="573"/>
      <c r="N4" s="573"/>
      <c r="O4" s="573"/>
      <c r="P4" s="573"/>
      <c r="Q4" s="573"/>
      <c r="R4" s="573"/>
      <c r="S4" s="573"/>
      <c r="T4" s="573"/>
      <c r="U4" s="573"/>
      <c r="V4" s="573"/>
      <c r="W4" s="573"/>
      <c r="X4" s="573"/>
      <c r="Y4" s="573"/>
      <c r="Z4" s="573"/>
      <c r="AA4" s="573"/>
      <c r="AB4" s="573"/>
      <c r="AC4" s="573"/>
      <c r="AE4" s="722" t="s">
        <v>273</v>
      </c>
      <c r="AF4" s="573"/>
      <c r="AG4" s="573"/>
      <c r="AH4" s="573"/>
      <c r="AI4" s="573"/>
      <c r="AJ4" s="573"/>
      <c r="AK4" s="573"/>
      <c r="AL4" s="573"/>
      <c r="AM4" s="573"/>
      <c r="AN4" s="573"/>
    </row>
    <row r="5" spans="1:40" x14ac:dyDescent="0.2">
      <c r="A5" s="573"/>
      <c r="B5" s="573"/>
      <c r="C5" s="573"/>
      <c r="D5" s="573"/>
      <c r="E5" s="573"/>
      <c r="F5" s="573"/>
      <c r="G5" s="592"/>
      <c r="H5" s="592"/>
      <c r="I5" s="593" t="s">
        <v>274</v>
      </c>
      <c r="J5" s="587">
        <v>0</v>
      </c>
      <c r="K5" s="588" t="s">
        <v>271</v>
      </c>
      <c r="L5" s="573"/>
      <c r="M5" s="573"/>
      <c r="N5" s="573"/>
      <c r="O5" s="573"/>
      <c r="P5" s="573"/>
      <c r="Q5" s="573"/>
      <c r="R5" s="573"/>
      <c r="S5" s="573"/>
      <c r="T5" s="573"/>
      <c r="U5" s="573"/>
      <c r="V5" s="573"/>
      <c r="W5" s="573"/>
      <c r="X5" s="573"/>
      <c r="Y5" s="573"/>
      <c r="Z5" s="573"/>
      <c r="AA5" s="573"/>
      <c r="AB5" s="573"/>
      <c r="AC5" s="573"/>
      <c r="AE5" s="723" t="s">
        <v>14</v>
      </c>
      <c r="AF5" s="724"/>
      <c r="AG5" s="725"/>
      <c r="AH5" s="724"/>
      <c r="AI5" s="726"/>
      <c r="AJ5" s="724"/>
      <c r="AK5" s="724"/>
      <c r="AL5" s="724"/>
      <c r="AM5" s="724"/>
      <c r="AN5" s="573"/>
    </row>
    <row r="6" spans="1:40" x14ac:dyDescent="0.2">
      <c r="A6" s="573"/>
      <c r="B6" s="573"/>
      <c r="C6" s="573"/>
      <c r="D6" s="573"/>
      <c r="E6" s="573"/>
      <c r="F6" s="573"/>
      <c r="G6" s="573"/>
      <c r="H6" s="573"/>
      <c r="I6" s="573"/>
      <c r="J6" s="573"/>
      <c r="K6" s="573"/>
      <c r="L6" s="579"/>
      <c r="M6" s="579"/>
      <c r="N6" s="579"/>
      <c r="O6" s="573"/>
      <c r="P6" s="573"/>
      <c r="Q6" s="573"/>
      <c r="R6" s="573"/>
      <c r="S6" s="573"/>
      <c r="T6" s="579"/>
      <c r="U6" s="579"/>
      <c r="V6" s="579"/>
      <c r="W6" s="573"/>
      <c r="X6" s="573"/>
      <c r="Y6" s="573"/>
      <c r="Z6" s="573"/>
      <c r="AA6" s="573"/>
      <c r="AB6" s="573"/>
      <c r="AC6" s="573"/>
      <c r="AE6" s="723" t="s">
        <v>275</v>
      </c>
      <c r="AF6" s="727"/>
      <c r="AG6" s="727" t="s">
        <v>276</v>
      </c>
      <c r="AH6" s="727"/>
      <c r="AI6" s="728" t="s">
        <v>277</v>
      </c>
      <c r="AJ6" s="727"/>
      <c r="AK6" s="727" t="s">
        <v>278</v>
      </c>
      <c r="AL6" s="618"/>
      <c r="AM6" s="727" t="s">
        <v>279</v>
      </c>
      <c r="AN6" s="573"/>
    </row>
    <row r="7" spans="1:40" x14ac:dyDescent="0.2">
      <c r="A7" s="630" t="s">
        <v>78</v>
      </c>
      <c r="B7" s="630" t="s">
        <v>77</v>
      </c>
      <c r="C7" s="631" t="s">
        <v>280</v>
      </c>
      <c r="D7" s="632"/>
      <c r="E7" s="632"/>
      <c r="F7" s="633"/>
      <c r="G7" s="631" t="s">
        <v>281</v>
      </c>
      <c r="H7" s="632"/>
      <c r="I7" s="632"/>
      <c r="J7" s="633"/>
      <c r="K7" s="631" t="s">
        <v>282</v>
      </c>
      <c r="L7" s="632"/>
      <c r="M7" s="632"/>
      <c r="N7" s="633"/>
      <c r="O7" s="631" t="s">
        <v>283</v>
      </c>
      <c r="P7" s="632"/>
      <c r="Q7" s="632"/>
      <c r="R7" s="633"/>
      <c r="S7" s="631" t="s">
        <v>284</v>
      </c>
      <c r="T7" s="632"/>
      <c r="U7" s="632"/>
      <c r="V7" s="633"/>
      <c r="W7" s="630" t="s">
        <v>68</v>
      </c>
      <c r="X7" s="601" t="s">
        <v>285</v>
      </c>
      <c r="Y7" s="630" t="s">
        <v>499</v>
      </c>
      <c r="Z7" s="601"/>
      <c r="AA7" s="602" t="s">
        <v>286</v>
      </c>
      <c r="AB7" s="603"/>
      <c r="AC7" s="604" t="s">
        <v>344</v>
      </c>
      <c r="AE7" s="723" t="s">
        <v>287</v>
      </c>
      <c r="AF7" s="724"/>
      <c r="AG7" s="725"/>
      <c r="AH7" s="724"/>
      <c r="AI7" s="725"/>
      <c r="AJ7" s="729"/>
      <c r="AK7" s="729"/>
      <c r="AL7" s="729"/>
      <c r="AM7" s="729"/>
      <c r="AN7" s="573"/>
    </row>
    <row r="8" spans="1:40" x14ac:dyDescent="0.2">
      <c r="A8" s="634">
        <v>1</v>
      </c>
      <c r="B8" s="635" t="s">
        <v>526</v>
      </c>
      <c r="C8" s="613">
        <v>13</v>
      </c>
      <c r="D8" s="614" t="s">
        <v>288</v>
      </c>
      <c r="E8" s="614">
        <v>7</v>
      </c>
      <c r="F8" s="636" t="s">
        <v>537</v>
      </c>
      <c r="G8" s="613">
        <v>13</v>
      </c>
      <c r="H8" s="614" t="s">
        <v>288</v>
      </c>
      <c r="I8" s="614">
        <v>6</v>
      </c>
      <c r="J8" s="636" t="s">
        <v>525</v>
      </c>
      <c r="K8" s="613">
        <v>13</v>
      </c>
      <c r="L8" s="614" t="s">
        <v>288</v>
      </c>
      <c r="M8" s="614">
        <v>5</v>
      </c>
      <c r="N8" s="636" t="s">
        <v>292</v>
      </c>
      <c r="O8" s="613">
        <v>13</v>
      </c>
      <c r="P8" s="614" t="s">
        <v>288</v>
      </c>
      <c r="Q8" s="614">
        <v>6</v>
      </c>
      <c r="R8" s="636" t="s">
        <v>535</v>
      </c>
      <c r="S8" s="613"/>
      <c r="T8" s="614" t="s">
        <v>288</v>
      </c>
      <c r="U8" s="614"/>
      <c r="V8" s="636"/>
      <c r="W8" s="637">
        <f>IF(C8&gt;E8,J$3,IF(C8&lt;E8,J$5,IF(ISNUMBER(C8),J$4,0)))+IF(G8&gt;I8,J$3,IF(G8&lt;I8,J$5,IF(ISNUMBER(G8),J$4,0)))+IF(K8&gt;M8,J$3,IF(K8&lt;M8,J$5,IF(ISNUMBER(K8),J$4,0)))+IF(O8&gt;Q8,J$3,IF(O8&lt;Q8,J$5,IF(ISNUMBER(O8),J$4,0)))+IF(S8&gt;U8,J$3,IF(S8&lt;U8,J$5,IF(ISNUMBER(S8),J$4,0)))</f>
        <v>4</v>
      </c>
      <c r="X8" s="612">
        <v>16</v>
      </c>
      <c r="Y8" s="612">
        <v>76</v>
      </c>
      <c r="Z8" s="613">
        <f>C8+G8+K8+O8+S8</f>
        <v>52</v>
      </c>
      <c r="AA8" s="614" t="s">
        <v>288</v>
      </c>
      <c r="AB8" s="615">
        <f>E8+I8+M8+Q8+U8</f>
        <v>24</v>
      </c>
      <c r="AC8" s="616">
        <f>Z8-AB8</f>
        <v>28</v>
      </c>
      <c r="AE8" s="731">
        <f t="shared" ref="AE8:AE12" ca="1" si="0">SUM(AF8:AM8)</f>
        <v>410</v>
      </c>
      <c r="AF8" s="732">
        <f ca="1">IFERROR(INDEX(Reit!I$8:I$115,MATCH(AG8,Reit!F$8:F$115,0)),"")</f>
        <v>242</v>
      </c>
      <c r="AG8" s="733" t="str">
        <f t="shared" ref="AG8:AG16" si="1">IFERROR(LEFT(B8,(FIND(",",B8,1)-1)),"")</f>
        <v>Olav Türk</v>
      </c>
      <c r="AH8" s="732">
        <f ca="1">IFERROR(INDEX(Reit!I$8:I$115,MATCH(AI8,Reit!F$8:F$115,0)),"")</f>
        <v>168</v>
      </c>
      <c r="AI8" s="733" t="str">
        <f t="shared" ref="AI8:AI16" si="2">IFERROR(MID(B8,FIND(", ",B8)+2,256),"")</f>
        <v>Sirje Maala</v>
      </c>
      <c r="AJ8" s="732" t="str">
        <f>IFERROR(INDEX(Reit!I$8:I$115,MATCH(AK8,Reit!F$8:F$115,0)),"")</f>
        <v/>
      </c>
      <c r="AK8" s="733" t="str">
        <f t="shared" ref="AK8:AK16" si="3">IFERROR(MID(B8,FIND("^",SUBSTITUTE(B8,", ","^",1))+2,FIND("^",SUBSTITUTE(B8,", ","^",2))-FIND("^",SUBSTITUTE(B8,", ","^",1))-2),"")</f>
        <v/>
      </c>
      <c r="AL8" s="732" t="str">
        <f>IFERROR(INDEX(Reit!I$8:I$115,MATCH(AM8,Reit!F$8:F$115,0)),"")</f>
        <v/>
      </c>
      <c r="AM8" s="733" t="str">
        <f t="shared" ref="AM8:AM16" si="4">IFERROR(MID(B8,FIND(", ",B8,FIND(", ",B8,FIND(", ",B8))+1)+2,700),"")</f>
        <v/>
      </c>
      <c r="AN8" s="573"/>
    </row>
    <row r="9" spans="1:40" x14ac:dyDescent="0.2">
      <c r="A9" s="634">
        <v>2</v>
      </c>
      <c r="B9" s="635" t="s">
        <v>292</v>
      </c>
      <c r="C9" s="613">
        <v>13</v>
      </c>
      <c r="D9" s="614" t="s">
        <v>288</v>
      </c>
      <c r="E9" s="614">
        <v>7</v>
      </c>
      <c r="F9" s="636" t="s">
        <v>291</v>
      </c>
      <c r="G9" s="613">
        <v>13</v>
      </c>
      <c r="H9" s="614" t="s">
        <v>288</v>
      </c>
      <c r="I9" s="614">
        <v>11</v>
      </c>
      <c r="J9" s="636" t="s">
        <v>536</v>
      </c>
      <c r="K9" s="613">
        <v>5</v>
      </c>
      <c r="L9" s="614" t="s">
        <v>288</v>
      </c>
      <c r="M9" s="614">
        <v>13</v>
      </c>
      <c r="N9" s="636" t="s">
        <v>526</v>
      </c>
      <c r="O9" s="613">
        <v>13</v>
      </c>
      <c r="P9" s="614" t="s">
        <v>288</v>
      </c>
      <c r="Q9" s="614">
        <v>5</v>
      </c>
      <c r="R9" s="636" t="s">
        <v>525</v>
      </c>
      <c r="S9" s="613"/>
      <c r="T9" s="614" t="s">
        <v>288</v>
      </c>
      <c r="U9" s="614"/>
      <c r="V9" s="636"/>
      <c r="W9" s="637">
        <f t="shared" ref="W9:W16" si="5">IF(C9&gt;E9,J$3,IF(C9&lt;E9,J$5,IF(ISNUMBER(C9),J$4,0)))+IF(G9&gt;I9,J$3,IF(G9&lt;I9,J$5,IF(ISNUMBER(G9),J$4,0)))+IF(K9&gt;M9,J$3,IF(K9&lt;M9,J$5,IF(ISNUMBER(K9),J$4,0)))+IF(O9&gt;Q9,J$3,IF(O9&lt;Q9,J$5,IF(ISNUMBER(O9),J$4,0)))+IF(S9&gt;U9,J$3,IF(S9&lt;U9,J$5,IF(ISNUMBER(S9),J$4,0)))</f>
        <v>3</v>
      </c>
      <c r="X9" s="612">
        <v>16</v>
      </c>
      <c r="Y9" s="612">
        <v>50</v>
      </c>
      <c r="Z9" s="613">
        <f t="shared" ref="Z9:Z16" si="6">C9+G9+K9+O9+S9</f>
        <v>44</v>
      </c>
      <c r="AA9" s="614" t="s">
        <v>288</v>
      </c>
      <c r="AB9" s="615">
        <f t="shared" ref="AB9:AB16" si="7">E9+I9+M9+Q9+U9</f>
        <v>36</v>
      </c>
      <c r="AC9" s="616">
        <f t="shared" ref="AC9:AC16" si="8">Z9-AB9</f>
        <v>8</v>
      </c>
      <c r="AE9" s="731">
        <f t="shared" ca="1" si="0"/>
        <v>363</v>
      </c>
      <c r="AF9" s="732">
        <f ca="1">IFERROR(INDEX(Reit!I$8:I$115,MATCH(AG9,Reit!F$8:F$115,0)),"")</f>
        <v>131</v>
      </c>
      <c r="AG9" s="733" t="str">
        <f t="shared" si="1"/>
        <v>Oksana Rõndenkova</v>
      </c>
      <c r="AH9" s="732">
        <f ca="1">IFERROR(INDEX(Reit!I$8:I$115,MATCH(AI9,Reit!F$8:F$115,0)),"")</f>
        <v>232</v>
      </c>
      <c r="AI9" s="733" t="str">
        <f t="shared" si="2"/>
        <v>Oleg Rõndenkov</v>
      </c>
      <c r="AJ9" s="732" t="str">
        <f>IFERROR(INDEX(Reit!I$8:I$115,MATCH(AK9,Reit!F$8:F$115,0)),"")</f>
        <v/>
      </c>
      <c r="AK9" s="733" t="str">
        <f t="shared" si="3"/>
        <v/>
      </c>
      <c r="AL9" s="732" t="str">
        <f>IFERROR(INDEX(Reit!I$8:I$115,MATCH(AM9,Reit!F$8:F$115,0)),"")</f>
        <v/>
      </c>
      <c r="AM9" s="733" t="str">
        <f t="shared" si="4"/>
        <v/>
      </c>
      <c r="AN9" s="573"/>
    </row>
    <row r="10" spans="1:40" x14ac:dyDescent="0.2">
      <c r="A10" s="634">
        <v>3</v>
      </c>
      <c r="B10" s="635" t="s">
        <v>306</v>
      </c>
      <c r="C10" s="613">
        <v>13</v>
      </c>
      <c r="D10" s="614" t="s">
        <v>288</v>
      </c>
      <c r="E10" s="614">
        <v>11</v>
      </c>
      <c r="F10" s="636" t="s">
        <v>366</v>
      </c>
      <c r="G10" s="613">
        <v>11</v>
      </c>
      <c r="H10" s="614" t="s">
        <v>288</v>
      </c>
      <c r="I10" s="614">
        <v>13</v>
      </c>
      <c r="J10" s="636" t="s">
        <v>537</v>
      </c>
      <c r="K10" s="613">
        <v>13</v>
      </c>
      <c r="L10" s="614" t="s">
        <v>288</v>
      </c>
      <c r="M10" s="614">
        <v>7</v>
      </c>
      <c r="N10" s="636" t="s">
        <v>536</v>
      </c>
      <c r="O10" s="613">
        <v>13</v>
      </c>
      <c r="P10" s="614" t="s">
        <v>288</v>
      </c>
      <c r="Q10" s="614">
        <v>11</v>
      </c>
      <c r="R10" s="636" t="s">
        <v>538</v>
      </c>
      <c r="S10" s="613"/>
      <c r="T10" s="614" t="s">
        <v>288</v>
      </c>
      <c r="U10" s="614"/>
      <c r="V10" s="636"/>
      <c r="W10" s="637">
        <f t="shared" si="5"/>
        <v>3</v>
      </c>
      <c r="X10" s="612">
        <v>12</v>
      </c>
      <c r="Y10" s="612">
        <v>62</v>
      </c>
      <c r="Z10" s="613">
        <f t="shared" si="6"/>
        <v>50</v>
      </c>
      <c r="AA10" s="614" t="s">
        <v>288</v>
      </c>
      <c r="AB10" s="615">
        <f t="shared" si="7"/>
        <v>42</v>
      </c>
      <c r="AC10" s="616">
        <f t="shared" si="8"/>
        <v>8</v>
      </c>
      <c r="AE10" s="731">
        <f t="shared" ca="1" si="0"/>
        <v>354</v>
      </c>
      <c r="AF10" s="732">
        <f ca="1">IFERROR(INDEX(Reit!I$8:I$115,MATCH(AG10,Reit!F$8:F$115,0)),"")</f>
        <v>268</v>
      </c>
      <c r="AG10" s="733" t="str">
        <f t="shared" si="1"/>
        <v>Ivar Viljaste</v>
      </c>
      <c r="AH10" s="732">
        <f ca="1">IFERROR(INDEX(Reit!I$8:I$115,MATCH(AI10,Reit!F$8:F$115,0)),"")</f>
        <v>86</v>
      </c>
      <c r="AI10" s="733" t="str">
        <f t="shared" si="2"/>
        <v>Sirje Viljaste</v>
      </c>
      <c r="AJ10" s="732" t="str">
        <f>IFERROR(INDEX(Reit!I$8:I$115,MATCH(AK10,Reit!F$8:F$115,0)),"")</f>
        <v/>
      </c>
      <c r="AK10" s="733" t="str">
        <f t="shared" si="3"/>
        <v/>
      </c>
      <c r="AL10" s="732" t="str">
        <f>IFERROR(INDEX(Reit!I$8:I$115,MATCH(AM10,Reit!F$8:F$115,0)),"")</f>
        <v/>
      </c>
      <c r="AM10" s="733" t="str">
        <f t="shared" si="4"/>
        <v/>
      </c>
      <c r="AN10" s="573"/>
    </row>
    <row r="11" spans="1:40" x14ac:dyDescent="0.2">
      <c r="A11" s="634">
        <v>4</v>
      </c>
      <c r="B11" s="635" t="s">
        <v>525</v>
      </c>
      <c r="C11" s="613">
        <v>13</v>
      </c>
      <c r="D11" s="614" t="s">
        <v>288</v>
      </c>
      <c r="E11" s="614">
        <v>7</v>
      </c>
      <c r="F11" s="636" t="s">
        <v>535</v>
      </c>
      <c r="G11" s="613">
        <v>6</v>
      </c>
      <c r="H11" s="614" t="s">
        <v>288</v>
      </c>
      <c r="I11" s="614">
        <v>13</v>
      </c>
      <c r="J11" s="636" t="s">
        <v>526</v>
      </c>
      <c r="K11" s="613">
        <v>13</v>
      </c>
      <c r="L11" s="614" t="s">
        <v>288</v>
      </c>
      <c r="M11" s="614">
        <v>3</v>
      </c>
      <c r="N11" s="636" t="s">
        <v>537</v>
      </c>
      <c r="O11" s="613">
        <v>5</v>
      </c>
      <c r="P11" s="614" t="s">
        <v>288</v>
      </c>
      <c r="Q11" s="614">
        <v>13</v>
      </c>
      <c r="R11" s="636" t="s">
        <v>292</v>
      </c>
      <c r="S11" s="613"/>
      <c r="T11" s="614" t="s">
        <v>288</v>
      </c>
      <c r="U11" s="614"/>
      <c r="V11" s="636"/>
      <c r="W11" s="637">
        <f t="shared" si="5"/>
        <v>2</v>
      </c>
      <c r="X11" s="612">
        <v>20</v>
      </c>
      <c r="Y11" s="612">
        <v>72</v>
      </c>
      <c r="Z11" s="613">
        <f t="shared" si="6"/>
        <v>37</v>
      </c>
      <c r="AA11" s="614" t="s">
        <v>288</v>
      </c>
      <c r="AB11" s="615">
        <f t="shared" si="7"/>
        <v>36</v>
      </c>
      <c r="AC11" s="616">
        <f t="shared" si="8"/>
        <v>1</v>
      </c>
      <c r="AE11" s="731">
        <f t="shared" ca="1" si="0"/>
        <v>252</v>
      </c>
      <c r="AF11" s="732">
        <f ca="1">IFERROR(INDEX(Reit!I$8:I$115,MATCH(AG11,Reit!F$8:F$115,0)),"")</f>
        <v>108</v>
      </c>
      <c r="AG11" s="733" t="str">
        <f t="shared" si="1"/>
        <v>Kristel Tihhonjuk</v>
      </c>
      <c r="AH11" s="732">
        <f ca="1">IFERROR(INDEX(Reit!I$8:I$115,MATCH(AI11,Reit!F$8:F$115,0)),"")</f>
        <v>144</v>
      </c>
      <c r="AI11" s="733" t="str">
        <f t="shared" si="2"/>
        <v>Vadim Tihhonjuk</v>
      </c>
      <c r="AJ11" s="732" t="str">
        <f>IFERROR(INDEX(Reit!I$8:I$115,MATCH(AK11,Reit!F$8:F$115,0)),"")</f>
        <v/>
      </c>
      <c r="AK11" s="733" t="str">
        <f t="shared" si="3"/>
        <v/>
      </c>
      <c r="AL11" s="732" t="str">
        <f>IFERROR(INDEX(Reit!I$8:I$115,MATCH(AM11,Reit!F$8:F$115,0)),"")</f>
        <v/>
      </c>
      <c r="AM11" s="733" t="str">
        <f t="shared" si="4"/>
        <v/>
      </c>
      <c r="AN11" s="573"/>
    </row>
    <row r="12" spans="1:40" x14ac:dyDescent="0.2">
      <c r="A12" s="634">
        <v>5</v>
      </c>
      <c r="B12" s="635" t="s">
        <v>535</v>
      </c>
      <c r="C12" s="613">
        <v>7</v>
      </c>
      <c r="D12" s="614" t="s">
        <v>288</v>
      </c>
      <c r="E12" s="614">
        <v>13</v>
      </c>
      <c r="F12" s="636" t="s">
        <v>525</v>
      </c>
      <c r="G12" s="613">
        <v>13</v>
      </c>
      <c r="H12" s="614" t="s">
        <v>288</v>
      </c>
      <c r="I12" s="614">
        <v>8</v>
      </c>
      <c r="J12" s="636" t="s">
        <v>366</v>
      </c>
      <c r="K12" s="613">
        <v>13</v>
      </c>
      <c r="L12" s="614" t="s">
        <v>288</v>
      </c>
      <c r="M12" s="614">
        <v>9</v>
      </c>
      <c r="N12" s="636" t="s">
        <v>538</v>
      </c>
      <c r="O12" s="613">
        <v>6</v>
      </c>
      <c r="P12" s="614" t="s">
        <v>288</v>
      </c>
      <c r="Q12" s="614">
        <v>13</v>
      </c>
      <c r="R12" s="636" t="s">
        <v>526</v>
      </c>
      <c r="S12" s="613"/>
      <c r="T12" s="614" t="s">
        <v>288</v>
      </c>
      <c r="U12" s="614"/>
      <c r="V12" s="636"/>
      <c r="W12" s="637">
        <f t="shared" si="5"/>
        <v>2</v>
      </c>
      <c r="X12" s="612">
        <v>18</v>
      </c>
      <c r="Y12" s="612">
        <v>62</v>
      </c>
      <c r="Z12" s="613">
        <f t="shared" si="6"/>
        <v>39</v>
      </c>
      <c r="AA12" s="614" t="s">
        <v>288</v>
      </c>
      <c r="AB12" s="615">
        <f t="shared" si="7"/>
        <v>43</v>
      </c>
      <c r="AC12" s="616">
        <f t="shared" si="8"/>
        <v>-4</v>
      </c>
      <c r="AE12" s="731">
        <f t="shared" ca="1" si="0"/>
        <v>137</v>
      </c>
      <c r="AF12" s="732">
        <f ca="1">IFERROR(INDEX(Reit!I$8:I$115,MATCH(AG12,Reit!F$8:F$115,0)),"")</f>
        <v>24</v>
      </c>
      <c r="AG12" s="733" t="str">
        <f t="shared" si="1"/>
        <v>Kirsika Loik</v>
      </c>
      <c r="AH12" s="732">
        <f ca="1">IFERROR(INDEX(Reit!I$8:I$115,MATCH(AI12,Reit!F$8:F$115,0)),"")</f>
        <v>113</v>
      </c>
      <c r="AI12" s="733" t="str">
        <f t="shared" si="2"/>
        <v>Urmas Jõeäär</v>
      </c>
      <c r="AJ12" s="732" t="str">
        <f>IFERROR(INDEX(Reit!I$8:I$115,MATCH(AK12,Reit!F$8:F$115,0)),"")</f>
        <v/>
      </c>
      <c r="AK12" s="733" t="str">
        <f t="shared" si="3"/>
        <v/>
      </c>
      <c r="AL12" s="732" t="str">
        <f>IFERROR(INDEX(Reit!I$8:I$115,MATCH(AM12,Reit!F$8:F$115,0)),"")</f>
        <v/>
      </c>
      <c r="AM12" s="733" t="str">
        <f t="shared" si="4"/>
        <v/>
      </c>
      <c r="AN12" s="573"/>
    </row>
    <row r="13" spans="1:40" x14ac:dyDescent="0.2">
      <c r="A13" s="634">
        <v>6</v>
      </c>
      <c r="B13" s="635" t="s">
        <v>536</v>
      </c>
      <c r="C13" s="613">
        <v>13</v>
      </c>
      <c r="D13" s="614" t="s">
        <v>288</v>
      </c>
      <c r="E13" s="614">
        <v>5</v>
      </c>
      <c r="F13" s="636" t="s">
        <v>538</v>
      </c>
      <c r="G13" s="613">
        <v>11</v>
      </c>
      <c r="H13" s="614" t="s">
        <v>288</v>
      </c>
      <c r="I13" s="614">
        <v>13</v>
      </c>
      <c r="J13" s="636" t="s">
        <v>292</v>
      </c>
      <c r="K13" s="613">
        <v>7</v>
      </c>
      <c r="L13" s="614" t="s">
        <v>288</v>
      </c>
      <c r="M13" s="614">
        <v>13</v>
      </c>
      <c r="N13" s="636" t="s">
        <v>306</v>
      </c>
      <c r="O13" s="613">
        <v>13</v>
      </c>
      <c r="P13" s="614" t="s">
        <v>288</v>
      </c>
      <c r="Q13" s="614">
        <v>7</v>
      </c>
      <c r="R13" s="636" t="s">
        <v>291</v>
      </c>
      <c r="S13" s="613"/>
      <c r="T13" s="614" t="s">
        <v>288</v>
      </c>
      <c r="U13" s="614"/>
      <c r="V13" s="636"/>
      <c r="W13" s="637">
        <f t="shared" si="5"/>
        <v>2</v>
      </c>
      <c r="X13" s="612">
        <v>14</v>
      </c>
      <c r="Y13" s="612">
        <v>42</v>
      </c>
      <c r="Z13" s="613">
        <f t="shared" si="6"/>
        <v>44</v>
      </c>
      <c r="AA13" s="614" t="s">
        <v>288</v>
      </c>
      <c r="AB13" s="615">
        <f t="shared" si="7"/>
        <v>38</v>
      </c>
      <c r="AC13" s="616">
        <f t="shared" si="8"/>
        <v>6</v>
      </c>
      <c r="AE13" s="731">
        <f t="shared" ref="AE13:AE16" ca="1" si="9">SUM(AF13:AM13)</f>
        <v>66</v>
      </c>
      <c r="AF13" s="732">
        <f ca="1">IFERROR(INDEX(Reit!I$8:I$115,MATCH(AG13,Reit!F$8:F$115,0)),"")</f>
        <v>26</v>
      </c>
      <c r="AG13" s="733" t="str">
        <f t="shared" si="1"/>
        <v>Liis Mägi</v>
      </c>
      <c r="AH13" s="732">
        <f ca="1">IFERROR(INDEX(Reit!I$8:I$115,MATCH(AI13,Reit!F$8:F$115,0)),"")</f>
        <v>40</v>
      </c>
      <c r="AI13" s="733" t="str">
        <f t="shared" si="2"/>
        <v>Marko Rooden</v>
      </c>
      <c r="AJ13" s="732" t="str">
        <f>IFERROR(INDEX(Reit!I$8:I$115,MATCH(AK13,Reit!F$8:F$115,0)),"")</f>
        <v/>
      </c>
      <c r="AK13" s="733" t="str">
        <f t="shared" si="3"/>
        <v/>
      </c>
      <c r="AL13" s="732" t="str">
        <f>IFERROR(INDEX(Reit!I$8:I$115,MATCH(AM13,Reit!F$8:F$115,0)),"")</f>
        <v/>
      </c>
      <c r="AM13" s="733" t="str">
        <f t="shared" si="4"/>
        <v/>
      </c>
      <c r="AN13" s="573"/>
    </row>
    <row r="14" spans="1:40" x14ac:dyDescent="0.2">
      <c r="A14" s="634">
        <v>7</v>
      </c>
      <c r="B14" s="638" t="s">
        <v>366</v>
      </c>
      <c r="C14" s="613">
        <v>11</v>
      </c>
      <c r="D14" s="614" t="s">
        <v>288</v>
      </c>
      <c r="E14" s="614">
        <v>13</v>
      </c>
      <c r="F14" s="636" t="s">
        <v>306</v>
      </c>
      <c r="G14" s="613">
        <v>8</v>
      </c>
      <c r="H14" s="614" t="s">
        <v>288</v>
      </c>
      <c r="I14" s="614">
        <v>13</v>
      </c>
      <c r="J14" s="636" t="s">
        <v>535</v>
      </c>
      <c r="K14" s="613">
        <v>13</v>
      </c>
      <c r="L14" s="614" t="s">
        <v>288</v>
      </c>
      <c r="M14" s="614">
        <v>7</v>
      </c>
      <c r="N14" s="636" t="s">
        <v>291</v>
      </c>
      <c r="O14" s="613">
        <v>13</v>
      </c>
      <c r="P14" s="614" t="s">
        <v>288</v>
      </c>
      <c r="Q14" s="614">
        <v>8</v>
      </c>
      <c r="R14" s="636" t="s">
        <v>537</v>
      </c>
      <c r="S14" s="613"/>
      <c r="T14" s="614" t="s">
        <v>288</v>
      </c>
      <c r="U14" s="614"/>
      <c r="V14" s="636"/>
      <c r="W14" s="637">
        <f t="shared" si="5"/>
        <v>2</v>
      </c>
      <c r="X14" s="612">
        <v>12</v>
      </c>
      <c r="Y14" s="612">
        <v>52</v>
      </c>
      <c r="Z14" s="613">
        <f t="shared" si="6"/>
        <v>45</v>
      </c>
      <c r="AA14" s="614" t="s">
        <v>288</v>
      </c>
      <c r="AB14" s="615">
        <f t="shared" si="7"/>
        <v>41</v>
      </c>
      <c r="AC14" s="616">
        <f t="shared" si="8"/>
        <v>4</v>
      </c>
      <c r="AE14" s="731">
        <f t="shared" ca="1" si="9"/>
        <v>316</v>
      </c>
      <c r="AF14" s="732">
        <f ca="1">IFERROR(INDEX(Reit!I$8:I$115,MATCH(AG14,Reit!F$8:F$115,0)),"")</f>
        <v>150</v>
      </c>
      <c r="AG14" s="733" t="str">
        <f t="shared" si="1"/>
        <v>Ljudmila Varendi</v>
      </c>
      <c r="AH14" s="732">
        <f ca="1">IFERROR(INDEX(Reit!I$8:I$115,MATCH(AI14,Reit!F$8:F$115,0)),"")</f>
        <v>166</v>
      </c>
      <c r="AI14" s="733" t="str">
        <f t="shared" si="2"/>
        <v>Viktor Švarõgin</v>
      </c>
      <c r="AJ14" s="732" t="str">
        <f>IFERROR(INDEX(Reit!I$8:I$115,MATCH(AK14,Reit!F$8:F$115,0)),"")</f>
        <v/>
      </c>
      <c r="AK14" s="733" t="str">
        <f t="shared" si="3"/>
        <v/>
      </c>
      <c r="AL14" s="732" t="str">
        <f>IFERROR(INDEX(Reit!I$8:I$115,MATCH(AM14,Reit!F$8:F$115,0)),"")</f>
        <v/>
      </c>
      <c r="AM14" s="733" t="str">
        <f t="shared" si="4"/>
        <v/>
      </c>
      <c r="AN14" s="573"/>
    </row>
    <row r="15" spans="1:40" x14ac:dyDescent="0.2">
      <c r="A15" s="634">
        <v>8</v>
      </c>
      <c r="B15" s="638" t="s">
        <v>537</v>
      </c>
      <c r="C15" s="613">
        <v>7</v>
      </c>
      <c r="D15" s="614" t="s">
        <v>288</v>
      </c>
      <c r="E15" s="614">
        <v>13</v>
      </c>
      <c r="F15" s="636" t="s">
        <v>526</v>
      </c>
      <c r="G15" s="613">
        <v>13</v>
      </c>
      <c r="H15" s="614" t="s">
        <v>288</v>
      </c>
      <c r="I15" s="614">
        <v>11</v>
      </c>
      <c r="J15" s="636" t="s">
        <v>306</v>
      </c>
      <c r="K15" s="613">
        <v>3</v>
      </c>
      <c r="L15" s="614" t="s">
        <v>288</v>
      </c>
      <c r="M15" s="614">
        <v>13</v>
      </c>
      <c r="N15" s="636" t="s">
        <v>525</v>
      </c>
      <c r="O15" s="613">
        <v>8</v>
      </c>
      <c r="P15" s="614" t="s">
        <v>288</v>
      </c>
      <c r="Q15" s="614">
        <v>13</v>
      </c>
      <c r="R15" s="636" t="s">
        <v>366</v>
      </c>
      <c r="S15" s="613"/>
      <c r="T15" s="614" t="s">
        <v>288</v>
      </c>
      <c r="U15" s="614"/>
      <c r="V15" s="636"/>
      <c r="W15" s="637">
        <f t="shared" si="5"/>
        <v>1</v>
      </c>
      <c r="X15" s="612">
        <v>22</v>
      </c>
      <c r="Y15" s="612">
        <v>60</v>
      </c>
      <c r="Z15" s="613">
        <f t="shared" si="6"/>
        <v>31</v>
      </c>
      <c r="AA15" s="614" t="s">
        <v>288</v>
      </c>
      <c r="AB15" s="615">
        <f t="shared" si="7"/>
        <v>50</v>
      </c>
      <c r="AC15" s="616">
        <f t="shared" si="8"/>
        <v>-19</v>
      </c>
      <c r="AE15" s="731">
        <f t="shared" ca="1" si="9"/>
        <v>157</v>
      </c>
      <c r="AF15" s="732">
        <f ca="1">IFERROR(INDEX(Reit!I$8:I$115,MATCH(AG15,Reit!F$8:F$115,0)),"")</f>
        <v>139</v>
      </c>
      <c r="AG15" s="733" t="str">
        <f t="shared" si="1"/>
        <v>Enn Tokman</v>
      </c>
      <c r="AH15" s="732">
        <f ca="1">IFERROR(INDEX(Reit!I$8:I$115,MATCH(AI15,Reit!F$8:F$115,0)),"")</f>
        <v>18</v>
      </c>
      <c r="AI15" s="733" t="str">
        <f t="shared" si="2"/>
        <v>Veronika Pirk</v>
      </c>
      <c r="AJ15" s="732" t="str">
        <f>IFERROR(INDEX(Reit!I$8:I$115,MATCH(AK15,Reit!F$8:F$115,0)),"")</f>
        <v/>
      </c>
      <c r="AK15" s="733" t="str">
        <f t="shared" si="3"/>
        <v/>
      </c>
      <c r="AL15" s="732" t="str">
        <f>IFERROR(INDEX(Reit!I$8:I$115,MATCH(AM15,Reit!F$8:F$115,0)),"")</f>
        <v/>
      </c>
      <c r="AM15" s="733" t="str">
        <f t="shared" si="4"/>
        <v/>
      </c>
      <c r="AN15" s="573"/>
    </row>
    <row r="16" spans="1:40" x14ac:dyDescent="0.2">
      <c r="A16" s="634">
        <v>9</v>
      </c>
      <c r="B16" s="635" t="s">
        <v>538</v>
      </c>
      <c r="C16" s="613">
        <v>5</v>
      </c>
      <c r="D16" s="614" t="s">
        <v>288</v>
      </c>
      <c r="E16" s="614">
        <v>13</v>
      </c>
      <c r="F16" s="636" t="s">
        <v>536</v>
      </c>
      <c r="G16" s="613">
        <v>13</v>
      </c>
      <c r="H16" s="614" t="s">
        <v>288</v>
      </c>
      <c r="I16" s="614">
        <v>7</v>
      </c>
      <c r="J16" s="636" t="s">
        <v>291</v>
      </c>
      <c r="K16" s="613">
        <v>9</v>
      </c>
      <c r="L16" s="614" t="s">
        <v>288</v>
      </c>
      <c r="M16" s="614">
        <v>13</v>
      </c>
      <c r="N16" s="636" t="s">
        <v>535</v>
      </c>
      <c r="O16" s="613">
        <v>11</v>
      </c>
      <c r="P16" s="614" t="s">
        <v>288</v>
      </c>
      <c r="Q16" s="614">
        <v>13</v>
      </c>
      <c r="R16" s="636" t="s">
        <v>306</v>
      </c>
      <c r="S16" s="613"/>
      <c r="T16" s="614" t="s">
        <v>288</v>
      </c>
      <c r="U16" s="614"/>
      <c r="V16" s="636"/>
      <c r="W16" s="637">
        <f t="shared" si="5"/>
        <v>1</v>
      </c>
      <c r="X16" s="612">
        <v>14</v>
      </c>
      <c r="Y16" s="612">
        <v>44</v>
      </c>
      <c r="Z16" s="613">
        <f t="shared" si="6"/>
        <v>38</v>
      </c>
      <c r="AA16" s="614" t="s">
        <v>288</v>
      </c>
      <c r="AB16" s="615">
        <f t="shared" si="7"/>
        <v>46</v>
      </c>
      <c r="AC16" s="616">
        <f t="shared" si="8"/>
        <v>-8</v>
      </c>
      <c r="AE16" s="731">
        <f t="shared" ca="1" si="9"/>
        <v>152</v>
      </c>
      <c r="AF16" s="732">
        <f ca="1">IFERROR(INDEX(Reit!I$8:I$115,MATCH(AG16,Reit!F$8:F$115,0)),"")</f>
        <v>16</v>
      </c>
      <c r="AG16" s="733" t="str">
        <f t="shared" si="1"/>
        <v>Erika Kirves</v>
      </c>
      <c r="AH16" s="732">
        <f ca="1">IFERROR(INDEX(Reit!I$8:I$115,MATCH(AI16,Reit!F$8:F$115,0)),"")</f>
        <v>136</v>
      </c>
      <c r="AI16" s="733" t="str">
        <f t="shared" si="2"/>
        <v>Jaan Saar</v>
      </c>
      <c r="AJ16" s="732" t="str">
        <f>IFERROR(INDEX(Reit!I$8:I$115,MATCH(AK16,Reit!F$8:F$115,0)),"")</f>
        <v/>
      </c>
      <c r="AK16" s="733" t="str">
        <f t="shared" si="3"/>
        <v/>
      </c>
      <c r="AL16" s="732" t="str">
        <f>IFERROR(INDEX(Reit!I$8:I$115,MATCH(AM16,Reit!F$8:F$115,0)),"")</f>
        <v/>
      </c>
      <c r="AM16" s="733" t="str">
        <f t="shared" si="4"/>
        <v/>
      </c>
      <c r="AN16" s="573"/>
    </row>
    <row r="17" spans="1:40" x14ac:dyDescent="0.2">
      <c r="AN17" s="573"/>
    </row>
    <row r="18" spans="1:40" x14ac:dyDescent="0.2">
      <c r="AN18" s="573"/>
    </row>
    <row r="19" spans="1:40" hidden="1" x14ac:dyDescent="0.2">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hidden="1" x14ac:dyDescent="0.2">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idden="1" x14ac:dyDescent="0.2">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idden="1" x14ac:dyDescent="0.2">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idden="1" x14ac:dyDescent="0.2">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idden="1" x14ac:dyDescent="0.2">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idden="1" x14ac:dyDescent="0.2">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idden="1" x14ac:dyDescent="0.2">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idden="1" x14ac:dyDescent="0.2">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idden="1" x14ac:dyDescent="0.2">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idden="1" x14ac:dyDescent="0.2">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idden="1" x14ac:dyDescent="0.2">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idden="1" x14ac:dyDescent="0.2">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idden="1" x14ac:dyDescent="0.2">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idden="1" x14ac:dyDescent="0.2">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idden="1" x14ac:dyDescent="0.2">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idden="1" x14ac:dyDescent="0.2">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idden="1" x14ac:dyDescent="0.2">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idden="1" x14ac:dyDescent="0.2">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idden="1" x14ac:dyDescent="0.2">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idden="1" x14ac:dyDescent="0.2">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idden="1" x14ac:dyDescent="0.2">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idden="1" x14ac:dyDescent="0.2">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idden="1" x14ac:dyDescent="0.2">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idden="1" x14ac:dyDescent="0.2">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idden="1" x14ac:dyDescent="0.2">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idden="1" x14ac:dyDescent="0.2">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idden="1" x14ac:dyDescent="0.2">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idden="1" x14ac:dyDescent="0.2">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idden="1" x14ac:dyDescent="0.2">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idden="1" x14ac:dyDescent="0.2">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idden="1" x14ac:dyDescent="0.2">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idden="1" x14ac:dyDescent="0.2">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idden="1" x14ac:dyDescent="0.2">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idden="1" x14ac:dyDescent="0.2">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idden="1" x14ac:dyDescent="0.2">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idden="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idden="1" x14ac:dyDescent="0.2">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idden="1" x14ac:dyDescent="0.2">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idden="1" x14ac:dyDescent="0.2">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idden="1" x14ac:dyDescent="0.2">
      <c r="A59" s="573"/>
      <c r="B59" s="573"/>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idden="1" x14ac:dyDescent="0.2">
      <c r="A60" s="573"/>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idden="1" x14ac:dyDescent="0.2">
      <c r="A61" s="573"/>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idden="1" x14ac:dyDescent="0.2">
      <c r="A62" s="573"/>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idden="1" x14ac:dyDescent="0.2">
      <c r="A63" s="573"/>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idden="1" x14ac:dyDescent="0.2">
      <c r="A64" s="573"/>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idden="1" x14ac:dyDescent="0.2">
      <c r="A65" s="573"/>
      <c r="B65" s="573"/>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idden="1" x14ac:dyDescent="0.2">
      <c r="A66" s="573"/>
      <c r="B66" s="573"/>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idden="1" x14ac:dyDescent="0.2">
      <c r="A67" s="573"/>
      <c r="B67" s="573"/>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idden="1" x14ac:dyDescent="0.2">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idden="1" x14ac:dyDescent="0.2">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idden="1" x14ac:dyDescent="0.2">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idden="1" x14ac:dyDescent="0.2">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idden="1" x14ac:dyDescent="0.2">
      <c r="A72" s="573"/>
      <c r="B72" s="573"/>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idden="1" x14ac:dyDescent="0.2">
      <c r="A73" s="573"/>
      <c r="B73" s="573"/>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idden="1" x14ac:dyDescent="0.2">
      <c r="A74" s="573"/>
      <c r="B74" s="573"/>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idden="1" x14ac:dyDescent="0.2">
      <c r="A75" s="573"/>
      <c r="B75" s="573"/>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idden="1" x14ac:dyDescent="0.2">
      <c r="A76" s="573"/>
      <c r="B76" s="573"/>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idden="1" x14ac:dyDescent="0.2">
      <c r="A77" s="573"/>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idden="1" x14ac:dyDescent="0.2">
      <c r="A78" s="573"/>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idden="1" x14ac:dyDescent="0.2">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idden="1" x14ac:dyDescent="0.2">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idden="1" x14ac:dyDescent="0.2">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idden="1" x14ac:dyDescent="0.2">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idden="1" x14ac:dyDescent="0.2">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idden="1" x14ac:dyDescent="0.2">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idden="1" x14ac:dyDescent="0.2">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idden="1" x14ac:dyDescent="0.2">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idden="1" x14ac:dyDescent="0.2">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idden="1" x14ac:dyDescent="0.2">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idden="1" x14ac:dyDescent="0.2">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idden="1" x14ac:dyDescent="0.2">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idden="1" x14ac:dyDescent="0.2">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idden="1" x14ac:dyDescent="0.2">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idden="1" x14ac:dyDescent="0.2">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idden="1" x14ac:dyDescent="0.2">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idden="1" x14ac:dyDescent="0.2">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idden="1" x14ac:dyDescent="0.2">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idden="1" x14ac:dyDescent="0.2">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idden="1" x14ac:dyDescent="0.2">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idden="1" x14ac:dyDescent="0.2">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idden="1" x14ac:dyDescent="0.2">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idden="1" x14ac:dyDescent="0.2">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idden="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idden="1" x14ac:dyDescent="0.2">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idden="1" x14ac:dyDescent="0.2">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idden="1" x14ac:dyDescent="0.2">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idden="1" x14ac:dyDescent="0.2">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idden="1" x14ac:dyDescent="0.2">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idden="1" x14ac:dyDescent="0.2">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idden="1" x14ac:dyDescent="0.2">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idden="1" x14ac:dyDescent="0.2">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idden="1" x14ac:dyDescent="0.2">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idden="1" x14ac:dyDescent="0.2">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idden="1" x14ac:dyDescent="0.2">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idden="1" x14ac:dyDescent="0.2">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idden="1" x14ac:dyDescent="0.2">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idden="1" x14ac:dyDescent="0.2">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idden="1" x14ac:dyDescent="0.2">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idden="1" x14ac:dyDescent="0.2">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idden="1" x14ac:dyDescent="0.2">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idden="1" x14ac:dyDescent="0.2">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idden="1" x14ac:dyDescent="0.2">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idden="1" x14ac:dyDescent="0.2">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idden="1" x14ac:dyDescent="0.2">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idden="1" x14ac:dyDescent="0.2">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idden="1" x14ac:dyDescent="0.2">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idden="1" x14ac:dyDescent="0.2">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idden="1" x14ac:dyDescent="0.2">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idden="1" x14ac:dyDescent="0.2">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idden="1" x14ac:dyDescent="0.2">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idden="1" x14ac:dyDescent="0.2">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idden="1" x14ac:dyDescent="0.2">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idden="1" x14ac:dyDescent="0.2">
      <c r="A132" s="573"/>
      <c r="B132" s="573"/>
      <c r="C132" s="573"/>
      <c r="D132" s="573"/>
      <c r="E132" s="573"/>
      <c r="F132" s="573"/>
      <c r="G132" s="573"/>
      <c r="H132" s="573"/>
      <c r="I132" s="573"/>
      <c r="J132" s="573"/>
      <c r="K132" s="573"/>
      <c r="L132" s="579"/>
      <c r="M132" s="579"/>
      <c r="N132" s="579"/>
      <c r="O132" s="573"/>
      <c r="P132" s="573"/>
      <c r="Q132" s="573"/>
      <c r="R132" s="573"/>
      <c r="S132" s="573"/>
      <c r="T132" s="579"/>
      <c r="U132" s="579"/>
      <c r="V132" s="579"/>
      <c r="W132" s="573"/>
      <c r="X132" s="573"/>
      <c r="Y132" s="573"/>
      <c r="Z132" s="573"/>
      <c r="AA132" s="573"/>
      <c r="AB132" s="573"/>
      <c r="AC132" s="573"/>
      <c r="AD132" s="573"/>
      <c r="AE132" s="573"/>
      <c r="AF132" s="573"/>
      <c r="AG132" s="573"/>
      <c r="AH132" s="573"/>
      <c r="AI132" s="573"/>
      <c r="AJ132" s="573"/>
      <c r="AK132" s="573"/>
      <c r="AL132" s="573"/>
      <c r="AM132" s="573"/>
      <c r="AN132" s="573"/>
    </row>
    <row r="133" spans="1:40" hidden="1" x14ac:dyDescent="0.2">
      <c r="A133" s="573"/>
      <c r="B133" s="573"/>
      <c r="C133" s="573"/>
      <c r="D133" s="573"/>
      <c r="E133" s="573"/>
      <c r="F133" s="573"/>
      <c r="G133" s="573"/>
      <c r="H133" s="573"/>
      <c r="I133" s="573"/>
      <c r="J133" s="573"/>
      <c r="K133" s="573"/>
      <c r="L133" s="579"/>
      <c r="M133" s="579"/>
      <c r="N133" s="579"/>
      <c r="O133" s="573"/>
      <c r="P133" s="573"/>
      <c r="Q133" s="573"/>
      <c r="R133" s="573"/>
      <c r="S133" s="573"/>
      <c r="T133" s="579"/>
      <c r="U133" s="579"/>
      <c r="V133" s="579"/>
      <c r="W133" s="573"/>
      <c r="X133" s="573"/>
      <c r="Y133" s="573"/>
      <c r="Z133" s="573"/>
      <c r="AA133" s="573"/>
      <c r="AB133" s="573"/>
      <c r="AC133" s="573"/>
      <c r="AD133" s="573"/>
      <c r="AE133" s="573"/>
      <c r="AF133" s="573"/>
      <c r="AG133" s="573"/>
      <c r="AH133" s="573"/>
      <c r="AI133" s="573"/>
      <c r="AJ133" s="573"/>
      <c r="AK133" s="573"/>
      <c r="AL133" s="573"/>
      <c r="AM133" s="573"/>
      <c r="AN133" s="573"/>
    </row>
    <row r="134" spans="1:40" hidden="1" x14ac:dyDescent="0.2">
      <c r="A134" s="573"/>
      <c r="B134" s="573"/>
      <c r="C134" s="573"/>
      <c r="D134" s="573"/>
      <c r="E134" s="573"/>
      <c r="F134" s="573"/>
      <c r="G134" s="573"/>
      <c r="H134" s="573"/>
      <c r="I134" s="573"/>
      <c r="J134" s="573"/>
      <c r="K134" s="573"/>
      <c r="L134" s="579"/>
      <c r="M134" s="579"/>
      <c r="N134" s="579"/>
      <c r="O134" s="573"/>
      <c r="P134" s="573"/>
      <c r="Q134" s="573"/>
      <c r="R134" s="573"/>
      <c r="S134" s="573"/>
      <c r="T134" s="579"/>
      <c r="U134" s="579"/>
      <c r="V134" s="579"/>
      <c r="W134" s="573"/>
      <c r="X134" s="573"/>
      <c r="Y134" s="573"/>
      <c r="Z134" s="573"/>
      <c r="AA134" s="573"/>
      <c r="AB134" s="573"/>
      <c r="AC134" s="573"/>
      <c r="AD134" s="573"/>
      <c r="AE134" s="573"/>
      <c r="AF134" s="573"/>
      <c r="AG134" s="573"/>
      <c r="AH134" s="573"/>
      <c r="AI134" s="573"/>
      <c r="AJ134" s="573"/>
      <c r="AK134" s="573"/>
      <c r="AL134" s="573"/>
      <c r="AM134" s="573"/>
      <c r="AN134" s="573"/>
    </row>
    <row r="135" spans="1:40" hidden="1" x14ac:dyDescent="0.2">
      <c r="A135" s="573"/>
      <c r="B135" s="573"/>
      <c r="C135" s="573"/>
      <c r="D135" s="573"/>
      <c r="E135" s="573"/>
      <c r="F135" s="573"/>
      <c r="G135" s="573"/>
      <c r="H135" s="573"/>
      <c r="I135" s="573"/>
      <c r="J135" s="573"/>
      <c r="K135" s="573"/>
      <c r="L135" s="579"/>
      <c r="M135" s="579"/>
      <c r="N135" s="579"/>
      <c r="O135" s="573"/>
      <c r="P135" s="573"/>
      <c r="Q135" s="573"/>
      <c r="R135" s="573"/>
      <c r="S135" s="573"/>
      <c r="T135" s="579"/>
      <c r="U135" s="579"/>
      <c r="V135" s="579"/>
      <c r="W135" s="573"/>
      <c r="X135" s="573"/>
      <c r="Y135" s="573"/>
      <c r="Z135" s="573"/>
      <c r="AA135" s="573"/>
      <c r="AB135" s="573"/>
      <c r="AC135" s="573"/>
      <c r="AD135" s="573"/>
      <c r="AE135" s="573"/>
      <c r="AF135" s="573"/>
      <c r="AG135" s="573"/>
      <c r="AH135" s="573"/>
      <c r="AI135" s="573"/>
      <c r="AJ135" s="573"/>
      <c r="AK135" s="573"/>
      <c r="AL135" s="573"/>
      <c r="AM135" s="573"/>
      <c r="AN135" s="573"/>
    </row>
    <row r="136" spans="1:40" hidden="1" x14ac:dyDescent="0.2">
      <c r="A136" s="573"/>
      <c r="B136" s="573"/>
      <c r="C136" s="573"/>
      <c r="D136" s="573"/>
      <c r="E136" s="573"/>
      <c r="F136" s="573"/>
      <c r="G136" s="573"/>
      <c r="H136" s="573"/>
      <c r="I136" s="573"/>
      <c r="J136" s="573"/>
      <c r="K136" s="573"/>
      <c r="L136" s="579"/>
      <c r="M136" s="579"/>
      <c r="N136" s="579"/>
      <c r="O136" s="573"/>
      <c r="P136" s="573"/>
      <c r="Q136" s="573"/>
      <c r="R136" s="573"/>
      <c r="S136" s="573"/>
      <c r="T136" s="579"/>
      <c r="U136" s="579"/>
      <c r="V136" s="579"/>
      <c r="W136" s="573"/>
      <c r="X136" s="573"/>
      <c r="Y136" s="573"/>
      <c r="Z136" s="573"/>
      <c r="AA136" s="573"/>
      <c r="AB136" s="573"/>
      <c r="AC136" s="573"/>
      <c r="AD136" s="573"/>
      <c r="AE136" s="573"/>
      <c r="AF136" s="573"/>
      <c r="AG136" s="573"/>
      <c r="AH136" s="573"/>
      <c r="AI136" s="573"/>
      <c r="AJ136" s="573"/>
      <c r="AK136" s="573"/>
      <c r="AL136" s="573"/>
      <c r="AM136" s="573"/>
      <c r="AN136" s="573"/>
    </row>
    <row r="137" spans="1:40" hidden="1" x14ac:dyDescent="0.2">
      <c r="A137" s="573"/>
      <c r="B137" s="573"/>
      <c r="C137" s="573"/>
      <c r="D137" s="573"/>
      <c r="E137" s="573"/>
      <c r="F137" s="573"/>
      <c r="G137" s="573"/>
      <c r="H137" s="573"/>
      <c r="I137" s="573"/>
      <c r="J137" s="573"/>
      <c r="K137" s="573"/>
      <c r="L137" s="579"/>
      <c r="M137" s="579"/>
      <c r="N137" s="579"/>
      <c r="O137" s="573"/>
      <c r="P137" s="573"/>
      <c r="Q137" s="573"/>
      <c r="R137" s="573"/>
      <c r="S137" s="573"/>
      <c r="T137" s="579"/>
      <c r="U137" s="579"/>
      <c r="V137" s="579"/>
      <c r="W137" s="573"/>
      <c r="X137" s="573"/>
      <c r="Y137" s="573"/>
      <c r="Z137" s="573"/>
      <c r="AA137" s="573"/>
      <c r="AB137" s="573"/>
      <c r="AC137" s="573"/>
      <c r="AD137" s="573"/>
      <c r="AE137" s="573"/>
      <c r="AF137" s="573"/>
      <c r="AG137" s="573"/>
      <c r="AH137" s="573"/>
      <c r="AI137" s="573"/>
      <c r="AJ137" s="573"/>
      <c r="AK137" s="573"/>
      <c r="AL137" s="573"/>
      <c r="AM137" s="573"/>
      <c r="AN137" s="573"/>
    </row>
    <row r="138" spans="1:40" hidden="1" x14ac:dyDescent="0.2">
      <c r="A138" s="573"/>
      <c r="B138" s="573"/>
      <c r="C138" s="573"/>
      <c r="D138" s="573"/>
      <c r="E138" s="573"/>
      <c r="F138" s="573"/>
      <c r="G138" s="573"/>
      <c r="H138" s="573"/>
      <c r="I138" s="573"/>
      <c r="J138" s="573"/>
      <c r="K138" s="573"/>
      <c r="L138" s="579"/>
      <c r="M138" s="579"/>
      <c r="N138" s="579"/>
      <c r="O138" s="573"/>
      <c r="P138" s="573"/>
      <c r="Q138" s="573"/>
      <c r="R138" s="573"/>
      <c r="S138" s="573"/>
      <c r="T138" s="579"/>
      <c r="U138" s="579"/>
      <c r="V138" s="579"/>
      <c r="W138" s="573"/>
      <c r="X138" s="573"/>
      <c r="Y138" s="573"/>
      <c r="Z138" s="573"/>
      <c r="AA138" s="573"/>
      <c r="AB138" s="573"/>
      <c r="AC138" s="573"/>
      <c r="AD138" s="573"/>
      <c r="AE138" s="573"/>
      <c r="AF138" s="573"/>
      <c r="AG138" s="573"/>
      <c r="AH138" s="573"/>
      <c r="AI138" s="573"/>
      <c r="AJ138" s="573"/>
      <c r="AK138" s="573"/>
      <c r="AL138" s="573"/>
      <c r="AM138" s="573"/>
      <c r="AN138" s="573"/>
    </row>
    <row r="139" spans="1:40" hidden="1" x14ac:dyDescent="0.2">
      <c r="A139" s="573"/>
      <c r="B139" s="573"/>
      <c r="C139" s="573"/>
      <c r="D139" s="573"/>
      <c r="E139" s="573"/>
      <c r="F139" s="573"/>
      <c r="G139" s="573"/>
      <c r="H139" s="573"/>
      <c r="I139" s="573"/>
      <c r="J139" s="573"/>
      <c r="K139" s="573"/>
      <c r="L139" s="579"/>
      <c r="M139" s="579"/>
      <c r="N139" s="579"/>
      <c r="O139" s="573"/>
      <c r="P139" s="573"/>
      <c r="Q139" s="573"/>
      <c r="R139" s="573"/>
      <c r="S139" s="573"/>
      <c r="T139" s="579"/>
      <c r="U139" s="579"/>
      <c r="V139" s="579"/>
      <c r="W139" s="573"/>
      <c r="X139" s="573"/>
      <c r="Y139" s="573"/>
      <c r="Z139" s="573"/>
      <c r="AA139" s="573"/>
      <c r="AB139" s="573"/>
      <c r="AC139" s="573"/>
      <c r="AD139" s="573"/>
      <c r="AE139" s="573"/>
      <c r="AF139" s="573"/>
      <c r="AG139" s="573"/>
      <c r="AH139" s="573"/>
      <c r="AI139" s="573"/>
      <c r="AJ139" s="573"/>
      <c r="AK139" s="573"/>
      <c r="AL139" s="573"/>
      <c r="AM139" s="573"/>
      <c r="AN139" s="573"/>
    </row>
    <row r="140" spans="1:40" hidden="1" x14ac:dyDescent="0.2">
      <c r="A140" s="573"/>
      <c r="B140" s="573"/>
      <c r="C140" s="573"/>
      <c r="D140" s="573"/>
      <c r="E140" s="573"/>
      <c r="F140" s="573"/>
      <c r="G140" s="573"/>
      <c r="H140" s="573"/>
      <c r="I140" s="573"/>
      <c r="J140" s="573"/>
      <c r="K140" s="573"/>
      <c r="L140" s="579"/>
      <c r="M140" s="579"/>
      <c r="N140" s="579"/>
      <c r="O140" s="573"/>
      <c r="P140" s="573"/>
      <c r="Q140" s="573"/>
      <c r="R140" s="573"/>
      <c r="S140" s="573"/>
      <c r="T140" s="579"/>
      <c r="U140" s="579"/>
      <c r="V140" s="579"/>
      <c r="W140" s="573"/>
      <c r="X140" s="573"/>
      <c r="Y140" s="573"/>
      <c r="Z140" s="573"/>
      <c r="AA140" s="573"/>
      <c r="AB140" s="573"/>
      <c r="AC140" s="573"/>
      <c r="AD140" s="573"/>
      <c r="AE140" s="573"/>
      <c r="AF140" s="573"/>
      <c r="AG140" s="573"/>
      <c r="AH140" s="573"/>
      <c r="AI140" s="573"/>
      <c r="AJ140" s="573"/>
      <c r="AK140" s="573"/>
      <c r="AL140" s="573"/>
      <c r="AM140" s="573"/>
      <c r="AN140" s="573"/>
    </row>
    <row r="141" spans="1:40" hidden="1" x14ac:dyDescent="0.2">
      <c r="A141" s="573"/>
      <c r="B141" s="573"/>
      <c r="C141" s="573"/>
      <c r="D141" s="573"/>
      <c r="E141" s="573"/>
      <c r="F141" s="573"/>
      <c r="G141" s="573"/>
      <c r="H141" s="573"/>
      <c r="I141" s="573"/>
      <c r="J141" s="573"/>
      <c r="K141" s="573"/>
      <c r="L141" s="579"/>
      <c r="M141" s="579"/>
      <c r="N141" s="579"/>
      <c r="O141" s="573"/>
      <c r="P141" s="573"/>
      <c r="Q141" s="573"/>
      <c r="R141" s="573"/>
      <c r="S141" s="573"/>
      <c r="T141" s="579"/>
      <c r="U141" s="579"/>
      <c r="V141" s="579"/>
      <c r="W141" s="573"/>
      <c r="X141" s="573"/>
      <c r="Y141" s="573"/>
      <c r="Z141" s="573"/>
      <c r="AA141" s="573"/>
      <c r="AB141" s="573"/>
      <c r="AC141" s="573"/>
      <c r="AD141" s="573"/>
      <c r="AE141" s="573"/>
      <c r="AF141" s="573"/>
      <c r="AG141" s="573"/>
      <c r="AH141" s="573"/>
      <c r="AI141" s="573"/>
      <c r="AJ141" s="573"/>
      <c r="AK141" s="573"/>
      <c r="AL141" s="573"/>
      <c r="AM141" s="573"/>
      <c r="AN141" s="573"/>
    </row>
    <row r="142" spans="1:40" hidden="1" x14ac:dyDescent="0.2">
      <c r="A142" s="573"/>
      <c r="B142" s="573"/>
      <c r="C142" s="573"/>
      <c r="D142" s="573"/>
      <c r="E142" s="573"/>
      <c r="F142" s="573"/>
      <c r="G142" s="573"/>
      <c r="H142" s="573"/>
      <c r="I142" s="573"/>
      <c r="J142" s="573"/>
      <c r="K142" s="573"/>
      <c r="L142" s="579"/>
      <c r="M142" s="579"/>
      <c r="N142" s="579"/>
      <c r="O142" s="573"/>
      <c r="P142" s="573"/>
      <c r="Q142" s="573"/>
      <c r="R142" s="573"/>
      <c r="S142" s="573"/>
      <c r="T142" s="579"/>
      <c r="U142" s="579"/>
      <c r="V142" s="579"/>
      <c r="W142" s="573"/>
      <c r="X142" s="573"/>
      <c r="Y142" s="573"/>
      <c r="Z142" s="573"/>
      <c r="AA142" s="573"/>
      <c r="AB142" s="573"/>
      <c r="AC142" s="573"/>
      <c r="AD142" s="573"/>
      <c r="AE142" s="573"/>
      <c r="AF142" s="573"/>
      <c r="AG142" s="573"/>
      <c r="AH142" s="573"/>
      <c r="AI142" s="573"/>
      <c r="AJ142" s="573"/>
      <c r="AK142" s="573"/>
      <c r="AL142" s="573"/>
      <c r="AM142" s="573"/>
      <c r="AN142" s="573"/>
    </row>
    <row r="143" spans="1:40" hidden="1" x14ac:dyDescent="0.2">
      <c r="A143" s="573"/>
      <c r="B143" s="573"/>
      <c r="C143" s="573"/>
      <c r="D143" s="573"/>
      <c r="E143" s="573"/>
      <c r="F143" s="573"/>
      <c r="G143" s="573"/>
      <c r="H143" s="573"/>
      <c r="I143" s="573"/>
      <c r="J143" s="573"/>
      <c r="K143" s="573"/>
      <c r="L143" s="579"/>
      <c r="M143" s="579"/>
      <c r="N143" s="579"/>
      <c r="O143" s="573"/>
      <c r="P143" s="573"/>
      <c r="Q143" s="573"/>
      <c r="R143" s="573"/>
      <c r="S143" s="573"/>
      <c r="T143" s="579"/>
      <c r="U143" s="579"/>
      <c r="V143" s="579"/>
      <c r="W143" s="573"/>
      <c r="X143" s="573"/>
      <c r="Y143" s="573"/>
      <c r="Z143" s="573"/>
      <c r="AA143" s="573"/>
      <c r="AB143" s="573"/>
      <c r="AC143" s="573"/>
      <c r="AD143" s="573"/>
      <c r="AE143" s="573"/>
      <c r="AF143" s="573"/>
      <c r="AG143" s="573"/>
      <c r="AH143" s="573"/>
      <c r="AI143" s="573"/>
      <c r="AJ143" s="573"/>
      <c r="AK143" s="573"/>
      <c r="AL143" s="573"/>
      <c r="AM143" s="573"/>
      <c r="AN143" s="573"/>
    </row>
    <row r="144" spans="1:40" hidden="1" x14ac:dyDescent="0.2">
      <c r="A144" s="573"/>
      <c r="B144" s="573"/>
      <c r="C144" s="573"/>
      <c r="D144" s="573"/>
      <c r="E144" s="573"/>
      <c r="F144" s="573"/>
      <c r="G144" s="573"/>
      <c r="H144" s="573"/>
      <c r="I144" s="573"/>
      <c r="J144" s="573"/>
      <c r="K144" s="573"/>
      <c r="L144" s="579"/>
      <c r="M144" s="579"/>
      <c r="N144" s="579"/>
      <c r="O144" s="573"/>
      <c r="P144" s="573"/>
      <c r="Q144" s="573"/>
      <c r="R144" s="573"/>
      <c r="S144" s="573"/>
      <c r="T144" s="579"/>
      <c r="U144" s="579"/>
      <c r="V144" s="579"/>
      <c r="W144" s="573"/>
      <c r="X144" s="573"/>
      <c r="Y144" s="573"/>
      <c r="Z144" s="573"/>
      <c r="AA144" s="573"/>
      <c r="AB144" s="573"/>
      <c r="AC144" s="573"/>
      <c r="AD144" s="573"/>
      <c r="AE144" s="573"/>
      <c r="AF144" s="573"/>
      <c r="AG144" s="573"/>
      <c r="AH144" s="573"/>
      <c r="AI144" s="573"/>
      <c r="AJ144" s="573"/>
      <c r="AK144" s="573"/>
      <c r="AL144" s="573"/>
      <c r="AM144" s="573"/>
      <c r="AN144" s="573"/>
    </row>
    <row r="145" spans="1:40" hidden="1" x14ac:dyDescent="0.2">
      <c r="A145" s="573"/>
      <c r="B145" s="573"/>
      <c r="C145" s="573"/>
      <c r="D145" s="573"/>
      <c r="E145" s="573"/>
      <c r="F145" s="573"/>
      <c r="G145" s="573"/>
      <c r="H145" s="573"/>
      <c r="I145" s="573"/>
      <c r="J145" s="573"/>
      <c r="K145" s="573"/>
      <c r="L145" s="579"/>
      <c r="M145" s="579"/>
      <c r="N145" s="579"/>
      <c r="O145" s="573"/>
      <c r="P145" s="573"/>
      <c r="Q145" s="573"/>
      <c r="R145" s="573"/>
      <c r="S145" s="573"/>
      <c r="T145" s="579"/>
      <c r="U145" s="579"/>
      <c r="V145" s="579"/>
      <c r="W145" s="573"/>
      <c r="X145" s="573"/>
      <c r="Y145" s="573"/>
      <c r="Z145" s="573"/>
      <c r="AA145" s="573"/>
      <c r="AB145" s="573"/>
      <c r="AC145" s="573"/>
      <c r="AD145" s="573"/>
      <c r="AE145" s="573"/>
      <c r="AF145" s="573"/>
      <c r="AG145" s="573"/>
      <c r="AH145" s="573"/>
      <c r="AI145" s="573"/>
      <c r="AJ145" s="573"/>
      <c r="AK145" s="573"/>
      <c r="AL145" s="573"/>
      <c r="AM145" s="573"/>
      <c r="AN145" s="573"/>
    </row>
    <row r="146" spans="1:40" hidden="1" x14ac:dyDescent="0.2">
      <c r="A146" s="573"/>
      <c r="B146" s="573"/>
      <c r="C146" s="573"/>
      <c r="D146" s="573"/>
      <c r="E146" s="573"/>
      <c r="F146" s="573"/>
      <c r="G146" s="573"/>
      <c r="H146" s="573"/>
      <c r="I146" s="573"/>
      <c r="J146" s="573"/>
      <c r="K146" s="573"/>
      <c r="L146" s="579"/>
      <c r="M146" s="579"/>
      <c r="N146" s="579"/>
      <c r="O146" s="573"/>
      <c r="P146" s="573"/>
      <c r="Q146" s="573"/>
      <c r="R146" s="573"/>
      <c r="S146" s="573"/>
      <c r="T146" s="579"/>
      <c r="U146" s="579"/>
      <c r="V146" s="579"/>
      <c r="W146" s="573"/>
      <c r="X146" s="573"/>
      <c r="Y146" s="573"/>
      <c r="Z146" s="573"/>
      <c r="AA146" s="573"/>
      <c r="AB146" s="573"/>
      <c r="AC146" s="573"/>
      <c r="AD146" s="573"/>
      <c r="AE146" s="573"/>
      <c r="AF146" s="573"/>
      <c r="AG146" s="573"/>
      <c r="AH146" s="573"/>
      <c r="AI146" s="573"/>
      <c r="AJ146" s="573"/>
      <c r="AK146" s="573"/>
      <c r="AL146" s="573"/>
      <c r="AM146" s="573"/>
      <c r="AN146" s="573"/>
    </row>
    <row r="147" spans="1:40" hidden="1" x14ac:dyDescent="0.2">
      <c r="A147" s="573"/>
      <c r="B147" s="573"/>
      <c r="C147" s="573"/>
      <c r="D147" s="573"/>
      <c r="E147" s="573"/>
      <c r="F147" s="573"/>
      <c r="G147" s="573"/>
      <c r="H147" s="573"/>
      <c r="I147" s="573"/>
      <c r="J147" s="573"/>
      <c r="K147" s="573"/>
      <c r="L147" s="579"/>
      <c r="M147" s="579"/>
      <c r="N147" s="579"/>
      <c r="O147" s="573"/>
      <c r="P147" s="573"/>
      <c r="Q147" s="573"/>
      <c r="R147" s="573"/>
      <c r="S147" s="573"/>
      <c r="T147" s="579"/>
      <c r="U147" s="579"/>
      <c r="V147" s="579"/>
      <c r="W147" s="573"/>
      <c r="X147" s="573"/>
      <c r="Y147" s="573"/>
      <c r="Z147" s="573"/>
      <c r="AA147" s="573"/>
      <c r="AB147" s="573"/>
      <c r="AC147" s="573"/>
      <c r="AD147" s="573"/>
      <c r="AE147" s="573"/>
      <c r="AF147" s="573"/>
      <c r="AG147" s="573"/>
      <c r="AH147" s="573"/>
      <c r="AI147" s="573"/>
      <c r="AJ147" s="573"/>
      <c r="AK147" s="573"/>
      <c r="AL147" s="573"/>
      <c r="AM147" s="573"/>
      <c r="AN147" s="573"/>
    </row>
    <row r="148" spans="1:40" hidden="1" x14ac:dyDescent="0.2">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idden="1" x14ac:dyDescent="0.2">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idden="1" x14ac:dyDescent="0.2">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idden="1" x14ac:dyDescent="0.2">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idden="1" x14ac:dyDescent="0.2">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idden="1" x14ac:dyDescent="0.2">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idden="1" x14ac:dyDescent="0.2">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idden="1" x14ac:dyDescent="0.2">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idden="1" x14ac:dyDescent="0.2">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idden="1" x14ac:dyDescent="0.2">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idden="1" x14ac:dyDescent="0.2">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idden="1" x14ac:dyDescent="0.2">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idden="1" x14ac:dyDescent="0.2">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idden="1" x14ac:dyDescent="0.2">
      <c r="A161" s="573"/>
      <c r="B161" s="573"/>
      <c r="C161" s="573"/>
      <c r="D161" s="573"/>
      <c r="E161" s="573"/>
      <c r="F161" s="573"/>
      <c r="G161" s="573"/>
      <c r="H161" s="573"/>
      <c r="I161" s="573"/>
      <c r="J161" s="573"/>
      <c r="K161" s="573"/>
      <c r="L161" s="579"/>
      <c r="M161" s="579"/>
      <c r="N161" s="579"/>
      <c r="O161" s="573"/>
      <c r="P161" s="573"/>
      <c r="Q161" s="573"/>
      <c r="R161" s="573"/>
      <c r="S161" s="573"/>
      <c r="T161" s="579"/>
      <c r="U161" s="579"/>
      <c r="V161" s="579"/>
      <c r="W161" s="573"/>
      <c r="X161" s="573"/>
      <c r="Y161" s="573"/>
      <c r="Z161" s="573"/>
      <c r="AA161" s="573"/>
      <c r="AB161" s="573"/>
      <c r="AC161" s="573"/>
      <c r="AD161" s="573"/>
      <c r="AE161" s="573"/>
      <c r="AF161" s="573"/>
      <c r="AG161" s="573"/>
      <c r="AH161" s="573"/>
      <c r="AI161" s="573"/>
      <c r="AJ161" s="573"/>
      <c r="AK161" s="573"/>
      <c r="AL161" s="573"/>
      <c r="AM161" s="573"/>
      <c r="AN161" s="573"/>
    </row>
    <row r="162" spans="1:40" hidden="1" x14ac:dyDescent="0.2">
      <c r="A162" s="573"/>
      <c r="B162" s="573"/>
      <c r="C162" s="573"/>
      <c r="D162" s="573"/>
      <c r="E162" s="573"/>
      <c r="F162" s="573"/>
      <c r="G162" s="573"/>
      <c r="H162" s="573"/>
      <c r="I162" s="573"/>
      <c r="J162" s="573"/>
      <c r="K162" s="573"/>
      <c r="L162" s="579"/>
      <c r="M162" s="579"/>
      <c r="N162" s="579"/>
      <c r="O162" s="573"/>
      <c r="P162" s="573"/>
      <c r="Q162" s="573"/>
      <c r="R162" s="573"/>
      <c r="S162" s="573"/>
      <c r="T162" s="579"/>
      <c r="U162" s="579"/>
      <c r="V162" s="579"/>
      <c r="W162" s="573"/>
      <c r="X162" s="573"/>
      <c r="Y162" s="573"/>
      <c r="Z162" s="573"/>
      <c r="AA162" s="573"/>
      <c r="AB162" s="573"/>
      <c r="AC162" s="573"/>
      <c r="AD162" s="573"/>
      <c r="AE162" s="573"/>
      <c r="AF162" s="573"/>
      <c r="AG162" s="573"/>
      <c r="AH162" s="573"/>
      <c r="AI162" s="573"/>
      <c r="AJ162" s="573"/>
      <c r="AK162" s="573"/>
      <c r="AL162" s="573"/>
      <c r="AM162" s="573"/>
      <c r="AN162" s="573"/>
    </row>
    <row r="163" spans="1:40" hidden="1" x14ac:dyDescent="0.2">
      <c r="A163" s="573"/>
      <c r="B163" s="573"/>
      <c r="C163" s="573"/>
      <c r="D163" s="573"/>
      <c r="E163" s="573"/>
      <c r="F163" s="573"/>
      <c r="G163" s="573"/>
      <c r="H163" s="573"/>
      <c r="I163" s="573"/>
      <c r="J163" s="573"/>
      <c r="K163" s="573"/>
      <c r="L163" s="579"/>
      <c r="M163" s="579"/>
      <c r="N163" s="579"/>
      <c r="O163" s="573"/>
      <c r="P163" s="573"/>
      <c r="Q163" s="573"/>
      <c r="R163" s="573"/>
      <c r="S163" s="573"/>
      <c r="T163" s="579"/>
      <c r="U163" s="579"/>
      <c r="V163" s="579"/>
      <c r="W163" s="573"/>
      <c r="X163" s="573"/>
      <c r="Y163" s="573"/>
      <c r="Z163" s="573"/>
      <c r="AA163" s="573"/>
      <c r="AB163" s="573"/>
      <c r="AC163" s="573"/>
      <c r="AD163" s="573"/>
      <c r="AE163" s="573"/>
      <c r="AF163" s="573"/>
      <c r="AG163" s="573"/>
      <c r="AH163" s="573"/>
      <c r="AI163" s="573"/>
      <c r="AJ163" s="573"/>
      <c r="AK163" s="573"/>
      <c r="AL163" s="573"/>
      <c r="AM163" s="573"/>
      <c r="AN163" s="573"/>
    </row>
    <row r="164" spans="1:40" hidden="1" x14ac:dyDescent="0.2">
      <c r="A164" s="573"/>
      <c r="B164" s="573"/>
      <c r="C164" s="573"/>
      <c r="D164" s="573"/>
      <c r="E164" s="573"/>
      <c r="F164" s="573"/>
      <c r="G164" s="573"/>
      <c r="H164" s="573"/>
      <c r="I164" s="573"/>
      <c r="J164" s="573"/>
      <c r="K164" s="573"/>
      <c r="L164" s="579"/>
      <c r="M164" s="579"/>
      <c r="N164" s="579"/>
      <c r="O164" s="573"/>
      <c r="P164" s="573"/>
      <c r="Q164" s="573"/>
      <c r="R164" s="573"/>
      <c r="S164" s="573"/>
      <c r="T164" s="579"/>
      <c r="U164" s="579"/>
      <c r="V164" s="579"/>
      <c r="W164" s="573"/>
      <c r="X164" s="573"/>
      <c r="Y164" s="573"/>
      <c r="Z164" s="573"/>
      <c r="AA164" s="573"/>
      <c r="AB164" s="573"/>
      <c r="AC164" s="573"/>
      <c r="AD164" s="573"/>
      <c r="AE164" s="573"/>
      <c r="AF164" s="573"/>
      <c r="AG164" s="573"/>
      <c r="AH164" s="573"/>
      <c r="AI164" s="573"/>
      <c r="AJ164" s="573"/>
      <c r="AK164" s="573"/>
      <c r="AL164" s="573"/>
      <c r="AM164" s="573"/>
      <c r="AN164" s="573"/>
    </row>
    <row r="165" spans="1:40" hidden="1" x14ac:dyDescent="0.2">
      <c r="A165" s="573"/>
      <c r="B165" s="573"/>
      <c r="C165" s="573"/>
      <c r="D165" s="573"/>
      <c r="E165" s="573"/>
      <c r="F165" s="573"/>
      <c r="G165" s="573"/>
      <c r="H165" s="573"/>
      <c r="I165" s="573"/>
      <c r="J165" s="573"/>
      <c r="K165" s="573"/>
      <c r="L165" s="579"/>
      <c r="M165" s="579"/>
      <c r="N165" s="579"/>
      <c r="O165" s="573"/>
      <c r="P165" s="573"/>
      <c r="Q165" s="573"/>
      <c r="R165" s="573"/>
      <c r="S165" s="573"/>
      <c r="T165" s="579"/>
      <c r="U165" s="579"/>
      <c r="V165" s="579"/>
      <c r="W165" s="573"/>
      <c r="X165" s="573"/>
      <c r="Y165" s="573"/>
      <c r="Z165" s="573"/>
      <c r="AA165" s="573"/>
      <c r="AB165" s="573"/>
      <c r="AC165" s="573"/>
      <c r="AD165" s="573"/>
      <c r="AE165" s="573"/>
      <c r="AF165" s="573"/>
      <c r="AG165" s="573"/>
      <c r="AH165" s="573"/>
      <c r="AI165" s="573"/>
      <c r="AJ165" s="573"/>
      <c r="AK165" s="573"/>
      <c r="AL165" s="573"/>
      <c r="AM165" s="573"/>
      <c r="AN165" s="573"/>
    </row>
    <row r="166" spans="1:40" hidden="1" x14ac:dyDescent="0.2">
      <c r="A166" s="573"/>
      <c r="B166" s="573"/>
      <c r="C166" s="573"/>
      <c r="D166" s="573"/>
      <c r="E166" s="573"/>
      <c r="F166" s="573"/>
      <c r="G166" s="573"/>
      <c r="H166" s="573"/>
      <c r="I166" s="573"/>
      <c r="J166" s="573"/>
      <c r="K166" s="573"/>
      <c r="L166" s="579"/>
      <c r="M166" s="579"/>
      <c r="N166" s="579"/>
      <c r="O166" s="573"/>
      <c r="P166" s="573"/>
      <c r="Q166" s="573"/>
      <c r="R166" s="573"/>
      <c r="S166" s="573"/>
      <c r="T166" s="579"/>
      <c r="U166" s="579"/>
      <c r="V166" s="579"/>
      <c r="W166" s="573"/>
      <c r="X166" s="573"/>
      <c r="Y166" s="573"/>
      <c r="Z166" s="573"/>
      <c r="AA166" s="573"/>
      <c r="AB166" s="573"/>
      <c r="AC166" s="573"/>
      <c r="AD166" s="573"/>
      <c r="AE166" s="573"/>
      <c r="AF166" s="573"/>
      <c r="AG166" s="573"/>
      <c r="AH166" s="573"/>
      <c r="AI166" s="573"/>
      <c r="AJ166" s="573"/>
      <c r="AK166" s="573"/>
      <c r="AL166" s="573"/>
      <c r="AM166" s="573"/>
      <c r="AN166" s="573"/>
    </row>
    <row r="167" spans="1:40" hidden="1" x14ac:dyDescent="0.2">
      <c r="A167" s="573"/>
      <c r="B167" s="573"/>
      <c r="C167" s="573"/>
      <c r="D167" s="573"/>
      <c r="E167" s="573"/>
      <c r="F167" s="573"/>
      <c r="G167" s="573"/>
      <c r="H167" s="573"/>
      <c r="I167" s="573"/>
      <c r="J167" s="573"/>
      <c r="K167" s="573"/>
      <c r="L167" s="579"/>
      <c r="M167" s="579"/>
      <c r="N167" s="579"/>
      <c r="O167" s="573"/>
      <c r="P167" s="573"/>
      <c r="Q167" s="573"/>
      <c r="R167" s="573"/>
      <c r="S167" s="573"/>
      <c r="T167" s="579"/>
      <c r="U167" s="579"/>
      <c r="V167" s="579"/>
      <c r="W167" s="573"/>
      <c r="X167" s="573"/>
      <c r="Y167" s="573"/>
      <c r="Z167" s="573"/>
      <c r="AA167" s="573"/>
      <c r="AB167" s="573"/>
      <c r="AC167" s="573"/>
      <c r="AD167" s="573"/>
      <c r="AE167" s="573"/>
      <c r="AF167" s="573"/>
      <c r="AG167" s="573"/>
      <c r="AH167" s="573"/>
      <c r="AI167" s="573"/>
      <c r="AJ167" s="573"/>
      <c r="AK167" s="573"/>
      <c r="AL167" s="573"/>
      <c r="AM167" s="573"/>
      <c r="AN167" s="573"/>
    </row>
    <row r="168" spans="1:40" hidden="1" x14ac:dyDescent="0.2">
      <c r="A168" s="573"/>
      <c r="B168" s="573"/>
      <c r="C168" s="573"/>
      <c r="D168" s="573"/>
      <c r="E168" s="573"/>
      <c r="F168" s="573"/>
      <c r="G168" s="573"/>
      <c r="H168" s="573"/>
      <c r="I168" s="573"/>
      <c r="J168" s="573"/>
      <c r="K168" s="573"/>
      <c r="L168" s="579"/>
      <c r="M168" s="579"/>
      <c r="N168" s="579"/>
      <c r="O168" s="573"/>
      <c r="P168" s="573"/>
      <c r="Q168" s="573"/>
      <c r="R168" s="573"/>
      <c r="S168" s="573"/>
      <c r="T168" s="579"/>
      <c r="U168" s="579"/>
      <c r="V168" s="579"/>
      <c r="W168" s="573"/>
      <c r="X168" s="573"/>
      <c r="Y168" s="573"/>
      <c r="Z168" s="573"/>
      <c r="AA168" s="573"/>
      <c r="AB168" s="573"/>
      <c r="AC168" s="573"/>
      <c r="AD168" s="573"/>
      <c r="AE168" s="573"/>
      <c r="AF168" s="573"/>
      <c r="AG168" s="573"/>
      <c r="AH168" s="573"/>
      <c r="AI168" s="573"/>
      <c r="AJ168" s="573"/>
      <c r="AK168" s="573"/>
      <c r="AL168" s="573"/>
      <c r="AM168" s="573"/>
      <c r="AN168" s="573"/>
    </row>
    <row r="169" spans="1:40" hidden="1" x14ac:dyDescent="0.2">
      <c r="A169" s="573"/>
      <c r="B169" s="573"/>
      <c r="C169" s="573"/>
      <c r="D169" s="573"/>
      <c r="E169" s="573"/>
      <c r="F169" s="573"/>
      <c r="G169" s="573"/>
      <c r="H169" s="573"/>
      <c r="I169" s="573"/>
      <c r="J169" s="573"/>
      <c r="K169" s="573"/>
      <c r="L169" s="579"/>
      <c r="M169" s="579"/>
      <c r="N169" s="579"/>
      <c r="O169" s="573"/>
      <c r="P169" s="573"/>
      <c r="Q169" s="573"/>
      <c r="R169" s="573"/>
      <c r="S169" s="573"/>
      <c r="T169" s="579"/>
      <c r="U169" s="579"/>
      <c r="V169" s="579"/>
      <c r="W169" s="573"/>
      <c r="X169" s="573"/>
      <c r="Y169" s="573"/>
      <c r="Z169" s="573"/>
      <c r="AA169" s="573"/>
      <c r="AB169" s="573"/>
      <c r="AC169" s="573"/>
      <c r="AD169" s="573"/>
      <c r="AE169" s="573"/>
      <c r="AF169" s="573"/>
      <c r="AG169" s="573"/>
      <c r="AH169" s="573"/>
      <c r="AI169" s="573"/>
      <c r="AJ169" s="573"/>
      <c r="AK169" s="573"/>
      <c r="AL169" s="573"/>
      <c r="AM169" s="573"/>
      <c r="AN169" s="573"/>
    </row>
    <row r="170" spans="1:40" hidden="1" x14ac:dyDescent="0.2">
      <c r="A170" s="573"/>
      <c r="B170" s="573"/>
      <c r="C170" s="573"/>
      <c r="D170" s="573"/>
      <c r="E170" s="573"/>
      <c r="F170" s="573"/>
      <c r="G170" s="573"/>
      <c r="H170" s="573"/>
      <c r="I170" s="573"/>
      <c r="J170" s="573"/>
      <c r="K170" s="573"/>
      <c r="L170" s="579"/>
      <c r="M170" s="579"/>
      <c r="N170" s="579"/>
      <c r="O170" s="573"/>
      <c r="P170" s="573"/>
      <c r="Q170" s="573"/>
      <c r="R170" s="573"/>
      <c r="S170" s="573"/>
      <c r="T170" s="579"/>
      <c r="U170" s="579"/>
      <c r="V170" s="579"/>
      <c r="W170" s="573"/>
      <c r="X170" s="573"/>
      <c r="Y170" s="573"/>
      <c r="Z170" s="573"/>
      <c r="AA170" s="573"/>
      <c r="AB170" s="573"/>
      <c r="AC170" s="573"/>
      <c r="AD170" s="573"/>
      <c r="AE170" s="573"/>
      <c r="AF170" s="573"/>
      <c r="AG170" s="573"/>
      <c r="AH170" s="573"/>
      <c r="AI170" s="573"/>
      <c r="AJ170" s="573"/>
      <c r="AK170" s="573"/>
      <c r="AL170" s="573"/>
      <c r="AM170" s="573"/>
      <c r="AN170" s="573"/>
    </row>
    <row r="171" spans="1:40" hidden="1" x14ac:dyDescent="0.2">
      <c r="A171" s="573"/>
      <c r="B171" s="573"/>
      <c r="C171" s="573"/>
      <c r="D171" s="573"/>
      <c r="E171" s="573"/>
      <c r="F171" s="573"/>
      <c r="G171" s="573"/>
      <c r="H171" s="573"/>
      <c r="I171" s="573"/>
      <c r="J171" s="573"/>
      <c r="K171" s="573"/>
      <c r="L171" s="579"/>
      <c r="M171" s="579"/>
      <c r="N171" s="579"/>
      <c r="O171" s="573"/>
      <c r="P171" s="573"/>
      <c r="Q171" s="573"/>
      <c r="R171" s="573"/>
      <c r="S171" s="573"/>
      <c r="T171" s="579"/>
      <c r="U171" s="579"/>
      <c r="V171" s="579"/>
      <c r="W171" s="573"/>
      <c r="X171" s="573"/>
      <c r="Y171" s="573"/>
      <c r="Z171" s="573"/>
      <c r="AA171" s="573"/>
      <c r="AB171" s="573"/>
      <c r="AC171" s="573"/>
      <c r="AD171" s="573"/>
      <c r="AE171" s="573"/>
      <c r="AF171" s="573"/>
      <c r="AG171" s="573"/>
      <c r="AH171" s="573"/>
      <c r="AI171" s="573"/>
      <c r="AJ171" s="573"/>
      <c r="AK171" s="573"/>
      <c r="AL171" s="573"/>
      <c r="AM171" s="573"/>
      <c r="AN171" s="573"/>
    </row>
    <row r="172" spans="1:40" hidden="1" x14ac:dyDescent="0.2">
      <c r="A172" s="573"/>
      <c r="B172" s="573"/>
      <c r="C172" s="573"/>
      <c r="D172" s="573"/>
      <c r="E172" s="573"/>
      <c r="F172" s="573"/>
      <c r="G172" s="573"/>
      <c r="H172" s="573"/>
      <c r="I172" s="573"/>
      <c r="J172" s="573"/>
      <c r="K172" s="573"/>
      <c r="L172" s="579"/>
      <c r="M172" s="579"/>
      <c r="N172" s="579"/>
      <c r="O172" s="573"/>
      <c r="P172" s="573"/>
      <c r="Q172" s="573"/>
      <c r="R172" s="573"/>
      <c r="S172" s="573"/>
      <c r="T172" s="579"/>
      <c r="U172" s="579"/>
      <c r="V172" s="579"/>
      <c r="W172" s="573"/>
      <c r="X172" s="573"/>
      <c r="Y172" s="573"/>
      <c r="Z172" s="573"/>
      <c r="AA172" s="573"/>
      <c r="AB172" s="573"/>
      <c r="AC172" s="573"/>
      <c r="AD172" s="573"/>
      <c r="AE172" s="573"/>
      <c r="AF172" s="573"/>
      <c r="AG172" s="573"/>
      <c r="AH172" s="573"/>
      <c r="AI172" s="573"/>
      <c r="AJ172" s="573"/>
      <c r="AK172" s="573"/>
      <c r="AL172" s="573"/>
      <c r="AM172" s="573"/>
      <c r="AN172" s="573"/>
    </row>
    <row r="173" spans="1:40" hidden="1" x14ac:dyDescent="0.2">
      <c r="A173" s="573"/>
      <c r="B173" s="573"/>
      <c r="C173" s="573"/>
      <c r="D173" s="573"/>
      <c r="E173" s="573"/>
      <c r="F173" s="573"/>
      <c r="G173" s="573"/>
      <c r="H173" s="573"/>
      <c r="I173" s="573"/>
      <c r="J173" s="573"/>
      <c r="K173" s="573"/>
      <c r="L173" s="579"/>
      <c r="M173" s="579"/>
      <c r="N173" s="579"/>
      <c r="O173" s="573"/>
      <c r="P173" s="573"/>
      <c r="Q173" s="573"/>
      <c r="R173" s="573"/>
      <c r="S173" s="573"/>
      <c r="T173" s="579"/>
      <c r="U173" s="579"/>
      <c r="V173" s="579"/>
      <c r="W173" s="573"/>
      <c r="X173" s="573"/>
      <c r="Y173" s="573"/>
      <c r="Z173" s="573"/>
      <c r="AA173" s="573"/>
      <c r="AB173" s="573"/>
      <c r="AC173" s="573"/>
      <c r="AD173" s="573"/>
      <c r="AE173" s="573"/>
      <c r="AF173" s="573"/>
      <c r="AG173" s="573"/>
      <c r="AH173" s="573"/>
      <c r="AI173" s="573"/>
      <c r="AJ173" s="573"/>
      <c r="AK173" s="573"/>
      <c r="AL173" s="573"/>
      <c r="AM173" s="573"/>
      <c r="AN173" s="573"/>
    </row>
    <row r="174" spans="1:40" hidden="1" x14ac:dyDescent="0.2">
      <c r="A174" s="573"/>
      <c r="B174" s="573"/>
      <c r="C174" s="573"/>
      <c r="D174" s="573"/>
      <c r="E174" s="573"/>
      <c r="F174" s="573"/>
      <c r="G174" s="573"/>
      <c r="H174" s="573"/>
      <c r="I174" s="573"/>
      <c r="J174" s="573"/>
      <c r="K174" s="573"/>
      <c r="L174" s="579"/>
      <c r="M174" s="579"/>
      <c r="N174" s="579"/>
      <c r="O174" s="573"/>
      <c r="P174" s="573"/>
      <c r="Q174" s="573"/>
      <c r="R174" s="573"/>
      <c r="S174" s="573"/>
      <c r="T174" s="579"/>
      <c r="U174" s="579"/>
      <c r="V174" s="579"/>
      <c r="W174" s="573"/>
      <c r="X174" s="573"/>
      <c r="Y174" s="573"/>
      <c r="Z174" s="573"/>
      <c r="AA174" s="573"/>
      <c r="AB174" s="573"/>
      <c r="AC174" s="573"/>
      <c r="AD174" s="573"/>
      <c r="AE174" s="573"/>
      <c r="AF174" s="573"/>
      <c r="AG174" s="573"/>
      <c r="AH174" s="573"/>
      <c r="AI174" s="573"/>
      <c r="AJ174" s="573"/>
      <c r="AK174" s="573"/>
      <c r="AL174" s="573"/>
      <c r="AM174" s="573"/>
      <c r="AN174" s="573"/>
    </row>
    <row r="175" spans="1:40" hidden="1" x14ac:dyDescent="0.2">
      <c r="A175" s="573"/>
      <c r="B175" s="573"/>
      <c r="C175" s="573"/>
      <c r="D175" s="573"/>
      <c r="E175" s="573"/>
      <c r="F175" s="573"/>
      <c r="G175" s="573"/>
      <c r="H175" s="573"/>
      <c r="I175" s="573"/>
      <c r="J175" s="573"/>
      <c r="K175" s="573"/>
      <c r="L175" s="579"/>
      <c r="M175" s="579"/>
      <c r="N175" s="579"/>
      <c r="O175" s="573"/>
      <c r="P175" s="573"/>
      <c r="Q175" s="573"/>
      <c r="R175" s="573"/>
      <c r="S175" s="573"/>
      <c r="T175" s="579"/>
      <c r="U175" s="579"/>
      <c r="V175" s="579"/>
      <c r="W175" s="573"/>
      <c r="X175" s="573"/>
      <c r="Y175" s="573"/>
      <c r="Z175" s="573"/>
      <c r="AA175" s="573"/>
      <c r="AB175" s="573"/>
      <c r="AC175" s="573"/>
      <c r="AD175" s="573"/>
      <c r="AE175" s="573"/>
      <c r="AF175" s="573"/>
      <c r="AG175" s="573"/>
      <c r="AH175" s="573"/>
      <c r="AI175" s="573"/>
      <c r="AJ175" s="573"/>
      <c r="AK175" s="573"/>
      <c r="AL175" s="573"/>
      <c r="AM175" s="573"/>
      <c r="AN175" s="573"/>
    </row>
    <row r="176" spans="1:40" hidden="1" x14ac:dyDescent="0.2">
      <c r="A176" s="573"/>
      <c r="B176" s="573"/>
      <c r="C176" s="573"/>
      <c r="D176" s="573"/>
      <c r="E176" s="573"/>
      <c r="F176" s="573"/>
      <c r="G176" s="573"/>
      <c r="H176" s="573"/>
      <c r="I176" s="573"/>
      <c r="J176" s="573"/>
      <c r="K176" s="573"/>
      <c r="L176" s="579"/>
      <c r="M176" s="579"/>
      <c r="N176" s="579"/>
      <c r="O176" s="573"/>
      <c r="P176" s="573"/>
      <c r="Q176" s="573"/>
      <c r="R176" s="573"/>
      <c r="S176" s="573"/>
      <c r="T176" s="579"/>
      <c r="U176" s="579"/>
      <c r="V176" s="579"/>
      <c r="W176" s="573"/>
      <c r="X176" s="573"/>
      <c r="Y176" s="573"/>
      <c r="Z176" s="573"/>
      <c r="AA176" s="573"/>
      <c r="AB176" s="573"/>
      <c r="AC176" s="573"/>
      <c r="AD176" s="573"/>
      <c r="AE176" s="573"/>
      <c r="AF176" s="573"/>
      <c r="AG176" s="573"/>
      <c r="AH176" s="573"/>
      <c r="AI176" s="573"/>
      <c r="AJ176" s="573"/>
      <c r="AK176" s="573"/>
      <c r="AL176" s="573"/>
      <c r="AM176" s="573"/>
      <c r="AN176" s="573"/>
    </row>
    <row r="177" spans="1:40" hidden="1" x14ac:dyDescent="0.2">
      <c r="A177" s="573"/>
      <c r="B177" s="573"/>
      <c r="C177" s="573"/>
      <c r="D177" s="573"/>
      <c r="E177" s="573"/>
      <c r="F177" s="573"/>
      <c r="G177" s="573"/>
      <c r="H177" s="573"/>
      <c r="I177" s="573"/>
      <c r="J177" s="573"/>
      <c r="K177" s="573"/>
      <c r="L177" s="579"/>
      <c r="M177" s="579"/>
      <c r="N177" s="579"/>
      <c r="O177" s="573"/>
      <c r="P177" s="573"/>
      <c r="Q177" s="573"/>
      <c r="R177" s="573"/>
      <c r="S177" s="573"/>
      <c r="T177" s="579"/>
      <c r="U177" s="579"/>
      <c r="V177" s="579"/>
      <c r="W177" s="573"/>
      <c r="X177" s="573"/>
      <c r="Y177" s="573"/>
      <c r="Z177" s="573"/>
      <c r="AA177" s="573"/>
      <c r="AB177" s="573"/>
      <c r="AC177" s="573"/>
      <c r="AD177" s="573"/>
      <c r="AE177" s="573"/>
      <c r="AF177" s="573"/>
      <c r="AG177" s="573"/>
      <c r="AH177" s="573"/>
      <c r="AI177" s="573"/>
      <c r="AJ177" s="573"/>
      <c r="AK177" s="573"/>
      <c r="AL177" s="573"/>
      <c r="AM177" s="573"/>
      <c r="AN177" s="573"/>
    </row>
    <row r="178" spans="1:40" hidden="1" x14ac:dyDescent="0.2">
      <c r="A178" s="573"/>
      <c r="B178" s="573"/>
      <c r="C178" s="573"/>
      <c r="D178" s="573"/>
      <c r="E178" s="573"/>
      <c r="F178" s="573"/>
      <c r="G178" s="573"/>
      <c r="H178" s="573"/>
      <c r="I178" s="573"/>
      <c r="J178" s="573"/>
      <c r="K178" s="573"/>
      <c r="L178" s="579"/>
      <c r="M178" s="579"/>
      <c r="N178" s="579"/>
      <c r="O178" s="573"/>
      <c r="P178" s="573"/>
      <c r="Q178" s="573"/>
      <c r="R178" s="573"/>
      <c r="S178" s="573"/>
      <c r="T178" s="579"/>
      <c r="U178" s="579"/>
      <c r="V178" s="579"/>
      <c r="W178" s="573"/>
      <c r="X178" s="573"/>
      <c r="Y178" s="573"/>
      <c r="Z178" s="573"/>
      <c r="AA178" s="573"/>
      <c r="AB178" s="573"/>
      <c r="AC178" s="573"/>
      <c r="AD178" s="573"/>
      <c r="AE178" s="573"/>
      <c r="AF178" s="573"/>
      <c r="AG178" s="573"/>
      <c r="AH178" s="573"/>
      <c r="AI178" s="573"/>
      <c r="AJ178" s="573"/>
      <c r="AK178" s="573"/>
      <c r="AL178" s="573"/>
      <c r="AM178" s="573"/>
      <c r="AN178" s="573"/>
    </row>
    <row r="179" spans="1:40" hidden="1" x14ac:dyDescent="0.2">
      <c r="A179" s="573"/>
      <c r="B179" s="573"/>
      <c r="C179" s="573"/>
      <c r="D179" s="573"/>
      <c r="E179" s="573"/>
      <c r="F179" s="573"/>
      <c r="G179" s="573"/>
      <c r="H179" s="573"/>
      <c r="I179" s="573"/>
      <c r="J179" s="573"/>
      <c r="K179" s="573"/>
      <c r="L179" s="579"/>
      <c r="M179" s="579"/>
      <c r="N179" s="579"/>
      <c r="O179" s="573"/>
      <c r="P179" s="573"/>
      <c r="Q179" s="573"/>
      <c r="R179" s="573"/>
      <c r="S179" s="573"/>
      <c r="T179" s="579"/>
      <c r="U179" s="579"/>
      <c r="V179" s="579"/>
      <c r="W179" s="573"/>
      <c r="X179" s="573"/>
      <c r="Y179" s="573"/>
      <c r="Z179" s="573"/>
      <c r="AA179" s="573"/>
      <c r="AB179" s="573"/>
      <c r="AC179" s="573"/>
      <c r="AD179" s="573"/>
      <c r="AE179" s="573"/>
      <c r="AF179" s="573"/>
      <c r="AG179" s="573"/>
      <c r="AH179" s="573"/>
      <c r="AI179" s="573"/>
      <c r="AJ179" s="573"/>
      <c r="AK179" s="573"/>
      <c r="AL179" s="573"/>
      <c r="AM179" s="573"/>
      <c r="AN179" s="573"/>
    </row>
    <row r="180" spans="1:40" hidden="1" x14ac:dyDescent="0.2">
      <c r="A180" s="573"/>
      <c r="B180" s="573"/>
      <c r="C180" s="573"/>
      <c r="D180" s="573"/>
      <c r="E180" s="573"/>
      <c r="F180" s="573"/>
      <c r="G180" s="573"/>
      <c r="H180" s="573"/>
      <c r="I180" s="573"/>
      <c r="J180" s="573"/>
      <c r="K180" s="573"/>
      <c r="L180" s="579"/>
      <c r="M180" s="579"/>
      <c r="N180" s="579"/>
      <c r="O180" s="573"/>
      <c r="P180" s="573"/>
      <c r="Q180" s="573"/>
      <c r="R180" s="573"/>
      <c r="S180" s="573"/>
      <c r="T180" s="579"/>
      <c r="U180" s="579"/>
      <c r="V180" s="579"/>
      <c r="W180" s="573"/>
      <c r="X180" s="573"/>
      <c r="Y180" s="573"/>
      <c r="Z180" s="573"/>
      <c r="AA180" s="573"/>
      <c r="AB180" s="573"/>
      <c r="AC180" s="573"/>
      <c r="AD180" s="573"/>
      <c r="AE180" s="573"/>
      <c r="AF180" s="573"/>
      <c r="AG180" s="573"/>
      <c r="AH180" s="573"/>
      <c r="AI180" s="573"/>
      <c r="AJ180" s="573"/>
      <c r="AK180" s="573"/>
      <c r="AL180" s="573"/>
      <c r="AM180" s="573"/>
      <c r="AN180" s="573"/>
    </row>
    <row r="181" spans="1:40" hidden="1" x14ac:dyDescent="0.2">
      <c r="A181" s="573"/>
      <c r="B181" s="573"/>
      <c r="C181" s="573"/>
      <c r="D181" s="573"/>
      <c r="E181" s="573"/>
      <c r="F181" s="573"/>
      <c r="G181" s="573"/>
      <c r="H181" s="573"/>
      <c r="I181" s="573"/>
      <c r="J181" s="573"/>
      <c r="K181" s="573"/>
      <c r="L181" s="579"/>
      <c r="M181" s="579"/>
      <c r="N181" s="579"/>
      <c r="O181" s="573"/>
      <c r="P181" s="573"/>
      <c r="Q181" s="573"/>
      <c r="R181" s="573"/>
      <c r="S181" s="573"/>
      <c r="T181" s="579"/>
      <c r="U181" s="579"/>
      <c r="V181" s="579"/>
      <c r="W181" s="573"/>
      <c r="X181" s="573"/>
      <c r="Y181" s="573"/>
      <c r="Z181" s="573"/>
      <c r="AA181" s="573"/>
      <c r="AB181" s="573"/>
      <c r="AC181" s="573"/>
      <c r="AD181" s="573"/>
      <c r="AE181" s="573"/>
      <c r="AF181" s="573"/>
      <c r="AG181" s="573"/>
      <c r="AH181" s="573"/>
      <c r="AI181" s="573"/>
      <c r="AJ181" s="573"/>
      <c r="AK181" s="573"/>
      <c r="AL181" s="573"/>
      <c r="AM181" s="573"/>
      <c r="AN181" s="573"/>
    </row>
    <row r="182" spans="1:40" hidden="1" x14ac:dyDescent="0.2">
      <c r="A182" s="573"/>
      <c r="B182" s="573"/>
      <c r="C182" s="573"/>
      <c r="D182" s="573"/>
      <c r="E182" s="573"/>
      <c r="F182" s="573"/>
      <c r="G182" s="573"/>
      <c r="H182" s="573"/>
      <c r="I182" s="573"/>
      <c r="J182" s="573"/>
      <c r="K182" s="573"/>
      <c r="L182" s="579"/>
      <c r="M182" s="579"/>
      <c r="N182" s="579"/>
      <c r="O182" s="573"/>
      <c r="P182" s="573"/>
      <c r="Q182" s="573"/>
      <c r="R182" s="573"/>
      <c r="S182" s="573"/>
      <c r="T182" s="579"/>
      <c r="U182" s="579"/>
      <c r="V182" s="579"/>
      <c r="W182" s="573"/>
      <c r="X182" s="573"/>
      <c r="Y182" s="573"/>
      <c r="Z182" s="573"/>
      <c r="AA182" s="573"/>
      <c r="AB182" s="573"/>
      <c r="AC182" s="573"/>
      <c r="AD182" s="573"/>
      <c r="AE182" s="573"/>
      <c r="AF182" s="573"/>
      <c r="AG182" s="573"/>
      <c r="AH182" s="573"/>
      <c r="AI182" s="573"/>
      <c r="AJ182" s="573"/>
      <c r="AK182" s="573"/>
      <c r="AL182" s="573"/>
      <c r="AM182" s="573"/>
      <c r="AN182" s="573"/>
    </row>
    <row r="183" spans="1:40" hidden="1" x14ac:dyDescent="0.2">
      <c r="A183" s="573"/>
      <c r="B183" s="573"/>
      <c r="C183" s="573"/>
      <c r="D183" s="573"/>
      <c r="E183" s="573"/>
      <c r="F183" s="573"/>
      <c r="G183" s="573"/>
      <c r="H183" s="573"/>
      <c r="I183" s="573"/>
      <c r="J183" s="573"/>
      <c r="K183" s="573"/>
      <c r="L183" s="579"/>
      <c r="M183" s="579"/>
      <c r="N183" s="579"/>
      <c r="O183" s="573"/>
      <c r="P183" s="573"/>
      <c r="Q183" s="573"/>
      <c r="R183" s="573"/>
      <c r="S183" s="573"/>
      <c r="T183" s="579"/>
      <c r="U183" s="579"/>
      <c r="V183" s="579"/>
      <c r="W183" s="573"/>
      <c r="X183" s="573"/>
      <c r="Y183" s="573"/>
      <c r="Z183" s="573"/>
      <c r="AA183" s="573"/>
      <c r="AB183" s="573"/>
      <c r="AC183" s="573"/>
      <c r="AD183" s="573"/>
      <c r="AE183" s="573"/>
      <c r="AF183" s="573"/>
      <c r="AG183" s="573"/>
      <c r="AH183" s="573"/>
      <c r="AI183" s="573"/>
      <c r="AJ183" s="573"/>
      <c r="AK183" s="573"/>
      <c r="AL183" s="573"/>
      <c r="AM183" s="573"/>
      <c r="AN183" s="573"/>
    </row>
    <row r="184" spans="1:40" hidden="1" x14ac:dyDescent="0.2">
      <c r="A184" s="573"/>
      <c r="B184" s="573"/>
      <c r="C184" s="573"/>
      <c r="D184" s="573"/>
      <c r="E184" s="573"/>
      <c r="F184" s="573"/>
      <c r="G184" s="573"/>
      <c r="H184" s="573"/>
      <c r="I184" s="573"/>
      <c r="J184" s="573"/>
      <c r="K184" s="573"/>
      <c r="L184" s="579"/>
      <c r="M184" s="579"/>
      <c r="N184" s="579"/>
      <c r="O184" s="573"/>
      <c r="P184" s="573"/>
      <c r="Q184" s="573"/>
      <c r="R184" s="573"/>
      <c r="S184" s="573"/>
      <c r="T184" s="579"/>
      <c r="U184" s="579"/>
      <c r="V184" s="579"/>
      <c r="W184" s="573"/>
      <c r="X184" s="573"/>
      <c r="Y184" s="573"/>
      <c r="Z184" s="573"/>
      <c r="AA184" s="573"/>
      <c r="AB184" s="573"/>
      <c r="AC184" s="573"/>
      <c r="AD184" s="573"/>
      <c r="AE184" s="573"/>
      <c r="AF184" s="573"/>
      <c r="AG184" s="573"/>
      <c r="AH184" s="573"/>
      <c r="AI184" s="573"/>
      <c r="AJ184" s="573"/>
      <c r="AK184" s="573"/>
      <c r="AL184" s="573"/>
      <c r="AM184" s="573"/>
      <c r="AN184" s="573"/>
    </row>
    <row r="185" spans="1:40" hidden="1" x14ac:dyDescent="0.2">
      <c r="A185" s="573"/>
      <c r="B185" s="573"/>
      <c r="C185" s="573"/>
      <c r="D185" s="573"/>
      <c r="E185" s="573"/>
      <c r="F185" s="573"/>
      <c r="G185" s="573"/>
      <c r="H185" s="573"/>
      <c r="I185" s="573"/>
      <c r="J185" s="573"/>
      <c r="K185" s="573"/>
      <c r="L185" s="579"/>
      <c r="M185" s="579"/>
      <c r="N185" s="579"/>
      <c r="O185" s="573"/>
      <c r="P185" s="573"/>
      <c r="Q185" s="573"/>
      <c r="R185" s="573"/>
      <c r="S185" s="573"/>
      <c r="T185" s="579"/>
      <c r="U185" s="579"/>
      <c r="V185" s="579"/>
      <c r="W185" s="573"/>
      <c r="X185" s="573"/>
      <c r="Y185" s="573"/>
      <c r="Z185" s="573"/>
      <c r="AA185" s="573"/>
      <c r="AB185" s="573"/>
      <c r="AC185" s="573"/>
      <c r="AD185" s="573"/>
      <c r="AE185" s="573"/>
      <c r="AF185" s="573"/>
      <c r="AG185" s="573"/>
      <c r="AH185" s="573"/>
      <c r="AI185" s="573"/>
      <c r="AJ185" s="573"/>
      <c r="AK185" s="573"/>
      <c r="AL185" s="573"/>
      <c r="AM185" s="573"/>
      <c r="AN185" s="573"/>
    </row>
    <row r="186" spans="1:40" hidden="1" x14ac:dyDescent="0.2">
      <c r="A186" s="573"/>
      <c r="B186" s="573"/>
      <c r="C186" s="573"/>
      <c r="D186" s="573"/>
      <c r="E186" s="573"/>
      <c r="F186" s="573"/>
      <c r="G186" s="573"/>
      <c r="H186" s="573"/>
      <c r="I186" s="573"/>
      <c r="J186" s="573"/>
      <c r="K186" s="573"/>
      <c r="L186" s="579"/>
      <c r="M186" s="579"/>
      <c r="N186" s="579"/>
      <c r="O186" s="573"/>
      <c r="P186" s="573"/>
      <c r="Q186" s="573"/>
      <c r="R186" s="573"/>
      <c r="S186" s="573"/>
      <c r="T186" s="579"/>
      <c r="U186" s="579"/>
      <c r="V186" s="579"/>
      <c r="W186" s="573"/>
      <c r="X186" s="573"/>
      <c r="Y186" s="573"/>
      <c r="Z186" s="573"/>
      <c r="AA186" s="573"/>
      <c r="AB186" s="573"/>
      <c r="AC186" s="573"/>
      <c r="AD186" s="573"/>
      <c r="AE186" s="573"/>
      <c r="AF186" s="573"/>
      <c r="AG186" s="573"/>
      <c r="AH186" s="573"/>
      <c r="AI186" s="573"/>
      <c r="AJ186" s="573"/>
      <c r="AK186" s="573"/>
      <c r="AL186" s="573"/>
      <c r="AM186" s="573"/>
      <c r="AN186" s="573"/>
    </row>
    <row r="187" spans="1:40" hidden="1" x14ac:dyDescent="0.2">
      <c r="A187" s="573"/>
      <c r="B187" s="573"/>
      <c r="C187" s="573"/>
      <c r="D187" s="573"/>
      <c r="E187" s="573"/>
      <c r="F187" s="573"/>
      <c r="G187" s="573"/>
      <c r="H187" s="573"/>
      <c r="I187" s="573"/>
      <c r="J187" s="573"/>
      <c r="K187" s="573"/>
      <c r="L187" s="579"/>
      <c r="M187" s="579"/>
      <c r="N187" s="579"/>
      <c r="O187" s="573"/>
      <c r="P187" s="573"/>
      <c r="Q187" s="573"/>
      <c r="R187" s="573"/>
      <c r="S187" s="573"/>
      <c r="T187" s="579"/>
      <c r="U187" s="579"/>
      <c r="V187" s="579"/>
      <c r="W187" s="573"/>
      <c r="X187" s="573"/>
      <c r="Y187" s="573"/>
      <c r="Z187" s="573"/>
      <c r="AA187" s="573"/>
      <c r="AB187" s="573"/>
      <c r="AC187" s="573"/>
      <c r="AD187" s="573"/>
      <c r="AE187" s="573"/>
      <c r="AF187" s="573"/>
      <c r="AG187" s="573"/>
      <c r="AH187" s="573"/>
      <c r="AI187" s="573"/>
      <c r="AJ187" s="573"/>
      <c r="AK187" s="573"/>
      <c r="AL187" s="573"/>
      <c r="AM187" s="573"/>
      <c r="AN187" s="573"/>
    </row>
    <row r="188" spans="1:40" hidden="1" x14ac:dyDescent="0.2">
      <c r="A188" s="573"/>
      <c r="B188" s="573"/>
      <c r="C188" s="573"/>
      <c r="D188" s="573"/>
      <c r="E188" s="573"/>
      <c r="F188" s="573"/>
      <c r="G188" s="573"/>
      <c r="H188" s="573"/>
      <c r="I188" s="573"/>
      <c r="J188" s="573"/>
      <c r="K188" s="573"/>
      <c r="L188" s="579"/>
      <c r="M188" s="579"/>
      <c r="N188" s="579"/>
      <c r="O188" s="573"/>
      <c r="P188" s="573"/>
      <c r="Q188" s="573"/>
      <c r="R188" s="573"/>
      <c r="S188" s="573"/>
      <c r="T188" s="579"/>
      <c r="U188" s="579"/>
      <c r="V188" s="579"/>
      <c r="W188" s="573"/>
      <c r="X188" s="573"/>
      <c r="Y188" s="573"/>
      <c r="Z188" s="573"/>
      <c r="AA188" s="573"/>
      <c r="AB188" s="573"/>
      <c r="AC188" s="573"/>
      <c r="AD188" s="573"/>
      <c r="AE188" s="573"/>
      <c r="AF188" s="573"/>
      <c r="AG188" s="573"/>
      <c r="AH188" s="573"/>
      <c r="AI188" s="573"/>
      <c r="AJ188" s="573"/>
      <c r="AK188" s="573"/>
      <c r="AL188" s="573"/>
      <c r="AM188" s="573"/>
      <c r="AN188" s="573"/>
    </row>
    <row r="189" spans="1:40" hidden="1" x14ac:dyDescent="0.2">
      <c r="A189" s="573"/>
      <c r="B189" s="573"/>
      <c r="C189" s="573"/>
      <c r="D189" s="573"/>
      <c r="E189" s="573"/>
      <c r="F189" s="573"/>
      <c r="G189" s="573"/>
      <c r="H189" s="573"/>
      <c r="I189" s="573"/>
      <c r="J189" s="573"/>
      <c r="K189" s="573"/>
      <c r="L189" s="579"/>
      <c r="M189" s="579"/>
      <c r="N189" s="579"/>
      <c r="O189" s="573"/>
      <c r="P189" s="573"/>
      <c r="Q189" s="573"/>
      <c r="R189" s="573"/>
      <c r="S189" s="573"/>
      <c r="T189" s="579"/>
      <c r="U189" s="579"/>
      <c r="V189" s="579"/>
      <c r="W189" s="573"/>
      <c r="X189" s="573"/>
      <c r="Y189" s="573"/>
      <c r="Z189" s="573"/>
      <c r="AA189" s="573"/>
      <c r="AB189" s="573"/>
      <c r="AC189" s="573"/>
      <c r="AD189" s="573"/>
      <c r="AE189" s="573"/>
      <c r="AF189" s="573"/>
      <c r="AG189" s="573"/>
      <c r="AH189" s="573"/>
      <c r="AI189" s="573"/>
      <c r="AJ189" s="573"/>
      <c r="AK189" s="573"/>
      <c r="AL189" s="573"/>
      <c r="AM189" s="573"/>
      <c r="AN189" s="573"/>
    </row>
    <row r="190" spans="1:40" hidden="1" x14ac:dyDescent="0.2">
      <c r="A190" s="573"/>
      <c r="B190" s="573"/>
      <c r="C190" s="573"/>
      <c r="D190" s="573"/>
      <c r="E190" s="573"/>
      <c r="F190" s="573"/>
      <c r="G190" s="573"/>
      <c r="H190" s="573"/>
      <c r="I190" s="573"/>
      <c r="J190" s="573"/>
      <c r="K190" s="573"/>
      <c r="L190" s="579"/>
      <c r="M190" s="579"/>
      <c r="N190" s="579"/>
      <c r="O190" s="573"/>
      <c r="P190" s="573"/>
      <c r="Q190" s="573"/>
      <c r="R190" s="573"/>
      <c r="S190" s="573"/>
      <c r="T190" s="579"/>
      <c r="U190" s="579"/>
      <c r="V190" s="579"/>
      <c r="W190" s="573"/>
      <c r="X190" s="573"/>
      <c r="Y190" s="573"/>
      <c r="Z190" s="573"/>
      <c r="AA190" s="573"/>
      <c r="AB190" s="573"/>
      <c r="AC190" s="573"/>
      <c r="AD190" s="573"/>
      <c r="AE190" s="573"/>
      <c r="AF190" s="573"/>
      <c r="AG190" s="573"/>
      <c r="AH190" s="573"/>
      <c r="AI190" s="573"/>
      <c r="AJ190" s="573"/>
      <c r="AK190" s="573"/>
      <c r="AL190" s="573"/>
      <c r="AM190" s="573"/>
      <c r="AN190" s="573"/>
    </row>
    <row r="191" spans="1:40" hidden="1" x14ac:dyDescent="0.2">
      <c r="A191" s="573"/>
      <c r="B191" s="573"/>
      <c r="C191" s="573"/>
      <c r="D191" s="573"/>
      <c r="E191" s="573"/>
      <c r="F191" s="573"/>
      <c r="G191" s="573"/>
      <c r="H191" s="573"/>
      <c r="I191" s="573"/>
      <c r="J191" s="573"/>
      <c r="K191" s="573"/>
      <c r="L191" s="579"/>
      <c r="M191" s="579"/>
      <c r="N191" s="579"/>
      <c r="O191" s="573"/>
      <c r="P191" s="573"/>
      <c r="Q191" s="573"/>
      <c r="R191" s="573"/>
      <c r="S191" s="573"/>
      <c r="T191" s="579"/>
      <c r="U191" s="579"/>
      <c r="V191" s="579"/>
      <c r="W191" s="573"/>
      <c r="X191" s="573"/>
      <c r="Y191" s="573"/>
      <c r="Z191" s="573"/>
      <c r="AA191" s="573"/>
      <c r="AB191" s="573"/>
      <c r="AC191" s="573"/>
      <c r="AD191" s="573"/>
      <c r="AE191" s="573"/>
      <c r="AF191" s="573"/>
      <c r="AG191" s="573"/>
      <c r="AH191" s="573"/>
      <c r="AI191" s="573"/>
      <c r="AJ191" s="573"/>
      <c r="AK191" s="573"/>
      <c r="AL191" s="573"/>
      <c r="AM191" s="573"/>
      <c r="AN191" s="573"/>
    </row>
    <row r="192" spans="1:40" hidden="1" x14ac:dyDescent="0.2">
      <c r="A192" s="573"/>
      <c r="B192" s="573"/>
      <c r="C192" s="573"/>
      <c r="D192" s="573"/>
      <c r="E192" s="573"/>
      <c r="F192" s="573"/>
      <c r="G192" s="573"/>
      <c r="H192" s="573"/>
      <c r="I192" s="573"/>
      <c r="J192" s="573"/>
      <c r="K192" s="573"/>
      <c r="L192" s="579"/>
      <c r="M192" s="579"/>
      <c r="N192" s="579"/>
      <c r="O192" s="573"/>
      <c r="P192" s="573"/>
      <c r="Q192" s="573"/>
      <c r="R192" s="573"/>
      <c r="S192" s="573"/>
      <c r="T192" s="579"/>
      <c r="U192" s="579"/>
      <c r="V192" s="579"/>
      <c r="W192" s="573"/>
      <c r="X192" s="573"/>
      <c r="Y192" s="573"/>
      <c r="Z192" s="573"/>
      <c r="AA192" s="573"/>
      <c r="AB192" s="573"/>
      <c r="AC192" s="573"/>
      <c r="AD192" s="573"/>
      <c r="AE192" s="573"/>
      <c r="AF192" s="573"/>
      <c r="AG192" s="573"/>
      <c r="AH192" s="573"/>
      <c r="AI192" s="573"/>
      <c r="AJ192" s="573"/>
      <c r="AK192" s="573"/>
      <c r="AL192" s="573"/>
      <c r="AM192" s="573"/>
      <c r="AN192" s="573"/>
    </row>
    <row r="193" spans="1:40" hidden="1" x14ac:dyDescent="0.2">
      <c r="A193" s="573"/>
      <c r="B193" s="573"/>
      <c r="C193" s="573"/>
      <c r="D193" s="573"/>
      <c r="E193" s="573"/>
      <c r="F193" s="573"/>
      <c r="G193" s="573"/>
      <c r="H193" s="573"/>
      <c r="I193" s="573"/>
      <c r="J193" s="573"/>
      <c r="K193" s="573"/>
      <c r="L193" s="579"/>
      <c r="M193" s="579"/>
      <c r="N193" s="579"/>
      <c r="O193" s="573"/>
      <c r="P193" s="573"/>
      <c r="Q193" s="573"/>
      <c r="R193" s="573"/>
      <c r="S193" s="573"/>
      <c r="T193" s="579"/>
      <c r="U193" s="579"/>
      <c r="V193" s="579"/>
      <c r="W193" s="573"/>
      <c r="X193" s="573"/>
      <c r="Y193" s="573"/>
      <c r="Z193" s="573"/>
      <c r="AA193" s="573"/>
      <c r="AB193" s="573"/>
      <c r="AC193" s="573"/>
      <c r="AD193" s="573"/>
      <c r="AE193" s="573"/>
      <c r="AF193" s="573"/>
      <c r="AG193" s="573"/>
      <c r="AH193" s="573"/>
      <c r="AI193" s="573"/>
      <c r="AJ193" s="573"/>
      <c r="AK193" s="573"/>
      <c r="AL193" s="573"/>
      <c r="AM193" s="573"/>
      <c r="AN193" s="573"/>
    </row>
    <row r="194" spans="1:40" hidden="1" x14ac:dyDescent="0.2">
      <c r="A194" s="573"/>
      <c r="B194" s="573"/>
      <c r="C194" s="573"/>
      <c r="D194" s="573"/>
      <c r="E194" s="573"/>
      <c r="F194" s="573"/>
      <c r="G194" s="573"/>
      <c r="H194" s="573"/>
      <c r="I194" s="573"/>
      <c r="J194" s="573"/>
      <c r="K194" s="573"/>
      <c r="L194" s="579"/>
      <c r="M194" s="579"/>
      <c r="N194" s="579"/>
      <c r="O194" s="573"/>
      <c r="P194" s="573"/>
      <c r="Q194" s="573"/>
      <c r="R194" s="573"/>
      <c r="S194" s="573"/>
      <c r="T194" s="579"/>
      <c r="U194" s="579"/>
      <c r="V194" s="579"/>
      <c r="W194" s="573"/>
      <c r="X194" s="573"/>
      <c r="Y194" s="573"/>
      <c r="Z194" s="573"/>
      <c r="AA194" s="573"/>
      <c r="AB194" s="573"/>
      <c r="AC194" s="573"/>
      <c r="AD194" s="573"/>
      <c r="AE194" s="573"/>
      <c r="AF194" s="573"/>
      <c r="AG194" s="573"/>
      <c r="AH194" s="573"/>
      <c r="AI194" s="573"/>
      <c r="AJ194" s="573"/>
      <c r="AK194" s="573"/>
      <c r="AL194" s="573"/>
      <c r="AM194" s="573"/>
      <c r="AN194" s="573"/>
    </row>
    <row r="195" spans="1:40" hidden="1" x14ac:dyDescent="0.2">
      <c r="A195" s="573"/>
      <c r="B195" s="573"/>
      <c r="C195" s="573"/>
      <c r="D195" s="573"/>
      <c r="E195" s="573"/>
      <c r="F195" s="573"/>
      <c r="G195" s="573"/>
      <c r="H195" s="573"/>
      <c r="I195" s="573"/>
      <c r="J195" s="573"/>
      <c r="K195" s="573"/>
      <c r="L195" s="579"/>
      <c r="M195" s="579"/>
      <c r="N195" s="579"/>
      <c r="O195" s="573"/>
      <c r="P195" s="573"/>
      <c r="Q195" s="573"/>
      <c r="R195" s="573"/>
      <c r="S195" s="573"/>
      <c r="T195" s="579"/>
      <c r="U195" s="579"/>
      <c r="V195" s="579"/>
      <c r="W195" s="573"/>
      <c r="X195" s="573"/>
      <c r="Y195" s="573"/>
      <c r="Z195" s="573"/>
      <c r="AA195" s="573"/>
      <c r="AB195" s="573"/>
      <c r="AC195" s="573"/>
      <c r="AD195" s="573"/>
      <c r="AE195" s="573"/>
      <c r="AF195" s="573"/>
      <c r="AG195" s="573"/>
      <c r="AH195" s="573"/>
      <c r="AI195" s="573"/>
      <c r="AJ195" s="573"/>
      <c r="AK195" s="573"/>
      <c r="AL195" s="573"/>
      <c r="AM195" s="573"/>
      <c r="AN195" s="573"/>
    </row>
    <row r="196" spans="1:40" hidden="1" x14ac:dyDescent="0.2">
      <c r="A196" s="573"/>
      <c r="B196" s="573"/>
      <c r="C196" s="573"/>
      <c r="D196" s="573"/>
      <c r="E196" s="573"/>
      <c r="F196" s="573"/>
      <c r="G196" s="573"/>
      <c r="H196" s="573"/>
      <c r="I196" s="573"/>
      <c r="J196" s="573"/>
      <c r="K196" s="573"/>
      <c r="L196" s="579"/>
      <c r="M196" s="579"/>
      <c r="N196" s="579"/>
      <c r="O196" s="573"/>
      <c r="P196" s="573"/>
      <c r="Q196" s="573"/>
      <c r="R196" s="573"/>
      <c r="S196" s="573"/>
      <c r="T196" s="579"/>
      <c r="U196" s="579"/>
      <c r="V196" s="579"/>
      <c r="W196" s="573"/>
      <c r="X196" s="573"/>
      <c r="Y196" s="573"/>
      <c r="Z196" s="573"/>
      <c r="AA196" s="573"/>
      <c r="AB196" s="573"/>
      <c r="AC196" s="573"/>
      <c r="AD196" s="573"/>
      <c r="AE196" s="573"/>
      <c r="AF196" s="573"/>
      <c r="AG196" s="573"/>
      <c r="AH196" s="573"/>
      <c r="AI196" s="573"/>
      <c r="AJ196" s="573"/>
      <c r="AK196" s="573"/>
      <c r="AL196" s="573"/>
      <c r="AM196" s="573"/>
      <c r="AN196" s="573"/>
    </row>
    <row r="197" spans="1:40" hidden="1" x14ac:dyDescent="0.2">
      <c r="A197" s="573"/>
      <c r="B197" s="573"/>
      <c r="C197" s="573"/>
      <c r="D197" s="573"/>
      <c r="E197" s="573"/>
      <c r="F197" s="573"/>
      <c r="G197" s="573"/>
      <c r="H197" s="573"/>
      <c r="I197" s="573"/>
      <c r="J197" s="573"/>
      <c r="K197" s="573"/>
      <c r="L197" s="579"/>
      <c r="M197" s="579"/>
      <c r="N197" s="579"/>
      <c r="O197" s="573"/>
      <c r="P197" s="573"/>
      <c r="Q197" s="573"/>
      <c r="R197" s="573"/>
      <c r="S197" s="573"/>
      <c r="T197" s="579"/>
      <c r="U197" s="579"/>
      <c r="V197" s="579"/>
      <c r="W197" s="573"/>
      <c r="X197" s="573"/>
      <c r="Y197" s="573"/>
      <c r="Z197" s="573"/>
      <c r="AA197" s="573"/>
      <c r="AB197" s="573"/>
      <c r="AC197" s="573"/>
      <c r="AD197" s="573"/>
      <c r="AE197" s="573"/>
      <c r="AF197" s="573"/>
      <c r="AG197" s="573"/>
      <c r="AH197" s="573"/>
      <c r="AI197" s="573"/>
      <c r="AJ197" s="573"/>
      <c r="AK197" s="573"/>
      <c r="AL197" s="573"/>
      <c r="AM197" s="573"/>
      <c r="AN197" s="573"/>
    </row>
    <row r="198" spans="1:40" hidden="1" x14ac:dyDescent="0.2">
      <c r="A198" s="573"/>
      <c r="B198" s="573"/>
      <c r="C198" s="573"/>
      <c r="D198" s="573"/>
      <c r="E198" s="573"/>
      <c r="F198" s="573"/>
      <c r="G198" s="573"/>
      <c r="H198" s="573"/>
      <c r="I198" s="573"/>
      <c r="J198" s="573"/>
      <c r="K198" s="573"/>
      <c r="L198" s="579"/>
      <c r="M198" s="579"/>
      <c r="N198" s="579"/>
      <c r="O198" s="573"/>
      <c r="P198" s="573"/>
      <c r="Q198" s="573"/>
      <c r="R198" s="573"/>
      <c r="S198" s="573"/>
      <c r="T198" s="579"/>
      <c r="U198" s="579"/>
      <c r="V198" s="579"/>
      <c r="W198" s="573"/>
      <c r="X198" s="573"/>
      <c r="Y198" s="573"/>
      <c r="Z198" s="573"/>
      <c r="AA198" s="573"/>
      <c r="AB198" s="573"/>
      <c r="AC198" s="573"/>
      <c r="AD198" s="573"/>
      <c r="AE198" s="573"/>
      <c r="AF198" s="573"/>
      <c r="AG198" s="573"/>
      <c r="AH198" s="573"/>
      <c r="AI198" s="573"/>
      <c r="AJ198" s="573"/>
      <c r="AK198" s="573"/>
      <c r="AL198" s="573"/>
      <c r="AM198" s="573"/>
      <c r="AN198" s="573"/>
    </row>
    <row r="199" spans="1:40" hidden="1" x14ac:dyDescent="0.2">
      <c r="A199" s="573"/>
      <c r="B199" s="573"/>
      <c r="C199" s="573"/>
      <c r="D199" s="573"/>
      <c r="E199" s="573"/>
      <c r="F199" s="573"/>
      <c r="G199" s="573"/>
      <c r="H199" s="573"/>
      <c r="I199" s="573"/>
      <c r="J199" s="573"/>
      <c r="K199" s="573"/>
      <c r="L199" s="579"/>
      <c r="M199" s="579"/>
      <c r="N199" s="579"/>
      <c r="O199" s="573"/>
      <c r="P199" s="573"/>
      <c r="Q199" s="573"/>
      <c r="R199" s="573"/>
      <c r="S199" s="573"/>
      <c r="T199" s="579"/>
      <c r="U199" s="579"/>
      <c r="V199" s="579"/>
      <c r="W199" s="573"/>
      <c r="X199" s="573"/>
      <c r="Y199" s="573"/>
      <c r="Z199" s="573"/>
      <c r="AA199" s="573"/>
      <c r="AB199" s="573"/>
      <c r="AC199" s="573"/>
      <c r="AD199" s="573"/>
      <c r="AE199" s="573"/>
      <c r="AF199" s="573"/>
      <c r="AG199" s="573"/>
      <c r="AH199" s="573"/>
      <c r="AI199" s="573"/>
      <c r="AJ199" s="573"/>
      <c r="AK199" s="573"/>
      <c r="AL199" s="573"/>
      <c r="AM199" s="573"/>
      <c r="AN199" s="573"/>
    </row>
    <row r="200" spans="1:40" hidden="1" x14ac:dyDescent="0.2">
      <c r="A200" s="573"/>
      <c r="B200" s="573"/>
      <c r="C200" s="573"/>
      <c r="D200" s="573"/>
      <c r="E200" s="573"/>
      <c r="F200" s="573"/>
      <c r="G200" s="573"/>
      <c r="H200" s="573"/>
      <c r="I200" s="573"/>
      <c r="J200" s="573"/>
      <c r="K200" s="573"/>
      <c r="L200" s="579"/>
      <c r="M200" s="579"/>
      <c r="N200" s="579"/>
      <c r="O200" s="573"/>
      <c r="P200" s="573"/>
      <c r="Q200" s="573"/>
      <c r="R200" s="573"/>
      <c r="S200" s="573"/>
      <c r="T200" s="579"/>
      <c r="U200" s="579"/>
      <c r="V200" s="579"/>
      <c r="W200" s="573"/>
      <c r="X200" s="573"/>
      <c r="Y200" s="573"/>
      <c r="Z200" s="573"/>
      <c r="AA200" s="573"/>
      <c r="AB200" s="573"/>
      <c r="AC200" s="573"/>
      <c r="AD200" s="573"/>
      <c r="AE200" s="573"/>
      <c r="AF200" s="573"/>
      <c r="AG200" s="573"/>
      <c r="AH200" s="573"/>
      <c r="AI200" s="573"/>
      <c r="AJ200" s="573"/>
      <c r="AK200" s="573"/>
      <c r="AL200" s="573"/>
      <c r="AM200" s="573"/>
      <c r="AN200" s="573"/>
    </row>
    <row r="201" spans="1:40" hidden="1" x14ac:dyDescent="0.2">
      <c r="A201" s="573"/>
      <c r="B201" s="573"/>
      <c r="C201" s="573"/>
      <c r="D201" s="573"/>
      <c r="E201" s="573"/>
      <c r="F201" s="573"/>
      <c r="G201" s="573"/>
      <c r="H201" s="573"/>
      <c r="I201" s="573"/>
      <c r="J201" s="573"/>
      <c r="K201" s="573"/>
      <c r="L201" s="579"/>
      <c r="M201" s="579"/>
      <c r="N201" s="579"/>
      <c r="O201" s="573"/>
      <c r="P201" s="573"/>
      <c r="Q201" s="573"/>
      <c r="R201" s="573"/>
      <c r="S201" s="573"/>
      <c r="T201" s="579"/>
      <c r="U201" s="579"/>
      <c r="V201" s="579"/>
      <c r="W201" s="573"/>
      <c r="X201" s="573"/>
      <c r="Y201" s="573"/>
      <c r="Z201" s="573"/>
      <c r="AA201" s="573"/>
      <c r="AB201" s="573"/>
      <c r="AC201" s="573"/>
      <c r="AD201" s="573"/>
      <c r="AE201" s="573"/>
      <c r="AF201" s="573"/>
      <c r="AG201" s="573"/>
      <c r="AH201" s="573"/>
      <c r="AI201" s="573"/>
      <c r="AJ201" s="573"/>
      <c r="AK201" s="573"/>
      <c r="AL201" s="573"/>
      <c r="AM201" s="573"/>
      <c r="AN201" s="573"/>
    </row>
    <row r="202" spans="1:40" hidden="1" x14ac:dyDescent="0.2">
      <c r="A202" s="573"/>
      <c r="B202" s="573"/>
      <c r="C202" s="573"/>
      <c r="D202" s="573"/>
      <c r="E202" s="573"/>
      <c r="F202" s="573"/>
      <c r="G202" s="573"/>
      <c r="H202" s="573"/>
      <c r="I202" s="573"/>
      <c r="J202" s="573"/>
      <c r="K202" s="573"/>
      <c r="L202" s="579"/>
      <c r="M202" s="579"/>
      <c r="N202" s="579"/>
      <c r="O202" s="573"/>
      <c r="P202" s="573"/>
      <c r="Q202" s="573"/>
      <c r="R202" s="573"/>
      <c r="S202" s="573"/>
      <c r="T202" s="579"/>
      <c r="U202" s="579"/>
      <c r="V202" s="579"/>
      <c r="W202" s="573"/>
      <c r="X202" s="573"/>
      <c r="Y202" s="573"/>
      <c r="Z202" s="573"/>
      <c r="AA202" s="573"/>
      <c r="AB202" s="573"/>
      <c r="AC202" s="573"/>
      <c r="AD202" s="573"/>
      <c r="AE202" s="573"/>
      <c r="AF202" s="573"/>
      <c r="AG202" s="573"/>
      <c r="AH202" s="573"/>
      <c r="AI202" s="573"/>
      <c r="AJ202" s="573"/>
      <c r="AK202" s="573"/>
      <c r="AL202" s="573"/>
      <c r="AM202" s="573"/>
      <c r="AN202" s="573"/>
    </row>
    <row r="203" spans="1:40" hidden="1" x14ac:dyDescent="0.2">
      <c r="A203" s="573"/>
      <c r="B203" s="573"/>
      <c r="C203" s="573"/>
      <c r="D203" s="573"/>
      <c r="E203" s="573"/>
      <c r="F203" s="573"/>
      <c r="G203" s="573"/>
      <c r="H203" s="573"/>
      <c r="I203" s="573"/>
      <c r="J203" s="573"/>
      <c r="K203" s="573"/>
      <c r="L203" s="579"/>
      <c r="M203" s="579"/>
      <c r="N203" s="579"/>
      <c r="O203" s="573"/>
      <c r="P203" s="573"/>
      <c r="Q203" s="573"/>
      <c r="R203" s="573"/>
      <c r="S203" s="573"/>
      <c r="T203" s="579"/>
      <c r="U203" s="579"/>
      <c r="V203" s="579"/>
      <c r="W203" s="573"/>
      <c r="X203" s="573"/>
      <c r="Y203" s="573"/>
      <c r="Z203" s="573"/>
      <c r="AA203" s="573"/>
      <c r="AB203" s="573"/>
      <c r="AC203" s="573"/>
      <c r="AD203" s="573"/>
      <c r="AE203" s="573"/>
      <c r="AF203" s="573"/>
      <c r="AG203" s="573"/>
      <c r="AH203" s="573"/>
      <c r="AI203" s="573"/>
      <c r="AJ203" s="573"/>
      <c r="AK203" s="573"/>
      <c r="AL203" s="573"/>
      <c r="AM203" s="573"/>
      <c r="AN203" s="573"/>
    </row>
    <row r="204" spans="1:40" hidden="1" x14ac:dyDescent="0.2">
      <c r="A204" s="573"/>
      <c r="B204" s="573"/>
      <c r="C204" s="573"/>
      <c r="D204" s="573"/>
      <c r="E204" s="573"/>
      <c r="F204" s="573"/>
      <c r="G204" s="573"/>
      <c r="H204" s="573"/>
      <c r="I204" s="573"/>
      <c r="J204" s="573"/>
      <c r="K204" s="573"/>
      <c r="L204" s="579"/>
      <c r="M204" s="579"/>
      <c r="N204" s="579"/>
      <c r="O204" s="573"/>
      <c r="P204" s="573"/>
      <c r="Q204" s="573"/>
      <c r="R204" s="573"/>
      <c r="S204" s="573"/>
      <c r="T204" s="579"/>
      <c r="U204" s="579"/>
      <c r="V204" s="579"/>
      <c r="W204" s="573"/>
      <c r="X204" s="573"/>
      <c r="Y204" s="573"/>
      <c r="Z204" s="573"/>
      <c r="AA204" s="573"/>
      <c r="AB204" s="573"/>
      <c r="AC204" s="573"/>
      <c r="AD204" s="573"/>
      <c r="AE204" s="573"/>
      <c r="AF204" s="573"/>
      <c r="AG204" s="573"/>
      <c r="AH204" s="573"/>
      <c r="AI204" s="573"/>
      <c r="AJ204" s="573"/>
      <c r="AK204" s="573"/>
      <c r="AL204" s="573"/>
      <c r="AM204" s="573"/>
      <c r="AN204" s="573"/>
    </row>
    <row r="205" spans="1:40" hidden="1" x14ac:dyDescent="0.2">
      <c r="A205" s="573"/>
      <c r="B205" s="573"/>
      <c r="C205" s="573"/>
      <c r="D205" s="573"/>
      <c r="E205" s="573"/>
      <c r="F205" s="573"/>
      <c r="G205" s="573"/>
      <c r="H205" s="573"/>
      <c r="I205" s="573"/>
      <c r="J205" s="573"/>
      <c r="K205" s="573"/>
      <c r="L205" s="579"/>
      <c r="M205" s="579"/>
      <c r="N205" s="579"/>
      <c r="O205" s="573"/>
      <c r="P205" s="573"/>
      <c r="Q205" s="573"/>
      <c r="R205" s="573"/>
      <c r="S205" s="573"/>
      <c r="T205" s="579"/>
      <c r="U205" s="579"/>
      <c r="V205" s="579"/>
      <c r="W205" s="573"/>
      <c r="X205" s="573"/>
      <c r="Y205" s="573"/>
      <c r="Z205" s="573"/>
      <c r="AA205" s="573"/>
      <c r="AB205" s="573"/>
      <c r="AC205" s="573"/>
      <c r="AD205" s="573"/>
      <c r="AE205" s="573"/>
      <c r="AF205" s="573"/>
      <c r="AG205" s="573"/>
      <c r="AH205" s="573"/>
      <c r="AI205" s="573"/>
      <c r="AJ205" s="573"/>
      <c r="AK205" s="573"/>
      <c r="AL205" s="573"/>
      <c r="AM205" s="573"/>
      <c r="AN205" s="573"/>
    </row>
    <row r="206" spans="1:40" hidden="1" x14ac:dyDescent="0.2">
      <c r="A206" s="573"/>
      <c r="B206" s="573"/>
      <c r="C206" s="573"/>
      <c r="D206" s="573"/>
      <c r="E206" s="573"/>
      <c r="F206" s="573"/>
      <c r="G206" s="573"/>
      <c r="H206" s="573"/>
      <c r="I206" s="573"/>
      <c r="J206" s="573"/>
      <c r="K206" s="573"/>
      <c r="L206" s="579"/>
      <c r="M206" s="579"/>
      <c r="N206" s="579"/>
      <c r="O206" s="573"/>
      <c r="P206" s="573"/>
      <c r="Q206" s="573"/>
      <c r="R206" s="573"/>
      <c r="S206" s="573"/>
      <c r="T206" s="579"/>
      <c r="U206" s="579"/>
      <c r="V206" s="579"/>
      <c r="W206" s="573"/>
      <c r="X206" s="573"/>
      <c r="Y206" s="573"/>
      <c r="Z206" s="573"/>
      <c r="AA206" s="573"/>
      <c r="AB206" s="573"/>
      <c r="AC206" s="573"/>
      <c r="AD206" s="573"/>
      <c r="AE206" s="573"/>
      <c r="AF206" s="573"/>
      <c r="AG206" s="573"/>
      <c r="AH206" s="573"/>
      <c r="AI206" s="573"/>
      <c r="AJ206" s="573"/>
      <c r="AK206" s="573"/>
      <c r="AL206" s="573"/>
      <c r="AM206" s="573"/>
      <c r="AN206" s="573"/>
    </row>
    <row r="207" spans="1:40" hidden="1" x14ac:dyDescent="0.2">
      <c r="A207" s="573"/>
      <c r="B207" s="573"/>
      <c r="C207" s="573"/>
      <c r="D207" s="573"/>
      <c r="E207" s="573"/>
      <c r="F207" s="573"/>
      <c r="G207" s="573"/>
      <c r="H207" s="573"/>
      <c r="I207" s="573"/>
      <c r="J207" s="573"/>
      <c r="K207" s="573"/>
      <c r="L207" s="579"/>
      <c r="M207" s="579"/>
      <c r="N207" s="579"/>
      <c r="O207" s="573"/>
      <c r="P207" s="573"/>
      <c r="Q207" s="573"/>
      <c r="R207" s="573"/>
      <c r="S207" s="573"/>
      <c r="T207" s="579"/>
      <c r="U207" s="579"/>
      <c r="V207" s="579"/>
      <c r="W207" s="573"/>
      <c r="X207" s="573"/>
      <c r="Y207" s="573"/>
      <c r="Z207" s="573"/>
      <c r="AA207" s="573"/>
      <c r="AB207" s="573"/>
      <c r="AC207" s="573"/>
      <c r="AD207" s="573"/>
      <c r="AE207" s="573"/>
      <c r="AF207" s="573"/>
      <c r="AG207" s="573"/>
      <c r="AH207" s="573"/>
      <c r="AI207" s="573"/>
      <c r="AJ207" s="573"/>
      <c r="AK207" s="573"/>
      <c r="AL207" s="573"/>
      <c r="AM207" s="573"/>
      <c r="AN207" s="573"/>
    </row>
    <row r="208" spans="1:40" hidden="1" x14ac:dyDescent="0.2">
      <c r="A208" s="573"/>
      <c r="B208" s="573"/>
      <c r="C208" s="573"/>
      <c r="D208" s="573"/>
      <c r="E208" s="573"/>
      <c r="F208" s="573"/>
      <c r="G208" s="573"/>
      <c r="H208" s="573"/>
      <c r="I208" s="573"/>
      <c r="J208" s="573"/>
      <c r="K208" s="573"/>
      <c r="L208" s="579"/>
      <c r="M208" s="579"/>
      <c r="N208" s="579"/>
      <c r="O208" s="573"/>
      <c r="P208" s="573"/>
      <c r="Q208" s="573"/>
      <c r="R208" s="573"/>
      <c r="S208" s="573"/>
      <c r="T208" s="579"/>
      <c r="U208" s="579"/>
      <c r="V208" s="579"/>
      <c r="W208" s="573"/>
      <c r="X208" s="573"/>
      <c r="Y208" s="573"/>
      <c r="Z208" s="573"/>
      <c r="AA208" s="573"/>
      <c r="AB208" s="573"/>
      <c r="AC208" s="573"/>
      <c r="AD208" s="573"/>
      <c r="AE208" s="573"/>
      <c r="AF208" s="573"/>
      <c r="AG208" s="573"/>
      <c r="AH208" s="573"/>
      <c r="AI208" s="573"/>
      <c r="AJ208" s="573"/>
      <c r="AK208" s="573"/>
      <c r="AL208" s="573"/>
      <c r="AM208" s="573"/>
      <c r="AN208" s="573"/>
    </row>
    <row r="209" spans="1:40" hidden="1" x14ac:dyDescent="0.2">
      <c r="A209" s="573"/>
      <c r="B209" s="573"/>
      <c r="C209" s="573"/>
      <c r="D209" s="573"/>
      <c r="E209" s="573"/>
      <c r="F209" s="573"/>
      <c r="G209" s="573"/>
      <c r="H209" s="573"/>
      <c r="I209" s="573"/>
      <c r="J209" s="573"/>
      <c r="K209" s="573"/>
      <c r="L209" s="579"/>
      <c r="M209" s="579"/>
      <c r="N209" s="579"/>
      <c r="O209" s="573"/>
      <c r="P209" s="573"/>
      <c r="Q209" s="573"/>
      <c r="R209" s="573"/>
      <c r="S209" s="573"/>
      <c r="T209" s="579"/>
      <c r="U209" s="579"/>
      <c r="V209" s="579"/>
      <c r="W209" s="573"/>
      <c r="X209" s="573"/>
      <c r="Y209" s="573"/>
      <c r="Z209" s="573"/>
      <c r="AA209" s="573"/>
      <c r="AB209" s="573"/>
      <c r="AC209" s="573"/>
      <c r="AD209" s="573"/>
      <c r="AE209" s="573"/>
      <c r="AF209" s="573"/>
      <c r="AG209" s="573"/>
      <c r="AH209" s="573"/>
      <c r="AI209" s="573"/>
      <c r="AJ209" s="573"/>
      <c r="AK209" s="573"/>
      <c r="AL209" s="573"/>
      <c r="AM209" s="573"/>
      <c r="AN209" s="573"/>
    </row>
    <row r="210" spans="1:40" hidden="1" x14ac:dyDescent="0.2">
      <c r="A210" s="573"/>
      <c r="B210" s="573"/>
      <c r="C210" s="573"/>
      <c r="D210" s="573"/>
      <c r="E210" s="573"/>
      <c r="F210" s="573"/>
      <c r="G210" s="573"/>
      <c r="H210" s="573"/>
      <c r="I210" s="573"/>
      <c r="J210" s="573"/>
      <c r="K210" s="573"/>
      <c r="L210" s="579"/>
      <c r="M210" s="579"/>
      <c r="N210" s="579"/>
      <c r="O210" s="573"/>
      <c r="P210" s="573"/>
      <c r="Q210" s="573"/>
      <c r="R210" s="573"/>
      <c r="S210" s="573"/>
      <c r="T210" s="579"/>
      <c r="U210" s="579"/>
      <c r="V210" s="579"/>
      <c r="W210" s="573"/>
      <c r="X210" s="573"/>
      <c r="Y210" s="573"/>
      <c r="Z210" s="573"/>
      <c r="AA210" s="573"/>
      <c r="AB210" s="573"/>
      <c r="AC210" s="573"/>
      <c r="AD210" s="573"/>
      <c r="AE210" s="573"/>
      <c r="AF210" s="573"/>
      <c r="AG210" s="573"/>
      <c r="AH210" s="573"/>
      <c r="AI210" s="573"/>
      <c r="AJ210" s="573"/>
      <c r="AK210" s="573"/>
      <c r="AL210" s="573"/>
      <c r="AM210" s="573"/>
      <c r="AN210" s="573"/>
    </row>
    <row r="211" spans="1:40" hidden="1" x14ac:dyDescent="0.2">
      <c r="A211" s="573"/>
      <c r="B211" s="573"/>
      <c r="C211" s="573"/>
      <c r="D211" s="573"/>
      <c r="E211" s="573"/>
      <c r="F211" s="573"/>
      <c r="G211" s="573"/>
      <c r="H211" s="573"/>
      <c r="I211" s="573"/>
      <c r="J211" s="573"/>
      <c r="K211" s="573"/>
      <c r="L211" s="579"/>
      <c r="M211" s="579"/>
      <c r="N211" s="579"/>
      <c r="O211" s="573"/>
      <c r="P211" s="573"/>
      <c r="Q211" s="573"/>
      <c r="R211" s="573"/>
      <c r="S211" s="573"/>
      <c r="T211" s="579"/>
      <c r="U211" s="579"/>
      <c r="V211" s="579"/>
      <c r="W211" s="573"/>
      <c r="X211" s="573"/>
      <c r="Y211" s="573"/>
      <c r="Z211" s="573"/>
      <c r="AA211" s="573"/>
      <c r="AB211" s="573"/>
      <c r="AC211" s="573"/>
      <c r="AD211" s="573"/>
      <c r="AE211" s="573"/>
      <c r="AF211" s="573"/>
      <c r="AG211" s="573"/>
      <c r="AH211" s="573"/>
      <c r="AI211" s="573"/>
      <c r="AJ211" s="573"/>
      <c r="AK211" s="573"/>
      <c r="AL211" s="573"/>
      <c r="AM211" s="573"/>
      <c r="AN211" s="573"/>
    </row>
    <row r="212" spans="1:40" hidden="1" x14ac:dyDescent="0.2">
      <c r="A212" s="573"/>
      <c r="B212" s="573"/>
      <c r="C212" s="573"/>
      <c r="D212" s="573"/>
      <c r="E212" s="573"/>
      <c r="F212" s="573"/>
      <c r="G212" s="573"/>
      <c r="H212" s="573"/>
      <c r="I212" s="573"/>
      <c r="J212" s="573"/>
      <c r="K212" s="573"/>
      <c r="L212" s="579"/>
      <c r="M212" s="579"/>
      <c r="N212" s="579"/>
      <c r="O212" s="573"/>
      <c r="P212" s="573"/>
      <c r="Q212" s="573"/>
      <c r="R212" s="573"/>
      <c r="S212" s="573"/>
      <c r="T212" s="579"/>
      <c r="U212" s="579"/>
      <c r="V212" s="579"/>
      <c r="W212" s="573"/>
      <c r="X212" s="573"/>
      <c r="Y212" s="573"/>
      <c r="Z212" s="573"/>
      <c r="AA212" s="573"/>
      <c r="AB212" s="573"/>
      <c r="AC212" s="573"/>
      <c r="AD212" s="573"/>
      <c r="AE212" s="573"/>
      <c r="AF212" s="573"/>
      <c r="AG212" s="573"/>
      <c r="AH212" s="573"/>
      <c r="AI212" s="573"/>
      <c r="AJ212" s="573"/>
      <c r="AK212" s="573"/>
      <c r="AL212" s="573"/>
      <c r="AM212" s="573"/>
      <c r="AN212" s="573"/>
    </row>
    <row r="213" spans="1:40" hidden="1" x14ac:dyDescent="0.2">
      <c r="A213" s="573"/>
      <c r="B213" s="573"/>
      <c r="C213" s="573"/>
      <c r="D213" s="573"/>
      <c r="E213" s="573"/>
      <c r="F213" s="573"/>
      <c r="G213" s="573"/>
      <c r="H213" s="573"/>
      <c r="I213" s="573"/>
      <c r="J213" s="573"/>
      <c r="K213" s="573"/>
      <c r="L213" s="579"/>
      <c r="M213" s="579"/>
      <c r="N213" s="579"/>
      <c r="O213" s="573"/>
      <c r="P213" s="573"/>
      <c r="Q213" s="573"/>
      <c r="R213" s="573"/>
      <c r="S213" s="573"/>
      <c r="T213" s="579"/>
      <c r="U213" s="579"/>
      <c r="V213" s="579"/>
      <c r="W213" s="573"/>
      <c r="X213" s="573"/>
      <c r="Y213" s="573"/>
      <c r="Z213" s="573"/>
      <c r="AA213" s="573"/>
      <c r="AB213" s="573"/>
      <c r="AC213" s="573"/>
      <c r="AD213" s="573"/>
      <c r="AE213" s="573"/>
      <c r="AF213" s="573"/>
      <c r="AG213" s="573"/>
      <c r="AH213" s="573"/>
      <c r="AI213" s="573"/>
      <c r="AJ213" s="573"/>
      <c r="AK213" s="573"/>
      <c r="AL213" s="573"/>
      <c r="AM213" s="573"/>
      <c r="AN213" s="573"/>
    </row>
    <row r="214" spans="1:40" hidden="1" x14ac:dyDescent="0.2">
      <c r="A214" s="573"/>
      <c r="B214" s="573"/>
      <c r="C214" s="573"/>
      <c r="D214" s="573"/>
      <c r="E214" s="573"/>
      <c r="F214" s="573"/>
      <c r="G214" s="573"/>
      <c r="H214" s="573"/>
      <c r="I214" s="573"/>
      <c r="J214" s="573"/>
      <c r="K214" s="573"/>
      <c r="L214" s="579"/>
      <c r="M214" s="579"/>
      <c r="N214" s="579"/>
      <c r="O214" s="573"/>
      <c r="P214" s="573"/>
      <c r="Q214" s="573"/>
      <c r="R214" s="573"/>
      <c r="S214" s="573"/>
      <c r="T214" s="579"/>
      <c r="U214" s="579"/>
      <c r="V214" s="579"/>
      <c r="W214" s="573"/>
      <c r="X214" s="573"/>
      <c r="Y214" s="573"/>
      <c r="Z214" s="573"/>
      <c r="AA214" s="573"/>
      <c r="AB214" s="573"/>
      <c r="AC214" s="573"/>
      <c r="AD214" s="573"/>
      <c r="AE214" s="573"/>
      <c r="AF214" s="573"/>
      <c r="AG214" s="573"/>
      <c r="AH214" s="573"/>
      <c r="AI214" s="573"/>
      <c r="AJ214" s="573"/>
      <c r="AK214" s="573"/>
      <c r="AL214" s="573"/>
      <c r="AM214" s="573"/>
      <c r="AN214" s="573"/>
    </row>
    <row r="215" spans="1:40" hidden="1" x14ac:dyDescent="0.2">
      <c r="A215" s="573"/>
      <c r="B215" s="573"/>
      <c r="C215" s="573"/>
      <c r="D215" s="573"/>
      <c r="E215" s="573"/>
      <c r="F215" s="573"/>
      <c r="G215" s="573"/>
      <c r="H215" s="573"/>
      <c r="I215" s="573"/>
      <c r="J215" s="573"/>
      <c r="K215" s="573"/>
      <c r="L215" s="579"/>
      <c r="M215" s="579"/>
      <c r="N215" s="579"/>
      <c r="O215" s="573"/>
      <c r="P215" s="573"/>
      <c r="Q215" s="573"/>
      <c r="R215" s="573"/>
      <c r="S215" s="573"/>
      <c r="T215" s="579"/>
      <c r="U215" s="579"/>
      <c r="V215" s="579"/>
      <c r="W215" s="573"/>
      <c r="X215" s="573"/>
      <c r="Y215" s="573"/>
      <c r="Z215" s="573"/>
      <c r="AA215" s="573"/>
      <c r="AB215" s="573"/>
      <c r="AC215" s="573"/>
      <c r="AD215" s="573"/>
      <c r="AE215" s="573"/>
      <c r="AF215" s="573"/>
      <c r="AG215" s="573"/>
      <c r="AH215" s="573"/>
      <c r="AI215" s="573"/>
      <c r="AJ215" s="573"/>
      <c r="AK215" s="573"/>
      <c r="AL215" s="573"/>
      <c r="AM215" s="573"/>
      <c r="AN215" s="573"/>
    </row>
    <row r="216" spans="1:40" hidden="1" x14ac:dyDescent="0.2">
      <c r="A216" s="573"/>
      <c r="B216" s="573"/>
      <c r="C216" s="573"/>
      <c r="D216" s="573"/>
      <c r="E216" s="573"/>
      <c r="F216" s="573"/>
      <c r="G216" s="573"/>
      <c r="H216" s="573"/>
      <c r="I216" s="573"/>
      <c r="J216" s="573"/>
      <c r="K216" s="573"/>
      <c r="L216" s="579"/>
      <c r="M216" s="579"/>
      <c r="N216" s="579"/>
      <c r="O216" s="573"/>
      <c r="P216" s="573"/>
      <c r="Q216" s="573"/>
      <c r="R216" s="573"/>
      <c r="S216" s="573"/>
      <c r="T216" s="579"/>
      <c r="U216" s="579"/>
      <c r="V216" s="579"/>
      <c r="W216" s="573"/>
      <c r="X216" s="573"/>
      <c r="Y216" s="573"/>
      <c r="Z216" s="573"/>
      <c r="AA216" s="573"/>
      <c r="AB216" s="573"/>
      <c r="AC216" s="573"/>
      <c r="AD216" s="573"/>
      <c r="AE216" s="573"/>
      <c r="AF216" s="573"/>
      <c r="AG216" s="573"/>
      <c r="AH216" s="573"/>
      <c r="AI216" s="573"/>
      <c r="AJ216" s="573"/>
      <c r="AK216" s="573"/>
      <c r="AL216" s="573"/>
      <c r="AM216" s="573"/>
      <c r="AN216" s="573"/>
    </row>
    <row r="217" spans="1:40" hidden="1" x14ac:dyDescent="0.2">
      <c r="A217" s="573"/>
      <c r="B217" s="573"/>
      <c r="C217" s="573"/>
      <c r="D217" s="573"/>
      <c r="E217" s="573"/>
      <c r="F217" s="573"/>
      <c r="G217" s="573"/>
      <c r="H217" s="573"/>
      <c r="I217" s="573"/>
      <c r="J217" s="573"/>
      <c r="K217" s="573"/>
      <c r="L217" s="579"/>
      <c r="M217" s="579"/>
      <c r="N217" s="579"/>
      <c r="O217" s="573"/>
      <c r="P217" s="573"/>
      <c r="Q217" s="573"/>
      <c r="R217" s="573"/>
      <c r="S217" s="573"/>
      <c r="T217" s="579"/>
      <c r="U217" s="579"/>
      <c r="V217" s="579"/>
      <c r="W217" s="573"/>
      <c r="X217" s="573"/>
      <c r="Y217" s="573"/>
      <c r="Z217" s="573"/>
      <c r="AA217" s="573"/>
      <c r="AB217" s="573"/>
      <c r="AC217" s="573"/>
      <c r="AD217" s="573"/>
      <c r="AE217" s="573"/>
      <c r="AF217" s="573"/>
      <c r="AG217" s="573"/>
      <c r="AH217" s="573"/>
      <c r="AI217" s="573"/>
      <c r="AJ217" s="573"/>
      <c r="AK217" s="573"/>
      <c r="AL217" s="573"/>
      <c r="AM217" s="573"/>
      <c r="AN217" s="573"/>
    </row>
    <row r="218" spans="1:40" hidden="1" x14ac:dyDescent="0.2">
      <c r="A218" s="573"/>
      <c r="B218" s="573"/>
      <c r="C218" s="573"/>
      <c r="D218" s="573"/>
      <c r="E218" s="573"/>
      <c r="F218" s="573"/>
      <c r="G218" s="573"/>
      <c r="H218" s="573"/>
      <c r="I218" s="573"/>
      <c r="J218" s="573"/>
      <c r="K218" s="573"/>
      <c r="L218" s="579"/>
      <c r="M218" s="579"/>
      <c r="N218" s="579"/>
      <c r="O218" s="573"/>
      <c r="P218" s="573"/>
      <c r="Q218" s="573"/>
      <c r="R218" s="573"/>
      <c r="S218" s="573"/>
      <c r="T218" s="579"/>
      <c r="U218" s="579"/>
      <c r="V218" s="579"/>
      <c r="W218" s="573"/>
      <c r="X218" s="573"/>
      <c r="Y218" s="573"/>
      <c r="Z218" s="573"/>
      <c r="AA218" s="573"/>
      <c r="AB218" s="573"/>
      <c r="AC218" s="573"/>
      <c r="AD218" s="573"/>
      <c r="AE218" s="573"/>
      <c r="AF218" s="573"/>
      <c r="AG218" s="573"/>
      <c r="AH218" s="573"/>
      <c r="AI218" s="573"/>
      <c r="AJ218" s="573"/>
      <c r="AK218" s="573"/>
      <c r="AL218" s="573"/>
      <c r="AM218" s="573"/>
      <c r="AN218" s="573"/>
    </row>
    <row r="219" spans="1:40" hidden="1" x14ac:dyDescent="0.2">
      <c r="A219" s="573"/>
      <c r="B219" s="573"/>
      <c r="C219" s="573"/>
      <c r="D219" s="573"/>
      <c r="E219" s="573"/>
      <c r="F219" s="573"/>
      <c r="G219" s="573"/>
      <c r="H219" s="573"/>
      <c r="I219" s="573"/>
      <c r="J219" s="573"/>
      <c r="K219" s="573"/>
      <c r="L219" s="579"/>
      <c r="M219" s="579"/>
      <c r="N219" s="579"/>
      <c r="O219" s="573"/>
      <c r="P219" s="573"/>
      <c r="Q219" s="573"/>
      <c r="R219" s="573"/>
      <c r="S219" s="573"/>
      <c r="T219" s="579"/>
      <c r="U219" s="579"/>
      <c r="V219" s="579"/>
      <c r="W219" s="573"/>
      <c r="X219" s="573"/>
      <c r="Y219" s="573"/>
      <c r="Z219" s="573"/>
      <c r="AA219" s="573"/>
      <c r="AB219" s="573"/>
      <c r="AC219" s="573"/>
      <c r="AD219" s="573"/>
      <c r="AE219" s="573"/>
      <c r="AF219" s="573"/>
      <c r="AG219" s="573"/>
      <c r="AH219" s="573"/>
      <c r="AI219" s="573"/>
      <c r="AJ219" s="573"/>
      <c r="AK219" s="573"/>
      <c r="AL219" s="573"/>
      <c r="AM219" s="573"/>
      <c r="AN219" s="573"/>
    </row>
    <row r="220" spans="1:40" hidden="1" x14ac:dyDescent="0.2">
      <c r="A220" s="573"/>
      <c r="B220" s="573"/>
      <c r="C220" s="573"/>
      <c r="D220" s="573"/>
      <c r="E220" s="573"/>
      <c r="F220" s="573"/>
      <c r="G220" s="573"/>
      <c r="H220" s="573"/>
      <c r="I220" s="573"/>
      <c r="J220" s="573"/>
      <c r="K220" s="573"/>
      <c r="L220" s="579"/>
      <c r="M220" s="579"/>
      <c r="N220" s="579"/>
      <c r="O220" s="573"/>
      <c r="P220" s="573"/>
      <c r="Q220" s="573"/>
      <c r="R220" s="573"/>
      <c r="S220" s="573"/>
      <c r="T220" s="579"/>
      <c r="U220" s="579"/>
      <c r="V220" s="579"/>
      <c r="W220" s="573"/>
      <c r="X220" s="573"/>
      <c r="Y220" s="573"/>
      <c r="Z220" s="573"/>
      <c r="AA220" s="573"/>
      <c r="AB220" s="573"/>
      <c r="AC220" s="573"/>
      <c r="AD220" s="573"/>
      <c r="AE220" s="573"/>
      <c r="AF220" s="573"/>
      <c r="AG220" s="573"/>
      <c r="AH220" s="573"/>
      <c r="AI220" s="573"/>
      <c r="AJ220" s="573"/>
      <c r="AK220" s="573"/>
      <c r="AL220" s="573"/>
      <c r="AM220" s="573"/>
      <c r="AN220" s="573"/>
    </row>
    <row r="221" spans="1:40" hidden="1" x14ac:dyDescent="0.2">
      <c r="A221" s="573"/>
      <c r="B221" s="573"/>
      <c r="C221" s="573"/>
      <c r="D221" s="573"/>
      <c r="E221" s="573"/>
      <c r="F221" s="573"/>
      <c r="G221" s="573"/>
      <c r="H221" s="573"/>
      <c r="I221" s="573"/>
      <c r="J221" s="573"/>
      <c r="K221" s="573"/>
      <c r="L221" s="579"/>
      <c r="M221" s="579"/>
      <c r="N221" s="579"/>
      <c r="O221" s="573"/>
      <c r="P221" s="573"/>
      <c r="Q221" s="573"/>
      <c r="R221" s="573"/>
      <c r="S221" s="573"/>
      <c r="T221" s="579"/>
      <c r="U221" s="579"/>
      <c r="V221" s="579"/>
      <c r="W221" s="573"/>
      <c r="X221" s="573"/>
      <c r="Y221" s="573"/>
      <c r="Z221" s="573"/>
      <c r="AA221" s="573"/>
      <c r="AB221" s="573"/>
      <c r="AC221" s="573"/>
      <c r="AD221" s="573"/>
      <c r="AE221" s="573"/>
      <c r="AF221" s="573"/>
      <c r="AG221" s="573"/>
      <c r="AH221" s="573"/>
      <c r="AI221" s="573"/>
      <c r="AJ221" s="573"/>
      <c r="AK221" s="573"/>
      <c r="AL221" s="573"/>
      <c r="AM221" s="573"/>
      <c r="AN221" s="573"/>
    </row>
    <row r="222" spans="1:40" hidden="1" x14ac:dyDescent="0.2">
      <c r="A222" s="573"/>
      <c r="B222" s="573"/>
      <c r="C222" s="573"/>
      <c r="D222" s="573"/>
      <c r="E222" s="573"/>
      <c r="F222" s="573"/>
      <c r="G222" s="573"/>
      <c r="H222" s="573"/>
      <c r="I222" s="573"/>
      <c r="J222" s="573"/>
      <c r="K222" s="573"/>
      <c r="L222" s="579"/>
      <c r="M222" s="579"/>
      <c r="N222" s="579"/>
      <c r="O222" s="573"/>
      <c r="P222" s="573"/>
      <c r="Q222" s="573"/>
      <c r="R222" s="573"/>
      <c r="S222" s="573"/>
      <c r="T222" s="579"/>
      <c r="U222" s="579"/>
      <c r="V222" s="579"/>
      <c r="W222" s="573"/>
      <c r="X222" s="573"/>
      <c r="Y222" s="573"/>
      <c r="Z222" s="573"/>
      <c r="AA222" s="573"/>
      <c r="AB222" s="573"/>
      <c r="AC222" s="573"/>
      <c r="AD222" s="573"/>
      <c r="AE222" s="573"/>
      <c r="AF222" s="573"/>
      <c r="AG222" s="573"/>
      <c r="AH222" s="573"/>
      <c r="AI222" s="573"/>
      <c r="AJ222" s="573"/>
      <c r="AK222" s="573"/>
      <c r="AL222" s="573"/>
      <c r="AM222" s="573"/>
      <c r="AN222" s="573"/>
    </row>
    <row r="223" spans="1:40" hidden="1" x14ac:dyDescent="0.2">
      <c r="A223" s="573"/>
      <c r="B223" s="573"/>
      <c r="C223" s="573"/>
      <c r="D223" s="573"/>
      <c r="E223" s="573"/>
      <c r="F223" s="573"/>
      <c r="G223" s="573"/>
      <c r="H223" s="573"/>
      <c r="I223" s="573"/>
      <c r="J223" s="573"/>
      <c r="K223" s="573"/>
      <c r="L223" s="579"/>
      <c r="M223" s="579"/>
      <c r="N223" s="579"/>
      <c r="O223" s="573"/>
      <c r="P223" s="573"/>
      <c r="Q223" s="573"/>
      <c r="R223" s="573"/>
      <c r="S223" s="573"/>
      <c r="T223" s="579"/>
      <c r="U223" s="579"/>
      <c r="V223" s="579"/>
      <c r="W223" s="573"/>
      <c r="X223" s="573"/>
      <c r="Y223" s="573"/>
      <c r="Z223" s="573"/>
      <c r="AA223" s="573"/>
      <c r="AB223" s="573"/>
      <c r="AC223" s="573"/>
      <c r="AD223" s="573"/>
      <c r="AE223" s="573"/>
      <c r="AF223" s="573"/>
      <c r="AG223" s="573"/>
      <c r="AH223" s="573"/>
      <c r="AI223" s="573"/>
      <c r="AJ223" s="573"/>
      <c r="AK223" s="573"/>
      <c r="AL223" s="573"/>
      <c r="AM223" s="573"/>
      <c r="AN223" s="573"/>
    </row>
    <row r="224" spans="1:40" hidden="1" x14ac:dyDescent="0.2">
      <c r="A224" s="573"/>
      <c r="B224" s="573"/>
      <c r="C224" s="573"/>
      <c r="D224" s="573"/>
      <c r="E224" s="573"/>
      <c r="F224" s="573"/>
      <c r="G224" s="573"/>
      <c r="H224" s="573"/>
      <c r="I224" s="573"/>
      <c r="J224" s="573"/>
      <c r="K224" s="573"/>
      <c r="L224" s="579"/>
      <c r="M224" s="579"/>
      <c r="N224" s="579"/>
      <c r="O224" s="573"/>
      <c r="P224" s="573"/>
      <c r="Q224" s="573"/>
      <c r="R224" s="573"/>
      <c r="S224" s="573"/>
      <c r="T224" s="579"/>
      <c r="U224" s="579"/>
      <c r="V224" s="579"/>
      <c r="W224" s="573"/>
      <c r="X224" s="573"/>
      <c r="Y224" s="573"/>
      <c r="Z224" s="573"/>
      <c r="AA224" s="573"/>
      <c r="AB224" s="573"/>
      <c r="AC224" s="573"/>
      <c r="AD224" s="573"/>
      <c r="AE224" s="573"/>
      <c r="AF224" s="573"/>
      <c r="AG224" s="573"/>
      <c r="AH224" s="573"/>
      <c r="AI224" s="573"/>
      <c r="AJ224" s="573"/>
      <c r="AK224" s="573"/>
      <c r="AL224" s="573"/>
      <c r="AM224" s="573"/>
      <c r="AN224" s="573"/>
    </row>
    <row r="225" spans="1:40" hidden="1" x14ac:dyDescent="0.2">
      <c r="A225" s="573"/>
      <c r="B225" s="573"/>
      <c r="C225" s="573"/>
      <c r="D225" s="573"/>
      <c r="E225" s="573"/>
      <c r="F225" s="573"/>
      <c r="G225" s="573"/>
      <c r="H225" s="573"/>
      <c r="I225" s="573"/>
      <c r="J225" s="573"/>
      <c r="K225" s="573"/>
      <c r="L225" s="579"/>
      <c r="M225" s="579"/>
      <c r="N225" s="579"/>
      <c r="O225" s="573"/>
      <c r="P225" s="573"/>
      <c r="Q225" s="573"/>
      <c r="R225" s="573"/>
      <c r="S225" s="573"/>
      <c r="T225" s="579"/>
      <c r="U225" s="579"/>
      <c r="V225" s="579"/>
      <c r="W225" s="573"/>
      <c r="X225" s="573"/>
      <c r="Y225" s="573"/>
      <c r="Z225" s="573"/>
      <c r="AA225" s="573"/>
      <c r="AB225" s="573"/>
      <c r="AC225" s="573"/>
      <c r="AD225" s="573"/>
      <c r="AE225" s="573"/>
      <c r="AF225" s="573"/>
      <c r="AG225" s="573"/>
      <c r="AH225" s="573"/>
      <c r="AI225" s="573"/>
      <c r="AJ225" s="573"/>
      <c r="AK225" s="573"/>
      <c r="AL225" s="573"/>
      <c r="AM225" s="573"/>
      <c r="AN225" s="573"/>
    </row>
    <row r="226" spans="1:40" hidden="1" x14ac:dyDescent="0.2">
      <c r="A226" s="573"/>
      <c r="B226" s="573"/>
      <c r="C226" s="573"/>
      <c r="D226" s="573"/>
      <c r="E226" s="573"/>
      <c r="F226" s="573"/>
      <c r="G226" s="573"/>
      <c r="H226" s="573"/>
      <c r="I226" s="573"/>
      <c r="J226" s="573"/>
      <c r="K226" s="573"/>
      <c r="L226" s="579"/>
      <c r="M226" s="579"/>
      <c r="N226" s="579"/>
      <c r="O226" s="573"/>
      <c r="P226" s="573"/>
      <c r="Q226" s="573"/>
      <c r="R226" s="573"/>
      <c r="S226" s="573"/>
      <c r="T226" s="579"/>
      <c r="U226" s="579"/>
      <c r="V226" s="579"/>
      <c r="W226" s="573"/>
      <c r="X226" s="573"/>
      <c r="Y226" s="573"/>
      <c r="Z226" s="573"/>
      <c r="AA226" s="573"/>
      <c r="AB226" s="573"/>
      <c r="AC226" s="573"/>
      <c r="AD226" s="573"/>
      <c r="AE226" s="573"/>
      <c r="AF226" s="573"/>
      <c r="AG226" s="573"/>
      <c r="AH226" s="573"/>
      <c r="AI226" s="573"/>
      <c r="AJ226" s="573"/>
      <c r="AK226" s="573"/>
      <c r="AL226" s="573"/>
      <c r="AM226" s="573"/>
      <c r="AN226" s="573"/>
    </row>
    <row r="227" spans="1:40" hidden="1" x14ac:dyDescent="0.2">
      <c r="A227" s="573"/>
      <c r="B227" s="573"/>
      <c r="C227" s="573"/>
      <c r="D227" s="573"/>
      <c r="E227" s="573"/>
      <c r="F227" s="573"/>
      <c r="G227" s="573"/>
      <c r="H227" s="573"/>
      <c r="I227" s="573"/>
      <c r="J227" s="573"/>
      <c r="K227" s="573"/>
      <c r="L227" s="579"/>
      <c r="M227" s="579"/>
      <c r="N227" s="579"/>
      <c r="O227" s="573"/>
      <c r="P227" s="573"/>
      <c r="Q227" s="573"/>
      <c r="R227" s="573"/>
      <c r="S227" s="573"/>
      <c r="T227" s="579"/>
      <c r="U227" s="579"/>
      <c r="V227" s="579"/>
      <c r="W227" s="573"/>
      <c r="X227" s="573"/>
      <c r="Y227" s="573"/>
      <c r="Z227" s="573"/>
      <c r="AA227" s="573"/>
      <c r="AB227" s="573"/>
      <c r="AC227" s="573"/>
      <c r="AD227" s="573"/>
      <c r="AE227" s="573"/>
      <c r="AF227" s="573"/>
      <c r="AG227" s="573"/>
      <c r="AH227" s="573"/>
      <c r="AI227" s="573"/>
      <c r="AJ227" s="573"/>
      <c r="AK227" s="573"/>
      <c r="AL227" s="573"/>
      <c r="AM227" s="573"/>
      <c r="AN227" s="573"/>
    </row>
    <row r="228" spans="1:40" hidden="1" x14ac:dyDescent="0.2">
      <c r="A228" s="573"/>
      <c r="B228" s="573"/>
      <c r="C228" s="573"/>
      <c r="D228" s="573"/>
      <c r="E228" s="573"/>
      <c r="F228" s="573"/>
      <c r="G228" s="573"/>
      <c r="H228" s="573"/>
      <c r="I228" s="573"/>
      <c r="J228" s="573"/>
      <c r="K228" s="573"/>
      <c r="L228" s="579"/>
      <c r="M228" s="579"/>
      <c r="N228" s="579"/>
      <c r="O228" s="573"/>
      <c r="P228" s="573"/>
      <c r="Q228" s="573"/>
      <c r="R228" s="573"/>
      <c r="S228" s="573"/>
      <c r="T228" s="579"/>
      <c r="U228" s="579"/>
      <c r="V228" s="579"/>
      <c r="W228" s="573"/>
      <c r="X228" s="573"/>
      <c r="Y228" s="573"/>
      <c r="Z228" s="573"/>
      <c r="AA228" s="573"/>
      <c r="AB228" s="573"/>
      <c r="AC228" s="573"/>
      <c r="AD228" s="573"/>
      <c r="AE228" s="573"/>
      <c r="AF228" s="573"/>
      <c r="AG228" s="573"/>
      <c r="AH228" s="573"/>
      <c r="AI228" s="573"/>
      <c r="AJ228" s="573"/>
      <c r="AK228" s="573"/>
      <c r="AL228" s="573"/>
      <c r="AM228" s="573"/>
      <c r="AN228" s="573"/>
    </row>
    <row r="229" spans="1:40" hidden="1" x14ac:dyDescent="0.2">
      <c r="A229" s="573"/>
      <c r="B229" s="573"/>
      <c r="C229" s="573"/>
      <c r="D229" s="573"/>
      <c r="E229" s="573"/>
      <c r="F229" s="573"/>
      <c r="G229" s="573"/>
      <c r="H229" s="573"/>
      <c r="I229" s="573"/>
      <c r="J229" s="573"/>
      <c r="K229" s="573"/>
      <c r="L229" s="579"/>
      <c r="M229" s="579"/>
      <c r="N229" s="579"/>
      <c r="O229" s="573"/>
      <c r="P229" s="573"/>
      <c r="Q229" s="573"/>
      <c r="R229" s="573"/>
      <c r="S229" s="573"/>
      <c r="T229" s="579"/>
      <c r="U229" s="579"/>
      <c r="V229" s="579"/>
      <c r="W229" s="573"/>
      <c r="X229" s="573"/>
      <c r="Y229" s="573"/>
      <c r="Z229" s="573"/>
      <c r="AA229" s="573"/>
      <c r="AB229" s="573"/>
      <c r="AC229" s="573"/>
      <c r="AD229" s="573"/>
      <c r="AE229" s="573"/>
      <c r="AF229" s="573"/>
      <c r="AG229" s="573"/>
      <c r="AH229" s="573"/>
      <c r="AI229" s="573"/>
      <c r="AJ229" s="573"/>
      <c r="AK229" s="573"/>
      <c r="AL229" s="573"/>
      <c r="AM229" s="573"/>
      <c r="AN229" s="573"/>
    </row>
    <row r="230" spans="1:40" hidden="1" x14ac:dyDescent="0.2">
      <c r="A230" s="573"/>
      <c r="B230" s="573"/>
      <c r="C230" s="573"/>
      <c r="D230" s="573"/>
      <c r="E230" s="573"/>
      <c r="F230" s="573"/>
      <c r="G230" s="573"/>
      <c r="H230" s="573"/>
      <c r="I230" s="573"/>
      <c r="J230" s="573"/>
      <c r="K230" s="573"/>
      <c r="L230" s="579"/>
      <c r="M230" s="579"/>
      <c r="N230" s="579"/>
      <c r="O230" s="573"/>
      <c r="P230" s="573"/>
      <c r="Q230" s="573"/>
      <c r="R230" s="573"/>
      <c r="S230" s="573"/>
      <c r="T230" s="579"/>
      <c r="U230" s="579"/>
      <c r="V230" s="579"/>
      <c r="W230" s="573"/>
      <c r="X230" s="573"/>
      <c r="Y230" s="573"/>
      <c r="Z230" s="573"/>
      <c r="AA230" s="573"/>
      <c r="AB230" s="573"/>
      <c r="AC230" s="573"/>
      <c r="AD230" s="573"/>
      <c r="AE230" s="573"/>
      <c r="AF230" s="573"/>
      <c r="AG230" s="573"/>
      <c r="AH230" s="573"/>
      <c r="AI230" s="573"/>
      <c r="AJ230" s="573"/>
      <c r="AK230" s="573"/>
      <c r="AL230" s="573"/>
      <c r="AM230" s="573"/>
      <c r="AN230" s="573"/>
    </row>
    <row r="231" spans="1:40" hidden="1" x14ac:dyDescent="0.2">
      <c r="A231" s="573"/>
      <c r="B231" s="573"/>
      <c r="C231" s="573"/>
      <c r="D231" s="573"/>
      <c r="E231" s="573"/>
      <c r="F231" s="573"/>
      <c r="G231" s="573"/>
      <c r="H231" s="573"/>
      <c r="I231" s="573"/>
      <c r="J231" s="573"/>
      <c r="K231" s="573"/>
      <c r="L231" s="579"/>
      <c r="M231" s="579"/>
      <c r="N231" s="579"/>
      <c r="O231" s="573"/>
      <c r="P231" s="573"/>
      <c r="Q231" s="573"/>
      <c r="R231" s="573"/>
      <c r="S231" s="573"/>
      <c r="T231" s="579"/>
      <c r="U231" s="579"/>
      <c r="V231" s="579"/>
      <c r="W231" s="573"/>
      <c r="X231" s="573"/>
      <c r="Y231" s="573"/>
      <c r="Z231" s="573"/>
      <c r="AA231" s="573"/>
      <c r="AB231" s="573"/>
      <c r="AC231" s="573"/>
      <c r="AD231" s="573"/>
      <c r="AE231" s="573"/>
      <c r="AF231" s="573"/>
      <c r="AG231" s="573"/>
      <c r="AH231" s="573"/>
      <c r="AI231" s="573"/>
      <c r="AJ231" s="573"/>
      <c r="AK231" s="573"/>
      <c r="AL231" s="573"/>
      <c r="AM231" s="573"/>
      <c r="AN231" s="573"/>
    </row>
    <row r="232" spans="1:40" hidden="1" x14ac:dyDescent="0.2">
      <c r="A232" s="573"/>
      <c r="B232" s="573"/>
      <c r="C232" s="573"/>
      <c r="D232" s="573"/>
      <c r="E232" s="573"/>
      <c r="F232" s="573"/>
      <c r="G232" s="573"/>
      <c r="H232" s="573"/>
      <c r="I232" s="573"/>
      <c r="J232" s="573"/>
      <c r="K232" s="573"/>
      <c r="L232" s="579"/>
      <c r="M232" s="579"/>
      <c r="N232" s="579"/>
      <c r="O232" s="573"/>
      <c r="P232" s="573"/>
      <c r="Q232" s="573"/>
      <c r="R232" s="573"/>
      <c r="S232" s="573"/>
      <c r="T232" s="579"/>
      <c r="U232" s="579"/>
      <c r="V232" s="579"/>
      <c r="W232" s="573"/>
      <c r="X232" s="573"/>
      <c r="Y232" s="573"/>
      <c r="Z232" s="573"/>
      <c r="AA232" s="573"/>
      <c r="AB232" s="573"/>
      <c r="AC232" s="573"/>
      <c r="AD232" s="573"/>
      <c r="AE232" s="573"/>
      <c r="AF232" s="573"/>
      <c r="AG232" s="573"/>
      <c r="AH232" s="573"/>
      <c r="AI232" s="573"/>
      <c r="AJ232" s="573"/>
      <c r="AK232" s="573"/>
      <c r="AL232" s="573"/>
      <c r="AM232" s="573"/>
      <c r="AN232" s="573"/>
    </row>
    <row r="233" spans="1:40" hidden="1" x14ac:dyDescent="0.2">
      <c r="A233" s="573"/>
      <c r="B233" s="573"/>
      <c r="C233" s="573"/>
      <c r="D233" s="573"/>
      <c r="E233" s="573"/>
      <c r="F233" s="573"/>
      <c r="G233" s="573"/>
      <c r="H233" s="573"/>
      <c r="I233" s="573"/>
      <c r="J233" s="573"/>
      <c r="K233" s="573"/>
      <c r="L233" s="579"/>
      <c r="M233" s="579"/>
      <c r="N233" s="579"/>
      <c r="O233" s="573"/>
      <c r="P233" s="573"/>
      <c r="Q233" s="573"/>
      <c r="R233" s="573"/>
      <c r="S233" s="573"/>
      <c r="T233" s="579"/>
      <c r="U233" s="579"/>
      <c r="V233" s="579"/>
      <c r="W233" s="573"/>
      <c r="X233" s="573"/>
      <c r="Y233" s="573"/>
      <c r="Z233" s="573"/>
      <c r="AA233" s="573"/>
      <c r="AB233" s="573"/>
      <c r="AC233" s="573"/>
      <c r="AD233" s="573"/>
      <c r="AE233" s="573"/>
      <c r="AF233" s="573"/>
      <c r="AG233" s="573"/>
      <c r="AH233" s="573"/>
      <c r="AI233" s="573"/>
      <c r="AJ233" s="573"/>
      <c r="AK233" s="573"/>
      <c r="AL233" s="573"/>
      <c r="AM233" s="573"/>
      <c r="AN233" s="573"/>
    </row>
    <row r="234" spans="1:40" hidden="1" x14ac:dyDescent="0.2">
      <c r="A234" s="573"/>
      <c r="B234" s="573"/>
      <c r="C234" s="573"/>
      <c r="D234" s="573"/>
      <c r="E234" s="573"/>
      <c r="F234" s="573"/>
      <c r="G234" s="573"/>
      <c r="H234" s="573"/>
      <c r="I234" s="573"/>
      <c r="J234" s="573"/>
      <c r="K234" s="573"/>
      <c r="L234" s="579"/>
      <c r="M234" s="579"/>
      <c r="N234" s="579"/>
      <c r="O234" s="573"/>
      <c r="P234" s="573"/>
      <c r="Q234" s="573"/>
      <c r="R234" s="573"/>
      <c r="S234" s="573"/>
      <c r="T234" s="579"/>
      <c r="U234" s="579"/>
      <c r="V234" s="579"/>
      <c r="W234" s="573"/>
      <c r="X234" s="573"/>
      <c r="Y234" s="573"/>
      <c r="Z234" s="573"/>
      <c r="AA234" s="573"/>
      <c r="AB234" s="573"/>
      <c r="AC234" s="573"/>
      <c r="AD234" s="573"/>
      <c r="AE234" s="573"/>
      <c r="AF234" s="573"/>
      <c r="AG234" s="573"/>
      <c r="AH234" s="573"/>
      <c r="AI234" s="573"/>
      <c r="AJ234" s="573"/>
      <c r="AK234" s="573"/>
      <c r="AL234" s="573"/>
      <c r="AM234" s="573"/>
      <c r="AN234" s="573"/>
    </row>
    <row r="235" spans="1:40" hidden="1" x14ac:dyDescent="0.2">
      <c r="A235" s="573"/>
      <c r="B235" s="573"/>
      <c r="C235" s="573"/>
      <c r="D235" s="573"/>
      <c r="E235" s="573"/>
      <c r="F235" s="573"/>
      <c r="G235" s="573"/>
      <c r="H235" s="573"/>
      <c r="I235" s="573"/>
      <c r="J235" s="573"/>
      <c r="K235" s="573"/>
      <c r="L235" s="579"/>
      <c r="M235" s="579"/>
      <c r="N235" s="579"/>
      <c r="O235" s="573"/>
      <c r="P235" s="573"/>
      <c r="Q235" s="573"/>
      <c r="R235" s="573"/>
      <c r="S235" s="573"/>
      <c r="T235" s="579"/>
      <c r="U235" s="579"/>
      <c r="V235" s="579"/>
      <c r="W235" s="573"/>
      <c r="X235" s="573"/>
      <c r="Y235" s="573"/>
      <c r="Z235" s="573"/>
      <c r="AA235" s="573"/>
      <c r="AB235" s="573"/>
      <c r="AC235" s="573"/>
      <c r="AD235" s="573"/>
      <c r="AE235" s="573"/>
      <c r="AF235" s="573"/>
      <c r="AG235" s="573"/>
      <c r="AH235" s="573"/>
      <c r="AI235" s="573"/>
      <c r="AJ235" s="573"/>
      <c r="AK235" s="573"/>
      <c r="AL235" s="573"/>
      <c r="AM235" s="573"/>
      <c r="AN235" s="573"/>
    </row>
    <row r="236" spans="1:40" hidden="1" x14ac:dyDescent="0.2">
      <c r="A236" s="573"/>
      <c r="B236" s="573"/>
      <c r="C236" s="573"/>
      <c r="D236" s="573"/>
      <c r="E236" s="573"/>
      <c r="F236" s="573"/>
      <c r="G236" s="573"/>
      <c r="H236" s="573"/>
      <c r="I236" s="573"/>
      <c r="J236" s="573"/>
      <c r="K236" s="573"/>
      <c r="L236" s="579"/>
      <c r="M236" s="579"/>
      <c r="N236" s="579"/>
      <c r="O236" s="573"/>
      <c r="P236" s="573"/>
      <c r="Q236" s="573"/>
      <c r="R236" s="573"/>
      <c r="S236" s="573"/>
      <c r="T236" s="579"/>
      <c r="U236" s="579"/>
      <c r="V236" s="579"/>
      <c r="W236" s="573"/>
      <c r="X236" s="573"/>
      <c r="Y236" s="573"/>
      <c r="Z236" s="573"/>
      <c r="AA236" s="573"/>
      <c r="AB236" s="573"/>
      <c r="AC236" s="573"/>
      <c r="AD236" s="573"/>
      <c r="AE236" s="573"/>
      <c r="AF236" s="573"/>
      <c r="AG236" s="573"/>
      <c r="AH236" s="573"/>
      <c r="AI236" s="573"/>
      <c r="AJ236" s="573"/>
      <c r="AK236" s="573"/>
      <c r="AL236" s="573"/>
      <c r="AM236" s="573"/>
      <c r="AN236" s="573"/>
    </row>
    <row r="237" spans="1:40" hidden="1" x14ac:dyDescent="0.2">
      <c r="A237" s="573"/>
      <c r="B237" s="573"/>
      <c r="C237" s="573"/>
      <c r="D237" s="573"/>
      <c r="E237" s="573"/>
      <c r="F237" s="573"/>
      <c r="G237" s="573"/>
      <c r="H237" s="573"/>
      <c r="I237" s="573"/>
      <c r="J237" s="573"/>
      <c r="K237" s="573"/>
      <c r="L237" s="579"/>
      <c r="M237" s="579"/>
      <c r="N237" s="579"/>
      <c r="O237" s="573"/>
      <c r="P237" s="573"/>
      <c r="Q237" s="573"/>
      <c r="R237" s="573"/>
      <c r="S237" s="573"/>
      <c r="T237" s="579"/>
      <c r="U237" s="579"/>
      <c r="V237" s="579"/>
      <c r="W237" s="573"/>
      <c r="X237" s="573"/>
      <c r="Y237" s="573"/>
      <c r="Z237" s="573"/>
      <c r="AA237" s="573"/>
      <c r="AB237" s="573"/>
      <c r="AC237" s="573"/>
      <c r="AD237" s="573"/>
      <c r="AE237" s="573"/>
      <c r="AF237" s="573"/>
      <c r="AG237" s="573"/>
      <c r="AH237" s="573"/>
      <c r="AI237" s="573"/>
      <c r="AJ237" s="573"/>
      <c r="AK237" s="573"/>
      <c r="AL237" s="573"/>
      <c r="AM237" s="573"/>
      <c r="AN237" s="573"/>
    </row>
    <row r="238" spans="1:40" hidden="1" x14ac:dyDescent="0.2">
      <c r="A238" s="573"/>
      <c r="B238" s="573"/>
      <c r="C238" s="573"/>
      <c r="D238" s="573"/>
      <c r="E238" s="573"/>
      <c r="F238" s="573"/>
      <c r="G238" s="573"/>
      <c r="H238" s="573"/>
      <c r="I238" s="573"/>
      <c r="J238" s="573"/>
      <c r="K238" s="573"/>
      <c r="L238" s="579"/>
      <c r="M238" s="579"/>
      <c r="N238" s="579"/>
      <c r="O238" s="573"/>
      <c r="P238" s="573"/>
      <c r="Q238" s="573"/>
      <c r="R238" s="573"/>
      <c r="S238" s="573"/>
      <c r="T238" s="579"/>
      <c r="U238" s="579"/>
      <c r="V238" s="579"/>
      <c r="W238" s="573"/>
      <c r="X238" s="573"/>
      <c r="Y238" s="573"/>
      <c r="Z238" s="573"/>
      <c r="AA238" s="573"/>
      <c r="AB238" s="573"/>
      <c r="AC238" s="573"/>
      <c r="AD238" s="573"/>
      <c r="AE238" s="573"/>
      <c r="AF238" s="573"/>
      <c r="AG238" s="573"/>
      <c r="AH238" s="573"/>
      <c r="AI238" s="573"/>
      <c r="AJ238" s="573"/>
      <c r="AK238" s="573"/>
      <c r="AL238" s="573"/>
      <c r="AM238" s="573"/>
      <c r="AN238" s="573"/>
    </row>
    <row r="239" spans="1:40" hidden="1" x14ac:dyDescent="0.2">
      <c r="A239" s="573"/>
      <c r="B239" s="573"/>
      <c r="C239" s="573"/>
      <c r="D239" s="573"/>
      <c r="E239" s="573"/>
      <c r="F239" s="573"/>
      <c r="G239" s="573"/>
      <c r="H239" s="573"/>
      <c r="I239" s="573"/>
      <c r="J239" s="573"/>
      <c r="K239" s="573"/>
      <c r="L239" s="579"/>
      <c r="M239" s="579"/>
      <c r="N239" s="579"/>
      <c r="O239" s="573"/>
      <c r="P239" s="573"/>
      <c r="Q239" s="573"/>
      <c r="R239" s="573"/>
      <c r="S239" s="573"/>
      <c r="T239" s="579"/>
      <c r="U239" s="579"/>
      <c r="V239" s="579"/>
      <c r="W239" s="573"/>
      <c r="X239" s="573"/>
      <c r="Y239" s="573"/>
      <c r="Z239" s="573"/>
      <c r="AA239" s="573"/>
      <c r="AB239" s="573"/>
      <c r="AC239" s="573"/>
      <c r="AD239" s="573"/>
      <c r="AE239" s="573"/>
      <c r="AF239" s="573"/>
      <c r="AG239" s="573"/>
      <c r="AH239" s="573"/>
      <c r="AI239" s="573"/>
      <c r="AJ239" s="573"/>
      <c r="AK239" s="573"/>
      <c r="AL239" s="573"/>
      <c r="AM239" s="573"/>
      <c r="AN239" s="573"/>
    </row>
    <row r="240" spans="1:40" hidden="1" x14ac:dyDescent="0.2">
      <c r="A240" s="573"/>
      <c r="B240" s="573"/>
      <c r="C240" s="573"/>
      <c r="D240" s="573"/>
      <c r="E240" s="573"/>
      <c r="F240" s="573"/>
      <c r="G240" s="573"/>
      <c r="H240" s="573"/>
      <c r="I240" s="573"/>
      <c r="J240" s="573"/>
      <c r="K240" s="573"/>
      <c r="L240" s="579"/>
      <c r="M240" s="579"/>
      <c r="N240" s="579"/>
      <c r="O240" s="573"/>
      <c r="P240" s="573"/>
      <c r="Q240" s="573"/>
      <c r="R240" s="573"/>
      <c r="S240" s="573"/>
      <c r="T240" s="579"/>
      <c r="U240" s="579"/>
      <c r="V240" s="579"/>
      <c r="W240" s="573"/>
      <c r="X240" s="573"/>
      <c r="Y240" s="573"/>
      <c r="Z240" s="573"/>
      <c r="AA240" s="573"/>
      <c r="AB240" s="573"/>
      <c r="AC240" s="573"/>
      <c r="AD240" s="573"/>
      <c r="AE240" s="573"/>
      <c r="AF240" s="573"/>
      <c r="AG240" s="573"/>
      <c r="AH240" s="573"/>
      <c r="AI240" s="573"/>
      <c r="AJ240" s="573"/>
      <c r="AK240" s="573"/>
      <c r="AL240" s="573"/>
      <c r="AM240" s="573"/>
      <c r="AN240" s="573"/>
    </row>
    <row r="241" spans="1:40" hidden="1" x14ac:dyDescent="0.2">
      <c r="A241" s="573"/>
      <c r="B241" s="573"/>
      <c r="C241" s="573"/>
      <c r="D241" s="573"/>
      <c r="E241" s="573"/>
      <c r="F241" s="573"/>
      <c r="G241" s="573"/>
      <c r="H241" s="573"/>
      <c r="I241" s="573"/>
      <c r="J241" s="573"/>
      <c r="K241" s="573"/>
      <c r="L241" s="579"/>
      <c r="M241" s="579"/>
      <c r="N241" s="579"/>
      <c r="O241" s="573"/>
      <c r="P241" s="573"/>
      <c r="Q241" s="573"/>
      <c r="R241" s="573"/>
      <c r="S241" s="573"/>
      <c r="T241" s="579"/>
      <c r="U241" s="579"/>
      <c r="V241" s="579"/>
      <c r="W241" s="573"/>
      <c r="X241" s="573"/>
      <c r="Y241" s="573"/>
      <c r="Z241" s="573"/>
      <c r="AA241" s="573"/>
      <c r="AB241" s="573"/>
      <c r="AC241" s="573"/>
      <c r="AD241" s="573"/>
      <c r="AE241" s="573"/>
      <c r="AF241" s="573"/>
      <c r="AG241" s="573"/>
      <c r="AH241" s="573"/>
      <c r="AI241" s="573"/>
      <c r="AJ241" s="573"/>
      <c r="AK241" s="573"/>
      <c r="AL241" s="573"/>
      <c r="AM241" s="573"/>
      <c r="AN241" s="573"/>
    </row>
    <row r="242" spans="1:40" hidden="1" x14ac:dyDescent="0.2">
      <c r="A242" s="573"/>
      <c r="B242" s="573"/>
      <c r="C242" s="573"/>
      <c r="D242" s="573"/>
      <c r="E242" s="573"/>
      <c r="F242" s="573"/>
      <c r="G242" s="573"/>
      <c r="H242" s="573"/>
      <c r="I242" s="573"/>
      <c r="J242" s="573"/>
      <c r="K242" s="573"/>
      <c r="L242" s="579"/>
      <c r="M242" s="579"/>
      <c r="N242" s="579"/>
      <c r="O242" s="573"/>
      <c r="P242" s="573"/>
      <c r="Q242" s="573"/>
      <c r="R242" s="573"/>
      <c r="S242" s="573"/>
      <c r="T242" s="579"/>
      <c r="U242" s="579"/>
      <c r="V242" s="579"/>
      <c r="W242" s="573"/>
      <c r="X242" s="573"/>
      <c r="Y242" s="573"/>
      <c r="Z242" s="573"/>
      <c r="AA242" s="573"/>
      <c r="AB242" s="573"/>
      <c r="AC242" s="573"/>
      <c r="AD242" s="573"/>
      <c r="AE242" s="573"/>
      <c r="AF242" s="573"/>
      <c r="AG242" s="573"/>
      <c r="AH242" s="573"/>
      <c r="AI242" s="573"/>
      <c r="AJ242" s="573"/>
      <c r="AK242" s="573"/>
      <c r="AL242" s="573"/>
      <c r="AM242" s="573"/>
      <c r="AN242" s="573"/>
    </row>
    <row r="243" spans="1:40" hidden="1" x14ac:dyDescent="0.2">
      <c r="A243" s="573"/>
      <c r="B243" s="573"/>
      <c r="C243" s="573"/>
      <c r="D243" s="573"/>
      <c r="E243" s="573"/>
      <c r="F243" s="573"/>
      <c r="G243" s="573"/>
      <c r="H243" s="573"/>
      <c r="I243" s="573"/>
      <c r="J243" s="573"/>
      <c r="K243" s="573"/>
      <c r="L243" s="579"/>
      <c r="M243" s="579"/>
      <c r="N243" s="579"/>
      <c r="O243" s="573"/>
      <c r="P243" s="573"/>
      <c r="Q243" s="573"/>
      <c r="R243" s="573"/>
      <c r="S243" s="573"/>
      <c r="T243" s="579"/>
      <c r="U243" s="579"/>
      <c r="V243" s="579"/>
      <c r="W243" s="573"/>
      <c r="X243" s="573"/>
      <c r="Y243" s="573"/>
      <c r="Z243" s="573"/>
      <c r="AA243" s="573"/>
      <c r="AB243" s="573"/>
      <c r="AC243" s="573"/>
      <c r="AD243" s="573"/>
      <c r="AE243" s="573"/>
      <c r="AF243" s="573"/>
      <c r="AG243" s="573"/>
      <c r="AH243" s="573"/>
      <c r="AI243" s="573"/>
      <c r="AJ243" s="573"/>
      <c r="AK243" s="573"/>
      <c r="AL243" s="573"/>
      <c r="AM243" s="573"/>
      <c r="AN243" s="573"/>
    </row>
    <row r="244" spans="1:40" hidden="1" x14ac:dyDescent="0.2">
      <c r="A244" s="573"/>
      <c r="B244" s="573"/>
      <c r="C244" s="573"/>
      <c r="D244" s="573"/>
      <c r="E244" s="573"/>
      <c r="F244" s="573"/>
      <c r="G244" s="573"/>
      <c r="H244" s="573"/>
      <c r="I244" s="573"/>
      <c r="J244" s="573"/>
      <c r="K244" s="573"/>
      <c r="L244" s="579"/>
      <c r="M244" s="579"/>
      <c r="N244" s="579"/>
      <c r="O244" s="573"/>
      <c r="P244" s="573"/>
      <c r="Q244" s="573"/>
      <c r="R244" s="573"/>
      <c r="S244" s="573"/>
      <c r="T244" s="579"/>
      <c r="U244" s="579"/>
      <c r="V244" s="579"/>
      <c r="W244" s="573"/>
      <c r="X244" s="573"/>
      <c r="Y244" s="573"/>
      <c r="Z244" s="573"/>
      <c r="AA244" s="573"/>
      <c r="AB244" s="573"/>
      <c r="AC244" s="573"/>
      <c r="AD244" s="573"/>
      <c r="AE244" s="573"/>
      <c r="AF244" s="573"/>
      <c r="AG244" s="573"/>
      <c r="AH244" s="573"/>
      <c r="AI244" s="573"/>
      <c r="AJ244" s="573"/>
      <c r="AK244" s="573"/>
      <c r="AL244" s="573"/>
      <c r="AM244" s="573"/>
      <c r="AN244" s="573"/>
    </row>
    <row r="245" spans="1:40" hidden="1" x14ac:dyDescent="0.2">
      <c r="A245" s="573"/>
      <c r="B245" s="573"/>
      <c r="C245" s="573"/>
      <c r="D245" s="573"/>
      <c r="E245" s="573"/>
      <c r="F245" s="573"/>
      <c r="G245" s="573"/>
      <c r="H245" s="573"/>
      <c r="I245" s="573"/>
      <c r="J245" s="573"/>
      <c r="K245" s="573"/>
      <c r="L245" s="579"/>
      <c r="M245" s="579"/>
      <c r="N245" s="579"/>
      <c r="O245" s="573"/>
      <c r="P245" s="573"/>
      <c r="Q245" s="573"/>
      <c r="R245" s="573"/>
      <c r="S245" s="573"/>
      <c r="T245" s="579"/>
      <c r="U245" s="579"/>
      <c r="V245" s="579"/>
      <c r="W245" s="573"/>
      <c r="X245" s="573"/>
      <c r="Y245" s="573"/>
      <c r="Z245" s="573"/>
      <c r="AA245" s="573"/>
      <c r="AB245" s="573"/>
      <c r="AC245" s="573"/>
      <c r="AD245" s="573"/>
      <c r="AE245" s="573"/>
      <c r="AF245" s="573"/>
      <c r="AG245" s="573"/>
      <c r="AH245" s="573"/>
      <c r="AI245" s="573"/>
      <c r="AJ245" s="573"/>
      <c r="AK245" s="573"/>
      <c r="AL245" s="573"/>
      <c r="AM245" s="573"/>
      <c r="AN245" s="573"/>
    </row>
    <row r="246" spans="1:40" hidden="1" x14ac:dyDescent="0.2">
      <c r="A246" s="573"/>
      <c r="B246" s="573"/>
      <c r="C246" s="573"/>
      <c r="D246" s="573"/>
      <c r="E246" s="573"/>
      <c r="F246" s="573"/>
      <c r="G246" s="573"/>
      <c r="H246" s="573"/>
      <c r="I246" s="573"/>
      <c r="J246" s="573"/>
      <c r="K246" s="573"/>
      <c r="L246" s="579"/>
      <c r="M246" s="579"/>
      <c r="N246" s="579"/>
      <c r="O246" s="573"/>
      <c r="P246" s="573"/>
      <c r="Q246" s="573"/>
      <c r="R246" s="573"/>
      <c r="S246" s="573"/>
      <c r="T246" s="579"/>
      <c r="U246" s="579"/>
      <c r="V246" s="579"/>
      <c r="W246" s="573"/>
      <c r="X246" s="573"/>
      <c r="Y246" s="573"/>
      <c r="Z246" s="573"/>
      <c r="AA246" s="573"/>
      <c r="AB246" s="573"/>
      <c r="AC246" s="573"/>
      <c r="AD246" s="573"/>
      <c r="AE246" s="573"/>
      <c r="AF246" s="573"/>
      <c r="AG246" s="573"/>
      <c r="AH246" s="573"/>
      <c r="AI246" s="573"/>
      <c r="AJ246" s="573"/>
      <c r="AK246" s="573"/>
      <c r="AL246" s="573"/>
      <c r="AM246" s="573"/>
      <c r="AN246" s="573"/>
    </row>
    <row r="247" spans="1:40" hidden="1" x14ac:dyDescent="0.2">
      <c r="A247" s="573"/>
      <c r="B247" s="573"/>
      <c r="C247" s="573"/>
      <c r="D247" s="573"/>
      <c r="E247" s="573"/>
      <c r="F247" s="573"/>
      <c r="G247" s="573"/>
      <c r="H247" s="573"/>
      <c r="I247" s="573"/>
      <c r="J247" s="573"/>
      <c r="K247" s="573"/>
      <c r="L247" s="579"/>
      <c r="M247" s="579"/>
      <c r="N247" s="579"/>
      <c r="O247" s="573"/>
      <c r="P247" s="573"/>
      <c r="Q247" s="573"/>
      <c r="R247" s="573"/>
      <c r="S247" s="573"/>
      <c r="T247" s="579"/>
      <c r="U247" s="579"/>
      <c r="V247" s="579"/>
      <c r="W247" s="573"/>
      <c r="X247" s="573"/>
      <c r="Y247" s="573"/>
      <c r="Z247" s="573"/>
      <c r="AA247" s="573"/>
      <c r="AB247" s="573"/>
      <c r="AC247" s="573"/>
      <c r="AD247" s="573"/>
      <c r="AE247" s="573"/>
      <c r="AF247" s="573"/>
      <c r="AG247" s="573"/>
      <c r="AH247" s="573"/>
      <c r="AI247" s="573"/>
      <c r="AJ247" s="573"/>
      <c r="AK247" s="573"/>
      <c r="AL247" s="573"/>
      <c r="AM247" s="573"/>
      <c r="AN247" s="573"/>
    </row>
    <row r="248" spans="1:40" hidden="1" x14ac:dyDescent="0.2">
      <c r="A248" s="573"/>
      <c r="B248" s="573"/>
      <c r="C248" s="573"/>
      <c r="D248" s="573"/>
      <c r="E248" s="573"/>
      <c r="F248" s="573"/>
      <c r="G248" s="573"/>
      <c r="H248" s="573"/>
      <c r="I248" s="573"/>
      <c r="J248" s="573"/>
      <c r="K248" s="573"/>
      <c r="L248" s="579"/>
      <c r="M248" s="579"/>
      <c r="N248" s="579"/>
      <c r="O248" s="573"/>
      <c r="P248" s="573"/>
      <c r="Q248" s="573"/>
      <c r="R248" s="573"/>
      <c r="S248" s="573"/>
      <c r="T248" s="579"/>
      <c r="U248" s="579"/>
      <c r="V248" s="579"/>
      <c r="W248" s="573"/>
      <c r="X248" s="573"/>
      <c r="Y248" s="573"/>
      <c r="Z248" s="573"/>
      <c r="AA248" s="573"/>
      <c r="AB248" s="573"/>
      <c r="AC248" s="573"/>
      <c r="AD248" s="573"/>
      <c r="AE248" s="573"/>
      <c r="AF248" s="573"/>
      <c r="AG248" s="573"/>
      <c r="AH248" s="573"/>
      <c r="AI248" s="573"/>
      <c r="AJ248" s="573"/>
      <c r="AK248" s="573"/>
      <c r="AL248" s="573"/>
      <c r="AM248" s="573"/>
      <c r="AN248" s="573"/>
    </row>
    <row r="249" spans="1:40" hidden="1" x14ac:dyDescent="0.2">
      <c r="A249" s="573"/>
      <c r="B249" s="573"/>
      <c r="C249" s="573"/>
      <c r="D249" s="573"/>
      <c r="E249" s="573"/>
      <c r="F249" s="573"/>
      <c r="G249" s="573"/>
      <c r="H249" s="573"/>
      <c r="I249" s="573"/>
      <c r="J249" s="573"/>
      <c r="K249" s="573"/>
      <c r="L249" s="579"/>
      <c r="M249" s="579"/>
      <c r="N249" s="579"/>
      <c r="O249" s="573"/>
      <c r="P249" s="573"/>
      <c r="Q249" s="573"/>
      <c r="R249" s="573"/>
      <c r="S249" s="573"/>
      <c r="T249" s="579"/>
      <c r="U249" s="579"/>
      <c r="V249" s="579"/>
      <c r="W249" s="573"/>
      <c r="X249" s="573"/>
      <c r="Y249" s="573"/>
      <c r="Z249" s="573"/>
      <c r="AA249" s="573"/>
      <c r="AB249" s="573"/>
      <c r="AC249" s="573"/>
      <c r="AD249" s="573"/>
      <c r="AE249" s="573"/>
      <c r="AF249" s="573"/>
      <c r="AG249" s="573"/>
      <c r="AH249" s="573"/>
      <c r="AI249" s="573"/>
      <c r="AJ249" s="573"/>
      <c r="AK249" s="573"/>
      <c r="AL249" s="573"/>
      <c r="AM249" s="573"/>
      <c r="AN249" s="573"/>
    </row>
    <row r="250" spans="1:40" hidden="1" x14ac:dyDescent="0.2">
      <c r="A250" s="573"/>
      <c r="B250" s="573"/>
      <c r="C250" s="573"/>
      <c r="D250" s="573"/>
      <c r="E250" s="573"/>
      <c r="F250" s="573"/>
      <c r="G250" s="573"/>
      <c r="H250" s="573"/>
      <c r="I250" s="573"/>
      <c r="J250" s="573"/>
      <c r="K250" s="573"/>
      <c r="L250" s="579"/>
      <c r="M250" s="579"/>
      <c r="N250" s="579"/>
      <c r="O250" s="573"/>
      <c r="P250" s="573"/>
      <c r="Q250" s="573"/>
      <c r="R250" s="573"/>
      <c r="S250" s="573"/>
      <c r="T250" s="579"/>
      <c r="U250" s="579"/>
      <c r="V250" s="579"/>
      <c r="W250" s="573"/>
      <c r="X250" s="573"/>
      <c r="Y250" s="573"/>
      <c r="Z250" s="573"/>
      <c r="AA250" s="573"/>
      <c r="AB250" s="573"/>
      <c r="AC250" s="573"/>
      <c r="AD250" s="573"/>
      <c r="AE250" s="573"/>
      <c r="AF250" s="573"/>
      <c r="AG250" s="573"/>
      <c r="AH250" s="573"/>
      <c r="AI250" s="573"/>
      <c r="AJ250" s="573"/>
      <c r="AK250" s="573"/>
      <c r="AL250" s="573"/>
      <c r="AM250" s="573"/>
      <c r="AN250" s="573"/>
    </row>
    <row r="251" spans="1:40" hidden="1" x14ac:dyDescent="0.2">
      <c r="A251" s="573"/>
      <c r="B251" s="573"/>
      <c r="C251" s="573"/>
      <c r="D251" s="573"/>
      <c r="E251" s="573"/>
      <c r="F251" s="573"/>
      <c r="G251" s="573"/>
      <c r="H251" s="573"/>
      <c r="I251" s="573"/>
      <c r="J251" s="573"/>
      <c r="K251" s="573"/>
      <c r="L251" s="579"/>
      <c r="M251" s="579"/>
      <c r="N251" s="579"/>
      <c r="O251" s="573"/>
      <c r="P251" s="573"/>
      <c r="Q251" s="573"/>
      <c r="R251" s="573"/>
      <c r="S251" s="573"/>
      <c r="T251" s="579"/>
      <c r="U251" s="579"/>
      <c r="V251" s="579"/>
      <c r="W251" s="573"/>
      <c r="X251" s="573"/>
      <c r="Y251" s="573"/>
      <c r="Z251" s="573"/>
      <c r="AA251" s="573"/>
      <c r="AB251" s="573"/>
      <c r="AC251" s="573"/>
      <c r="AD251" s="573"/>
      <c r="AE251" s="573"/>
      <c r="AF251" s="573"/>
      <c r="AG251" s="573"/>
      <c r="AH251" s="573"/>
      <c r="AI251" s="573"/>
      <c r="AJ251" s="573"/>
      <c r="AK251" s="573"/>
      <c r="AL251" s="573"/>
      <c r="AM251" s="573"/>
      <c r="AN251" s="573"/>
    </row>
    <row r="252" spans="1:40" hidden="1" x14ac:dyDescent="0.2">
      <c r="A252" s="573"/>
      <c r="B252" s="573"/>
      <c r="C252" s="573"/>
      <c r="D252" s="573"/>
      <c r="E252" s="573"/>
      <c r="F252" s="573"/>
      <c r="G252" s="573"/>
      <c r="H252" s="573"/>
      <c r="I252" s="573"/>
      <c r="J252" s="573"/>
      <c r="K252" s="573"/>
      <c r="L252" s="579"/>
      <c r="M252" s="579"/>
      <c r="N252" s="579"/>
      <c r="O252" s="573"/>
      <c r="P252" s="573"/>
      <c r="Q252" s="573"/>
      <c r="R252" s="573"/>
      <c r="S252" s="573"/>
      <c r="T252" s="579"/>
      <c r="U252" s="579"/>
      <c r="V252" s="579"/>
      <c r="W252" s="573"/>
      <c r="X252" s="573"/>
      <c r="Y252" s="573"/>
      <c r="Z252" s="573"/>
      <c r="AA252" s="573"/>
      <c r="AB252" s="573"/>
      <c r="AC252" s="573"/>
      <c r="AD252" s="573"/>
      <c r="AE252" s="573"/>
      <c r="AF252" s="573"/>
      <c r="AG252" s="573"/>
      <c r="AH252" s="573"/>
      <c r="AI252" s="573"/>
      <c r="AJ252" s="573"/>
      <c r="AK252" s="573"/>
      <c r="AL252" s="573"/>
      <c r="AM252" s="573"/>
      <c r="AN252" s="573"/>
    </row>
    <row r="253" spans="1:40" hidden="1" x14ac:dyDescent="0.2">
      <c r="A253" s="573"/>
      <c r="B253" s="573"/>
      <c r="C253" s="573"/>
      <c r="D253" s="573"/>
      <c r="E253" s="573"/>
      <c r="F253" s="573"/>
      <c r="G253" s="573"/>
      <c r="H253" s="573"/>
      <c r="I253" s="573"/>
      <c r="J253" s="573"/>
      <c r="K253" s="573"/>
      <c r="L253" s="579"/>
      <c r="M253" s="579"/>
      <c r="N253" s="579"/>
      <c r="O253" s="573"/>
      <c r="P253" s="573"/>
      <c r="Q253" s="573"/>
      <c r="R253" s="573"/>
      <c r="S253" s="573"/>
      <c r="T253" s="579"/>
      <c r="U253" s="579"/>
      <c r="V253" s="579"/>
      <c r="W253" s="573"/>
      <c r="X253" s="573"/>
      <c r="Y253" s="573"/>
      <c r="Z253" s="573"/>
      <c r="AA253" s="573"/>
      <c r="AB253" s="573"/>
      <c r="AC253" s="573"/>
      <c r="AD253" s="573"/>
      <c r="AE253" s="573"/>
      <c r="AF253" s="573"/>
      <c r="AG253" s="573"/>
      <c r="AH253" s="573"/>
      <c r="AI253" s="573"/>
      <c r="AJ253" s="573"/>
      <c r="AK253" s="573"/>
      <c r="AL253" s="573"/>
      <c r="AM253" s="573"/>
      <c r="AN253" s="573"/>
    </row>
    <row r="254" spans="1:40" hidden="1" x14ac:dyDescent="0.2">
      <c r="A254" s="573"/>
      <c r="B254" s="573"/>
      <c r="C254" s="573"/>
      <c r="D254" s="573"/>
      <c r="E254" s="573"/>
      <c r="F254" s="573"/>
      <c r="G254" s="573"/>
      <c r="H254" s="573"/>
      <c r="I254" s="573"/>
      <c r="J254" s="573"/>
      <c r="K254" s="573"/>
      <c r="L254" s="579"/>
      <c r="M254" s="579"/>
      <c r="N254" s="579"/>
      <c r="O254" s="573"/>
      <c r="P254" s="573"/>
      <c r="Q254" s="573"/>
      <c r="R254" s="573"/>
      <c r="S254" s="573"/>
      <c r="T254" s="579"/>
      <c r="U254" s="579"/>
      <c r="V254" s="579"/>
      <c r="W254" s="573"/>
      <c r="X254" s="573"/>
      <c r="Y254" s="573"/>
      <c r="Z254" s="573"/>
      <c r="AA254" s="573"/>
      <c r="AB254" s="573"/>
      <c r="AC254" s="573"/>
      <c r="AD254" s="573"/>
      <c r="AE254" s="573"/>
      <c r="AF254" s="573"/>
      <c r="AG254" s="573"/>
      <c r="AH254" s="573"/>
      <c r="AI254" s="573"/>
      <c r="AJ254" s="573"/>
      <c r="AK254" s="573"/>
      <c r="AL254" s="573"/>
      <c r="AM254" s="573"/>
      <c r="AN254" s="573"/>
    </row>
    <row r="255" spans="1:40" hidden="1" x14ac:dyDescent="0.2">
      <c r="A255" s="573"/>
      <c r="B255" s="573"/>
      <c r="C255" s="573"/>
      <c r="D255" s="573"/>
      <c r="E255" s="573"/>
      <c r="F255" s="573"/>
      <c r="G255" s="573"/>
      <c r="H255" s="573"/>
      <c r="I255" s="573"/>
      <c r="J255" s="573"/>
      <c r="K255" s="573"/>
      <c r="L255" s="579"/>
      <c r="M255" s="579"/>
      <c r="N255" s="579"/>
      <c r="O255" s="573"/>
      <c r="P255" s="573"/>
      <c r="Q255" s="573"/>
      <c r="R255" s="573"/>
      <c r="S255" s="573"/>
      <c r="T255" s="579"/>
      <c r="U255" s="579"/>
      <c r="V255" s="579"/>
      <c r="W255" s="573"/>
      <c r="X255" s="573"/>
      <c r="Y255" s="573"/>
      <c r="Z255" s="573"/>
      <c r="AA255" s="573"/>
      <c r="AB255" s="573"/>
      <c r="AC255" s="573"/>
      <c r="AD255" s="573"/>
      <c r="AE255" s="573"/>
      <c r="AF255" s="573"/>
      <c r="AG255" s="573"/>
      <c r="AH255" s="573"/>
      <c r="AI255" s="573"/>
      <c r="AJ255" s="573"/>
      <c r="AK255" s="573"/>
      <c r="AL255" s="573"/>
      <c r="AM255" s="573"/>
      <c r="AN255" s="573"/>
    </row>
    <row r="256" spans="1:40" hidden="1" x14ac:dyDescent="0.2">
      <c r="A256" s="573"/>
      <c r="B256" s="573"/>
      <c r="C256" s="573"/>
      <c r="D256" s="573"/>
      <c r="E256" s="573"/>
      <c r="F256" s="573"/>
      <c r="G256" s="573"/>
      <c r="H256" s="573"/>
      <c r="I256" s="573"/>
      <c r="J256" s="573"/>
      <c r="K256" s="573"/>
      <c r="L256" s="579"/>
      <c r="M256" s="579"/>
      <c r="N256" s="579"/>
      <c r="O256" s="573"/>
      <c r="P256" s="573"/>
      <c r="Q256" s="573"/>
      <c r="R256" s="573"/>
      <c r="S256" s="573"/>
      <c r="T256" s="579"/>
      <c r="U256" s="579"/>
      <c r="V256" s="579"/>
      <c r="W256" s="573"/>
      <c r="X256" s="573"/>
      <c r="Y256" s="573"/>
      <c r="Z256" s="573"/>
      <c r="AA256" s="573"/>
      <c r="AB256" s="573"/>
      <c r="AC256" s="573"/>
      <c r="AD256" s="573"/>
      <c r="AE256" s="573"/>
      <c r="AF256" s="573"/>
      <c r="AG256" s="573"/>
      <c r="AH256" s="573"/>
      <c r="AI256" s="573"/>
      <c r="AJ256" s="573"/>
      <c r="AK256" s="573"/>
      <c r="AL256" s="573"/>
      <c r="AM256" s="573"/>
      <c r="AN256" s="573"/>
    </row>
    <row r="257" spans="1:40" hidden="1" x14ac:dyDescent="0.2">
      <c r="A257" s="573"/>
      <c r="B257" s="573"/>
      <c r="C257" s="573"/>
      <c r="D257" s="573"/>
      <c r="E257" s="573"/>
      <c r="F257" s="573"/>
      <c r="G257" s="573"/>
      <c r="H257" s="573"/>
      <c r="I257" s="573"/>
      <c r="J257" s="573"/>
      <c r="K257" s="573"/>
      <c r="L257" s="579"/>
      <c r="M257" s="579"/>
      <c r="N257" s="579"/>
      <c r="O257" s="573"/>
      <c r="P257" s="573"/>
      <c r="Q257" s="573"/>
      <c r="R257" s="573"/>
      <c r="S257" s="573"/>
      <c r="T257" s="579"/>
      <c r="U257" s="579"/>
      <c r="V257" s="579"/>
      <c r="W257" s="573"/>
      <c r="X257" s="573"/>
      <c r="Y257" s="573"/>
      <c r="Z257" s="573"/>
      <c r="AA257" s="573"/>
      <c r="AB257" s="573"/>
      <c r="AC257" s="573"/>
      <c r="AD257" s="573"/>
      <c r="AE257" s="573"/>
      <c r="AF257" s="573"/>
      <c r="AG257" s="573"/>
      <c r="AH257" s="573"/>
      <c r="AI257" s="573"/>
      <c r="AJ257" s="573"/>
      <c r="AK257" s="573"/>
      <c r="AL257" s="573"/>
      <c r="AM257" s="573"/>
      <c r="AN257" s="573"/>
    </row>
    <row r="258" spans="1:40" hidden="1" x14ac:dyDescent="0.2">
      <c r="A258" s="573"/>
      <c r="B258" s="573"/>
      <c r="C258" s="573"/>
      <c r="D258" s="573"/>
      <c r="E258" s="573"/>
      <c r="F258" s="573"/>
      <c r="G258" s="573"/>
      <c r="H258" s="573"/>
      <c r="I258" s="573"/>
      <c r="J258" s="573"/>
      <c r="K258" s="573"/>
      <c r="L258" s="579"/>
      <c r="M258" s="579"/>
      <c r="N258" s="579"/>
      <c r="O258" s="573"/>
      <c r="P258" s="573"/>
      <c r="Q258" s="573"/>
      <c r="R258" s="573"/>
      <c r="S258" s="573"/>
      <c r="T258" s="579"/>
      <c r="U258" s="579"/>
      <c r="V258" s="579"/>
      <c r="W258" s="573"/>
      <c r="X258" s="573"/>
      <c r="Y258" s="573"/>
      <c r="Z258" s="573"/>
      <c r="AA258" s="573"/>
      <c r="AB258" s="573"/>
      <c r="AC258" s="573"/>
      <c r="AD258" s="573"/>
      <c r="AE258" s="573"/>
      <c r="AF258" s="573"/>
      <c r="AG258" s="573"/>
      <c r="AH258" s="573"/>
      <c r="AI258" s="573"/>
      <c r="AJ258" s="573"/>
      <c r="AK258" s="573"/>
      <c r="AL258" s="573"/>
      <c r="AM258" s="573"/>
      <c r="AN258" s="573"/>
    </row>
    <row r="259" spans="1:40" hidden="1" x14ac:dyDescent="0.2">
      <c r="A259" s="573"/>
      <c r="B259" s="573"/>
      <c r="C259" s="573"/>
      <c r="D259" s="573"/>
      <c r="E259" s="573"/>
      <c r="F259" s="573"/>
      <c r="G259" s="573"/>
      <c r="H259" s="573"/>
      <c r="I259" s="573"/>
      <c r="J259" s="573"/>
      <c r="K259" s="573"/>
      <c r="L259" s="579"/>
      <c r="M259" s="579"/>
      <c r="N259" s="579"/>
      <c r="O259" s="573"/>
      <c r="P259" s="573"/>
      <c r="Q259" s="573"/>
      <c r="R259" s="573"/>
      <c r="S259" s="573"/>
      <c r="T259" s="579"/>
      <c r="U259" s="579"/>
      <c r="V259" s="579"/>
      <c r="W259" s="573"/>
      <c r="X259" s="573"/>
      <c r="Y259" s="573"/>
      <c r="Z259" s="573"/>
      <c r="AA259" s="573"/>
      <c r="AB259" s="573"/>
      <c r="AC259" s="573"/>
      <c r="AD259" s="573"/>
      <c r="AE259" s="573"/>
      <c r="AF259" s="573"/>
      <c r="AG259" s="573"/>
      <c r="AH259" s="573"/>
      <c r="AI259" s="573"/>
      <c r="AJ259" s="573"/>
      <c r="AK259" s="573"/>
      <c r="AL259" s="573"/>
      <c r="AM259" s="573"/>
      <c r="AN259" s="573"/>
    </row>
    <row r="260" spans="1:40" hidden="1" x14ac:dyDescent="0.2">
      <c r="A260" s="573"/>
      <c r="B260" s="573"/>
      <c r="C260" s="573"/>
      <c r="D260" s="573"/>
      <c r="E260" s="573"/>
      <c r="F260" s="573"/>
      <c r="G260" s="573"/>
      <c r="H260" s="573"/>
      <c r="I260" s="573"/>
      <c r="J260" s="573"/>
      <c r="K260" s="573"/>
      <c r="L260" s="579"/>
      <c r="M260" s="579"/>
      <c r="N260" s="579"/>
      <c r="O260" s="573"/>
      <c r="P260" s="573"/>
      <c r="Q260" s="573"/>
      <c r="R260" s="573"/>
      <c r="S260" s="573"/>
      <c r="T260" s="579"/>
      <c r="U260" s="579"/>
      <c r="V260" s="579"/>
      <c r="W260" s="573"/>
      <c r="X260" s="573"/>
      <c r="Y260" s="573"/>
      <c r="Z260" s="573"/>
      <c r="AA260" s="573"/>
      <c r="AB260" s="573"/>
      <c r="AC260" s="573"/>
      <c r="AD260" s="573"/>
      <c r="AE260" s="573"/>
      <c r="AF260" s="573"/>
      <c r="AG260" s="573"/>
      <c r="AH260" s="573"/>
      <c r="AI260" s="573"/>
      <c r="AJ260" s="573"/>
      <c r="AK260" s="573"/>
      <c r="AL260" s="573"/>
      <c r="AM260" s="573"/>
      <c r="AN260" s="573"/>
    </row>
    <row r="261" spans="1:40" hidden="1" x14ac:dyDescent="0.2">
      <c r="A261" s="573"/>
      <c r="B261" s="573"/>
      <c r="C261" s="573"/>
      <c r="D261" s="573"/>
      <c r="E261" s="573"/>
      <c r="F261" s="573"/>
      <c r="G261" s="573"/>
      <c r="H261" s="573"/>
      <c r="I261" s="573"/>
      <c r="J261" s="573"/>
      <c r="K261" s="573"/>
      <c r="L261" s="579"/>
      <c r="M261" s="579"/>
      <c r="N261" s="579"/>
      <c r="O261" s="573"/>
      <c r="P261" s="573"/>
      <c r="Q261" s="573"/>
      <c r="R261" s="573"/>
      <c r="S261" s="573"/>
      <c r="T261" s="579"/>
      <c r="U261" s="579"/>
      <c r="V261" s="579"/>
      <c r="W261" s="573"/>
      <c r="X261" s="573"/>
      <c r="Y261" s="573"/>
      <c r="Z261" s="573"/>
      <c r="AA261" s="573"/>
      <c r="AB261" s="573"/>
      <c r="AC261" s="573"/>
      <c r="AD261" s="573"/>
      <c r="AE261" s="573"/>
      <c r="AF261" s="573"/>
      <c r="AG261" s="573"/>
      <c r="AH261" s="573"/>
      <c r="AI261" s="573"/>
      <c r="AJ261" s="573"/>
      <c r="AK261" s="573"/>
      <c r="AL261" s="573"/>
      <c r="AM261" s="573"/>
      <c r="AN261" s="573"/>
    </row>
    <row r="262" spans="1:40" hidden="1" x14ac:dyDescent="0.2">
      <c r="A262" s="573"/>
      <c r="B262" s="573"/>
      <c r="C262" s="573"/>
      <c r="D262" s="573"/>
      <c r="E262" s="573"/>
      <c r="F262" s="573"/>
      <c r="G262" s="573"/>
      <c r="H262" s="573"/>
      <c r="I262" s="573"/>
      <c r="J262" s="573"/>
      <c r="K262" s="573"/>
      <c r="L262" s="579"/>
      <c r="M262" s="579"/>
      <c r="N262" s="579"/>
      <c r="O262" s="573"/>
      <c r="P262" s="573"/>
      <c r="Q262" s="573"/>
      <c r="R262" s="573"/>
      <c r="S262" s="573"/>
      <c r="T262" s="579"/>
      <c r="U262" s="579"/>
      <c r="V262" s="579"/>
      <c r="W262" s="573"/>
      <c r="X262" s="573"/>
      <c r="Y262" s="573"/>
      <c r="Z262" s="573"/>
      <c r="AA262" s="573"/>
      <c r="AB262" s="573"/>
      <c r="AC262" s="573"/>
      <c r="AD262" s="573"/>
      <c r="AE262" s="573"/>
      <c r="AF262" s="573"/>
      <c r="AG262" s="573"/>
      <c r="AH262" s="573"/>
      <c r="AI262" s="573"/>
      <c r="AJ262" s="573"/>
      <c r="AK262" s="573"/>
      <c r="AL262" s="573"/>
      <c r="AM262" s="573"/>
      <c r="AN262" s="573"/>
    </row>
    <row r="263" spans="1:40" hidden="1" x14ac:dyDescent="0.2">
      <c r="A263" s="573"/>
      <c r="B263" s="573"/>
      <c r="C263" s="573"/>
      <c r="D263" s="573"/>
      <c r="E263" s="573"/>
      <c r="F263" s="573"/>
      <c r="G263" s="573"/>
      <c r="H263" s="573"/>
      <c r="I263" s="573"/>
      <c r="J263" s="573"/>
      <c r="K263" s="573"/>
      <c r="L263" s="579"/>
      <c r="M263" s="579"/>
      <c r="N263" s="579"/>
      <c r="O263" s="573"/>
      <c r="P263" s="573"/>
      <c r="Q263" s="573"/>
      <c r="R263" s="573"/>
      <c r="S263" s="573"/>
      <c r="T263" s="579"/>
      <c r="U263" s="579"/>
      <c r="V263" s="579"/>
      <c r="W263" s="573"/>
      <c r="X263" s="573"/>
      <c r="Y263" s="573"/>
      <c r="Z263" s="573"/>
      <c r="AA263" s="573"/>
      <c r="AB263" s="573"/>
      <c r="AC263" s="573"/>
      <c r="AD263" s="573"/>
      <c r="AE263" s="573"/>
      <c r="AF263" s="573"/>
      <c r="AG263" s="573"/>
      <c r="AH263" s="573"/>
      <c r="AI263" s="573"/>
      <c r="AJ263" s="573"/>
      <c r="AK263" s="573"/>
      <c r="AL263" s="573"/>
      <c r="AM263" s="573"/>
      <c r="AN263" s="573"/>
    </row>
    <row r="264" spans="1:40" hidden="1" x14ac:dyDescent="0.2">
      <c r="A264" s="573"/>
      <c r="B264" s="573"/>
      <c r="C264" s="573"/>
      <c r="D264" s="573"/>
      <c r="E264" s="573"/>
      <c r="F264" s="573"/>
      <c r="G264" s="573"/>
      <c r="H264" s="573"/>
      <c r="I264" s="573"/>
      <c r="J264" s="573"/>
      <c r="K264" s="573"/>
      <c r="L264" s="579"/>
      <c r="M264" s="579"/>
      <c r="N264" s="579"/>
      <c r="O264" s="573"/>
      <c r="P264" s="573"/>
      <c r="Q264" s="573"/>
      <c r="R264" s="573"/>
      <c r="S264" s="573"/>
      <c r="T264" s="579"/>
      <c r="U264" s="579"/>
      <c r="V264" s="579"/>
      <c r="W264" s="573"/>
      <c r="X264" s="573"/>
      <c r="Y264" s="573"/>
      <c r="Z264" s="573"/>
      <c r="AA264" s="573"/>
      <c r="AB264" s="573"/>
      <c r="AC264" s="573"/>
      <c r="AD264" s="573"/>
      <c r="AE264" s="573"/>
      <c r="AF264" s="573"/>
      <c r="AG264" s="573"/>
      <c r="AH264" s="573"/>
      <c r="AI264" s="573"/>
      <c r="AJ264" s="573"/>
      <c r="AK264" s="573"/>
      <c r="AL264" s="573"/>
      <c r="AM264" s="573"/>
      <c r="AN264" s="573"/>
    </row>
    <row r="265" spans="1:40" hidden="1" x14ac:dyDescent="0.2">
      <c r="A265" s="573"/>
      <c r="B265" s="573"/>
      <c r="C265" s="573"/>
      <c r="D265" s="573"/>
      <c r="E265" s="573"/>
      <c r="F265" s="573"/>
      <c r="G265" s="573"/>
      <c r="H265" s="573"/>
      <c r="I265" s="573"/>
      <c r="J265" s="573"/>
      <c r="K265" s="573"/>
      <c r="L265" s="579"/>
      <c r="M265" s="579"/>
      <c r="N265" s="579"/>
      <c r="O265" s="573"/>
      <c r="P265" s="573"/>
      <c r="Q265" s="573"/>
      <c r="R265" s="573"/>
      <c r="S265" s="573"/>
      <c r="T265" s="579"/>
      <c r="U265" s="579"/>
      <c r="V265" s="579"/>
      <c r="W265" s="573"/>
      <c r="X265" s="573"/>
      <c r="Y265" s="573"/>
      <c r="Z265" s="573"/>
      <c r="AA265" s="573"/>
      <c r="AB265" s="573"/>
      <c r="AC265" s="573"/>
      <c r="AD265" s="573"/>
      <c r="AE265" s="573"/>
      <c r="AF265" s="573"/>
      <c r="AG265" s="573"/>
      <c r="AH265" s="573"/>
      <c r="AI265" s="573"/>
      <c r="AJ265" s="573"/>
      <c r="AK265" s="573"/>
      <c r="AL265" s="573"/>
      <c r="AM265" s="573"/>
      <c r="AN265" s="573"/>
    </row>
    <row r="266" spans="1:40" hidden="1" x14ac:dyDescent="0.2">
      <c r="A266" s="573"/>
      <c r="B266" s="573"/>
      <c r="C266" s="573"/>
      <c r="D266" s="573"/>
      <c r="E266" s="573"/>
      <c r="F266" s="573"/>
      <c r="G266" s="573"/>
      <c r="H266" s="573"/>
      <c r="I266" s="573"/>
      <c r="J266" s="573"/>
      <c r="K266" s="573"/>
      <c r="L266" s="579"/>
      <c r="M266" s="579"/>
      <c r="N266" s="579"/>
      <c r="O266" s="573"/>
      <c r="P266" s="573"/>
      <c r="Q266" s="573"/>
      <c r="R266" s="573"/>
      <c r="S266" s="573"/>
      <c r="T266" s="579"/>
      <c r="U266" s="579"/>
      <c r="V266" s="579"/>
      <c r="W266" s="573"/>
      <c r="X266" s="573"/>
      <c r="Y266" s="573"/>
      <c r="Z266" s="573"/>
      <c r="AA266" s="573"/>
      <c r="AB266" s="573"/>
      <c r="AC266" s="573"/>
      <c r="AD266" s="573"/>
      <c r="AE266" s="573"/>
      <c r="AF266" s="573"/>
      <c r="AG266" s="573"/>
      <c r="AH266" s="573"/>
      <c r="AI266" s="573"/>
      <c r="AJ266" s="573"/>
      <c r="AK266" s="573"/>
      <c r="AL266" s="573"/>
      <c r="AM266" s="573"/>
      <c r="AN266" s="573"/>
    </row>
    <row r="267" spans="1:40" hidden="1" x14ac:dyDescent="0.2">
      <c r="A267" s="573"/>
      <c r="B267" s="573"/>
      <c r="C267" s="573"/>
      <c r="D267" s="573"/>
      <c r="E267" s="573"/>
      <c r="F267" s="573"/>
      <c r="G267" s="573"/>
      <c r="H267" s="573"/>
      <c r="I267" s="573"/>
      <c r="J267" s="573"/>
      <c r="K267" s="573"/>
      <c r="L267" s="579"/>
      <c r="M267" s="579"/>
      <c r="N267" s="579"/>
      <c r="O267" s="573"/>
      <c r="P267" s="573"/>
      <c r="Q267" s="573"/>
      <c r="R267" s="573"/>
      <c r="S267" s="573"/>
      <c r="T267" s="579"/>
      <c r="U267" s="579"/>
      <c r="V267" s="579"/>
      <c r="W267" s="573"/>
      <c r="X267" s="573"/>
      <c r="Y267" s="573"/>
      <c r="Z267" s="573"/>
      <c r="AA267" s="573"/>
      <c r="AB267" s="573"/>
      <c r="AC267" s="573"/>
      <c r="AD267" s="573"/>
      <c r="AE267" s="573"/>
      <c r="AF267" s="573"/>
      <c r="AG267" s="573"/>
      <c r="AH267" s="573"/>
      <c r="AI267" s="573"/>
      <c r="AJ267" s="573"/>
      <c r="AK267" s="573"/>
      <c r="AL267" s="573"/>
      <c r="AM267" s="573"/>
      <c r="AN267" s="573"/>
    </row>
    <row r="268" spans="1:40" hidden="1" x14ac:dyDescent="0.2">
      <c r="A268" s="573"/>
      <c r="B268" s="573"/>
      <c r="C268" s="573"/>
      <c r="D268" s="573"/>
      <c r="E268" s="573"/>
      <c r="F268" s="573"/>
      <c r="G268" s="573"/>
      <c r="H268" s="573"/>
      <c r="I268" s="573"/>
      <c r="J268" s="573"/>
      <c r="K268" s="573"/>
      <c r="L268" s="579"/>
      <c r="M268" s="579"/>
      <c r="N268" s="579"/>
      <c r="O268" s="573"/>
      <c r="P268" s="573"/>
      <c r="Q268" s="573"/>
      <c r="R268" s="573"/>
      <c r="S268" s="573"/>
      <c r="T268" s="579"/>
      <c r="U268" s="579"/>
      <c r="V268" s="579"/>
      <c r="W268" s="573"/>
      <c r="X268" s="573"/>
      <c r="Y268" s="573"/>
      <c r="Z268" s="573"/>
      <c r="AA268" s="573"/>
      <c r="AB268" s="573"/>
      <c r="AC268" s="573"/>
      <c r="AD268" s="573"/>
      <c r="AE268" s="573"/>
      <c r="AF268" s="573"/>
      <c r="AG268" s="573"/>
      <c r="AH268" s="573"/>
      <c r="AI268" s="573"/>
      <c r="AJ268" s="573"/>
      <c r="AK268" s="573"/>
      <c r="AL268" s="573"/>
      <c r="AM268" s="573"/>
      <c r="AN268" s="573"/>
    </row>
    <row r="269" spans="1:40" hidden="1" x14ac:dyDescent="0.2">
      <c r="A269" s="573"/>
      <c r="B269" s="573"/>
      <c r="C269" s="573"/>
      <c r="D269" s="573"/>
      <c r="E269" s="573"/>
      <c r="F269" s="573"/>
      <c r="G269" s="573"/>
      <c r="H269" s="573"/>
      <c r="I269" s="573"/>
      <c r="J269" s="573"/>
      <c r="K269" s="573"/>
      <c r="L269" s="579"/>
      <c r="M269" s="579"/>
      <c r="N269" s="579"/>
      <c r="O269" s="573"/>
      <c r="P269" s="573"/>
      <c r="Q269" s="573"/>
      <c r="R269" s="573"/>
      <c r="S269" s="573"/>
      <c r="T269" s="579"/>
      <c r="U269" s="579"/>
      <c r="V269" s="579"/>
      <c r="W269" s="573"/>
      <c r="X269" s="573"/>
      <c r="Y269" s="573"/>
      <c r="Z269" s="573"/>
      <c r="AA269" s="573"/>
      <c r="AB269" s="573"/>
      <c r="AC269" s="573"/>
      <c r="AD269" s="573"/>
      <c r="AE269" s="573"/>
      <c r="AF269" s="573"/>
      <c r="AG269" s="573"/>
      <c r="AH269" s="573"/>
      <c r="AI269" s="573"/>
      <c r="AJ269" s="573"/>
      <c r="AK269" s="573"/>
      <c r="AL269" s="573"/>
      <c r="AM269" s="573"/>
      <c r="AN269" s="573"/>
    </row>
    <row r="270" spans="1:40" hidden="1" x14ac:dyDescent="0.2">
      <c r="A270" s="573"/>
      <c r="B270" s="573"/>
      <c r="C270" s="573"/>
      <c r="D270" s="573"/>
      <c r="E270" s="573"/>
      <c r="F270" s="573"/>
      <c r="G270" s="573"/>
      <c r="H270" s="573"/>
      <c r="I270" s="573"/>
      <c r="J270" s="573"/>
      <c r="K270" s="573"/>
      <c r="L270" s="579"/>
      <c r="M270" s="579"/>
      <c r="N270" s="579"/>
      <c r="O270" s="573"/>
      <c r="P270" s="573"/>
      <c r="Q270" s="573"/>
      <c r="R270" s="573"/>
      <c r="S270" s="573"/>
      <c r="T270" s="579"/>
      <c r="U270" s="579"/>
      <c r="V270" s="579"/>
      <c r="W270" s="573"/>
      <c r="X270" s="573"/>
      <c r="Y270" s="573"/>
      <c r="Z270" s="573"/>
      <c r="AA270" s="573"/>
      <c r="AB270" s="573"/>
      <c r="AC270" s="573"/>
      <c r="AD270" s="573"/>
      <c r="AE270" s="573"/>
      <c r="AF270" s="573"/>
      <c r="AG270" s="573"/>
      <c r="AH270" s="573"/>
      <c r="AI270" s="573"/>
      <c r="AJ270" s="573"/>
      <c r="AK270" s="573"/>
      <c r="AL270" s="573"/>
      <c r="AM270" s="573"/>
      <c r="AN270" s="573"/>
    </row>
    <row r="271" spans="1:40" hidden="1" x14ac:dyDescent="0.2">
      <c r="A271" s="573"/>
      <c r="B271" s="573"/>
      <c r="C271" s="573"/>
      <c r="D271" s="573"/>
      <c r="E271" s="573"/>
      <c r="F271" s="573"/>
      <c r="G271" s="573"/>
      <c r="H271" s="573"/>
      <c r="I271" s="573"/>
      <c r="J271" s="573"/>
      <c r="K271" s="573"/>
      <c r="L271" s="579"/>
      <c r="M271" s="579"/>
      <c r="N271" s="579"/>
      <c r="O271" s="573"/>
      <c r="P271" s="573"/>
      <c r="Q271" s="573"/>
      <c r="R271" s="573"/>
      <c r="S271" s="573"/>
      <c r="T271" s="579"/>
      <c r="U271" s="579"/>
      <c r="V271" s="579"/>
      <c r="W271" s="573"/>
      <c r="X271" s="573"/>
      <c r="Y271" s="573"/>
      <c r="Z271" s="573"/>
      <c r="AA271" s="573"/>
      <c r="AB271" s="573"/>
      <c r="AC271" s="573"/>
      <c r="AD271" s="573"/>
      <c r="AE271" s="573"/>
      <c r="AF271" s="573"/>
      <c r="AG271" s="573"/>
      <c r="AH271" s="573"/>
      <c r="AI271" s="573"/>
      <c r="AJ271" s="573"/>
      <c r="AK271" s="573"/>
      <c r="AL271" s="573"/>
      <c r="AM271" s="573"/>
      <c r="AN271" s="573"/>
    </row>
    <row r="272" spans="1:40" hidden="1" x14ac:dyDescent="0.2">
      <c r="A272" s="573"/>
      <c r="B272" s="573"/>
      <c r="C272" s="573"/>
      <c r="D272" s="573"/>
      <c r="E272" s="573"/>
      <c r="F272" s="573"/>
      <c r="G272" s="573"/>
      <c r="H272" s="573"/>
      <c r="I272" s="573"/>
      <c r="J272" s="573"/>
      <c r="K272" s="573"/>
      <c r="L272" s="579"/>
      <c r="M272" s="579"/>
      <c r="N272" s="579"/>
      <c r="O272" s="573"/>
      <c r="P272" s="573"/>
      <c r="Q272" s="573"/>
      <c r="R272" s="573"/>
      <c r="S272" s="573"/>
      <c r="T272" s="579"/>
      <c r="U272" s="579"/>
      <c r="V272" s="579"/>
      <c r="W272" s="573"/>
      <c r="X272" s="573"/>
      <c r="Y272" s="573"/>
      <c r="Z272" s="573"/>
      <c r="AA272" s="573"/>
      <c r="AB272" s="573"/>
      <c r="AC272" s="573"/>
      <c r="AD272" s="573"/>
      <c r="AE272" s="573"/>
      <c r="AF272" s="573"/>
      <c r="AG272" s="573"/>
      <c r="AH272" s="573"/>
      <c r="AI272" s="573"/>
      <c r="AJ272" s="573"/>
      <c r="AK272" s="573"/>
      <c r="AL272" s="573"/>
      <c r="AM272" s="573"/>
      <c r="AN272" s="573"/>
    </row>
    <row r="273" spans="1:40" hidden="1" x14ac:dyDescent="0.2">
      <c r="A273" s="573"/>
      <c r="B273" s="573"/>
      <c r="C273" s="573"/>
      <c r="D273" s="573"/>
      <c r="E273" s="573"/>
      <c r="F273" s="573"/>
      <c r="G273" s="573"/>
      <c r="H273" s="573"/>
      <c r="I273" s="573"/>
      <c r="J273" s="573"/>
      <c r="K273" s="573"/>
      <c r="L273" s="579"/>
      <c r="M273" s="579"/>
      <c r="N273" s="579"/>
      <c r="O273" s="573"/>
      <c r="P273" s="573"/>
      <c r="Q273" s="573"/>
      <c r="R273" s="573"/>
      <c r="S273" s="573"/>
      <c r="T273" s="579"/>
      <c r="U273" s="579"/>
      <c r="V273" s="579"/>
      <c r="W273" s="573"/>
      <c r="X273" s="573"/>
      <c r="Y273" s="573"/>
      <c r="Z273" s="573"/>
      <c r="AA273" s="573"/>
      <c r="AB273" s="573"/>
      <c r="AC273" s="573"/>
      <c r="AD273" s="573"/>
      <c r="AE273" s="573"/>
      <c r="AF273" s="573"/>
      <c r="AG273" s="573"/>
      <c r="AH273" s="573"/>
      <c r="AI273" s="573"/>
      <c r="AJ273" s="573"/>
      <c r="AK273" s="573"/>
      <c r="AL273" s="573"/>
      <c r="AM273" s="573"/>
      <c r="AN273" s="573"/>
    </row>
    <row r="274" spans="1:40" hidden="1" x14ac:dyDescent="0.2">
      <c r="A274" s="573"/>
      <c r="B274" s="573"/>
      <c r="C274" s="573"/>
      <c r="D274" s="573"/>
      <c r="E274" s="573"/>
      <c r="F274" s="573"/>
      <c r="G274" s="573"/>
      <c r="H274" s="573"/>
      <c r="I274" s="573"/>
      <c r="J274" s="573"/>
      <c r="K274" s="573"/>
      <c r="L274" s="579"/>
      <c r="M274" s="579"/>
      <c r="N274" s="579"/>
      <c r="O274" s="573"/>
      <c r="P274" s="573"/>
      <c r="Q274" s="573"/>
      <c r="R274" s="573"/>
      <c r="S274" s="573"/>
      <c r="T274" s="579"/>
      <c r="U274" s="579"/>
      <c r="V274" s="579"/>
      <c r="W274" s="573"/>
      <c r="X274" s="573"/>
      <c r="Y274" s="573"/>
      <c r="Z274" s="573"/>
      <c r="AA274" s="573"/>
      <c r="AB274" s="573"/>
      <c r="AC274" s="573"/>
      <c r="AD274" s="573"/>
      <c r="AE274" s="573"/>
      <c r="AF274" s="573"/>
      <c r="AG274" s="573"/>
      <c r="AH274" s="573"/>
      <c r="AI274" s="573"/>
      <c r="AJ274" s="573"/>
      <c r="AK274" s="573"/>
      <c r="AL274" s="573"/>
      <c r="AM274" s="573"/>
      <c r="AN274" s="573"/>
    </row>
    <row r="275" spans="1:40" hidden="1" x14ac:dyDescent="0.2">
      <c r="A275" s="573"/>
      <c r="B275" s="573"/>
      <c r="C275" s="573"/>
      <c r="D275" s="573"/>
      <c r="E275" s="573"/>
      <c r="F275" s="573"/>
      <c r="G275" s="573"/>
      <c r="H275" s="573"/>
      <c r="I275" s="573"/>
      <c r="J275" s="573"/>
      <c r="K275" s="573"/>
      <c r="L275" s="579"/>
      <c r="M275" s="579"/>
      <c r="N275" s="579"/>
      <c r="O275" s="573"/>
      <c r="P275" s="573"/>
      <c r="Q275" s="573"/>
      <c r="R275" s="573"/>
      <c r="S275" s="573"/>
      <c r="T275" s="579"/>
      <c r="U275" s="579"/>
      <c r="V275" s="579"/>
      <c r="W275" s="573"/>
      <c r="X275" s="573"/>
      <c r="Y275" s="573"/>
      <c r="Z275" s="573"/>
      <c r="AA275" s="573"/>
      <c r="AB275" s="573"/>
      <c r="AC275" s="573"/>
      <c r="AD275" s="573"/>
      <c r="AE275" s="573"/>
      <c r="AF275" s="573"/>
      <c r="AG275" s="573"/>
      <c r="AH275" s="573"/>
      <c r="AI275" s="573"/>
      <c r="AJ275" s="573"/>
      <c r="AK275" s="573"/>
      <c r="AL275" s="573"/>
      <c r="AM275" s="573"/>
      <c r="AN275" s="573"/>
    </row>
    <row r="276" spans="1:40" hidden="1" x14ac:dyDescent="0.2">
      <c r="A276" s="573"/>
      <c r="B276" s="573"/>
      <c r="C276" s="573"/>
      <c r="D276" s="573"/>
      <c r="E276" s="573"/>
      <c r="F276" s="573"/>
      <c r="G276" s="573"/>
      <c r="H276" s="573"/>
      <c r="I276" s="573"/>
      <c r="J276" s="573"/>
      <c r="K276" s="573"/>
      <c r="L276" s="579"/>
      <c r="M276" s="579"/>
      <c r="N276" s="579"/>
      <c r="O276" s="573"/>
      <c r="P276" s="573"/>
      <c r="Q276" s="573"/>
      <c r="R276" s="573"/>
      <c r="S276" s="573"/>
      <c r="T276" s="579"/>
      <c r="U276" s="579"/>
      <c r="V276" s="579"/>
      <c r="W276" s="573"/>
      <c r="X276" s="573"/>
      <c r="Y276" s="573"/>
      <c r="Z276" s="573"/>
      <c r="AA276" s="573"/>
      <c r="AB276" s="573"/>
      <c r="AC276" s="573"/>
      <c r="AD276" s="573"/>
      <c r="AE276" s="573"/>
      <c r="AF276" s="573"/>
      <c r="AG276" s="573"/>
      <c r="AH276" s="573"/>
      <c r="AI276" s="573"/>
      <c r="AJ276" s="573"/>
      <c r="AK276" s="573"/>
      <c r="AL276" s="573"/>
      <c r="AM276" s="573"/>
      <c r="AN276" s="573"/>
    </row>
    <row r="277" spans="1:40" hidden="1" x14ac:dyDescent="0.2">
      <c r="A277" s="573"/>
      <c r="B277" s="573"/>
      <c r="C277" s="573"/>
      <c r="D277" s="573"/>
      <c r="E277" s="573"/>
      <c r="F277" s="573"/>
      <c r="G277" s="573"/>
      <c r="H277" s="573"/>
      <c r="I277" s="573"/>
      <c r="J277" s="573"/>
      <c r="K277" s="573"/>
      <c r="L277" s="579"/>
      <c r="M277" s="579"/>
      <c r="N277" s="579"/>
      <c r="O277" s="573"/>
      <c r="P277" s="573"/>
      <c r="Q277" s="573"/>
      <c r="R277" s="573"/>
      <c r="S277" s="573"/>
      <c r="T277" s="579"/>
      <c r="U277" s="579"/>
      <c r="V277" s="579"/>
      <c r="W277" s="573"/>
      <c r="X277" s="573"/>
      <c r="Y277" s="573"/>
      <c r="Z277" s="573"/>
      <c r="AA277" s="573"/>
      <c r="AB277" s="573"/>
      <c r="AC277" s="573"/>
      <c r="AD277" s="573"/>
      <c r="AE277" s="573"/>
      <c r="AF277" s="573"/>
      <c r="AG277" s="573"/>
      <c r="AH277" s="573"/>
      <c r="AI277" s="573"/>
      <c r="AJ277" s="573"/>
      <c r="AK277" s="573"/>
      <c r="AL277" s="573"/>
      <c r="AM277" s="573"/>
      <c r="AN277" s="573"/>
    </row>
    <row r="278" spans="1:40" hidden="1" x14ac:dyDescent="0.2">
      <c r="A278" s="573"/>
      <c r="B278" s="573"/>
      <c r="C278" s="573"/>
      <c r="D278" s="573"/>
      <c r="E278" s="573"/>
      <c r="F278" s="573"/>
      <c r="G278" s="573"/>
      <c r="H278" s="573"/>
      <c r="I278" s="573"/>
      <c r="J278" s="573"/>
      <c r="K278" s="573"/>
      <c r="L278" s="579"/>
      <c r="M278" s="579"/>
      <c r="N278" s="579"/>
      <c r="O278" s="573"/>
      <c r="P278" s="573"/>
      <c r="Q278" s="573"/>
      <c r="R278" s="573"/>
      <c r="S278" s="573"/>
      <c r="T278" s="579"/>
      <c r="U278" s="579"/>
      <c r="V278" s="579"/>
      <c r="W278" s="573"/>
      <c r="X278" s="573"/>
      <c r="Y278" s="573"/>
      <c r="Z278" s="573"/>
      <c r="AA278" s="573"/>
      <c r="AB278" s="573"/>
      <c r="AC278" s="573"/>
      <c r="AD278" s="573"/>
      <c r="AE278" s="573"/>
      <c r="AF278" s="573"/>
      <c r="AG278" s="573"/>
      <c r="AH278" s="573"/>
      <c r="AI278" s="573"/>
      <c r="AJ278" s="573"/>
      <c r="AK278" s="573"/>
      <c r="AL278" s="573"/>
      <c r="AM278" s="573"/>
      <c r="AN278" s="573"/>
    </row>
    <row r="279" spans="1:40" hidden="1" x14ac:dyDescent="0.2">
      <c r="A279" s="573"/>
      <c r="B279" s="573"/>
      <c r="C279" s="573"/>
      <c r="D279" s="573"/>
      <c r="E279" s="573"/>
      <c r="F279" s="573"/>
      <c r="G279" s="573"/>
      <c r="H279" s="573"/>
      <c r="I279" s="573"/>
      <c r="J279" s="573"/>
      <c r="K279" s="573"/>
      <c r="L279" s="579"/>
      <c r="M279" s="579"/>
      <c r="N279" s="579"/>
      <c r="O279" s="573"/>
      <c r="P279" s="573"/>
      <c r="Q279" s="573"/>
      <c r="R279" s="573"/>
      <c r="S279" s="573"/>
      <c r="T279" s="579"/>
      <c r="U279" s="579"/>
      <c r="V279" s="579"/>
      <c r="W279" s="573"/>
      <c r="X279" s="573"/>
      <c r="Y279" s="573"/>
      <c r="Z279" s="573"/>
      <c r="AA279" s="573"/>
      <c r="AB279" s="573"/>
      <c r="AC279" s="573"/>
      <c r="AD279" s="573"/>
      <c r="AE279" s="573"/>
      <c r="AF279" s="573"/>
      <c r="AG279" s="573"/>
      <c r="AH279" s="573"/>
      <c r="AI279" s="573"/>
      <c r="AJ279" s="573"/>
      <c r="AK279" s="573"/>
      <c r="AL279" s="573"/>
      <c r="AM279" s="573"/>
      <c r="AN279" s="573"/>
    </row>
    <row r="280" spans="1:40" hidden="1" x14ac:dyDescent="0.2">
      <c r="A280" s="573"/>
      <c r="B280" s="573"/>
      <c r="C280" s="573"/>
      <c r="D280" s="573"/>
      <c r="E280" s="573"/>
      <c r="F280" s="573"/>
      <c r="G280" s="573"/>
      <c r="H280" s="573"/>
      <c r="I280" s="573"/>
      <c r="J280" s="573"/>
      <c r="K280" s="573"/>
      <c r="L280" s="579"/>
      <c r="M280" s="579"/>
      <c r="N280" s="579"/>
      <c r="O280" s="573"/>
      <c r="P280" s="573"/>
      <c r="Q280" s="573"/>
      <c r="R280" s="573"/>
      <c r="S280" s="573"/>
      <c r="T280" s="579"/>
      <c r="U280" s="579"/>
      <c r="V280" s="579"/>
      <c r="W280" s="573"/>
      <c r="X280" s="573"/>
      <c r="Y280" s="573"/>
      <c r="Z280" s="573"/>
      <c r="AA280" s="573"/>
      <c r="AB280" s="573"/>
      <c r="AC280" s="573"/>
      <c r="AD280" s="573"/>
      <c r="AE280" s="573"/>
      <c r="AF280" s="573"/>
      <c r="AG280" s="573"/>
      <c r="AH280" s="573"/>
      <c r="AI280" s="573"/>
      <c r="AJ280" s="573"/>
      <c r="AK280" s="573"/>
      <c r="AL280" s="573"/>
      <c r="AM280" s="573"/>
      <c r="AN280" s="573"/>
    </row>
    <row r="281" spans="1:40" hidden="1" x14ac:dyDescent="0.2">
      <c r="A281" s="573"/>
      <c r="B281" s="573"/>
      <c r="C281" s="573"/>
      <c r="D281" s="573"/>
      <c r="E281" s="573"/>
      <c r="F281" s="573"/>
      <c r="G281" s="573"/>
      <c r="H281" s="573"/>
      <c r="I281" s="573"/>
      <c r="J281" s="573"/>
      <c r="K281" s="573"/>
      <c r="L281" s="579"/>
      <c r="M281" s="579"/>
      <c r="N281" s="579"/>
      <c r="O281" s="573"/>
      <c r="P281" s="573"/>
      <c r="Q281" s="573"/>
      <c r="R281" s="573"/>
      <c r="S281" s="573"/>
      <c r="T281" s="579"/>
      <c r="U281" s="579"/>
      <c r="V281" s="579"/>
      <c r="W281" s="573"/>
      <c r="X281" s="573"/>
      <c r="Y281" s="573"/>
      <c r="Z281" s="573"/>
      <c r="AA281" s="573"/>
      <c r="AB281" s="573"/>
      <c r="AC281" s="573"/>
      <c r="AD281" s="573"/>
      <c r="AE281" s="573"/>
      <c r="AF281" s="573"/>
      <c r="AG281" s="573"/>
      <c r="AH281" s="573"/>
      <c r="AI281" s="573"/>
      <c r="AJ281" s="573"/>
      <c r="AK281" s="573"/>
      <c r="AL281" s="573"/>
      <c r="AM281" s="573"/>
      <c r="AN281" s="573"/>
    </row>
    <row r="282" spans="1:40" hidden="1" x14ac:dyDescent="0.2">
      <c r="A282" s="573"/>
      <c r="B282" s="573"/>
      <c r="C282" s="573"/>
      <c r="D282" s="573"/>
      <c r="E282" s="573"/>
      <c r="F282" s="573"/>
      <c r="G282" s="573"/>
      <c r="H282" s="573"/>
      <c r="I282" s="573"/>
      <c r="J282" s="573"/>
      <c r="K282" s="573"/>
      <c r="L282" s="579"/>
      <c r="M282" s="579"/>
      <c r="N282" s="579"/>
      <c r="O282" s="573"/>
      <c r="P282" s="573"/>
      <c r="Q282" s="573"/>
      <c r="R282" s="573"/>
      <c r="S282" s="573"/>
      <c r="T282" s="579"/>
      <c r="U282" s="579"/>
      <c r="V282" s="579"/>
      <c r="W282" s="573"/>
      <c r="X282" s="573"/>
      <c r="Y282" s="573"/>
      <c r="Z282" s="573"/>
      <c r="AA282" s="573"/>
      <c r="AB282" s="573"/>
      <c r="AC282" s="573"/>
      <c r="AD282" s="573"/>
      <c r="AE282" s="573"/>
      <c r="AF282" s="573"/>
      <c r="AG282" s="573"/>
      <c r="AH282" s="573"/>
      <c r="AI282" s="573"/>
      <c r="AJ282" s="573"/>
      <c r="AK282" s="573"/>
      <c r="AL282" s="573"/>
      <c r="AM282" s="573"/>
      <c r="AN282" s="573"/>
    </row>
    <row r="283" spans="1:40" hidden="1" x14ac:dyDescent="0.2">
      <c r="A283" s="573"/>
      <c r="B283" s="573"/>
      <c r="C283" s="573"/>
      <c r="D283" s="573"/>
      <c r="E283" s="573"/>
      <c r="F283" s="573"/>
      <c r="G283" s="573"/>
      <c r="H283" s="573"/>
      <c r="I283" s="573"/>
      <c r="J283" s="573"/>
      <c r="K283" s="573"/>
      <c r="L283" s="579"/>
      <c r="M283" s="579"/>
      <c r="N283" s="579"/>
      <c r="O283" s="573"/>
      <c r="P283" s="573"/>
      <c r="Q283" s="573"/>
      <c r="R283" s="573"/>
      <c r="S283" s="573"/>
      <c r="T283" s="579"/>
      <c r="U283" s="579"/>
      <c r="V283" s="579"/>
      <c r="W283" s="573"/>
      <c r="X283" s="573"/>
      <c r="Y283" s="573"/>
      <c r="Z283" s="573"/>
      <c r="AA283" s="573"/>
      <c r="AB283" s="573"/>
      <c r="AC283" s="573"/>
      <c r="AD283" s="573"/>
      <c r="AE283" s="573"/>
      <c r="AF283" s="573"/>
      <c r="AG283" s="573"/>
      <c r="AH283" s="573"/>
      <c r="AI283" s="573"/>
      <c r="AJ283" s="573"/>
      <c r="AK283" s="573"/>
      <c r="AL283" s="573"/>
      <c r="AM283" s="573"/>
      <c r="AN283" s="573"/>
    </row>
    <row r="284" spans="1:40" hidden="1" x14ac:dyDescent="0.2">
      <c r="D284" s="624"/>
      <c r="E284" s="624"/>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idden="1" x14ac:dyDescent="0.2">
      <c r="D285" s="625"/>
      <c r="E285" s="625"/>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idden="1" x14ac:dyDescent="0.2">
      <c r="D286" s="574"/>
      <c r="E286" s="574"/>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idden="1" x14ac:dyDescent="0.2">
      <c r="D287" s="574"/>
      <c r="E287" s="574"/>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idden="1" x14ac:dyDescent="0.2">
      <c r="D288" s="574"/>
      <c r="E288" s="574"/>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idden="1" x14ac:dyDescent="0.2">
      <c r="D289" s="574"/>
      <c r="E289" s="574"/>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idden="1" x14ac:dyDescent="0.2">
      <c r="D290" s="574"/>
      <c r="E290" s="574"/>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idden="1" x14ac:dyDescent="0.2">
      <c r="D291" s="574"/>
      <c r="E291" s="574"/>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idden="1" x14ac:dyDescent="0.2">
      <c r="D292" s="574"/>
      <c r="E292" s="574"/>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idden="1" x14ac:dyDescent="0.2">
      <c r="D293" s="574"/>
      <c r="E293" s="574"/>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idden="1" x14ac:dyDescent="0.2"/>
    <row r="295" spans="1:40" hidden="1" x14ac:dyDescent="0.2"/>
    <row r="296" spans="1:40" hidden="1" x14ac:dyDescent="0.2"/>
    <row r="297" spans="1:40" hidden="1" x14ac:dyDescent="0.2"/>
    <row r="298" spans="1:40" hidden="1" x14ac:dyDescent="0.2"/>
    <row r="299" spans="1:40" x14ac:dyDescent="0.2">
      <c r="A299" s="573"/>
      <c r="B299" s="573"/>
      <c r="C299" s="584" t="s">
        <v>54</v>
      </c>
    </row>
    <row r="300" spans="1:40" x14ac:dyDescent="0.2">
      <c r="A300" s="627">
        <v>1</v>
      </c>
      <c r="B300" s="628" t="str">
        <f t="shared" ref="B300:B308" si="10">IFERROR(INDEX(B$1:B$85,MATCH(A300,A$1:A$85,0)),"")</f>
        <v>Olav Türk, Sirje Maala</v>
      </c>
      <c r="C300" s="629">
        <v>40</v>
      </c>
    </row>
    <row r="301" spans="1:40" x14ac:dyDescent="0.2">
      <c r="A301" s="627">
        <v>2</v>
      </c>
      <c r="B301" s="628" t="str">
        <f t="shared" si="10"/>
        <v>Oksana Rõndenkova, Oleg Rõndenkov</v>
      </c>
      <c r="C301" s="629">
        <v>34</v>
      </c>
    </row>
    <row r="302" spans="1:40" x14ac:dyDescent="0.2">
      <c r="A302" s="627">
        <v>3</v>
      </c>
      <c r="B302" s="628" t="str">
        <f t="shared" si="10"/>
        <v>Ivar Viljaste, Sirje Viljaste</v>
      </c>
      <c r="C302" s="629">
        <v>30</v>
      </c>
    </row>
    <row r="303" spans="1:40" x14ac:dyDescent="0.2">
      <c r="A303" s="627">
        <v>4</v>
      </c>
      <c r="B303" s="628" t="str">
        <f t="shared" si="10"/>
        <v>Kristel Tihhonjuk, Vadim Tihhonjuk</v>
      </c>
      <c r="C303" s="629">
        <v>26</v>
      </c>
    </row>
    <row r="304" spans="1:40" x14ac:dyDescent="0.2">
      <c r="A304" s="627">
        <v>5</v>
      </c>
      <c r="B304" s="628" t="str">
        <f t="shared" si="10"/>
        <v>Kirsika Loik, Urmas Jõeäär</v>
      </c>
      <c r="C304" s="629">
        <v>24</v>
      </c>
    </row>
    <row r="305" spans="1:3" x14ac:dyDescent="0.2">
      <c r="A305" s="627">
        <v>6</v>
      </c>
      <c r="B305" s="628" t="str">
        <f t="shared" si="10"/>
        <v>Liis Mägi, Marko Rooden</v>
      </c>
      <c r="C305" s="629">
        <v>22</v>
      </c>
    </row>
    <row r="306" spans="1:3" x14ac:dyDescent="0.2">
      <c r="A306" s="627">
        <v>7</v>
      </c>
      <c r="B306" s="628" t="str">
        <f t="shared" si="10"/>
        <v>Ljudmila Varendi, Viktor Švarõgin</v>
      </c>
      <c r="C306" s="629">
        <v>20</v>
      </c>
    </row>
    <row r="307" spans="1:3" x14ac:dyDescent="0.2">
      <c r="A307" s="627">
        <v>8</v>
      </c>
      <c r="B307" s="628" t="str">
        <f t="shared" si="10"/>
        <v>Enn Tokman, Veronika Pirk</v>
      </c>
      <c r="C307" s="629">
        <v>18</v>
      </c>
    </row>
    <row r="308" spans="1:3" x14ac:dyDescent="0.2">
      <c r="A308" s="627">
        <v>9</v>
      </c>
      <c r="B308" s="628" t="str">
        <f t="shared" si="10"/>
        <v>Erika Kirves, Jaan Saar</v>
      </c>
      <c r="C308" s="629">
        <v>16</v>
      </c>
    </row>
    <row r="309" spans="1:3" x14ac:dyDescent="0.2">
      <c r="C309" s="734"/>
    </row>
    <row r="310" spans="1:3" x14ac:dyDescent="0.2">
      <c r="C310" s="734"/>
    </row>
    <row r="311" spans="1:3" x14ac:dyDescent="0.2">
      <c r="C311" s="734"/>
    </row>
  </sheetData>
  <conditionalFormatting sqref="C8:C16">
    <cfRule type="expression" dxfId="1412" priority="24">
      <formula>IF($C8&gt;$E8,TRUE)</formula>
    </cfRule>
  </conditionalFormatting>
  <conditionalFormatting sqref="E8:E16">
    <cfRule type="expression" dxfId="1411" priority="25">
      <formula>IF($C8&lt;$E8,TRUE)</formula>
    </cfRule>
  </conditionalFormatting>
  <conditionalFormatting sqref="K8:K16">
    <cfRule type="expression" dxfId="1410" priority="32">
      <formula>IF($K8&gt;$M8,TRUE)</formula>
    </cfRule>
  </conditionalFormatting>
  <conditionalFormatting sqref="M8:M16">
    <cfRule type="expression" dxfId="1409" priority="33">
      <formula>IF($K8&lt;$M8,TRUE)</formula>
    </cfRule>
  </conditionalFormatting>
  <conditionalFormatting sqref="O8:O16">
    <cfRule type="expression" dxfId="1408" priority="36">
      <formula>IF($O8&gt;$Q8,TRUE)</formula>
    </cfRule>
  </conditionalFormatting>
  <conditionalFormatting sqref="Q8:Q16">
    <cfRule type="expression" dxfId="1407" priority="37">
      <formula>IF($O8&lt;$Q8,TRUE)</formula>
    </cfRule>
  </conditionalFormatting>
  <conditionalFormatting sqref="S8:S16">
    <cfRule type="expression" dxfId="1406" priority="40">
      <formula>IF($S8&gt;$U8,TRUE)</formula>
    </cfRule>
  </conditionalFormatting>
  <conditionalFormatting sqref="U8:U16">
    <cfRule type="expression" dxfId="1405" priority="41">
      <formula>IF($S8&lt;$U8,TRUE)</formula>
    </cfRule>
  </conditionalFormatting>
  <conditionalFormatting sqref="G8:G16">
    <cfRule type="expression" dxfId="1404" priority="28">
      <formula>IF($G8&gt;$I8,TRUE)</formula>
    </cfRule>
  </conditionalFormatting>
  <conditionalFormatting sqref="I8:I16">
    <cfRule type="expression" dxfId="1403" priority="29">
      <formula>IF($G8&lt;$I8,TRUE)</formula>
    </cfRule>
  </conditionalFormatting>
  <conditionalFormatting sqref="F8:F16">
    <cfRule type="containsText" dxfId="1402" priority="15" operator="containsText" text="vaba voor">
      <formula>NOT(ISERROR(SEARCH("vaba voor",F8)))</formula>
    </cfRule>
  </conditionalFormatting>
  <conditionalFormatting sqref="N8:N16">
    <cfRule type="containsText" dxfId="1401" priority="13" operator="containsText" text="vaba voor">
      <formula>NOT(ISERROR(SEARCH("vaba voor",N8)))</formula>
    </cfRule>
  </conditionalFormatting>
  <conditionalFormatting sqref="R8:R16">
    <cfRule type="containsText" dxfId="1400" priority="16" operator="containsText" text="vaba voor">
      <formula>NOT(ISERROR(SEARCH("vaba voor",R8)))</formula>
    </cfRule>
  </conditionalFormatting>
  <conditionalFormatting sqref="V8:V16">
    <cfRule type="containsText" dxfId="1399" priority="12" operator="containsText" text="vaba voor">
      <formula>NOT(ISERROR(SEARCH("vaba voor",V8)))</formula>
    </cfRule>
  </conditionalFormatting>
  <conditionalFormatting sqref="J8:J16">
    <cfRule type="containsText" dxfId="1398" priority="14" operator="containsText" text="vaba voor">
      <formula>NOT(ISERROR(SEARCH("vaba voor",J8)))</formula>
    </cfRule>
  </conditionalFormatting>
  <conditionalFormatting sqref="C8:F16">
    <cfRule type="expression" dxfId="1397" priority="20">
      <formula>IF(AND(ISNUMBER($C8),$C8=$E8),TRUE)</formula>
    </cfRule>
    <cfRule type="expression" dxfId="1396" priority="22">
      <formula>IF($C8&gt;$E8,TRUE)</formula>
    </cfRule>
    <cfRule type="expression" dxfId="1395" priority="23">
      <formula>IF($C8&lt;$E8,TRUE)</formula>
    </cfRule>
  </conditionalFormatting>
  <conditionalFormatting sqref="G8:J16">
    <cfRule type="expression" dxfId="1394" priority="21">
      <formula>IF(AND(ISNUMBER($G8),$G8=$I8),TRUE)</formula>
    </cfRule>
    <cfRule type="expression" dxfId="1393" priority="26">
      <formula>IF($G8&gt;$I8,TRUE)</formula>
    </cfRule>
    <cfRule type="expression" dxfId="1392" priority="27">
      <formula>IF($G8&lt;$I8,TRUE)</formula>
    </cfRule>
  </conditionalFormatting>
  <conditionalFormatting sqref="K8:N16">
    <cfRule type="expression" dxfId="1391" priority="19">
      <formula>IF(AND(ISNUMBER($K8),$K8=$M8),TRUE)</formula>
    </cfRule>
    <cfRule type="expression" dxfId="1390" priority="30">
      <formula>IF($K8&gt;$M8,TRUE)</formula>
    </cfRule>
    <cfRule type="expression" dxfId="1389" priority="31">
      <formula>IF($K8&lt;$M8,TRUE)</formula>
    </cfRule>
  </conditionalFormatting>
  <conditionalFormatting sqref="O8:R16">
    <cfRule type="expression" dxfId="1388" priority="18">
      <formula>IF(AND(ISNUMBER($O8),$O8=$Q8),TRUE)</formula>
    </cfRule>
    <cfRule type="expression" dxfId="1387" priority="34">
      <formula>IF($O8&gt;$Q8,TRUE)</formula>
    </cfRule>
    <cfRule type="expression" dxfId="1386" priority="35">
      <formula>IF($O8&lt;$Q8,TRUE)</formula>
    </cfRule>
  </conditionalFormatting>
  <conditionalFormatting sqref="S8:V16">
    <cfRule type="expression" dxfId="1385" priority="17">
      <formula>IF(AND(ISNUMBER($S8),$S8=$U8),TRUE)</formula>
    </cfRule>
    <cfRule type="expression" dxfId="1384" priority="38">
      <formula>IF($S8&gt;$U8,TRUE)</formula>
    </cfRule>
    <cfRule type="expression" dxfId="1383" priority="39">
      <formula>IF($S8&lt;$U8,TRUE)</formula>
    </cfRule>
  </conditionalFormatting>
  <conditionalFormatting sqref="C8:C16 G8:G16 K8:K16 O8:O16 S8:S16">
    <cfRule type="expression" dxfId="1382" priority="10">
      <formula>AND(C8=0,E8=13)</formula>
    </cfRule>
  </conditionalFormatting>
  <conditionalFormatting sqref="E8:E16 I8:I16 M8:M16 Q8:Q16 U8:U16">
    <cfRule type="expression" dxfId="1381" priority="11">
      <formula>AND(E8=0,C8=13)</formula>
    </cfRule>
  </conditionalFormatting>
  <conditionalFormatting sqref="A8:A16">
    <cfRule type="duplicateValues" dxfId="1380" priority="43"/>
  </conditionalFormatting>
  <conditionalFormatting sqref="A300:A308">
    <cfRule type="duplicateValues" dxfId="1379" priority="2326"/>
  </conditionalFormatting>
  <conditionalFormatting sqref="B300:B308">
    <cfRule type="expression" dxfId="1378" priority="2327">
      <formula>A300=3</formula>
    </cfRule>
    <cfRule type="expression" dxfId="1377" priority="2328">
      <formula>A300=2</formula>
    </cfRule>
    <cfRule type="expression" dxfId="1376" priority="2329">
      <formula>A300=1</formula>
    </cfRule>
    <cfRule type="containsBlanks" dxfId="1375" priority="2330">
      <formula>LEN(TRIM(B300))=0</formula>
    </cfRule>
    <cfRule type="duplicateValues" dxfId="1374" priority="2331"/>
  </conditionalFormatting>
  <conditionalFormatting sqref="AG8:AG16 AK8:AK16 AM8:AM16">
    <cfRule type="expression" dxfId="1373" priority="1">
      <formula>AND(AF8="",COUNTIF(AG8,"*,*")=0)</formula>
    </cfRule>
  </conditionalFormatting>
  <conditionalFormatting sqref="AI8:AI16">
    <cfRule type="expression" dxfId="1372" priority="2">
      <formula>AND(AH8="",FIND(",",AI8))</formula>
    </cfRule>
    <cfRule type="expression" dxfId="1371" priority="3">
      <formula>AND(AH8="",COUNTIF(AI8,"*,*")=0)</formula>
    </cfRule>
  </conditionalFormatting>
  <pageMargins left="0.27559055118110237" right="0.27559055118110237" top="0.78740157480314965" bottom="0.39370078740157483" header="0.59055118110236227" footer="0"/>
  <pageSetup paperSize="9" fitToHeight="0" orientation="landscape" r:id="rId1"/>
  <headerFooter>
    <oddHeader>&amp;R&amp;9Page &amp;P of &amp;N</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G331"/>
  <sheetViews>
    <sheetView showGridLines="0" showRowColHeaders="0" zoomScaleNormal="100" workbookViewId="0">
      <pane ySplit="2" topLeftCell="A3" activePane="bottomLeft" state="frozen"/>
      <selection activeCell="I1" sqref="I1"/>
      <selection pane="bottomLeft" activeCell="I1" sqref="I1"/>
    </sheetView>
  </sheetViews>
  <sheetFormatPr defaultRowHeight="12.75" x14ac:dyDescent="0.2"/>
  <cols>
    <col min="1" max="1" width="3.28515625" style="581" customWidth="1"/>
    <col min="2" max="2" width="18.7109375" style="581" bestFit="1" customWidth="1"/>
    <col min="3" max="9" width="6.7109375" style="581" customWidth="1"/>
    <col min="10" max="11" width="4.7109375" style="581" customWidth="1"/>
    <col min="12" max="12" width="4.7109375" style="581" hidden="1" customWidth="1"/>
    <col min="13" max="13" width="9.140625" style="617" hidden="1" customWidth="1"/>
    <col min="14" max="14" width="9.140625" style="581" customWidth="1"/>
    <col min="15" max="16" width="0" style="581" hidden="1" customWidth="1"/>
    <col min="17" max="17" width="7" style="581" hidden="1" customWidth="1"/>
    <col min="18" max="29" width="0" style="581" hidden="1" customWidth="1"/>
    <col min="30" max="30" width="9.140625" style="581"/>
    <col min="31" max="31" width="0" style="581" hidden="1" customWidth="1"/>
    <col min="32" max="32" width="18.7109375" style="581" hidden="1" customWidth="1"/>
    <col min="33" max="33" width="0" style="581" hidden="1" customWidth="1"/>
    <col min="34" max="16384" width="9.140625" style="581"/>
  </cols>
  <sheetData>
    <row r="1" spans="1:33" x14ac:dyDescent="0.2">
      <c r="A1" s="807" t="str">
        <f>UPPER((Kalend!E20)&amp;" - "&amp;(Kalend!C20)&amp;" - "&amp;(Kalend!D20))</f>
        <v>6 - K-JÄRVE 23. MV - ÜKSIK</v>
      </c>
      <c r="B1" s="807"/>
      <c r="C1" s="1176"/>
      <c r="D1" s="1176"/>
      <c r="E1" s="1177"/>
      <c r="F1" s="1177"/>
      <c r="G1" s="1177"/>
      <c r="H1" s="1177"/>
      <c r="I1" s="1177"/>
      <c r="J1" s="1177"/>
      <c r="K1" s="1177"/>
      <c r="L1" s="1178" t="s">
        <v>53</v>
      </c>
      <c r="M1" s="1179"/>
      <c r="N1" s="1177"/>
      <c r="O1" s="1177"/>
      <c r="P1" s="1177"/>
      <c r="Q1" s="1177"/>
      <c r="R1" s="1177"/>
      <c r="S1" s="1177"/>
      <c r="T1" s="1177"/>
      <c r="U1" s="1177"/>
      <c r="V1" s="1177"/>
      <c r="W1" s="1177"/>
      <c r="X1" s="1177"/>
      <c r="Y1" s="1177"/>
      <c r="Z1" s="1177"/>
      <c r="AA1" s="1177"/>
      <c r="AB1" s="1177"/>
      <c r="AE1" s="582" t="s">
        <v>53</v>
      </c>
      <c r="AF1" s="580"/>
      <c r="AG1" s="580"/>
    </row>
    <row r="2" spans="1:33" x14ac:dyDescent="0.2">
      <c r="A2" s="811" t="str">
        <f>"Toimumisaeg: "&amp;(Kalend!A20)&amp;" kell "&amp;(Kalend!B20)</f>
        <v>Toimumisaeg: P, 03.07.2022 kell 11:00</v>
      </c>
      <c r="B2" s="811"/>
      <c r="C2" s="811"/>
      <c r="D2" s="811"/>
      <c r="E2" s="811"/>
      <c r="F2" s="811"/>
      <c r="G2" s="811"/>
      <c r="H2" s="811"/>
      <c r="I2" s="811"/>
      <c r="J2" s="1177"/>
      <c r="K2" s="1177"/>
      <c r="L2" s="811"/>
      <c r="M2" s="811"/>
      <c r="N2" s="1177"/>
      <c r="O2" s="1177"/>
      <c r="P2" s="1177"/>
      <c r="Q2" s="1177"/>
      <c r="R2" s="1177"/>
      <c r="S2" s="1177"/>
      <c r="T2" s="1177"/>
      <c r="U2" s="1177"/>
      <c r="V2" s="1177"/>
      <c r="W2" s="1177"/>
      <c r="X2" s="1177"/>
      <c r="Y2" s="1177"/>
      <c r="Z2" s="1177"/>
      <c r="AA2" s="1177"/>
      <c r="AB2" s="1177"/>
      <c r="AE2" s="573"/>
      <c r="AF2" s="573"/>
      <c r="AG2" s="573"/>
    </row>
    <row r="3" spans="1:33" x14ac:dyDescent="0.2">
      <c r="A3" s="811" t="str">
        <f>"Toimumiskoht: "&amp;(Kalend!F20)</f>
        <v>Toimumiskoht: K-Järve spordihoone</v>
      </c>
      <c r="B3" s="811"/>
      <c r="C3" s="811"/>
      <c r="D3" s="811"/>
      <c r="E3" s="811"/>
      <c r="F3" s="811"/>
      <c r="G3" s="811"/>
      <c r="H3" s="811"/>
      <c r="I3" s="1177"/>
      <c r="J3" s="1177"/>
      <c r="K3" s="1177"/>
      <c r="L3" s="811"/>
      <c r="M3" s="811"/>
      <c r="N3" s="1177"/>
      <c r="O3" s="1177"/>
      <c r="P3" s="1177"/>
      <c r="Q3" s="1177"/>
      <c r="R3" s="1177"/>
      <c r="S3" s="1177"/>
      <c r="T3" s="1177"/>
      <c r="U3" s="1177"/>
      <c r="V3" s="1177"/>
      <c r="W3" s="1177"/>
      <c r="X3" s="1177"/>
      <c r="Y3" s="1177"/>
      <c r="Z3" s="1177"/>
      <c r="AA3" s="1177"/>
      <c r="AB3" s="1177"/>
      <c r="AE3" s="591" t="s">
        <v>273</v>
      </c>
      <c r="AG3" s="583"/>
    </row>
    <row r="4" spans="1:33" x14ac:dyDescent="0.2">
      <c r="A4" s="811" t="str">
        <f>"Korraldaja: "&amp;(Kalend!G20)</f>
        <v>Korraldaja: Ivar Viljaste</v>
      </c>
      <c r="B4" s="811"/>
      <c r="C4" s="811"/>
      <c r="D4" s="811"/>
      <c r="E4" s="811"/>
      <c r="F4" s="811"/>
      <c r="G4" s="811"/>
      <c r="H4" s="811"/>
      <c r="I4" s="811"/>
      <c r="J4" s="1177"/>
      <c r="K4" s="1177"/>
      <c r="L4" s="811"/>
      <c r="M4" s="811"/>
      <c r="N4" s="1177"/>
      <c r="O4" s="1177"/>
      <c r="P4" s="1177"/>
      <c r="Q4" s="1177"/>
      <c r="R4" s="1177"/>
      <c r="S4" s="1177"/>
      <c r="T4" s="1177"/>
      <c r="U4" s="1177"/>
      <c r="V4" s="1177"/>
      <c r="W4" s="1177"/>
      <c r="X4" s="1177"/>
      <c r="Y4" s="1177"/>
      <c r="Z4" s="1177"/>
      <c r="AA4" s="1177"/>
      <c r="AB4" s="1177"/>
      <c r="AE4" s="594" t="s">
        <v>310</v>
      </c>
      <c r="AF4" s="595" t="s">
        <v>77</v>
      </c>
      <c r="AG4" s="596"/>
    </row>
    <row r="5" spans="1:33" x14ac:dyDescent="0.2">
      <c r="A5" s="1176"/>
      <c r="B5" s="1176"/>
      <c r="C5" s="1176"/>
      <c r="D5" s="1176"/>
      <c r="E5" s="1176"/>
      <c r="F5" s="1176"/>
      <c r="G5" s="1176"/>
      <c r="H5" s="1176"/>
      <c r="I5" s="1180"/>
      <c r="J5" s="1177"/>
      <c r="K5" s="1177"/>
      <c r="L5" s="1180"/>
      <c r="M5" s="1180"/>
      <c r="N5" s="1177"/>
      <c r="O5" s="1177"/>
      <c r="P5" s="1177"/>
      <c r="Q5" s="1177"/>
      <c r="R5" s="1177"/>
      <c r="S5" s="1177"/>
      <c r="T5" s="1177"/>
      <c r="U5" s="1177"/>
      <c r="V5" s="1177"/>
      <c r="W5" s="1177"/>
      <c r="X5" s="1177"/>
      <c r="Y5" s="1177"/>
      <c r="Z5" s="1177"/>
      <c r="AA5" s="1177"/>
      <c r="AB5" s="1177"/>
      <c r="AE5" s="594" t="s">
        <v>275</v>
      </c>
      <c r="AG5" s="595"/>
    </row>
    <row r="6" spans="1:33" x14ac:dyDescent="0.2">
      <c r="A6" s="1181" t="s">
        <v>245</v>
      </c>
      <c r="B6" s="1182"/>
      <c r="C6" s="1183">
        <v>1</v>
      </c>
      <c r="D6" s="1183">
        <v>2</v>
      </c>
      <c r="E6" s="1183">
        <v>3</v>
      </c>
      <c r="F6" s="1183"/>
      <c r="G6" s="1183"/>
      <c r="H6" s="1183" t="s">
        <v>313</v>
      </c>
      <c r="I6" s="1184" t="s">
        <v>296</v>
      </c>
      <c r="J6" s="1185" t="s">
        <v>183</v>
      </c>
      <c r="K6" s="1186" t="s">
        <v>344</v>
      </c>
      <c r="L6" s="1187" t="s">
        <v>183</v>
      </c>
      <c r="M6" s="1187" t="b">
        <f>OR(AND(COUNTA(B7:B11)=3,COUNTA(C7:G11)=6),AND(COUNTA(B7:B11)=4,COUNTA(C7:G11)=12),AND(COUNTA(B7:B11)=5,COUNTA(C7:G11)=20))</f>
        <v>1</v>
      </c>
      <c r="N6" s="1177"/>
      <c r="O6" s="1177"/>
      <c r="P6" s="1177"/>
      <c r="Q6" s="1177"/>
      <c r="R6" s="1177"/>
      <c r="S6" s="1177"/>
      <c r="T6" s="1177"/>
      <c r="U6" s="1177"/>
      <c r="V6" s="1177"/>
      <c r="W6" s="1177"/>
      <c r="X6" s="1177"/>
      <c r="Y6" s="1177"/>
      <c r="Z6" s="1177"/>
      <c r="AA6" s="1177"/>
      <c r="AB6" s="1177"/>
      <c r="AE6" s="605"/>
      <c r="AF6" s="596"/>
      <c r="AG6" s="596"/>
    </row>
    <row r="7" spans="1:33" x14ac:dyDescent="0.2">
      <c r="A7" s="1181">
        <v>1</v>
      </c>
      <c r="B7" s="1188" t="s">
        <v>12</v>
      </c>
      <c r="C7" s="1189"/>
      <c r="D7" s="1190">
        <v>13</v>
      </c>
      <c r="E7" s="1190">
        <v>13</v>
      </c>
      <c r="F7" s="1190"/>
      <c r="G7" s="1190"/>
      <c r="H7" s="1191" t="str">
        <f>(IF(D7-C8&gt;0,1)+IF(E7-C9&gt;0,1)+IF(F7-C10&gt;0,1)+IF(G7-C11&gt;0,1))&amp;"-"&amp;(IF(D7-C8&lt;0,1)+IF(E7-C9&lt;0,1)+IF(F7-C10&lt;0,1)+IF(G7-C11&lt;0,1))</f>
        <v>2-0</v>
      </c>
      <c r="I7" s="1190" t="str">
        <f>IF(AND(B7&lt;&gt;"",M$6=TRUE),A$6&amp;RANK(M7,M$7:M$11,0)," ")</f>
        <v>A1</v>
      </c>
      <c r="J7" s="1192">
        <f>IF(AND(L7=1,L8=1,D7&gt;C8),1)+IF(AND(L7=1,L9=1,E7&gt;C9),1)+IF(AND(L7=1,L10=1,F7&gt;C10),1)+IF(AND(L7=1,L11=1,G7&gt;C11),1)+IF(AND(L7=2,L8=2,D7&gt;C8),1)+IF(AND(L7=2,L9=2,E7&gt;C9),1)+IF(AND(L7=2,L10=2,F7&gt;C10),1)+IF(AND(L7=2,L11=2,G7&gt;C11),1)+IF(AND(L7=3,L8=3,D7&gt;C8),1)+IF(AND(L7=3,L9=3,E7&gt;C9),1)+IF(AND(L7=3,L10=3,F7&gt;C10),1)+IF(AND(L7=3,L11=3,G7&gt;C11),1)</f>
        <v>0</v>
      </c>
      <c r="K7" s="1193">
        <f>IF(AND(L7=1,L8=1),D7-C8)+IF(AND(L7=1,L9=1),E7-C9)+IF(AND(L7=1,L10=1),F7-C10)+IF(AND(L7=1,L11=1),G7-C11)+IF(AND(L7=2,L8=2),D7-C8)+IF(AND(L7=2,L9=2),E7-C9)+IF(AND(L7=2,L10=2),F7-C10)+IF(AND(L7=2,L11=2),G7-C11)+IF(AND(L7=3,L8=3),D7-C8)+IF(AND(L7=3,L9=3),E7-C9)+IF(AND(L7=3,L10=3),F7-C10)+IF(AND(L7=3,L11=3),G7-C11)</f>
        <v>0</v>
      </c>
      <c r="L7" s="1194">
        <f>VALUE(LEFT(H7,1))</f>
        <v>2</v>
      </c>
      <c r="M7" s="1194">
        <f>10000*L7+J7*100+K7</f>
        <v>20000</v>
      </c>
      <c r="N7" s="1177"/>
      <c r="O7" s="1177"/>
      <c r="P7" s="1177"/>
      <c r="Q7" s="1177"/>
      <c r="R7" s="1177"/>
      <c r="S7" s="1177"/>
      <c r="T7" s="1177"/>
      <c r="U7" s="1177"/>
      <c r="V7" s="1177"/>
      <c r="W7" s="1177"/>
      <c r="X7" s="1177"/>
      <c r="Y7" s="1177"/>
      <c r="Z7" s="1177"/>
      <c r="AA7" s="1177"/>
      <c r="AB7" s="1177"/>
      <c r="AE7" s="618">
        <f t="shared" ref="AE7" ca="1" si="0">SUM(AG7:AG7)</f>
        <v>268</v>
      </c>
      <c r="AF7" s="619" t="str">
        <f>$B7</f>
        <v>Ivar Viljaste</v>
      </c>
      <c r="AG7" s="620">
        <f ca="1">IFERROR(INDEX(Reit!$I:$I,MATCH(AF7,Reit!$F:$F,0)),"")</f>
        <v>268</v>
      </c>
    </row>
    <row r="8" spans="1:33" x14ac:dyDescent="0.2">
      <c r="A8" s="1181">
        <v>2</v>
      </c>
      <c r="B8" s="1195" t="s">
        <v>100</v>
      </c>
      <c r="C8" s="1190">
        <v>6</v>
      </c>
      <c r="D8" s="1189"/>
      <c r="E8" s="1190">
        <v>13</v>
      </c>
      <c r="F8" s="1190"/>
      <c r="G8" s="1190"/>
      <c r="H8" s="1191" t="str">
        <f>(IF(C8-D7&gt;0,1)+IF(E8-D9&gt;0,1)+IF(F8-D10&gt;0,1)+IF(G8-D11&gt;0,1))&amp;"-"&amp;(IF(C8-D7&lt;0,1)+IF(E8-D9&lt;0,1)+IF(F8-D10&lt;0,1)+IF(G8-D11&lt;0,1))</f>
        <v>1-1</v>
      </c>
      <c r="I8" s="1190" t="str">
        <f>IF(AND(B8&lt;&gt;"",M$6=TRUE),A$6&amp;RANK(M8,M$7:M$11,0)," ")</f>
        <v>A2</v>
      </c>
      <c r="J8" s="1196">
        <f>IF(AND(L8=1,L7=1,C8&gt;D7),1)+IF(AND(L8=1,L9=1,E8&gt;D9),1)+IF(AND(L8=1,L10=1,F8&gt;D10),1)+IF(AND(L8=1,L11=1,G8&gt;D11),1)+IF(AND(L8=2,L7=2,C8&gt;D7),1)+IF(AND(L8=2,L9=2,E8&gt;D9),1)+IF(AND(L8=2,L10=2,F8&gt;D10),1)+IF(AND(L8=2,L11=2,G8&gt;D11),1)+IF(AND(L8=3,L7=3,C8&gt;D7),1)+IF(AND(L8=3,L9=3,E8&gt;D9),1)+IF(AND(L8=3,L10=3,F8&gt;D10),1)+IF(AND(L8=3,L11=3,G8&gt;D11),1)</f>
        <v>0</v>
      </c>
      <c r="K8" s="1197">
        <f>IF(AND(L8=1,L7=1),C8-D7)+IF(AND(L8=1,L9=1),E8-D9)+IF(AND(L8=1,L10=1),F8-D10)+IF(AND(L8=1,L11=1),G8-D11)+IF(AND(L8=2,L7=2),C8-D7)+IF(AND(L8=2,L9=2),E8-D9)+IF(AND(L8=2,L10=2),F8-D10)+IF(AND(L8=2,L11=2),G8-D11)+IF(AND(L8=3,L7=3),C8-D7)+IF(AND(L8=3,L9=3),E8-D9)+IF(AND(L8=3,L10=3),F8-D10)+IF(AND(L8=3,L11=3),G8-D11)</f>
        <v>0</v>
      </c>
      <c r="L8" s="1198">
        <f>VALUE(LEFT(H8,1))</f>
        <v>1</v>
      </c>
      <c r="M8" s="1198">
        <f>10000*L8+J8*100+K8</f>
        <v>10000</v>
      </c>
      <c r="N8" s="1177"/>
      <c r="O8" s="1177"/>
      <c r="P8" s="1177"/>
      <c r="Q8" s="1177"/>
      <c r="R8" s="1177"/>
      <c r="S8" s="1177"/>
      <c r="T8" s="1177"/>
      <c r="U8" s="1177"/>
      <c r="V8" s="1177"/>
      <c r="W8" s="1177"/>
      <c r="X8" s="1177"/>
      <c r="Y8" s="1177"/>
      <c r="Z8" s="1177"/>
      <c r="AA8" s="1177"/>
      <c r="AB8" s="1177"/>
      <c r="AE8" s="618">
        <f t="shared" ref="AE8:AE25" ca="1" si="1">SUM(AG8:AG8)</f>
        <v>84</v>
      </c>
      <c r="AF8" s="619" t="str">
        <f>$B8</f>
        <v>Tõnu Kapper</v>
      </c>
      <c r="AG8" s="620">
        <f ca="1">IFERROR(INDEX(Reit!$I:$I,MATCH(AF8,Reit!$F:$F,0)),"")</f>
        <v>84</v>
      </c>
    </row>
    <row r="9" spans="1:33" x14ac:dyDescent="0.2">
      <c r="A9" s="1181">
        <v>3</v>
      </c>
      <c r="B9" s="1195" t="s">
        <v>125</v>
      </c>
      <c r="C9" s="1190">
        <v>3</v>
      </c>
      <c r="D9" s="1199">
        <v>8</v>
      </c>
      <c r="E9" s="1189"/>
      <c r="F9" s="1190"/>
      <c r="G9" s="1190"/>
      <c r="H9" s="1191" t="str">
        <f>(IF(C9-E7&gt;0,1)+IF(D9-E8&gt;0,1)+IF(F9-E10&gt;0,1)+IF(G9-E11&gt;0,1))&amp;"-"&amp;(IF(C9-E7&lt;0,1)+IF(D9-E8&lt;0,1)+IF(F9-E10&lt;0,1)+IF(G9-E11&lt;0,1))</f>
        <v>0-2</v>
      </c>
      <c r="I9" s="1190" t="str">
        <f>IF(AND(B9&lt;&gt;"",M$6=TRUE),A$6&amp;RANK(M9,M$7:M$11,0)," ")</f>
        <v>A3</v>
      </c>
      <c r="J9" s="1196">
        <f>IF(AND(L9=1,L7=1,C9&gt;E7),1)+IF(AND(L9=1,L8=1,D9&gt;E8),1)+IF(AND(L9=1,L10=1,F9&gt;E10),1)+IF(AND(L9=1,L11=1,G9&gt;E11),1)+IF(AND(L9=2,L7=2,C9&gt;E7),1)+IF(AND(L9=2,L8=2,D9&gt;E8),1)+IF(AND(L9=2,L10=2,F9&gt;E10),1)+IF(AND(L9=2,L11=2,G9&gt;E11),1)+IF(AND(L9=3,L7=3,C9&gt;E7),1)+IF(AND(L9=3,L8=3,D9&gt;E8),1)+IF(AND(L9=3,L10=3,F9&gt;E10),1)+IF(AND(L9=3,L11=3,G9&gt;E11),1)</f>
        <v>0</v>
      </c>
      <c r="K9" s="1197">
        <f>IF(AND(L9=1,L7=1),C9-E7)+IF(AND(L9=1,L8=1),D9-E8)+IF(AND(L9=1,L10=1),F9-E10)+IF(AND(L9=1,L11=1),G9-E11)+IF(AND(L9=2,L7=2),C9-E7)+IF(AND(L9=2,L8=2),D9-E8)+IF(AND(L9=2,L10=2),F9-E10)+IF(AND(L9=2,L11=2),G9-E11)+IF(AND(L9=3,L7=3),C9-E7)+IF(AND(L9=3,L8=3),D9-E8)+IF(AND(L9=3,L10=3),F9-E10)+IF(AND(L9=3,L11=3),G9-E11)</f>
        <v>0</v>
      </c>
      <c r="L9" s="1198">
        <f>VALUE(LEFT(H9,1))</f>
        <v>0</v>
      </c>
      <c r="M9" s="1198">
        <f>10000*L9+J9*100+K9</f>
        <v>0</v>
      </c>
      <c r="N9" s="1177"/>
      <c r="O9" s="1177"/>
      <c r="P9" s="1177"/>
      <c r="Q9" s="1177"/>
      <c r="R9" s="1177"/>
      <c r="S9" s="1177"/>
      <c r="T9" s="1177"/>
      <c r="U9" s="1177"/>
      <c r="V9" s="1177"/>
      <c r="W9" s="1177"/>
      <c r="X9" s="1177"/>
      <c r="Y9" s="1177"/>
      <c r="Z9" s="1177"/>
      <c r="AA9" s="1177"/>
      <c r="AB9" s="1177"/>
      <c r="AE9" s="618">
        <f t="shared" ca="1" si="1"/>
        <v>113</v>
      </c>
      <c r="AF9" s="619" t="str">
        <f t="shared" ref="AF9:AF60" si="2">$B9</f>
        <v>Urmas Jõeäär</v>
      </c>
      <c r="AG9" s="620">
        <f ca="1">IFERROR(INDEX(Reit!$I:$I,MATCH(AF9,Reit!$F:$F,0)),"")</f>
        <v>113</v>
      </c>
    </row>
    <row r="10" spans="1:33" hidden="1" x14ac:dyDescent="0.2">
      <c r="A10" s="1181">
        <v>4</v>
      </c>
      <c r="B10" s="1200"/>
      <c r="C10" s="1190"/>
      <c r="D10" s="1199"/>
      <c r="E10" s="1190"/>
      <c r="F10" s="1189"/>
      <c r="G10" s="1201"/>
      <c r="H10" s="1191" t="str">
        <f>(IF(C10-F7&gt;0,1)+IF(D10-F8&gt;0,1)+IF(E10-F9&gt;0,1)+IF(G10-F11&gt;0,1))&amp;"-"&amp;(IF(C10-F7&lt;0,1)+IF(D10-F8&lt;0,1)+IF(E10-F9&lt;0,1)+IF(G10-F11&lt;0,1))</f>
        <v>0-0</v>
      </c>
      <c r="I10" s="1190" t="str">
        <f>IF(AND(B10&lt;&gt;"",M$6=TRUE),A$6&amp;RANK(M10,M$7:M$11,0)," ")</f>
        <v xml:space="preserve"> </v>
      </c>
      <c r="J10" s="1196">
        <f>IF(AND(L10=1,L7=1,C10&gt;F7),1)+IF(AND(L10=1,L8=1,D10&gt;F8),1)+IF(AND(L10=1,L9=1,E10&gt;F9),1)+IF(AND(L10=1,L11=1,G10&gt;F11),1)+IF(AND(L10=2,L7=2,C10&gt;F7),1)+IF(AND(L10=2,L8=2,D10&gt;F8),1)+IF(AND(L10=2,L9=2,E10&gt;F9),1)+IF(AND(L10=2,L11=2,G10&gt;F11),1)+IF(AND(L10=3,L7=3,C10&gt;F7),1)+IF(AND(L10=3,L8=3,D10&gt;F8),1)+IF(AND(L10=3,L9=3,E10&gt;F9),1)+IF(AND(L10=3,L11=3,G10&gt;F11),1)</f>
        <v>0</v>
      </c>
      <c r="K10" s="1197">
        <f>IF(AND(L10=1,L7=1),C10-F7)+IF(AND(L10=1,L8=1),D10-F8)+IF(AND(L10=1,L9=1),E10-F9)+IF(AND(L10=1,L11=1),G10-F11)+IF(AND(L10=2,L7=2),C10-F7)+IF(AND(L10=2,L8=2),D10-F8)+IF(AND(L10=2,L9=2),E10-F9)+IF(AND(L10=2,L11=2),G10-F11)+IF(AND(L10=3,L7=3),C10-F7)+IF(AND(L10=3,L8=3),D10-F8)+IF(AND(L10=3,L9=3),E10-F9)+IF(AND(L10=3,L11=3),G10-F11)</f>
        <v>0</v>
      </c>
      <c r="L10" s="1198">
        <f>VALUE(LEFT(H10,1))</f>
        <v>0</v>
      </c>
      <c r="M10" s="1198">
        <f>10000*L10+J10*100+K10</f>
        <v>0</v>
      </c>
      <c r="N10" s="1177"/>
      <c r="O10" s="1177"/>
      <c r="P10" s="1177"/>
      <c r="Q10" s="1177"/>
      <c r="R10" s="1177"/>
      <c r="S10" s="1177"/>
      <c r="T10" s="1177"/>
      <c r="U10" s="1177"/>
      <c r="V10" s="1177"/>
      <c r="W10" s="1177"/>
      <c r="X10" s="1177"/>
      <c r="Y10" s="1177"/>
      <c r="Z10" s="1177"/>
      <c r="AA10" s="1177"/>
      <c r="AB10" s="1177"/>
      <c r="AE10" s="618">
        <f t="shared" si="1"/>
        <v>0</v>
      </c>
      <c r="AF10" s="619">
        <f t="shared" si="2"/>
        <v>0</v>
      </c>
      <c r="AG10" s="620" t="str">
        <f>IFERROR(INDEX(Reit!$I:$I,MATCH(AF10,Reit!$F:$F,0)),"")</f>
        <v/>
      </c>
    </row>
    <row r="11" spans="1:33" hidden="1" x14ac:dyDescent="0.2">
      <c r="A11" s="1181">
        <v>5</v>
      </c>
      <c r="B11" s="1200"/>
      <c r="C11" s="1190"/>
      <c r="D11" s="1190"/>
      <c r="E11" s="1190"/>
      <c r="F11" s="1190"/>
      <c r="G11" s="1189"/>
      <c r="H11" s="1191" t="str">
        <f>(IF(C11-G7&gt;0,1)+IF(D11-G8&gt;0,1)+IF(E11-G9&gt;0,1)+IF(F11-G10&gt;0,1))&amp;"-"&amp;(IF(C11-G7&lt;0,1)+IF(D11-G8&lt;0,1)+IF(E11-G9&lt;0,1)+IF(F11-G10&lt;0,1))</f>
        <v>0-0</v>
      </c>
      <c r="I11" s="1190" t="str">
        <f>IF(AND(B11&lt;&gt;"",M$6=TRUE),A$6&amp;RANK(M11,M$7:M$11,0)," ")</f>
        <v xml:space="preserve"> </v>
      </c>
      <c r="J11" s="1196">
        <f>IF(AND(L11=1,L7=1,C11&gt;G7),1)+IF(AND(L11=1,L8=1,D11&gt;G8),1)+IF(AND(L11=1,L9=1,E11&gt;G9),1)+IF(AND(L11=1,L10=1,F11&gt;G10),1)+IF(AND(L11=2,L7=2,C11&gt;G7),1)+IF(AND(L11=2,L8=2,D11&gt;G8),1)+IF(AND(L11=2,L9=2,E11&gt;G9),1)+IF(AND(L11=2,L10=2,F11&gt;G10),1)+IF(AND(L11=3,L7=3,C11&gt;G7),1)+IF(AND(L11=3,L8=3,D11&gt;G8),1)+IF(AND(L11=3,L9=3,E11&gt;G9),1)+IF(AND(L11=3,L10=3,F11&gt;G10),1)</f>
        <v>0</v>
      </c>
      <c r="K11" s="1197">
        <f>IF(AND(L11=1,L7=1),C11-G7)+IF(AND(L11=1,L8=1),D11-G8)+IF(AND(L11=1,L9=1),E11-G9)+IF(AND(L11=1,L10=1),F11-G10)+IF(AND(L11=2,L7=2),C11-G7)+IF(AND(L11=2,L8=2),D11-G8)+IF(AND(L11=2,L9=2),E11-G9)+IF(AND(L11=2,L10=2),F11-G10)+IF(AND(L11=3,L7=3),C11-G7)+IF(AND(L11=3,L8=3),D11-G8)+IF(AND(L11=3,L9=3),E11-G9)+IF(AND(L11=3,L10=3),F11-G10)</f>
        <v>0</v>
      </c>
      <c r="L11" s="1198">
        <f>VALUE(LEFT(H11,1))</f>
        <v>0</v>
      </c>
      <c r="M11" s="1198">
        <f>10000*L11+J11*100+K11</f>
        <v>0</v>
      </c>
      <c r="N11" s="1177"/>
      <c r="O11" s="1177"/>
      <c r="P11" s="1177"/>
      <c r="Q11" s="1177"/>
      <c r="R11" s="1177"/>
      <c r="S11" s="1177"/>
      <c r="T11" s="1177"/>
      <c r="U11" s="1177"/>
      <c r="V11" s="1177"/>
      <c r="W11" s="1177"/>
      <c r="X11" s="1177"/>
      <c r="Y11" s="1177"/>
      <c r="Z11" s="1177"/>
      <c r="AA11" s="1177"/>
      <c r="AB11" s="1177"/>
      <c r="AE11" s="618">
        <f t="shared" si="1"/>
        <v>0</v>
      </c>
      <c r="AF11" s="619">
        <f t="shared" si="2"/>
        <v>0</v>
      </c>
      <c r="AG11" s="620" t="str">
        <f>IFERROR(INDEX(Reit!$I:$I,MATCH(AF11,Reit!$F:$F,0)),"")</f>
        <v/>
      </c>
    </row>
    <row r="12" spans="1:33" x14ac:dyDescent="0.2">
      <c r="A12" s="1202"/>
      <c r="B12" s="1203"/>
      <c r="C12" s="1204"/>
      <c r="D12" s="1204"/>
      <c r="E12" s="1204"/>
      <c r="F12" s="1205"/>
      <c r="G12" s="1176"/>
      <c r="H12" s="1205"/>
      <c r="I12" s="1206"/>
      <c r="J12" s="1207"/>
      <c r="K12" s="1207"/>
      <c r="L12" s="1207"/>
      <c r="M12" s="1207"/>
      <c r="N12" s="1177"/>
      <c r="O12" s="1177"/>
      <c r="P12" s="1177"/>
      <c r="Q12" s="1177"/>
      <c r="R12" s="1177"/>
      <c r="S12" s="1177"/>
      <c r="T12" s="1177"/>
      <c r="U12" s="1177"/>
      <c r="V12" s="1177"/>
      <c r="W12" s="1177"/>
      <c r="X12" s="1177"/>
      <c r="Y12" s="1177"/>
      <c r="Z12" s="1177"/>
      <c r="AA12" s="1177"/>
      <c r="AB12" s="1177"/>
      <c r="AE12" s="618">
        <f t="shared" si="1"/>
        <v>0</v>
      </c>
      <c r="AF12" s="619">
        <f t="shared" si="2"/>
        <v>0</v>
      </c>
      <c r="AG12" s="620" t="str">
        <f>IFERROR(INDEX(Reit!$I:$I,MATCH(AF12,Reit!$F:$F,0)),"")</f>
        <v/>
      </c>
    </row>
    <row r="13" spans="1:33" x14ac:dyDescent="0.2">
      <c r="A13" s="1181" t="s">
        <v>246</v>
      </c>
      <c r="B13" s="1182"/>
      <c r="C13" s="1183">
        <v>1</v>
      </c>
      <c r="D13" s="1183">
        <v>2</v>
      </c>
      <c r="E13" s="1183">
        <v>3</v>
      </c>
      <c r="F13" s="1183"/>
      <c r="G13" s="1183"/>
      <c r="H13" s="1184" t="s">
        <v>313</v>
      </c>
      <c r="I13" s="1184" t="s">
        <v>296</v>
      </c>
      <c r="J13" s="1185" t="s">
        <v>183</v>
      </c>
      <c r="K13" s="1186" t="s">
        <v>344</v>
      </c>
      <c r="L13" s="1208" t="s">
        <v>183</v>
      </c>
      <c r="M13" s="1208" t="b">
        <f>OR(AND(COUNTA(B14:B18)=3,COUNTA(C14:G18)=6),AND(COUNTA(B14:B18)=4,COUNTA(C14:G18)=12),AND(COUNTA(B14:B18)=5,COUNTA(C14:G18)=20))</f>
        <v>1</v>
      </c>
      <c r="N13" s="1177"/>
      <c r="O13" s="1177"/>
      <c r="P13" s="1177"/>
      <c r="Q13" s="1177"/>
      <c r="R13" s="1177"/>
      <c r="S13" s="1177"/>
      <c r="T13" s="1177"/>
      <c r="U13" s="1177"/>
      <c r="V13" s="1177"/>
      <c r="W13" s="1177"/>
      <c r="X13" s="1177"/>
      <c r="Y13" s="1177"/>
      <c r="Z13" s="1177"/>
      <c r="AA13" s="1177"/>
      <c r="AB13" s="1177"/>
      <c r="AE13" s="618">
        <f t="shared" si="1"/>
        <v>0</v>
      </c>
      <c r="AF13" s="619">
        <f t="shared" si="2"/>
        <v>0</v>
      </c>
      <c r="AG13" s="620" t="str">
        <f>IFERROR(INDEX(Reit!$I:$I,MATCH(AF13,Reit!$F:$F,0)),"")</f>
        <v/>
      </c>
    </row>
    <row r="14" spans="1:33" x14ac:dyDescent="0.2">
      <c r="A14" s="1181">
        <v>1</v>
      </c>
      <c r="B14" s="1209" t="s">
        <v>471</v>
      </c>
      <c r="C14" s="1189"/>
      <c r="D14" s="1190">
        <v>8</v>
      </c>
      <c r="E14" s="1190">
        <v>13</v>
      </c>
      <c r="F14" s="1190"/>
      <c r="G14" s="1190"/>
      <c r="H14" s="1191" t="str">
        <f>(IF(D14-C15&gt;0,1)+IF(E14-C16&gt;0,1)+IF(F14-C17&gt;0,1)+IF(G14-C18&gt;0,1))&amp;"-"&amp;(IF(D14-C15&lt;0,1)+IF(E14-C16&lt;0,1)+IF(F14-C17&lt;0,1)+IF(G14-C18&lt;0,1))</f>
        <v>1-1</v>
      </c>
      <c r="I14" s="1190" t="str">
        <f>IF(AND(B14&lt;&gt;"",M$6=TRUE),A$13&amp;RANK(M14,M$14:M$18,0)," ")</f>
        <v>B2</v>
      </c>
      <c r="J14" s="1192">
        <f>IF(AND(L14=1,L15=1,D14&gt;C15),1)+IF(AND(L14=1,L16=1,E14&gt;C16),1)+IF(AND(L14=1,L17=1,F14&gt;C17),1)+IF(AND(L14=1,L18=1,G14&gt;C18),1)+IF(AND(L14=2,L15=2,D14&gt;C15),1)+IF(AND(L14=2,L16=2,E14&gt;C16),1)+IF(AND(L14=2,L17=2,F14&gt;C17),1)+IF(AND(L14=2,L18=2,G14&gt;C18),1)+IF(AND(L14=3,L15=3,D14&gt;C15),1)+IF(AND(L14=3,L16=3,E14&gt;C16),1)+IF(AND(L14=3,L17=3,F14&gt;C17),1)+IF(AND(L14=3,L18=3,G14&gt;C18),1)</f>
        <v>1</v>
      </c>
      <c r="K14" s="1193">
        <f>IF(AND(L14=1,L15=1),D14-C15)+IF(AND(L14=1,L16=1),E14-C16)+IF(AND(L14=1,L17=1),F14-C17)+IF(AND(L14=1,L18=1),G14-C18)+IF(AND(L14=2,L15=2),D14-C15)+IF(AND(L14=2,L16=2),E14-C16)+IF(AND(L14=2,L17=2),F14-C17)+IF(AND(L14=2,L18=2),G14-C18)+IF(AND(L14=3,L15=3),D14-C15)+IF(AND(L14=3,L16=3),E14-C16)+IF(AND(L14=3,L17=3),F14-C17)+IF(AND(L14=3,L18=3),G14-C18)</f>
        <v>2</v>
      </c>
      <c r="L14" s="1198">
        <f>VALUE(LEFT(H14,1))</f>
        <v>1</v>
      </c>
      <c r="M14" s="1198">
        <f>10000*L14+J14*100+K14</f>
        <v>10102</v>
      </c>
      <c r="N14" s="1177"/>
      <c r="O14" s="1177"/>
      <c r="P14" s="1177"/>
      <c r="Q14" s="1177"/>
      <c r="R14" s="1177"/>
      <c r="S14" s="1177"/>
      <c r="T14" s="1177"/>
      <c r="U14" s="1177"/>
      <c r="V14" s="1177"/>
      <c r="W14" s="1177"/>
      <c r="X14" s="1177"/>
      <c r="Y14" s="1177"/>
      <c r="Z14" s="1177"/>
      <c r="AA14" s="1177"/>
      <c r="AB14" s="1177"/>
      <c r="AE14" s="618">
        <f t="shared" ca="1" si="1"/>
        <v>242</v>
      </c>
      <c r="AF14" s="619" t="str">
        <f t="shared" si="2"/>
        <v>Olav Türk</v>
      </c>
      <c r="AG14" s="620">
        <f ca="1">IFERROR(INDEX(Reit!$I:$I,MATCH(AF14,Reit!$F:$F,0)),"")</f>
        <v>242</v>
      </c>
    </row>
    <row r="15" spans="1:33" x14ac:dyDescent="0.2">
      <c r="A15" s="1181">
        <v>2</v>
      </c>
      <c r="B15" s="1188" t="s">
        <v>139</v>
      </c>
      <c r="C15" s="1190">
        <v>13</v>
      </c>
      <c r="D15" s="1189"/>
      <c r="E15" s="1190">
        <v>1</v>
      </c>
      <c r="F15" s="1190"/>
      <c r="G15" s="1190"/>
      <c r="H15" s="1191" t="str">
        <f>(IF(C15-D14&gt;0,1)+IF(E15-D16&gt;0,1)+IF(F15-D17&gt;0,1)+IF(G15-D18&gt;0,1))&amp;"-"&amp;(IF(C15-D14&lt;0,1)+IF(E15-D16&lt;0,1)+IF(F15-D17&lt;0,1)+IF(G15-D18&lt;0,1))</f>
        <v>1-1</v>
      </c>
      <c r="I15" s="1190" t="str">
        <f>IF(AND(B15&lt;&gt;"",M$6=TRUE),A$13&amp;RANK(M15,M$14:M$18,0)," ")</f>
        <v>B3</v>
      </c>
      <c r="J15" s="1196">
        <f>IF(AND(L15=1,L14=1,C15&gt;D14),1)+IF(AND(L15=1,L16=1,E15&gt;D16),1)+IF(AND(L15=1,L17=1,F15&gt;D17),1)+IF(AND(L15=1,L18=1,G15&gt;D18),1)+IF(AND(L15=2,L14=2,C15&gt;D14),1)+IF(AND(L15=2,L16=2,E15&gt;D16),1)+IF(AND(L15=2,L17=2,F15&gt;D17),1)+IF(AND(L15=2,L18=2,G15&gt;D18),1)+IF(AND(L15=3,L14=3,C15&gt;D14),1)+IF(AND(L15=3,L16=3,E15&gt;D16),1)+IF(AND(L15=3,L17=3,F15&gt;D17),1)+IF(AND(L15=3,L18=3,G15&gt;D18),1)</f>
        <v>1</v>
      </c>
      <c r="K15" s="1197">
        <f>IF(AND(L15=1,L14=1),C15-D14)+IF(AND(L15=1,L16=1),E15-D16)+IF(AND(L15=1,L17=1),F15-D17)+IF(AND(L15=1,L18=1),G15-D18)+IF(AND(L15=2,L14=2),C15-D14)+IF(AND(L15=2,L16=2),E15-D16)+IF(AND(L15=2,L17=2),F15-D17)+IF(AND(L15=2,L18=2),G15-D18)+IF(AND(L15=3,L14=3),C15-D14)+IF(AND(L15=3,L16=3),E15-D16)+IF(AND(L15=3,L17=3),F15-D17)+IF(AND(L15=3,L18=3),G15-D18)</f>
        <v>-7</v>
      </c>
      <c r="L15" s="1198">
        <f>VALUE(LEFT(H15,1))</f>
        <v>1</v>
      </c>
      <c r="M15" s="1198">
        <f>10000*L15+J15*100+K15</f>
        <v>10093</v>
      </c>
      <c r="N15" s="1177"/>
      <c r="O15" s="1177"/>
      <c r="P15" s="1177"/>
      <c r="Q15" s="1177"/>
      <c r="R15" s="1177"/>
      <c r="S15" s="1177"/>
      <c r="T15" s="1177"/>
      <c r="U15" s="1177"/>
      <c r="V15" s="1177"/>
      <c r="W15" s="1177"/>
      <c r="X15" s="1177"/>
      <c r="Y15" s="1177"/>
      <c r="Z15" s="1177"/>
      <c r="AA15" s="1177"/>
      <c r="AB15" s="1177"/>
      <c r="AE15" s="618">
        <f t="shared" ca="1" si="1"/>
        <v>187</v>
      </c>
      <c r="AF15" s="619" t="str">
        <f t="shared" si="2"/>
        <v>Sander Rose</v>
      </c>
      <c r="AG15" s="620">
        <f ca="1">IFERROR(INDEX(Reit!$I:$I,MATCH(AF15,Reit!$F:$F,0)),"")</f>
        <v>187</v>
      </c>
    </row>
    <row r="16" spans="1:33" x14ac:dyDescent="0.2">
      <c r="A16" s="1181">
        <v>3</v>
      </c>
      <c r="B16" s="1195" t="s">
        <v>528</v>
      </c>
      <c r="C16" s="1190">
        <v>6</v>
      </c>
      <c r="D16" s="1199">
        <v>13</v>
      </c>
      <c r="E16" s="1189"/>
      <c r="F16" s="1190"/>
      <c r="G16" s="1190"/>
      <c r="H16" s="1191" t="str">
        <f>(IF(C16-E14&gt;0,1)+IF(D16-E15&gt;0,1)+IF(F16-E17&gt;0,1)+IF(G16-E18&gt;0,1))&amp;"-"&amp;(IF(C16-E14&lt;0,1)+IF(D16-E15&lt;0,1)+IF(F16-E17&lt;0,1)+IF(G16-E18&lt;0,1))</f>
        <v>1-1</v>
      </c>
      <c r="I16" s="1190" t="str">
        <f>IF(AND(B16&lt;&gt;"",M$6=TRUE),A$13&amp;RANK(M16,M$14:M$18,0)," ")</f>
        <v>B1</v>
      </c>
      <c r="J16" s="1196">
        <f>IF(AND(L16=1,L14=1,C16&gt;E14),1)+IF(AND(L16=1,L15=1,D16&gt;E15),1)+IF(AND(L16=1,L17=1,F16&gt;E17),1)+IF(AND(L16=1,L18=1,G16&gt;E18),1)+IF(AND(L16=2,L14=2,C16&gt;E14),1)+IF(AND(L16=2,L15=2,D16&gt;E15),1)+IF(AND(L16=2,L17=2,F16&gt;E17),1)+IF(AND(L16=2,L18=2,G16&gt;E18),1)+IF(AND(L16=3,L14=3,C16&gt;E14),1)+IF(AND(L16=3,L15=3,D16&gt;E15),1)+IF(AND(L16=3,L17=3,F16&gt;E17),1)+IF(AND(L16=3,L18=3,G16&gt;E18),1)</f>
        <v>1</v>
      </c>
      <c r="K16" s="1197">
        <f>IF(AND(L16=1,L14=1),C16-E14)+IF(AND(L16=1,L15=1),D16-E15)+IF(AND(L16=1,L17=1),F16-E17)+IF(AND(L16=1,L18=1),G16-E18)+IF(AND(L16=2,L14=2),C16-E14)+IF(AND(L16=2,L15=2),D16-E15)+IF(AND(L16=2,L17=2),F16-E17)+IF(AND(L16=2,L18=2),G16-E18)+IF(AND(L16=3,L14=3),C16-E14)+IF(AND(L16=3,L15=3),D16-E15)+IF(AND(L16=3,L17=3),F16-E17)+IF(AND(L16=3,L18=3),G16-E18)</f>
        <v>5</v>
      </c>
      <c r="L16" s="1198">
        <f>VALUE(LEFT(H16,1))</f>
        <v>1</v>
      </c>
      <c r="M16" s="1198">
        <f>10000*L16+J16*100+K16</f>
        <v>10105</v>
      </c>
      <c r="N16" s="1177"/>
      <c r="O16" s="1177"/>
      <c r="P16" s="1177"/>
      <c r="Q16" s="1177"/>
      <c r="R16" s="1177"/>
      <c r="S16" s="1177"/>
      <c r="T16" s="1177"/>
      <c r="U16" s="1177"/>
      <c r="V16" s="1177"/>
      <c r="W16" s="1177"/>
      <c r="X16" s="1177"/>
      <c r="Y16" s="1177"/>
      <c r="Z16" s="1177"/>
      <c r="AA16" s="1177"/>
      <c r="AB16" s="1177"/>
      <c r="AE16" s="618">
        <f t="shared" ca="1" si="1"/>
        <v>108</v>
      </c>
      <c r="AF16" s="619" t="str">
        <f t="shared" si="2"/>
        <v>Kristel Tihhonjuk</v>
      </c>
      <c r="AG16" s="620">
        <f ca="1">IFERROR(INDEX(Reit!$I:$I,MATCH(AF16,Reit!$F:$F,0)),"")</f>
        <v>108</v>
      </c>
    </row>
    <row r="17" spans="1:33" hidden="1" x14ac:dyDescent="0.2">
      <c r="A17" s="1181">
        <v>4</v>
      </c>
      <c r="B17" s="1200"/>
      <c r="C17" s="1190"/>
      <c r="D17" s="1199"/>
      <c r="E17" s="1190"/>
      <c r="F17" s="1189"/>
      <c r="G17" s="1201"/>
      <c r="H17" s="1191" t="str">
        <f>(IF(C17-F14&gt;0,1)+IF(D17-F15&gt;0,1)+IF(E17-F16&gt;0,1)+IF(G17-F18&gt;0,1))&amp;"-"&amp;(IF(C17-F14&lt;0,1)+IF(D17-F15&lt;0,1)+IF(E17-F16&lt;0,1)+IF(G17-F18&lt;0,1))</f>
        <v>0-0</v>
      </c>
      <c r="I17" s="1190" t="str">
        <f>IF(AND(B17&lt;&gt;"",M$6=TRUE),A$13&amp;RANK(M17,M$14:M$18,0)," ")</f>
        <v xml:space="preserve"> </v>
      </c>
      <c r="J17" s="1196">
        <f>IF(AND(L17=1,L14=1,C17&gt;F14),1)+IF(AND(L17=1,L15=1,D17&gt;F15),1)+IF(AND(L17=1,L16=1,E17&gt;F16),1)+IF(AND(L17=1,L18=1,G17&gt;F18),1)+IF(AND(L17=2,L14=2,C17&gt;F14),1)+IF(AND(L17=2,L15=2,D17&gt;F15),1)+IF(AND(L17=2,L16=2,E17&gt;F16),1)+IF(AND(L17=2,L18=2,G17&gt;F18),1)+IF(AND(L17=3,L14=3,C17&gt;F14),1)+IF(AND(L17=3,L15=3,D17&gt;F15),1)+IF(AND(L17=3,L16=3,E17&gt;F16),1)+IF(AND(L17=3,L18=3,G17&gt;F18),1)</f>
        <v>0</v>
      </c>
      <c r="K17" s="1197">
        <f>IF(AND(L17=1,L14=1),C17-F14)+IF(AND(L17=1,L15=1),D17-F15)+IF(AND(L17=1,L16=1),E17-F16)+IF(AND(L17=1,L18=1),G17-F18)+IF(AND(L17=2,L14=2),C17-F14)+IF(AND(L17=2,L15=2),D17-F15)+IF(AND(L17=2,L16=2),E17-F16)+IF(AND(L17=2,L18=2),G17-F18)+IF(AND(L17=3,L14=3),C17-F14)+IF(AND(L17=3,L15=3),D17-F15)+IF(AND(L17=3,L16=3),E17-F16)+IF(AND(L17=3,L18=3),G17-F18)</f>
        <v>0</v>
      </c>
      <c r="L17" s="1198">
        <f>VALUE(LEFT(H17,1))</f>
        <v>0</v>
      </c>
      <c r="M17" s="1198">
        <f>10000*L17+J17*100+K17</f>
        <v>0</v>
      </c>
      <c r="N17" s="1177"/>
      <c r="O17" s="1177"/>
      <c r="P17" s="1177"/>
      <c r="Q17" s="1177"/>
      <c r="R17" s="1177"/>
      <c r="S17" s="1177"/>
      <c r="T17" s="1177"/>
      <c r="U17" s="1177"/>
      <c r="V17" s="1177"/>
      <c r="W17" s="1177"/>
      <c r="X17" s="1177"/>
      <c r="Y17" s="1177"/>
      <c r="Z17" s="1177"/>
      <c r="AA17" s="1177"/>
      <c r="AB17" s="1177"/>
      <c r="AE17" s="618">
        <f t="shared" si="1"/>
        <v>0</v>
      </c>
      <c r="AF17" s="619">
        <f t="shared" si="2"/>
        <v>0</v>
      </c>
      <c r="AG17" s="620" t="str">
        <f>IFERROR(INDEX(Reit!$I:$I,MATCH(AF17,Reit!$F:$F,0)),"")</f>
        <v/>
      </c>
    </row>
    <row r="18" spans="1:33" hidden="1" x14ac:dyDescent="0.2">
      <c r="A18" s="1181">
        <v>5</v>
      </c>
      <c r="B18" s="1200"/>
      <c r="C18" s="1190"/>
      <c r="D18" s="1190"/>
      <c r="E18" s="1190"/>
      <c r="F18" s="1190"/>
      <c r="G18" s="1189"/>
      <c r="H18" s="1191" t="str">
        <f>(IF(C18-G14&gt;0,1)+IF(D18-G15&gt;0,1)+IF(E18-G16&gt;0,1)+IF(F18-G17&gt;0,1))&amp;"-"&amp;(IF(C18-G14&lt;0,1)+IF(D18-G15&lt;0,1)+IF(E18-G16&lt;0,1)+IF(F18-G17&lt;0,1))</f>
        <v>0-0</v>
      </c>
      <c r="I18" s="1190" t="str">
        <f>IF(AND(B18&lt;&gt;"",M$6=TRUE),A$13&amp;RANK(M18,M$14:M$18,0)," ")</f>
        <v xml:space="preserve"> </v>
      </c>
      <c r="J18" s="1196">
        <f>IF(AND(L18=1,L14=1,C18&gt;G14),1)+IF(AND(L18=1,L15=1,D18&gt;G15),1)+IF(AND(L18=1,L16=1,E18&gt;G16),1)+IF(AND(L18=1,L17=1,F18&gt;G17),1)+IF(AND(L18=2,L14=2,C18&gt;G14),1)+IF(AND(L18=2,L15=2,D18&gt;G15),1)+IF(AND(L18=2,L16=2,E18&gt;G16),1)+IF(AND(L18=2,L17=2,F18&gt;G17),1)+IF(AND(L18=3,L14=3,C18&gt;G14),1)+IF(AND(L18=3,L15=3,D18&gt;G15),1)+IF(AND(L18=3,L16=3,E18&gt;G16),1)+IF(AND(L18=3,L17=3,F18&gt;G17),1)</f>
        <v>0</v>
      </c>
      <c r="K18" s="1197">
        <f>IF(AND(L18=1,L14=1),C18-G14)+IF(AND(L18=1,L15=1),D18-G15)+IF(AND(L18=1,L16=1),E18-G16)+IF(AND(L18=1,L17=1),F18-G17)+IF(AND(L18=2,L14=2),C18-G14)+IF(AND(L18=2,L15=2),D18-G15)+IF(AND(L18=2,L16=2),E18-G16)+IF(AND(L18=2,L17=2),F18-G17)+IF(AND(L18=3,L14=3),C18-G14)+IF(AND(L18=3,L15=3),D18-G15)+IF(AND(L18=3,L16=3),E18-G16)+IF(AND(L18=3,L17=3),F18-G17)</f>
        <v>0</v>
      </c>
      <c r="L18" s="1198">
        <f>VALUE(LEFT(H18,1))</f>
        <v>0</v>
      </c>
      <c r="M18" s="1198">
        <f>10000*L18+J18*100+K18</f>
        <v>0</v>
      </c>
      <c r="N18" s="1177"/>
      <c r="O18" s="1177"/>
      <c r="P18" s="1177"/>
      <c r="Q18" s="1177"/>
      <c r="R18" s="1177"/>
      <c r="S18" s="1177"/>
      <c r="T18" s="1177"/>
      <c r="U18" s="1177"/>
      <c r="V18" s="1177"/>
      <c r="W18" s="1177"/>
      <c r="X18" s="1177"/>
      <c r="Y18" s="1177"/>
      <c r="Z18" s="1177"/>
      <c r="AA18" s="1177"/>
      <c r="AB18" s="1177"/>
      <c r="AE18" s="618">
        <f t="shared" si="1"/>
        <v>0</v>
      </c>
      <c r="AF18" s="619">
        <f t="shared" si="2"/>
        <v>0</v>
      </c>
      <c r="AG18" s="620" t="str">
        <f>IFERROR(INDEX(Reit!$I:$I,MATCH(AF18,Reit!$F:$F,0)),"")</f>
        <v/>
      </c>
    </row>
    <row r="19" spans="1:33" x14ac:dyDescent="0.2">
      <c r="A19" s="1202"/>
      <c r="B19" s="1203"/>
      <c r="C19" s="1204"/>
      <c r="D19" s="1204"/>
      <c r="E19" s="1204"/>
      <c r="F19" s="1205"/>
      <c r="G19" s="1176"/>
      <c r="H19" s="1205"/>
      <c r="I19" s="1206"/>
      <c r="J19" s="1210"/>
      <c r="K19" s="1207"/>
      <c r="L19" s="1207"/>
      <c r="M19" s="1207"/>
      <c r="N19" s="1177"/>
      <c r="O19" s="1177"/>
      <c r="P19" s="1177"/>
      <c r="Q19" s="1177"/>
      <c r="R19" s="1177"/>
      <c r="S19" s="1177"/>
      <c r="T19" s="1177"/>
      <c r="U19" s="1177"/>
      <c r="V19" s="1177"/>
      <c r="W19" s="1177"/>
      <c r="X19" s="1177"/>
      <c r="Y19" s="1177"/>
      <c r="Z19" s="1177"/>
      <c r="AA19" s="1177"/>
      <c r="AB19" s="1177"/>
      <c r="AE19" s="618">
        <f t="shared" si="1"/>
        <v>0</v>
      </c>
      <c r="AF19" s="619">
        <f t="shared" si="2"/>
        <v>0</v>
      </c>
      <c r="AG19" s="620" t="str">
        <f>IFERROR(INDEX(Reit!$I:$I,MATCH(AF19,Reit!$F:$F,0)),"")</f>
        <v/>
      </c>
    </row>
    <row r="20" spans="1:33" x14ac:dyDescent="0.2">
      <c r="A20" s="1181" t="s">
        <v>247</v>
      </c>
      <c r="B20" s="1182"/>
      <c r="C20" s="1183">
        <v>1</v>
      </c>
      <c r="D20" s="1183">
        <v>2</v>
      </c>
      <c r="E20" s="1183">
        <v>3</v>
      </c>
      <c r="F20" s="1183"/>
      <c r="G20" s="1183"/>
      <c r="H20" s="1184" t="s">
        <v>313</v>
      </c>
      <c r="I20" s="1184" t="s">
        <v>296</v>
      </c>
      <c r="J20" s="1185" t="s">
        <v>183</v>
      </c>
      <c r="K20" s="1186" t="s">
        <v>344</v>
      </c>
      <c r="L20" s="1208" t="s">
        <v>183</v>
      </c>
      <c r="M20" s="1208" t="b">
        <f>OR(AND(COUNTA(B21:B25)=3,COUNTA(C21:G25)=6),AND(COUNTA(B21:B25)=4,COUNTA(C21:G25)=12),AND(COUNTA(B21:B25)=5,COUNTA(C21:G25)=20))</f>
        <v>1</v>
      </c>
      <c r="N20" s="1177"/>
      <c r="O20" s="1177"/>
      <c r="P20" s="1177"/>
      <c r="Q20" s="1177"/>
      <c r="R20" s="1177"/>
      <c r="S20" s="1177"/>
      <c r="T20" s="1177"/>
      <c r="U20" s="1177"/>
      <c r="V20" s="1177"/>
      <c r="W20" s="1177"/>
      <c r="X20" s="1177"/>
      <c r="Y20" s="1177"/>
      <c r="Z20" s="1177"/>
      <c r="AA20" s="1177"/>
      <c r="AB20" s="1177"/>
      <c r="AE20" s="618">
        <f t="shared" si="1"/>
        <v>0</v>
      </c>
      <c r="AF20" s="619">
        <f t="shared" si="2"/>
        <v>0</v>
      </c>
      <c r="AG20" s="620" t="str">
        <f>IFERROR(INDEX(Reit!$I:$I,MATCH(AF20,Reit!$F:$F,0)),"")</f>
        <v/>
      </c>
    </row>
    <row r="21" spans="1:33" x14ac:dyDescent="0.2">
      <c r="A21" s="1181">
        <v>1</v>
      </c>
      <c r="B21" s="1188" t="s">
        <v>496</v>
      </c>
      <c r="C21" s="1189"/>
      <c r="D21" s="1190">
        <v>13</v>
      </c>
      <c r="E21" s="1190">
        <v>11</v>
      </c>
      <c r="F21" s="1190"/>
      <c r="G21" s="1190"/>
      <c r="H21" s="1191" t="str">
        <f>(IF(D21-C22&gt;0,1)+IF(E21-C23&gt;0,1)+IF(F21-C24&gt;0,1)+IF(G21-C25&gt;0,1))&amp;"-"&amp;(IF(D21-C22&lt;0,1)+IF(E21-C23&lt;0,1)+IF(F21-C24&lt;0,1)+IF(G21-C25&lt;0,1))</f>
        <v>1-1</v>
      </c>
      <c r="I21" s="1190" t="str">
        <f>IF(AND(B21&lt;&gt;"",M$20=TRUE),A$20&amp;RANK(M21,M$21:M$25,0)," ")</f>
        <v>C1</v>
      </c>
      <c r="J21" s="1192">
        <f>IF(AND(L21=1,L22=1,D21&gt;C22),1)+IF(AND(L21=1,L23=1,E21&gt;C23),1)+IF(AND(L21=1,L24=1,F21&gt;C24),1)+IF(AND(L21=1,L25=1,G21&gt;C25),1)+IF(AND(L21=2,L22=2,D21&gt;C22),1)+IF(AND(L21=2,L23=2,E21&gt;C23),1)+IF(AND(L21=2,L24=2,F21&gt;C24),1)+IF(AND(L21=2,L25=2,G21&gt;C25),1)+IF(AND(L21=3,L22=3,D21&gt;C22),1)+IF(AND(L21=3,L23=3,E21&gt;C23),1)+IF(AND(L21=3,L24=3,F21&gt;C24),1)+IF(AND(L21=3,L25=3,G21&gt;C25),1)</f>
        <v>1</v>
      </c>
      <c r="K21" s="1193">
        <f>IF(AND(L21=1,L22=1),D21-C22)+IF(AND(L21=1,L23=1),E21-C23)+IF(AND(L21=1,L24=1),F21-C24)+IF(AND(L21=1,L25=1),G21-C25)+IF(AND(L21=2,L22=2),D21-C22)+IF(AND(L21=2,L23=2),E21-C23)+IF(AND(L21=2,L24=2),F21-C24)+IF(AND(L21=2,L25=2),G21-C25)+IF(AND(L21=3,L22=3),D21-C22)+IF(AND(L21=3,L23=3),E21-C23)+IF(AND(L21=3,L24=3),F21-C24)+IF(AND(L21=3,L25=3),G21-C25)</f>
        <v>5</v>
      </c>
      <c r="L21" s="1198">
        <f>VALUE(LEFT(H21,1))</f>
        <v>1</v>
      </c>
      <c r="M21" s="1198">
        <f>10000*L21+J21*100+K21</f>
        <v>10105</v>
      </c>
      <c r="N21" s="1177"/>
      <c r="O21" s="1177"/>
      <c r="P21" s="1177"/>
      <c r="Q21" s="1177"/>
      <c r="R21" s="1177"/>
      <c r="S21" s="1177"/>
      <c r="T21" s="1177"/>
      <c r="U21" s="1177"/>
      <c r="V21" s="1177"/>
      <c r="W21" s="1177"/>
      <c r="X21" s="1177"/>
      <c r="Y21" s="1177"/>
      <c r="Z21" s="1177"/>
      <c r="AA21" s="1177"/>
      <c r="AB21" s="1177"/>
      <c r="AE21" s="618">
        <f t="shared" ca="1" si="1"/>
        <v>168</v>
      </c>
      <c r="AF21" s="619" t="str">
        <f t="shared" si="2"/>
        <v>Sirje Maala</v>
      </c>
      <c r="AG21" s="620">
        <f ca="1">IFERROR(INDEX(Reit!$I:$I,MATCH(AF21,Reit!$F:$F,0)),"")</f>
        <v>168</v>
      </c>
    </row>
    <row r="22" spans="1:33" x14ac:dyDescent="0.2">
      <c r="A22" s="1181">
        <v>2</v>
      </c>
      <c r="B22" s="1195" t="s">
        <v>120</v>
      </c>
      <c r="C22" s="1190">
        <v>6</v>
      </c>
      <c r="D22" s="1189"/>
      <c r="E22" s="1190">
        <v>13</v>
      </c>
      <c r="F22" s="1190"/>
      <c r="G22" s="1190"/>
      <c r="H22" s="1191" t="str">
        <f>(IF(C22-D21&gt;0,1)+IF(E22-D23&gt;0,1)+IF(F22-D24&gt;0,1)+IF(G22-D25&gt;0,1))&amp;"-"&amp;(IF(C22-D21&lt;0,1)+IF(E22-D23&lt;0,1)+IF(F22-D24&lt;0,1)+IF(G22-D25&lt;0,1))</f>
        <v>1-1</v>
      </c>
      <c r="I22" s="1190" t="str">
        <f>IF(AND(B22&lt;&gt;"",M$20=TRUE),A$20&amp;RANK(M22,M$21:M$25,0)," ")</f>
        <v>C2</v>
      </c>
      <c r="J22" s="1196">
        <f>IF(AND(L22=1,L21=1,C22&gt;D21),1)+IF(AND(L22=1,L23=1,E22&gt;D23),1)+IF(AND(L22=1,L24=1,F22&gt;D24),1)+IF(AND(L22=1,L25=1,G22&gt;D25),1)+IF(AND(L22=2,L21=2,C22&gt;D21),1)+IF(AND(L22=2,L23=2,E22&gt;D23),1)+IF(AND(L22=2,L24=2,F22&gt;D24),1)+IF(AND(L22=2,L25=2,G22&gt;D25),1)+IF(AND(L22=3,L21=3,C22&gt;D21),1)+IF(AND(L22=3,L23=3,E22&gt;D23),1)+IF(AND(L22=3,L24=3,F22&gt;D24),1)+IF(AND(L22=3,L25=3,G22&gt;D25),1)</f>
        <v>1</v>
      </c>
      <c r="K22" s="1197">
        <f>IF(AND(L22=1,L21=1),C22-D21)+IF(AND(L22=1,L23=1),E22-D23)+IF(AND(L22=1,L24=1),F22-D24)+IF(AND(L22=1,L25=1),G22-D25)+IF(AND(L22=2,L21=2),C22-D21)+IF(AND(L22=2,L23=2),E22-D23)+IF(AND(L22=2,L24=2),F22-D24)+IF(AND(L22=2,L25=2),G22-D25)+IF(AND(L22=3,L21=3),C22-D21)+IF(AND(L22=3,L23=3),E22-D23)+IF(AND(L22=3,L24=3),F22-D24)+IF(AND(L22=3,L25=3),G22-D25)</f>
        <v>-1</v>
      </c>
      <c r="L22" s="1198">
        <f>VALUE(LEFT(H22,1))</f>
        <v>1</v>
      </c>
      <c r="M22" s="1198">
        <f>10000*L22+J22*100+K22</f>
        <v>10099</v>
      </c>
      <c r="N22" s="1177"/>
      <c r="O22" s="1177"/>
      <c r="P22" s="1177"/>
      <c r="Q22" s="1177"/>
      <c r="R22" s="1177"/>
      <c r="S22" s="1177"/>
      <c r="T22" s="1177"/>
      <c r="U22" s="1177"/>
      <c r="V22" s="1177"/>
      <c r="W22" s="1177"/>
      <c r="X22" s="1177"/>
      <c r="Y22" s="1177"/>
      <c r="Z22" s="1177"/>
      <c r="AA22" s="1177"/>
      <c r="AB22" s="1177"/>
      <c r="AE22" s="618">
        <f t="shared" ca="1" si="1"/>
        <v>136</v>
      </c>
      <c r="AF22" s="619" t="str">
        <f t="shared" si="2"/>
        <v>Jaan Saar</v>
      </c>
      <c r="AG22" s="620">
        <f ca="1">IFERROR(INDEX(Reit!$I:$I,MATCH(AF22,Reit!$F:$F,0)),"")</f>
        <v>136</v>
      </c>
    </row>
    <row r="23" spans="1:33" x14ac:dyDescent="0.2">
      <c r="A23" s="1181">
        <v>3</v>
      </c>
      <c r="B23" s="1195" t="s">
        <v>129</v>
      </c>
      <c r="C23" s="1190">
        <v>13</v>
      </c>
      <c r="D23" s="1199">
        <v>7</v>
      </c>
      <c r="E23" s="1189"/>
      <c r="F23" s="1190"/>
      <c r="G23" s="1190"/>
      <c r="H23" s="1191" t="str">
        <f>(IF(C23-E21&gt;0,1)+IF(D23-E22&gt;0,1)+IF(F23-E24&gt;0,1)+IF(G23-E25&gt;0,1))&amp;"-"&amp;(IF(C23-E21&lt;0,1)+IF(D23-E22&lt;0,1)+IF(F23-E24&lt;0,1)+IF(G23-E25&lt;0,1))</f>
        <v>1-1</v>
      </c>
      <c r="I23" s="1190" t="str">
        <f>IF(AND(B23&lt;&gt;"",M$20=TRUE),A$20&amp;RANK(M23,M$21:M$25,0)," ")</f>
        <v>C3</v>
      </c>
      <c r="J23" s="1196">
        <f>IF(AND(L23=1,L21=1,C23&gt;E21),1)+IF(AND(L23=1,L22=1,D23&gt;E22),1)+IF(AND(L23=1,L24=1,F23&gt;E24),1)+IF(AND(L23=1,L25=1,G23&gt;E25),1)+IF(AND(L23=2,L21=2,C23&gt;E21),1)+IF(AND(L23=2,L22=2,D23&gt;E22),1)+IF(AND(L23=2,L24=2,F23&gt;E24),1)+IF(AND(L23=2,L25=2,G23&gt;E25),1)+IF(AND(L23=3,L21=3,C23&gt;E21),1)+IF(AND(L23=3,L22=3,D23&gt;E22),1)+IF(AND(L23=3,L24=3,F23&gt;E24),1)+IF(AND(L23=3,L25=3,G23&gt;E25),1)</f>
        <v>1</v>
      </c>
      <c r="K23" s="1197">
        <f>IF(AND(L23=1,L21=1),C23-E21)+IF(AND(L23=1,L22=1),D23-E22)+IF(AND(L23=1,L24=1),F23-E24)+IF(AND(L23=1,L25=1),G23-E25)+IF(AND(L23=2,L21=2),C23-E21)+IF(AND(L23=2,L22=2),D23-E22)+IF(AND(L23=2,L24=2),F23-E24)+IF(AND(L23=2,L25=2),G23-E25)+IF(AND(L23=3,L21=3),C23-E21)+IF(AND(L23=3,L22=3),D23-E22)+IF(AND(L23=3,L24=3),F23-E24)+IF(AND(L23=3,L25=3),G23-E25)</f>
        <v>-4</v>
      </c>
      <c r="L23" s="1198">
        <f>VALUE(LEFT(H23,1))</f>
        <v>1</v>
      </c>
      <c r="M23" s="1198">
        <f>10000*L23+J23*100+K23</f>
        <v>10096</v>
      </c>
      <c r="N23" s="1177"/>
      <c r="O23" s="1177"/>
      <c r="P23" s="1177"/>
      <c r="Q23" s="1177"/>
      <c r="R23" s="1177"/>
      <c r="S23" s="1177"/>
      <c r="T23" s="1177"/>
      <c r="U23" s="1177"/>
      <c r="V23" s="1177"/>
      <c r="W23" s="1177"/>
      <c r="X23" s="1177"/>
      <c r="Y23" s="1177"/>
      <c r="Z23" s="1177"/>
      <c r="AA23" s="1177"/>
      <c r="AB23" s="1177"/>
      <c r="AE23" s="618">
        <f t="shared" ca="1" si="1"/>
        <v>144</v>
      </c>
      <c r="AF23" s="619" t="str">
        <f t="shared" si="2"/>
        <v>Vadim Tihhonjuk</v>
      </c>
      <c r="AG23" s="620">
        <f ca="1">IFERROR(INDEX(Reit!$I:$I,MATCH(AF23,Reit!$F:$F,0)),"")</f>
        <v>144</v>
      </c>
    </row>
    <row r="24" spans="1:33" hidden="1" x14ac:dyDescent="0.2">
      <c r="A24" s="1181">
        <v>4</v>
      </c>
      <c r="B24" s="1195"/>
      <c r="C24" s="1190"/>
      <c r="D24" s="1199"/>
      <c r="E24" s="1190"/>
      <c r="F24" s="1189"/>
      <c r="G24" s="1201"/>
      <c r="H24" s="1191" t="str">
        <f>(IF(C24-F21&gt;0,1)+IF(D24-F22&gt;0,1)+IF(E24-F23&gt;0,1)+IF(G24-F25&gt;0,1))&amp;"-"&amp;(IF(C24-F21&lt;0,1)+IF(D24-F22&lt;0,1)+IF(E24-F23&lt;0,1)+IF(G24-F25&lt;0,1))</f>
        <v>0-0</v>
      </c>
      <c r="I24" s="1190" t="str">
        <f>IF(AND(B24&lt;&gt;"",M$20=TRUE),A$20&amp;RANK(M24,M$21:M$25,0)," ")</f>
        <v xml:space="preserve"> </v>
      </c>
      <c r="J24" s="1196">
        <f>IF(AND(L24=1,L21=1,C24&gt;F21),1)+IF(AND(L24=1,L22=1,D24&gt;F22),1)+IF(AND(L24=1,L23=1,E24&gt;F23),1)+IF(AND(L24=1,L25=1,G24&gt;F25),1)+IF(AND(L24=2,L21=2,C24&gt;F21),1)+IF(AND(L24=2,L22=2,D24&gt;F22),1)+IF(AND(L24=2,L23=2,E24&gt;F23),1)+IF(AND(L24=2,L25=2,G24&gt;F25),1)+IF(AND(L24=3,L21=3,C24&gt;F21),1)+IF(AND(L24=3,L22=3,D24&gt;F22),1)+IF(AND(L24=3,L23=3,E24&gt;F23),1)+IF(AND(L24=3,L25=3,G24&gt;F25),1)</f>
        <v>0</v>
      </c>
      <c r="K24" s="1197">
        <f>IF(AND(L24=1,L21=1),C24-F21)+IF(AND(L24=1,L22=1),D24-F22)+IF(AND(L24=1,L23=1),E24-F23)+IF(AND(L24=1,L25=1),G24-F25)+IF(AND(L24=2,L21=2),C24-F21)+IF(AND(L24=2,L22=2),D24-F22)+IF(AND(L24=2,L23=2),E24-F23)+IF(AND(L24=2,L25=2),G24-F25)+IF(AND(L24=3,L21=3),C24-F21)+IF(AND(L24=3,L22=3),D24-F22)+IF(AND(L24=3,L23=3),E24-F23)+IF(AND(L24=3,L25=3),G24-F25)</f>
        <v>0</v>
      </c>
      <c r="L24" s="1198">
        <f>VALUE(LEFT(H24,1))</f>
        <v>0</v>
      </c>
      <c r="M24" s="1198">
        <f>10000*L24+J24*100+K24</f>
        <v>0</v>
      </c>
      <c r="N24" s="1177"/>
      <c r="O24" s="1177"/>
      <c r="P24" s="1177"/>
      <c r="Q24" s="1177"/>
      <c r="R24" s="1177"/>
      <c r="S24" s="1177"/>
      <c r="T24" s="1177"/>
      <c r="U24" s="1177"/>
      <c r="V24" s="1177"/>
      <c r="W24" s="1177"/>
      <c r="X24" s="1177"/>
      <c r="Y24" s="1177"/>
      <c r="Z24" s="1177"/>
      <c r="AA24" s="1177"/>
      <c r="AB24" s="1177"/>
      <c r="AE24" s="618">
        <f t="shared" si="1"/>
        <v>0</v>
      </c>
      <c r="AF24" s="619">
        <f t="shared" si="2"/>
        <v>0</v>
      </c>
      <c r="AG24" s="620" t="str">
        <f>IFERROR(INDEX(Reit!$I:$I,MATCH(AF24,Reit!$F:$F,0)),"")</f>
        <v/>
      </c>
    </row>
    <row r="25" spans="1:33" hidden="1" x14ac:dyDescent="0.2">
      <c r="A25" s="1181">
        <v>5</v>
      </c>
      <c r="B25" s="1200"/>
      <c r="C25" s="1190"/>
      <c r="D25" s="1190"/>
      <c r="E25" s="1190"/>
      <c r="F25" s="1190"/>
      <c r="G25" s="1189"/>
      <c r="H25" s="1191" t="str">
        <f>(IF(C25-G21&gt;0,1)+IF(D25-G22&gt;0,1)+IF(E25-G23&gt;0,1)+IF(F25-G24&gt;0,1))&amp;"-"&amp;(IF(C25-G21&lt;0,1)+IF(D25-G22&lt;0,1)+IF(E25-G23&lt;0,1)+IF(F25-G24&lt;0,1))</f>
        <v>0-0</v>
      </c>
      <c r="I25" s="1190" t="str">
        <f>IF(AND(B25&lt;&gt;"",M$20=TRUE),A$20&amp;RANK(M25,M$21:M$25,0)," ")</f>
        <v xml:space="preserve"> </v>
      </c>
      <c r="J25" s="1196">
        <f>IF(AND(L25=1,L21=1,C25&gt;G21),1)+IF(AND(L25=1,L22=1,D25&gt;G22),1)+IF(AND(L25=1,L23=1,E25&gt;G23),1)+IF(AND(L25=1,L24=1,F25&gt;G24),1)+IF(AND(L25=2,L21=2,C25&gt;G21),1)+IF(AND(L25=2,L22=2,D25&gt;G22),1)+IF(AND(L25=2,L23=2,E25&gt;G23),1)+IF(AND(L25=2,L24=2,F25&gt;G24),1)+IF(AND(L25=3,L21=3,C25&gt;G21),1)+IF(AND(L25=3,L22=3,D25&gt;G22),1)+IF(AND(L25=3,L23=3,E25&gt;G23),1)+IF(AND(L25=3,L24=3,F25&gt;G24),1)</f>
        <v>0</v>
      </c>
      <c r="K25" s="1197">
        <f>IF(AND(L25=1,L21=1),C25-G21)+IF(AND(L25=1,L22=1),D25-G22)+IF(AND(L25=1,L23=1),E25-G23)+IF(AND(L25=1,L24=1),F25-G24)+IF(AND(L25=2,L21=2),C25-G21)+IF(AND(L25=2,L22=2),D25-G22)+IF(AND(L25=2,L23=2),E25-G23)+IF(AND(L25=2,L24=2),F25-G24)+IF(AND(L25=3,L21=3),C25-G21)+IF(AND(L25=3,L22=3),D25-G22)+IF(AND(L25=3,L23=3),E25-G23)+IF(AND(L25=3,L24=3),F25-G24)</f>
        <v>0</v>
      </c>
      <c r="L25" s="1198">
        <f>VALUE(LEFT(H25,1))</f>
        <v>0</v>
      </c>
      <c r="M25" s="1198">
        <f>10000*L25+J25*100+K25</f>
        <v>0</v>
      </c>
      <c r="N25" s="1177"/>
      <c r="O25" s="1177"/>
      <c r="P25" s="1177"/>
      <c r="Q25" s="1177"/>
      <c r="R25" s="1177"/>
      <c r="S25" s="1177"/>
      <c r="T25" s="1177"/>
      <c r="U25" s="1177"/>
      <c r="V25" s="1177"/>
      <c r="W25" s="1177"/>
      <c r="X25" s="1177"/>
      <c r="Y25" s="1177"/>
      <c r="Z25" s="1177"/>
      <c r="AA25" s="1177"/>
      <c r="AB25" s="1177"/>
      <c r="AE25" s="618">
        <f t="shared" si="1"/>
        <v>0</v>
      </c>
      <c r="AF25" s="619">
        <f t="shared" si="2"/>
        <v>0</v>
      </c>
      <c r="AG25" s="620" t="str">
        <f>IFERROR(INDEX(Reit!$I:$I,MATCH(AF25,Reit!$F:$F,0)),"")</f>
        <v/>
      </c>
    </row>
    <row r="26" spans="1:33" x14ac:dyDescent="0.2">
      <c r="A26" s="807"/>
      <c r="B26" s="1211"/>
      <c r="C26" s="1176"/>
      <c r="D26" s="1176"/>
      <c r="E26" s="1176"/>
      <c r="F26" s="811"/>
      <c r="G26" s="811"/>
      <c r="H26" s="1211"/>
      <c r="I26" s="1211"/>
      <c r="J26" s="1207"/>
      <c r="K26" s="1212"/>
      <c r="L26" s="1212"/>
      <c r="M26" s="1213"/>
      <c r="N26" s="1177"/>
      <c r="O26" s="1177"/>
      <c r="P26" s="1177"/>
      <c r="Q26" s="1177"/>
      <c r="R26" s="1177"/>
      <c r="S26" s="1177"/>
      <c r="T26" s="1177"/>
      <c r="U26" s="1177"/>
      <c r="V26" s="1177"/>
      <c r="W26" s="1177"/>
      <c r="X26" s="1177"/>
      <c r="Y26" s="1177"/>
      <c r="Z26" s="1177"/>
      <c r="AA26" s="1177"/>
      <c r="AB26" s="1177"/>
      <c r="AE26" s="618">
        <f t="shared" ref="AE26:AE28" si="3">SUM(AG26:AG26)</f>
        <v>0</v>
      </c>
      <c r="AF26" s="619">
        <f t="shared" si="2"/>
        <v>0</v>
      </c>
      <c r="AG26" s="620" t="str">
        <f>IFERROR(INDEX(Reit!$I:$I,MATCH(AF26,Reit!$F:$F,0)),"")</f>
        <v/>
      </c>
    </row>
    <row r="27" spans="1:33" x14ac:dyDescent="0.2">
      <c r="A27" s="1181" t="s">
        <v>248</v>
      </c>
      <c r="B27" s="1182"/>
      <c r="C27" s="1183">
        <v>1</v>
      </c>
      <c r="D27" s="1183">
        <v>2</v>
      </c>
      <c r="E27" s="1183">
        <v>3</v>
      </c>
      <c r="F27" s="1183"/>
      <c r="G27" s="1183"/>
      <c r="H27" s="1184" t="s">
        <v>313</v>
      </c>
      <c r="I27" s="1184" t="s">
        <v>296</v>
      </c>
      <c r="J27" s="1185" t="s">
        <v>183</v>
      </c>
      <c r="K27" s="1186" t="s">
        <v>344</v>
      </c>
      <c r="L27" s="1208" t="s">
        <v>183</v>
      </c>
      <c r="M27" s="1208" t="b">
        <f>OR(AND(COUNTA(B28:B32)=3,COUNTA(C28:G32)=6),AND(COUNTA(B28:B32)=4,COUNTA(C28:G32)=12),AND(COUNTA(B28:B32)=5,COUNTA(C28:G32)=20))</f>
        <v>1</v>
      </c>
      <c r="N27" s="1177"/>
      <c r="O27" s="1177"/>
      <c r="P27" s="1177"/>
      <c r="Q27" s="1177"/>
      <c r="R27" s="1177"/>
      <c r="S27" s="1177"/>
      <c r="T27" s="1177"/>
      <c r="U27" s="1177"/>
      <c r="V27" s="1177"/>
      <c r="W27" s="1177"/>
      <c r="X27" s="1177"/>
      <c r="Y27" s="1177"/>
      <c r="Z27" s="1177"/>
      <c r="AA27" s="1177"/>
      <c r="AB27" s="1177"/>
      <c r="AE27" s="618">
        <f t="shared" si="3"/>
        <v>0</v>
      </c>
      <c r="AF27" s="619">
        <f t="shared" si="2"/>
        <v>0</v>
      </c>
      <c r="AG27" s="620" t="str">
        <f>IFERROR(INDEX(Reit!$I:$I,MATCH(AF27,Reit!$F:$F,0)),"")</f>
        <v/>
      </c>
    </row>
    <row r="28" spans="1:33" x14ac:dyDescent="0.2">
      <c r="A28" s="1181">
        <v>1</v>
      </c>
      <c r="B28" s="1214" t="s">
        <v>87</v>
      </c>
      <c r="C28" s="1189"/>
      <c r="D28" s="1190">
        <v>13</v>
      </c>
      <c r="E28" s="1190">
        <v>13</v>
      </c>
      <c r="F28" s="1190"/>
      <c r="G28" s="1190"/>
      <c r="H28" s="1191" t="str">
        <f>(IF(D28-C29&gt;0,1)+IF(E28-C30&gt;0,1)+IF(F28-C31&gt;0,1)+IF(G28-C32&gt;0,1))&amp;"-"&amp;(IF(D28-C29&lt;0,1)+IF(E28-C30&lt;0,1)+IF(F28-C31&lt;0,1)+IF(G28-C32&lt;0,1))</f>
        <v>2-0</v>
      </c>
      <c r="I28" s="1190" t="str">
        <f>IF(AND(B28&lt;&gt;"",M$27=TRUE),A$27&amp;RANK(M28,M$28:M$32,0)," ")</f>
        <v>D1</v>
      </c>
      <c r="J28" s="1192">
        <f>IF(AND(L28=1,L29=1,D28&gt;C29),1)+IF(AND(L28=1,L30=1,E28&gt;C30),1)+IF(AND(L28=1,L31=1,F28&gt;C31),1)+IF(AND(L28=1,L32=1,G28&gt;C32),1)+IF(AND(L28=2,L29=2,D28&gt;C29),1)+IF(AND(L28=2,L30=2,E28&gt;C30),1)+IF(AND(L28=2,L31=2,F28&gt;C31),1)+IF(AND(L28=2,L32=2,G28&gt;C32),1)+IF(AND(L28=3,L29=3,D28&gt;C29),1)+IF(AND(L28=3,L30=3,E28&gt;C30),1)+IF(AND(L28=3,L31=3,F28&gt;C31),1)+IF(AND(L28=3,L32=3,G28&gt;C32),1)</f>
        <v>0</v>
      </c>
      <c r="K28" s="1193">
        <f>IF(AND(L28=1,L29=1),D28-C29)+IF(AND(L28=1,L30=1),E28-C30)+IF(AND(L28=1,L31=1),F28-C31)+IF(AND(L28=1,L32=1),G28-C32)+IF(AND(L28=2,L29=2),D28-C29)+IF(AND(L28=2,L30=2),E28-C30)+IF(AND(L28=2,L31=2),F28-C31)+IF(AND(L28=2,L32=2),G28-C32)+IF(AND(L28=3,L29=3),D28-C29)+IF(AND(L28=3,L30=3),E28-C30)+IF(AND(L28=3,L31=3),F28-C31)+IF(AND(L28=3,L32=3),G28-C32)</f>
        <v>0</v>
      </c>
      <c r="L28" s="1198">
        <f>VALUE(LEFT(H28,1))</f>
        <v>2</v>
      </c>
      <c r="M28" s="1198">
        <f>10000*L28+J28*100+K28</f>
        <v>20000</v>
      </c>
      <c r="N28" s="1177"/>
      <c r="O28" s="1177"/>
      <c r="P28" s="1177"/>
      <c r="Q28" s="1177"/>
      <c r="R28" s="1177"/>
      <c r="S28" s="1177"/>
      <c r="T28" s="1177"/>
      <c r="U28" s="1177"/>
      <c r="V28" s="1177"/>
      <c r="W28" s="1177"/>
      <c r="X28" s="1177"/>
      <c r="Y28" s="1177"/>
      <c r="Z28" s="1177"/>
      <c r="AA28" s="1177"/>
      <c r="AB28" s="1177"/>
      <c r="AE28" s="618">
        <f t="shared" ca="1" si="3"/>
        <v>256</v>
      </c>
      <c r="AF28" s="619" t="str">
        <f t="shared" si="2"/>
        <v>Matti Vinni</v>
      </c>
      <c r="AG28" s="620">
        <f ca="1">IFERROR(INDEX(Reit!$I:$I,MATCH(AF28,Reit!$F:$F,0)),"")</f>
        <v>256</v>
      </c>
    </row>
    <row r="29" spans="1:33" x14ac:dyDescent="0.2">
      <c r="A29" s="1181">
        <v>2</v>
      </c>
      <c r="B29" s="1195" t="s">
        <v>94</v>
      </c>
      <c r="C29" s="1190">
        <v>8</v>
      </c>
      <c r="D29" s="1189"/>
      <c r="E29" s="1190">
        <v>13</v>
      </c>
      <c r="F29" s="1190"/>
      <c r="G29" s="1190"/>
      <c r="H29" s="1191" t="str">
        <f>(IF(C29-D28&gt;0,1)+IF(E29-D30&gt;0,1)+IF(F29-D31&gt;0,1)+IF(G29-D32&gt;0,1))&amp;"-"&amp;(IF(C29-D28&lt;0,1)+IF(E29-D30&lt;0,1)+IF(F29-D31&lt;0,1)+IF(G29-D32&lt;0,1))</f>
        <v>1-1</v>
      </c>
      <c r="I29" s="1190" t="str">
        <f>IF(AND(B29&lt;&gt;"",M$27=TRUE),A$27&amp;RANK(M29,M$28:M$32,0)," ")</f>
        <v>D2</v>
      </c>
      <c r="J29" s="1196">
        <f>IF(AND(L29=1,L28=1,C29&gt;D28),1)+IF(AND(L29=1,L30=1,E29&gt;D30),1)+IF(AND(L29=1,L31=1,F29&gt;D31),1)+IF(AND(L29=1,L32=1,G29&gt;D32),1)+IF(AND(L29=2,L28=2,C29&gt;D28),1)+IF(AND(L29=2,L30=2,E29&gt;D30),1)+IF(AND(L29=2,L31=2,F29&gt;D31),1)+IF(AND(L29=2,L32=2,G29&gt;D32),1)+IF(AND(L29=3,L28=3,C29&gt;D28),1)+IF(AND(L29=3,L30=3,E29&gt;D30),1)+IF(AND(L29=3,L31=3,F29&gt;D31),1)+IF(AND(L29=3,L32=3,G29&gt;D32),1)</f>
        <v>0</v>
      </c>
      <c r="K29" s="1197">
        <f>IF(AND(L29=1,L28=1),C29-D28)+IF(AND(L29=1,L30=1),E29-D30)+IF(AND(L29=1,L31=1),F29-D31)+IF(AND(L29=1,L32=1),G29-D32)+IF(AND(L29=2,L28=2),C29-D28)+IF(AND(L29=2,L30=2),E29-D30)+IF(AND(L29=2,L31=2),F29-D31)+IF(AND(L29=2,L32=2),G29-D32)+IF(AND(L29=3,L28=3),C29-D28)+IF(AND(L29=3,L30=3),E29-D30)+IF(AND(L29=3,L31=3),F29-D31)+IF(AND(L29=3,L32=3),G29-D32)</f>
        <v>0</v>
      </c>
      <c r="L29" s="1198">
        <f>VALUE(LEFT(H29,1))</f>
        <v>1</v>
      </c>
      <c r="M29" s="1198">
        <f>10000*L29+J29*100+K29</f>
        <v>10000</v>
      </c>
      <c r="N29" s="1177"/>
      <c r="O29" s="1177"/>
      <c r="P29" s="1177"/>
      <c r="Q29" s="1177"/>
      <c r="R29" s="1177"/>
      <c r="S29" s="1177"/>
      <c r="T29" s="1177"/>
      <c r="U29" s="1177"/>
      <c r="V29" s="1177"/>
      <c r="W29" s="1177"/>
      <c r="X29" s="1177"/>
      <c r="Y29" s="1177"/>
      <c r="Z29" s="1177"/>
      <c r="AA29" s="1177"/>
      <c r="AB29" s="1177"/>
      <c r="AE29" s="618">
        <f ca="1">SUM(AG29:AG29)</f>
        <v>113</v>
      </c>
      <c r="AF29" s="619" t="str">
        <f t="shared" si="2"/>
        <v>Janek Tarto</v>
      </c>
      <c r="AG29" s="620">
        <f ca="1">IFERROR(INDEX(Reit!$I:$I,MATCH(AF29,Reit!$F:$F,0)),"")</f>
        <v>113</v>
      </c>
    </row>
    <row r="30" spans="1:33" x14ac:dyDescent="0.2">
      <c r="A30" s="1181">
        <v>3</v>
      </c>
      <c r="B30" s="1195" t="s">
        <v>102</v>
      </c>
      <c r="C30" s="1190">
        <v>10</v>
      </c>
      <c r="D30" s="1199">
        <v>11</v>
      </c>
      <c r="E30" s="1189"/>
      <c r="F30" s="1190"/>
      <c r="G30" s="1190"/>
      <c r="H30" s="1191" t="str">
        <f>(IF(C30-E28&gt;0,1)+IF(D30-E29&gt;0,1)+IF(F30-E31&gt;0,1)+IF(G30-E32&gt;0,1))&amp;"-"&amp;(IF(C30-E28&lt;0,1)+IF(D30-E29&lt;0,1)+IF(F30-E31&lt;0,1)+IF(G30-E32&lt;0,1))</f>
        <v>0-2</v>
      </c>
      <c r="I30" s="1190" t="str">
        <f>IF(AND(B30&lt;&gt;"",M$27=TRUE),A$27&amp;RANK(M30,M$28:M$32,0)," ")</f>
        <v>D3</v>
      </c>
      <c r="J30" s="1196">
        <f>IF(AND(L30=1,L28=1,C30&gt;E28),1)+IF(AND(L30=1,L29=1,D30&gt;E29),1)+IF(AND(L30=1,L31=1,F30&gt;E31),1)+IF(AND(L30=1,L32=1,G30&gt;E32),1)+IF(AND(L30=2,L28=2,C30&gt;E28),1)+IF(AND(L30=2,L29=2,D30&gt;E29),1)+IF(AND(L30=2,L31=2,F30&gt;E31),1)+IF(AND(L30=2,L32=2,G30&gt;E32),1)+IF(AND(L30=3,L28=3,C30&gt;E28),1)+IF(AND(L30=3,L29=3,D30&gt;E29),1)+IF(AND(L30=3,L31=3,F30&gt;E31),1)+IF(AND(L30=3,L32=3,G30&gt;E32),1)</f>
        <v>0</v>
      </c>
      <c r="K30" s="1197">
        <f>IF(AND(L30=1,L28=1),C30-E28)+IF(AND(L30=1,L29=1),D30-E29)+IF(AND(L30=1,L31=1),F30-E31)+IF(AND(L30=1,L32=1),G30-E32)+IF(AND(L30=2,L28=2),C30-E28)+IF(AND(L30=2,L29=2),D30-E29)+IF(AND(L30=2,L31=2),F30-E31)+IF(AND(L30=2,L32=2),G30-E32)+IF(AND(L30=3,L28=3),C30-E28)+IF(AND(L30=3,L29=3),D30-E29)+IF(AND(L30=3,L31=3),F30-E31)+IF(AND(L30=3,L32=3),G30-E32)</f>
        <v>0</v>
      </c>
      <c r="L30" s="1198">
        <f>VALUE(LEFT(H30,1))</f>
        <v>0</v>
      </c>
      <c r="M30" s="1198">
        <f>10000*L30+J30*100+K30</f>
        <v>0</v>
      </c>
      <c r="N30" s="1177"/>
      <c r="O30" s="1177"/>
      <c r="P30" s="1177"/>
      <c r="Q30" s="1177"/>
      <c r="R30" s="1177"/>
      <c r="S30" s="1177"/>
      <c r="T30" s="1177"/>
      <c r="U30" s="1177"/>
      <c r="V30" s="1177"/>
      <c r="W30" s="1177"/>
      <c r="X30" s="1177"/>
      <c r="Y30" s="1177"/>
      <c r="Z30" s="1177"/>
      <c r="AA30" s="1177"/>
      <c r="AB30" s="1177"/>
      <c r="AE30" s="618">
        <f t="shared" ref="AE30:AE60" ca="1" si="4">SUM(AG30:AG30)</f>
        <v>87</v>
      </c>
      <c r="AF30" s="619" t="str">
        <f t="shared" si="2"/>
        <v>Vladimir Ogneštšikov</v>
      </c>
      <c r="AG30" s="620">
        <f ca="1">IFERROR(INDEX(Reit!$I:$I,MATCH(AF30,Reit!$F:$F,0)),"")</f>
        <v>87</v>
      </c>
    </row>
    <row r="31" spans="1:33" hidden="1" x14ac:dyDescent="0.2">
      <c r="A31" s="1181">
        <v>4</v>
      </c>
      <c r="B31" s="1200"/>
      <c r="C31" s="1190"/>
      <c r="D31" s="1199"/>
      <c r="E31" s="1190"/>
      <c r="F31" s="1189"/>
      <c r="G31" s="1201"/>
      <c r="H31" s="1191" t="str">
        <f>(IF(C31-F28&gt;0,1)+IF(D31-F29&gt;0,1)+IF(E31-F30&gt;0,1)+IF(G31-F32&gt;0,1))&amp;"-"&amp;(IF(C31-F28&lt;0,1)+IF(D31-F29&lt;0,1)+IF(E31-F30&lt;0,1)+IF(G31-F32&lt;0,1))</f>
        <v>0-0</v>
      </c>
      <c r="I31" s="1190" t="str">
        <f>IF(AND(B31&lt;&gt;"",M$27=TRUE),A$27&amp;RANK(M31,M$28:M$32,0)," ")</f>
        <v xml:space="preserve"> </v>
      </c>
      <c r="J31" s="1196">
        <f>IF(AND(L31=1,L28=1,C31&gt;F28),1)+IF(AND(L31=1,L29=1,D31&gt;F29),1)+IF(AND(L31=1,L30=1,E31&gt;F30),1)+IF(AND(L31=1,L32=1,G31&gt;F32),1)+IF(AND(L31=2,L28=2,C31&gt;F28),1)+IF(AND(L31=2,L29=2,D31&gt;F29),1)+IF(AND(L31=2,L30=2,E31&gt;F30),1)+IF(AND(L31=2,L32=2,G31&gt;F32),1)+IF(AND(L31=3,L28=3,C31&gt;F28),1)+IF(AND(L31=3,L29=3,D31&gt;F29),1)+IF(AND(L31=3,L30=3,E31&gt;F30),1)+IF(AND(L31=3,L32=3,G31&gt;F32),1)</f>
        <v>0</v>
      </c>
      <c r="K31" s="1197">
        <f>IF(AND(L31=1,L28=1),C31-F28)+IF(AND(L31=1,L29=1),D31-F29)+IF(AND(L31=1,L30=1),E31-F30)+IF(AND(L31=1,L32=1),G31-F32)+IF(AND(L31=2,L28=2),C31-F28)+IF(AND(L31=2,L29=2),D31-F29)+IF(AND(L31=2,L30=2),E31-F30)+IF(AND(L31=2,L32=2),G31-F32)+IF(AND(L31=3,L28=3),C31-F28)+IF(AND(L31=3,L29=3),D31-F29)+IF(AND(L31=3,L30=3),E31-F30)+IF(AND(L31=3,L32=3),G31-F32)</f>
        <v>0</v>
      </c>
      <c r="L31" s="1198">
        <f>VALUE(LEFT(H31,1))</f>
        <v>0</v>
      </c>
      <c r="M31" s="1198">
        <f>10000*L31+J31*100+K31</f>
        <v>0</v>
      </c>
      <c r="N31" s="1177"/>
      <c r="O31" s="1177"/>
      <c r="P31" s="1177"/>
      <c r="Q31" s="1177"/>
      <c r="R31" s="1177"/>
      <c r="S31" s="1177"/>
      <c r="T31" s="1177"/>
      <c r="U31" s="1177"/>
      <c r="V31" s="1177"/>
      <c r="W31" s="1177"/>
      <c r="X31" s="1177"/>
      <c r="Y31" s="1177"/>
      <c r="Z31" s="1177"/>
      <c r="AA31" s="1177"/>
      <c r="AB31" s="1177"/>
      <c r="AE31" s="618">
        <f t="shared" si="4"/>
        <v>0</v>
      </c>
      <c r="AF31" s="619">
        <f t="shared" si="2"/>
        <v>0</v>
      </c>
      <c r="AG31" s="620" t="str">
        <f>IFERROR(INDEX(Reit!$I:$I,MATCH(AF31,Reit!$F:$F,0)),"")</f>
        <v/>
      </c>
    </row>
    <row r="32" spans="1:33" hidden="1" x14ac:dyDescent="0.2">
      <c r="A32" s="1181">
        <v>5</v>
      </c>
      <c r="B32" s="1200"/>
      <c r="C32" s="1190"/>
      <c r="D32" s="1190"/>
      <c r="E32" s="1190"/>
      <c r="F32" s="1190"/>
      <c r="G32" s="1189"/>
      <c r="H32" s="1191" t="str">
        <f>(IF(C32-G28&gt;0,1)+IF(D32-G29&gt;0,1)+IF(E32-G30&gt;0,1)+IF(F32-G31&gt;0,1))&amp;"-"&amp;(IF(C32-G28&lt;0,1)+IF(D32-G29&lt;0,1)+IF(E32-G30&lt;0,1)+IF(F32-G31&lt;0,1))</f>
        <v>0-0</v>
      </c>
      <c r="I32" s="1190" t="str">
        <f>IF(AND(B32&lt;&gt;"",M$27=TRUE),A$27&amp;RANK(M32,M$28:M$32,0)," ")</f>
        <v xml:space="preserve"> </v>
      </c>
      <c r="J32" s="1196">
        <f>IF(AND(L32=1,L28=1,C32&gt;G28),1)+IF(AND(L32=1,L29=1,D32&gt;G29),1)+IF(AND(L32=1,L30=1,E32&gt;G30),1)+IF(AND(L32=1,L31=1,F32&gt;G31),1)+IF(AND(L32=2,L28=2,C32&gt;G28),1)+IF(AND(L32=2,L29=2,D32&gt;G29),1)+IF(AND(L32=2,L30=2,E32&gt;G30),1)+IF(AND(L32=2,L31=2,F32&gt;G31),1)+IF(AND(L32=3,L28=3,C32&gt;G28),1)+IF(AND(L32=3,L29=3,D32&gt;G29),1)+IF(AND(L32=3,L30=3,E32&gt;G30),1)+IF(AND(L32=3,L31=3,F32&gt;G31),1)</f>
        <v>0</v>
      </c>
      <c r="K32" s="1197">
        <f>IF(AND(L32=1,L28=1),C32-G28)+IF(AND(L32=1,L29=1),D32-G29)+IF(AND(L32=1,L30=1),E32-G30)+IF(AND(L32=1,L31=1),F32-G31)+IF(AND(L32=2,L28=2),C32-G28)+IF(AND(L32=2,L29=2),D32-G29)+IF(AND(L32=2,L30=2),E32-G30)+IF(AND(L32=2,L31=2),F32-G31)+IF(AND(L32=3,L28=3),C32-G28)+IF(AND(L32=3,L29=3),D32-G29)+IF(AND(L32=3,L30=3),E32-G30)+IF(AND(L32=3,L31=3),F32-G31)</f>
        <v>0</v>
      </c>
      <c r="L32" s="1198">
        <f>VALUE(LEFT(H32,1))</f>
        <v>0</v>
      </c>
      <c r="M32" s="1198">
        <f>10000*L32+J32*100+K32</f>
        <v>0</v>
      </c>
      <c r="N32" s="1177"/>
      <c r="O32" s="1177"/>
      <c r="P32" s="1177"/>
      <c r="Q32" s="1177"/>
      <c r="R32" s="1177"/>
      <c r="S32" s="1177"/>
      <c r="T32" s="1177"/>
      <c r="U32" s="1177"/>
      <c r="V32" s="1177"/>
      <c r="W32" s="1177"/>
      <c r="X32" s="1177"/>
      <c r="Y32" s="1177"/>
      <c r="Z32" s="1177"/>
      <c r="AA32" s="1177"/>
      <c r="AB32" s="1177"/>
      <c r="AE32" s="618">
        <f t="shared" si="4"/>
        <v>0</v>
      </c>
      <c r="AF32" s="619">
        <f t="shared" si="2"/>
        <v>0</v>
      </c>
      <c r="AG32" s="620" t="str">
        <f>IFERROR(INDEX(Reit!$I:$I,MATCH(AF32,Reit!$F:$F,0)),"")</f>
        <v/>
      </c>
    </row>
    <row r="33" spans="1:33" x14ac:dyDescent="0.2">
      <c r="A33" s="1202"/>
      <c r="B33" s="1176"/>
      <c r="C33" s="1176"/>
      <c r="D33" s="1176"/>
      <c r="E33" s="1176"/>
      <c r="F33" s="1204"/>
      <c r="G33" s="1176"/>
      <c r="H33" s="1215"/>
      <c r="I33" s="1216"/>
      <c r="J33" s="1211"/>
      <c r="K33" s="1211"/>
      <c r="L33" s="1211"/>
      <c r="M33" s="1211"/>
      <c r="N33" s="1177"/>
      <c r="O33" s="1177"/>
      <c r="P33" s="1177"/>
      <c r="Q33" s="1177"/>
      <c r="R33" s="1177"/>
      <c r="S33" s="1177"/>
      <c r="T33" s="1177"/>
      <c r="U33" s="1177"/>
      <c r="V33" s="1177"/>
      <c r="W33" s="1177"/>
      <c r="X33" s="1177"/>
      <c r="Y33" s="1177"/>
      <c r="Z33" s="1177"/>
      <c r="AA33" s="1177"/>
      <c r="AB33" s="1177"/>
      <c r="AE33" s="618">
        <f t="shared" si="4"/>
        <v>0</v>
      </c>
      <c r="AF33" s="619">
        <f t="shared" si="2"/>
        <v>0</v>
      </c>
      <c r="AG33" s="620" t="str">
        <f>IFERROR(INDEX(Reit!$I:$I,MATCH(AF33,Reit!$F:$F,0)),"")</f>
        <v/>
      </c>
    </row>
    <row r="34" spans="1:33" x14ac:dyDescent="0.2">
      <c r="A34" s="1181" t="s">
        <v>249</v>
      </c>
      <c r="B34" s="1182"/>
      <c r="C34" s="1183">
        <v>1</v>
      </c>
      <c r="D34" s="1183">
        <v>2</v>
      </c>
      <c r="E34" s="1183">
        <v>3</v>
      </c>
      <c r="F34" s="1183"/>
      <c r="G34" s="1183"/>
      <c r="H34" s="1183" t="s">
        <v>313</v>
      </c>
      <c r="I34" s="1184" t="s">
        <v>296</v>
      </c>
      <c r="J34" s="1185" t="s">
        <v>183</v>
      </c>
      <c r="K34" s="1186" t="s">
        <v>344</v>
      </c>
      <c r="L34" s="1187" t="s">
        <v>183</v>
      </c>
      <c r="M34" s="1187" t="b">
        <f>OR(AND(COUNTA(B35:B39)=3,COUNTA(C35:G39)=6),AND(COUNTA(B35:B39)=4,COUNTA(C35:G39)=12),AND(COUNTA(B35:B39)=5,COUNTA(C35:G39)=20))</f>
        <v>1</v>
      </c>
      <c r="N34" s="1177"/>
      <c r="O34" s="1177"/>
      <c r="P34" s="1177"/>
      <c r="Q34" s="1177"/>
      <c r="R34" s="1177"/>
      <c r="S34" s="1177"/>
      <c r="T34" s="1177"/>
      <c r="U34" s="1177"/>
      <c r="V34" s="1177"/>
      <c r="W34" s="1177"/>
      <c r="X34" s="1177"/>
      <c r="Y34" s="1177"/>
      <c r="Z34" s="1177"/>
      <c r="AA34" s="1177"/>
      <c r="AB34" s="1177"/>
      <c r="AE34" s="618">
        <f t="shared" si="4"/>
        <v>0</v>
      </c>
      <c r="AF34" s="619">
        <f t="shared" si="2"/>
        <v>0</v>
      </c>
      <c r="AG34" s="620" t="str">
        <f>IFERROR(INDEX(Reit!$I:$I,MATCH(AF34,Reit!$F:$F,0)),"")</f>
        <v/>
      </c>
    </row>
    <row r="35" spans="1:33" x14ac:dyDescent="0.2">
      <c r="A35" s="1181">
        <v>1</v>
      </c>
      <c r="B35" s="1214" t="s">
        <v>119</v>
      </c>
      <c r="C35" s="1189"/>
      <c r="D35" s="1190">
        <v>13</v>
      </c>
      <c r="E35" s="1190">
        <v>13</v>
      </c>
      <c r="F35" s="1190"/>
      <c r="G35" s="1190"/>
      <c r="H35" s="1191" t="str">
        <f>(IF(D35-C36&gt;0,1)+IF(E35-C37&gt;0,1)+IF(F35-C38&gt;0,1)+IF(G35-C39&gt;0,1))&amp;"-"&amp;(IF(D35-C36&lt;0,1)+IF(E35-C37&lt;0,1)+IF(F35-C38&lt;0,1)+IF(G35-C39&lt;0,1))</f>
        <v>2-0</v>
      </c>
      <c r="I35" s="1190" t="str">
        <f>IF(AND(B35&lt;&gt;"",M$34=TRUE),A$34&amp;RANK(M35,M$35:M$39,0)," ")</f>
        <v>E1</v>
      </c>
      <c r="J35" s="1192">
        <f>IF(AND(L35=1,L36=1,D35&gt;C36),1)+IF(AND(L35=1,L37=1,E35&gt;C37),1)+IF(AND(L35=1,L38=1,F35&gt;C38),1)+IF(AND(L35=1,L39=1,G35&gt;C39),1)+IF(AND(L35=2,L36=2,D35&gt;C36),1)+IF(AND(L35=2,L37=2,E35&gt;C37),1)+IF(AND(L35=2,L38=2,F35&gt;C38),1)+IF(AND(L35=2,L39=2,G35&gt;C39),1)+IF(AND(L35=3,L36=3,D35&gt;C36),1)+IF(AND(L35=3,L37=3,E35&gt;C37),1)+IF(AND(L35=3,L38=3,F35&gt;C38),1)+IF(AND(L35=3,L39=3,G35&gt;C39),1)</f>
        <v>0</v>
      </c>
      <c r="K35" s="1193">
        <f>IF(AND(L35=1,L36=1),D35-C36)+IF(AND(L35=1,L37=1),E35-C37)+IF(AND(L35=1,L38=1),F35-C38)+IF(AND(L35=1,L39=1),G35-C39)+IF(AND(L35=2,L36=2),D35-C36)+IF(AND(L35=2,L37=2),E35-C37)+IF(AND(L35=2,L38=2),F35-C38)+IF(AND(L35=2,L39=2),G35-C39)+IF(AND(L35=3,L36=3),D35-C36)+IF(AND(L35=3,L37=3),E35-C37)+IF(AND(L35=3,L38=3),F35-C38)+IF(AND(L35=3,L39=3),G35-C39)</f>
        <v>0</v>
      </c>
      <c r="L35" s="1198">
        <f>VALUE(LEFT(H35,1))</f>
        <v>2</v>
      </c>
      <c r="M35" s="1198">
        <f>10000*L35+J35*100+K35</f>
        <v>20000</v>
      </c>
      <c r="N35" s="1177"/>
      <c r="O35" s="1177"/>
      <c r="P35" s="1177"/>
      <c r="Q35" s="1177"/>
      <c r="R35" s="1177"/>
      <c r="S35" s="1177"/>
      <c r="T35" s="1177"/>
      <c r="U35" s="1177"/>
      <c r="V35" s="1177"/>
      <c r="W35" s="1177"/>
      <c r="X35" s="1177"/>
      <c r="Y35" s="1177"/>
      <c r="Z35" s="1177"/>
      <c r="AA35" s="1177"/>
      <c r="AB35" s="1177"/>
      <c r="AE35" s="618">
        <f t="shared" ca="1" si="4"/>
        <v>166</v>
      </c>
      <c r="AF35" s="619" t="str">
        <f t="shared" si="2"/>
        <v>Viktor Švarõgin</v>
      </c>
      <c r="AG35" s="620">
        <f ca="1">IFERROR(INDEX(Reit!$I:$I,MATCH(AF35,Reit!$F:$F,0)),"")</f>
        <v>166</v>
      </c>
    </row>
    <row r="36" spans="1:33" x14ac:dyDescent="0.2">
      <c r="A36" s="1181">
        <v>2</v>
      </c>
      <c r="B36" s="1195" t="s">
        <v>123</v>
      </c>
      <c r="C36" s="1190">
        <v>4</v>
      </c>
      <c r="D36" s="1189"/>
      <c r="E36" s="1190">
        <v>13</v>
      </c>
      <c r="F36" s="1190"/>
      <c r="G36" s="1190"/>
      <c r="H36" s="1191" t="str">
        <f>(IF(C36-D35&gt;0,1)+IF(E36-D37&gt;0,1)+IF(F36-D38&gt;0,1)+IF(G36-D39&gt;0,1))&amp;"-"&amp;(IF(C36-D35&lt;0,1)+IF(E36-D37&lt;0,1)+IF(F36-D38&lt;0,1)+IF(G36-D39&lt;0,1))</f>
        <v>1-1</v>
      </c>
      <c r="I36" s="1190" t="str">
        <f>IF(AND(B36&lt;&gt;"",M$34=TRUE),A$34&amp;RANK(M36,M$35:M$39,0)," ")</f>
        <v>E2</v>
      </c>
      <c r="J36" s="1196">
        <f>IF(AND(L36=1,L35=1,C36&gt;D35),1)+IF(AND(L36=1,L37=1,E36&gt;D37),1)+IF(AND(L36=1,L38=1,F36&gt;D38),1)+IF(AND(L36=1,L39=1,G36&gt;D39),1)+IF(AND(L36=2,L35=2,C36&gt;D35),1)+IF(AND(L36=2,L37=2,E36&gt;D37),1)+IF(AND(L36=2,L38=2,F36&gt;D38),1)+IF(AND(L36=2,L39=2,G36&gt;D39),1)+IF(AND(L36=3,L35=3,C36&gt;D35),1)+IF(AND(L36=3,L37=3,E36&gt;D37),1)+IF(AND(L36=3,L38=3,F36&gt;D38),1)+IF(AND(L36=3,L39=3,G36&gt;D39),1)</f>
        <v>0</v>
      </c>
      <c r="K36" s="1197">
        <f>IF(AND(L36=1,L35=1),C36-D35)+IF(AND(L36=1,L37=1),E36-D37)+IF(AND(L36=1,L38=1),F36-D38)+IF(AND(L36=1,L39=1),G36-D39)+IF(AND(L36=2,L35=2),C36-D35)+IF(AND(L36=2,L37=2),E36-D37)+IF(AND(L36=2,L38=2),F36-D38)+IF(AND(L36=2,L39=2),G36-D39)+IF(AND(L36=3,L35=3),C36-D35)+IF(AND(L36=3,L37=3),E36-D37)+IF(AND(L36=3,L38=3),F36-D38)+IF(AND(L36=3,L39=3),G36-D39)</f>
        <v>0</v>
      </c>
      <c r="L36" s="1198">
        <f>VALUE(LEFT(H36,1))</f>
        <v>1</v>
      </c>
      <c r="M36" s="1198">
        <f>10000*L36+J36*100+K36</f>
        <v>10000</v>
      </c>
      <c r="N36" s="1177"/>
      <c r="O36" s="1177"/>
      <c r="P36" s="1177"/>
      <c r="Q36" s="1177"/>
      <c r="R36" s="1177"/>
      <c r="S36" s="1177"/>
      <c r="T36" s="1177"/>
      <c r="U36" s="1177"/>
      <c r="V36" s="1177"/>
      <c r="W36" s="1177"/>
      <c r="X36" s="1177"/>
      <c r="Y36" s="1177"/>
      <c r="Z36" s="1177"/>
      <c r="AA36" s="1177"/>
      <c r="AB36" s="1177"/>
      <c r="AE36" s="618">
        <f t="shared" ca="1" si="4"/>
        <v>138</v>
      </c>
      <c r="AF36" s="619" t="str">
        <f t="shared" si="2"/>
        <v>Meelis Luud</v>
      </c>
      <c r="AG36" s="620">
        <f ca="1">IFERROR(INDEX(Reit!$I:$I,MATCH(AF36,Reit!$F:$F,0)),"")</f>
        <v>138</v>
      </c>
    </row>
    <row r="37" spans="1:33" x14ac:dyDescent="0.2">
      <c r="A37" s="1181">
        <v>3</v>
      </c>
      <c r="B37" s="1195" t="s">
        <v>135</v>
      </c>
      <c r="C37" s="1190">
        <v>4</v>
      </c>
      <c r="D37" s="1199">
        <v>11</v>
      </c>
      <c r="E37" s="1189"/>
      <c r="F37" s="1190"/>
      <c r="G37" s="1190"/>
      <c r="H37" s="1191" t="str">
        <f>(IF(C37-E35&gt;0,1)+IF(D37-E36&gt;0,1)+IF(F37-E38&gt;0,1)+IF(G37-E39&gt;0,1))&amp;"-"&amp;(IF(C37-E35&lt;0,1)+IF(D37-E36&lt;0,1)+IF(F37-E38&lt;0,1)+IF(G37-E39&lt;0,1))</f>
        <v>0-2</v>
      </c>
      <c r="I37" s="1190" t="str">
        <f>IF(AND(B37&lt;&gt;"",M$34=TRUE),A$34&amp;RANK(M37,M$35:M$39,0)," ")</f>
        <v>E3</v>
      </c>
      <c r="J37" s="1196">
        <f>IF(AND(L37=1,L35=1,C37&gt;E35),1)+IF(AND(L37=1,L36=1,D37&gt;E36),1)+IF(AND(L37=1,L38=1,F37&gt;E38),1)+IF(AND(L37=1,L39=1,G37&gt;E39),1)+IF(AND(L37=2,L35=2,C37&gt;E35),1)+IF(AND(L37=2,L36=2,D37&gt;E36),1)+IF(AND(L37=2,L38=2,F37&gt;E38),1)+IF(AND(L37=2,L39=2,G37&gt;E39),1)+IF(AND(L37=3,L35=3,C37&gt;E35),1)+IF(AND(L37=3,L36=3,D37&gt;E36),1)+IF(AND(L37=3,L38=3,F37&gt;E38),1)+IF(AND(L37=3,L39=3,G37&gt;E39),1)</f>
        <v>0</v>
      </c>
      <c r="K37" s="1197">
        <f>IF(AND(L37=1,L35=1),C37-E35)+IF(AND(L37=1,L36=1),D37-E36)+IF(AND(L37=1,L38=1),F37-E38)+IF(AND(L37=1,L39=1),G37-E39)+IF(AND(L37=2,L35=2),C37-E35)+IF(AND(L37=2,L36=2),D37-E36)+IF(AND(L37=2,L38=2),F37-E38)+IF(AND(L37=2,L39=2),G37-E39)+IF(AND(L37=3,L35=3),C37-E35)+IF(AND(L37=3,L36=3),D37-E36)+IF(AND(L37=3,L38=3),F37-E38)+IF(AND(L37=3,L39=3),G37-E39)</f>
        <v>0</v>
      </c>
      <c r="L37" s="1198">
        <f>VALUE(LEFT(H37,1))</f>
        <v>0</v>
      </c>
      <c r="M37" s="1198">
        <f>10000*L37+J37*100+K37</f>
        <v>0</v>
      </c>
      <c r="N37" s="1177"/>
      <c r="O37" s="1177"/>
      <c r="P37" s="1177"/>
      <c r="Q37" s="1177"/>
      <c r="R37" s="1177"/>
      <c r="S37" s="1177"/>
      <c r="T37" s="1177"/>
      <c r="U37" s="1177"/>
      <c r="V37" s="1177"/>
      <c r="W37" s="1177"/>
      <c r="X37" s="1177"/>
      <c r="Y37" s="1177"/>
      <c r="Z37" s="1177"/>
      <c r="AA37" s="1177"/>
      <c r="AB37" s="1177"/>
      <c r="AE37" s="618">
        <f t="shared" ca="1" si="4"/>
        <v>43</v>
      </c>
      <c r="AF37" s="619" t="str">
        <f t="shared" si="2"/>
        <v>Vello Vasser</v>
      </c>
      <c r="AG37" s="620">
        <f ca="1">IFERROR(INDEX(Reit!$I:$I,MATCH(AF37,Reit!$F:$F,0)),"")</f>
        <v>43</v>
      </c>
    </row>
    <row r="38" spans="1:33" hidden="1" x14ac:dyDescent="0.2">
      <c r="A38" s="1181">
        <v>4</v>
      </c>
      <c r="B38" s="1200"/>
      <c r="C38" s="1190"/>
      <c r="D38" s="1199"/>
      <c r="E38" s="1190"/>
      <c r="F38" s="1189"/>
      <c r="G38" s="1201"/>
      <c r="H38" s="1191" t="str">
        <f>(IF(C38-F35&gt;0,1)+IF(D38-F36&gt;0,1)+IF(E38-F37&gt;0,1)+IF(G38-F39&gt;0,1))&amp;"-"&amp;(IF(C38-F35&lt;0,1)+IF(D38-F36&lt;0,1)+IF(E38-F37&lt;0,1)+IF(G38-F39&lt;0,1))</f>
        <v>0-0</v>
      </c>
      <c r="I38" s="1190" t="str">
        <f>IF(AND(B38&lt;&gt;"",M$34=TRUE),A$34&amp;RANK(M38,M$35:M$39,0)," ")</f>
        <v xml:space="preserve"> </v>
      </c>
      <c r="J38" s="1196">
        <f>IF(AND(L38=1,L35=1,C38&gt;F35),1)+IF(AND(L38=1,L36=1,D38&gt;F36),1)+IF(AND(L38=1,L37=1,E38&gt;F37),1)+IF(AND(L38=1,L39=1,G38&gt;F39),1)+IF(AND(L38=2,L35=2,C38&gt;F35),1)+IF(AND(L38=2,L36=2,D38&gt;F36),1)+IF(AND(L38=2,L37=2,E38&gt;F37),1)+IF(AND(L38=2,L39=2,G38&gt;F39),1)+IF(AND(L38=3,L35=3,C38&gt;F35),1)+IF(AND(L38=3,L36=3,D38&gt;F36),1)+IF(AND(L38=3,L37=3,E38&gt;F37),1)+IF(AND(L38=3,L39=3,G38&gt;F39),1)</f>
        <v>0</v>
      </c>
      <c r="K38" s="1197">
        <f>IF(AND(L38=1,L35=1),C38-F35)+IF(AND(L38=1,L36=1),D38-F36)+IF(AND(L38=1,L37=1),E38-F37)+IF(AND(L38=1,L39=1),G38-F39)+IF(AND(L38=2,L35=2),C38-F35)+IF(AND(L38=2,L36=2),D38-F36)+IF(AND(L38=2,L37=2),E38-F37)+IF(AND(L38=2,L39=2),G38-F39)+IF(AND(L38=3,L35=3),C38-F35)+IF(AND(L38=3,L36=3),D38-F36)+IF(AND(L38=3,L37=3),E38-F37)+IF(AND(L38=3,L39=3),G38-F39)</f>
        <v>0</v>
      </c>
      <c r="L38" s="1198">
        <f>VALUE(LEFT(H38,1))</f>
        <v>0</v>
      </c>
      <c r="M38" s="1198">
        <f>10000*L38+J38*100+K38</f>
        <v>0</v>
      </c>
      <c r="N38" s="1177"/>
      <c r="O38" s="1177"/>
      <c r="P38" s="1177"/>
      <c r="Q38" s="1177"/>
      <c r="R38" s="1177"/>
      <c r="S38" s="1177"/>
      <c r="T38" s="1177"/>
      <c r="U38" s="1177"/>
      <c r="V38" s="1177"/>
      <c r="W38" s="1177"/>
      <c r="X38" s="1177"/>
      <c r="Y38" s="1177"/>
      <c r="Z38" s="1177"/>
      <c r="AA38" s="1177"/>
      <c r="AB38" s="1177"/>
      <c r="AE38" s="618">
        <f t="shared" si="4"/>
        <v>0</v>
      </c>
      <c r="AF38" s="619">
        <f t="shared" si="2"/>
        <v>0</v>
      </c>
      <c r="AG38" s="620" t="str">
        <f>IFERROR(INDEX(Reit!$I:$I,MATCH(AF38,Reit!$F:$F,0)),"")</f>
        <v/>
      </c>
    </row>
    <row r="39" spans="1:33" hidden="1" x14ac:dyDescent="0.2">
      <c r="A39" s="1181">
        <v>5</v>
      </c>
      <c r="B39" s="1200"/>
      <c r="C39" s="1190"/>
      <c r="D39" s="1190"/>
      <c r="E39" s="1190"/>
      <c r="F39" s="1190"/>
      <c r="G39" s="1189"/>
      <c r="H39" s="1191" t="str">
        <f>(IF(C39-G35&gt;0,1)+IF(D39-G36&gt;0,1)+IF(E39-G37&gt;0,1)+IF(F39-G38&gt;0,1))&amp;"-"&amp;(IF(C39-G35&lt;0,1)+IF(D39-G36&lt;0,1)+IF(E39-G37&lt;0,1)+IF(F39-G38&lt;0,1))</f>
        <v>0-0</v>
      </c>
      <c r="I39" s="1190" t="str">
        <f>IF(AND(B39&lt;&gt;"",M$34=TRUE),A$34&amp;RANK(M39,M$35:M$39,0)," ")</f>
        <v xml:space="preserve"> </v>
      </c>
      <c r="J39" s="1196">
        <f>IF(AND(L39=1,L35=1,C39&gt;G35),1)+IF(AND(L39=1,L36=1,D39&gt;G36),1)+IF(AND(L39=1,L37=1,E39&gt;G37),1)+IF(AND(L39=1,L38=1,F39&gt;G38),1)+IF(AND(L39=2,L35=2,C39&gt;G35),1)+IF(AND(L39=2,L36=2,D39&gt;G36),1)+IF(AND(L39=2,L37=2,E39&gt;G37),1)+IF(AND(L39=2,L38=2,F39&gt;G38),1)+IF(AND(L39=3,L35=3,C39&gt;G35),1)+IF(AND(L39=3,L36=3,D39&gt;G36),1)+IF(AND(L39=3,L37=3,E39&gt;G37),1)+IF(AND(L39=3,L38=3,F39&gt;G38),1)</f>
        <v>0</v>
      </c>
      <c r="K39" s="1197">
        <f>IF(AND(L39=1,L35=1),C39-G35)+IF(AND(L39=1,L36=1),D39-G36)+IF(AND(L39=1,L37=1),E39-G37)+IF(AND(L39=1,L38=1),F39-G38)+IF(AND(L39=2,L35=2),C39-G35)+IF(AND(L39=2,L36=2),D39-G36)+IF(AND(L39=2,L37=2),E39-G37)+IF(AND(L39=2,L38=2),F39-G38)+IF(AND(L39=3,L35=3),C39-G35)+IF(AND(L39=3,L36=3),D39-G36)+IF(AND(L39=3,L37=3),E39-G37)+IF(AND(L39=3,L38=3),F39-G38)</f>
        <v>0</v>
      </c>
      <c r="L39" s="1198">
        <f>VALUE(LEFT(H39,1))</f>
        <v>0</v>
      </c>
      <c r="M39" s="1198">
        <f>10000*L39+J39*100+K39</f>
        <v>0</v>
      </c>
      <c r="N39" s="1177"/>
      <c r="O39" s="1177"/>
      <c r="P39" s="1177"/>
      <c r="Q39" s="1177"/>
      <c r="R39" s="1177"/>
      <c r="S39" s="1177"/>
      <c r="T39" s="1177"/>
      <c r="U39" s="1177"/>
      <c r="V39" s="1177"/>
      <c r="W39" s="1177"/>
      <c r="X39" s="1177"/>
      <c r="Y39" s="1177"/>
      <c r="Z39" s="1177"/>
      <c r="AA39" s="1177"/>
      <c r="AB39" s="1177"/>
      <c r="AE39" s="618">
        <f t="shared" si="4"/>
        <v>0</v>
      </c>
      <c r="AF39" s="619">
        <f t="shared" si="2"/>
        <v>0</v>
      </c>
      <c r="AG39" s="620" t="str">
        <f>IFERROR(INDEX(Reit!$I:$I,MATCH(AF39,Reit!$F:$F,0)),"")</f>
        <v/>
      </c>
    </row>
    <row r="40" spans="1:33" x14ac:dyDescent="0.2">
      <c r="A40" s="1202"/>
      <c r="B40" s="1203"/>
      <c r="C40" s="1204"/>
      <c r="D40" s="1204"/>
      <c r="E40" s="1204"/>
      <c r="F40" s="1205"/>
      <c r="G40" s="1176"/>
      <c r="H40" s="1205"/>
      <c r="I40" s="1206"/>
      <c r="J40" s="1207"/>
      <c r="K40" s="1207"/>
      <c r="L40" s="1207"/>
      <c r="M40" s="1207"/>
      <c r="N40" s="1177"/>
      <c r="O40" s="1177"/>
      <c r="P40" s="1177"/>
      <c r="Q40" s="1177"/>
      <c r="R40" s="1177"/>
      <c r="S40" s="1177"/>
      <c r="T40" s="1177"/>
      <c r="U40" s="1177"/>
      <c r="V40" s="1177"/>
      <c r="W40" s="1177"/>
      <c r="X40" s="1177"/>
      <c r="Y40" s="1177"/>
      <c r="Z40" s="1177"/>
      <c r="AA40" s="1177"/>
      <c r="AB40" s="1177"/>
      <c r="AE40" s="618">
        <f t="shared" si="4"/>
        <v>0</v>
      </c>
      <c r="AF40" s="619">
        <f t="shared" si="2"/>
        <v>0</v>
      </c>
      <c r="AG40" s="620" t="str">
        <f>IFERROR(INDEX(Reit!$I:$I,MATCH(AF40,Reit!$F:$F,0)),"")</f>
        <v/>
      </c>
    </row>
    <row r="41" spans="1:33" x14ac:dyDescent="0.2">
      <c r="A41" s="1181" t="s">
        <v>250</v>
      </c>
      <c r="B41" s="1182"/>
      <c r="C41" s="1183">
        <v>1</v>
      </c>
      <c r="D41" s="1183">
        <v>2</v>
      </c>
      <c r="E41" s="1183">
        <v>3</v>
      </c>
      <c r="F41" s="1183"/>
      <c r="G41" s="1183"/>
      <c r="H41" s="1184" t="s">
        <v>313</v>
      </c>
      <c r="I41" s="1184" t="s">
        <v>296</v>
      </c>
      <c r="J41" s="1185" t="s">
        <v>183</v>
      </c>
      <c r="K41" s="1186" t="s">
        <v>344</v>
      </c>
      <c r="L41" s="1208" t="s">
        <v>183</v>
      </c>
      <c r="M41" s="1208" t="b">
        <f>OR(AND(COUNTA(B42:B46)=3,COUNTA(C42:G46)=6),AND(COUNTA(B42:B46)=4,COUNTA(C42:G46)=12),AND(COUNTA(B42:B46)=5,COUNTA(C42:G46)=20))</f>
        <v>1</v>
      </c>
      <c r="N41" s="1177"/>
      <c r="O41" s="1177"/>
      <c r="P41" s="1177"/>
      <c r="Q41" s="1177"/>
      <c r="R41" s="1177"/>
      <c r="S41" s="1177"/>
      <c r="T41" s="1177"/>
      <c r="U41" s="1177"/>
      <c r="V41" s="1177"/>
      <c r="W41" s="1177"/>
      <c r="X41" s="1177"/>
      <c r="Y41" s="1177"/>
      <c r="Z41" s="1177"/>
      <c r="AA41" s="1177"/>
      <c r="AB41" s="1177"/>
      <c r="AE41" s="618">
        <f t="shared" si="4"/>
        <v>0</v>
      </c>
      <c r="AF41" s="619">
        <f t="shared" si="2"/>
        <v>0</v>
      </c>
      <c r="AG41" s="620" t="str">
        <f>IFERROR(INDEX(Reit!$I:$I,MATCH(AF41,Reit!$F:$F,0)),"")</f>
        <v/>
      </c>
    </row>
    <row r="42" spans="1:33" x14ac:dyDescent="0.2">
      <c r="A42" s="1181">
        <v>1</v>
      </c>
      <c r="B42" s="1214" t="s">
        <v>118</v>
      </c>
      <c r="C42" s="1189"/>
      <c r="D42" s="1190">
        <v>13</v>
      </c>
      <c r="E42" s="1190">
        <v>12</v>
      </c>
      <c r="F42" s="1190"/>
      <c r="G42" s="1190"/>
      <c r="H42" s="1191" t="str">
        <f>(IF(D42-C43&gt;0,1)+IF(E42-C44&gt;0,1)+IF(F42-C45&gt;0,1)+IF(G42-C46&gt;0,1))&amp;"-"&amp;(IF(D42-C43&lt;0,1)+IF(E42-C44&lt;0,1)+IF(F42-C45&lt;0,1)+IF(G42-C46&lt;0,1))</f>
        <v>1-1</v>
      </c>
      <c r="I42" s="1190" t="str">
        <f>IF(AND(B42&lt;&gt;"",M$41=TRUE),A$41&amp;RANK(M42,M$42:M$46,0)," ")</f>
        <v>F1</v>
      </c>
      <c r="J42" s="1192">
        <f>IF(AND(L42=1,L43=1,D42&gt;C43),1)+IF(AND(L42=1,L44=1,E42&gt;C44),1)+IF(AND(L42=1,L45=1,F42&gt;C45),1)+IF(AND(L42=1,L46=1,G42&gt;C46),1)+IF(AND(L42=2,L43=2,D42&gt;C43),1)+IF(AND(L42=2,L44=2,E42&gt;C44),1)+IF(AND(L42=2,L45=2,F42&gt;C45),1)+IF(AND(L42=2,L46=2,G42&gt;C46),1)+IF(AND(L42=3,L43=3,D42&gt;C43),1)+IF(AND(L42=3,L44=3,E42&gt;C44),1)+IF(AND(L42=3,L45=3,F42&gt;C45),1)+IF(AND(L42=3,L46=3,G42&gt;C46),1)</f>
        <v>1</v>
      </c>
      <c r="K42" s="1193">
        <f>IF(AND(L42=1,L43=1),D42-C43)+IF(AND(L42=1,L44=1),E42-C44)+IF(AND(L42=1,L45=1),F42-C45)+IF(AND(L42=1,L46=1),G42-C46)+IF(AND(L42=2,L43=2),D42-C43)+IF(AND(L42=2,L44=2),E42-C44)+IF(AND(L42=2,L45=2),F42-C45)+IF(AND(L42=2,L46=2),G42-C46)+IF(AND(L42=3,L43=3),D42-C43)+IF(AND(L42=3,L44=3),E42-C44)+IF(AND(L42=3,L45=3),F42-C45)+IF(AND(L42=3,L46=3),G42-C46)</f>
        <v>4</v>
      </c>
      <c r="L42" s="1198">
        <f>VALUE(LEFT(H42,1))</f>
        <v>1</v>
      </c>
      <c r="M42" s="1198">
        <f>10000*L42+J42*100+K42</f>
        <v>10104</v>
      </c>
      <c r="N42" s="1177"/>
      <c r="O42" s="1177"/>
      <c r="P42" s="1177"/>
      <c r="Q42" s="1177"/>
      <c r="R42" s="1177"/>
      <c r="S42" s="1177"/>
      <c r="T42" s="1177"/>
      <c r="U42" s="1177"/>
      <c r="V42" s="1177"/>
      <c r="W42" s="1177"/>
      <c r="X42" s="1177"/>
      <c r="Y42" s="1177"/>
      <c r="Z42" s="1177"/>
      <c r="AA42" s="1177"/>
      <c r="AB42" s="1177"/>
      <c r="AE42" s="618">
        <f t="shared" ca="1" si="4"/>
        <v>150</v>
      </c>
      <c r="AF42" s="619" t="str">
        <f t="shared" si="2"/>
        <v>Ljudmila Varendi</v>
      </c>
      <c r="AG42" s="620">
        <f ca="1">IFERROR(INDEX(Reit!$I:$I,MATCH(AF42,Reit!$F:$F,0)),"")</f>
        <v>150</v>
      </c>
    </row>
    <row r="43" spans="1:33" x14ac:dyDescent="0.2">
      <c r="A43" s="1181">
        <v>2</v>
      </c>
      <c r="B43" s="1195" t="s">
        <v>116</v>
      </c>
      <c r="C43" s="1190">
        <v>8</v>
      </c>
      <c r="D43" s="1189"/>
      <c r="E43" s="1190">
        <v>13</v>
      </c>
      <c r="F43" s="1190"/>
      <c r="G43" s="1190"/>
      <c r="H43" s="1191" t="str">
        <f>(IF(C43-D42&gt;0,1)+IF(E43-D44&gt;0,1)+IF(F43-D45&gt;0,1)+IF(G43-D46&gt;0,1))&amp;"-"&amp;(IF(C43-D42&lt;0,1)+IF(E43-D44&lt;0,1)+IF(F43-D45&lt;0,1)+IF(G43-D46&lt;0,1))</f>
        <v>1-1</v>
      </c>
      <c r="I43" s="1190" t="str">
        <f>IF(AND(B43&lt;&gt;"",M$41=TRUE),A$41&amp;RANK(M43,M$42:M$46,0)," ")</f>
        <v>F2</v>
      </c>
      <c r="J43" s="1196">
        <f>IF(AND(L43=1,L42=1,C43&gt;D42),1)+IF(AND(L43=1,L44=1,E43&gt;D44),1)+IF(AND(L43=1,L45=1,F43&gt;D45),1)+IF(AND(L43=1,L46=1,G43&gt;D46),1)+IF(AND(L43=2,L42=2,C43&gt;D42),1)+IF(AND(L43=2,L44=2,E43&gt;D44),1)+IF(AND(L43=2,L45=2,F43&gt;D45),1)+IF(AND(L43=2,L46=2,G43&gt;D46),1)+IF(AND(L43=3,L42=3,C43&gt;D42),1)+IF(AND(L43=3,L44=3,E43&gt;D44),1)+IF(AND(L43=3,L45=3,F43&gt;D45),1)+IF(AND(L43=3,L46=3,G43&gt;D46),1)</f>
        <v>1</v>
      </c>
      <c r="K43" s="1197">
        <f>IF(AND(L43=1,L42=1),C43-D42)+IF(AND(L43=1,L44=1),E43-D44)+IF(AND(L43=1,L45=1),F43-D45)+IF(AND(L43=1,L46=1),G43-D46)+IF(AND(L43=2,L42=2),C43-D42)+IF(AND(L43=2,L44=2),E43-D44)+IF(AND(L43=2,L45=2),F43-D45)+IF(AND(L43=2,L46=2),G43-D46)+IF(AND(L43=3,L42=3),C43-D42)+IF(AND(L43=3,L44=3),E43-D44)+IF(AND(L43=3,L45=3),F43-D45)+IF(AND(L43=3,L46=3),G43-D46)</f>
        <v>3</v>
      </c>
      <c r="L43" s="1198">
        <f>VALUE(LEFT(H43,1))</f>
        <v>1</v>
      </c>
      <c r="M43" s="1198">
        <f>10000*L43+J43*100+K43</f>
        <v>10103</v>
      </c>
      <c r="N43" s="1177"/>
      <c r="O43" s="1177"/>
      <c r="P43" s="1177"/>
      <c r="Q43" s="1177"/>
      <c r="R43" s="1177"/>
      <c r="S43" s="1177"/>
      <c r="T43" s="1177"/>
      <c r="U43" s="1177"/>
      <c r="V43" s="1177"/>
      <c r="W43" s="1177"/>
      <c r="X43" s="1177"/>
      <c r="Y43" s="1177"/>
      <c r="Z43" s="1177"/>
      <c r="AA43" s="1177"/>
      <c r="AB43" s="1177"/>
      <c r="AE43" s="618">
        <f t="shared" ca="1" si="4"/>
        <v>228</v>
      </c>
      <c r="AF43" s="619" t="str">
        <f t="shared" si="2"/>
        <v>Kaspar Mänd</v>
      </c>
      <c r="AG43" s="620">
        <f ca="1">IFERROR(INDEX(Reit!$I:$I,MATCH(AF43,Reit!$F:$F,0)),"")</f>
        <v>228</v>
      </c>
    </row>
    <row r="44" spans="1:33" x14ac:dyDescent="0.2">
      <c r="A44" s="1181">
        <v>3</v>
      </c>
      <c r="B44" s="1195" t="s">
        <v>117</v>
      </c>
      <c r="C44" s="1190">
        <v>13</v>
      </c>
      <c r="D44" s="1199">
        <v>5</v>
      </c>
      <c r="E44" s="1189"/>
      <c r="F44" s="1190"/>
      <c r="G44" s="1190"/>
      <c r="H44" s="1191" t="str">
        <f>(IF(C44-E42&gt;0,1)+IF(D44-E43&gt;0,1)+IF(F44-E45&gt;0,1)+IF(G44-E46&gt;0,1))&amp;"-"&amp;(IF(C44-E42&lt;0,1)+IF(D44-E43&lt;0,1)+IF(F44-E45&lt;0,1)+IF(G44-E46&lt;0,1))</f>
        <v>1-1</v>
      </c>
      <c r="I44" s="1190" t="str">
        <f>IF(AND(B44&lt;&gt;"",M$41=TRUE),A$41&amp;RANK(M44,M$42:M$46,0)," ")</f>
        <v>F3</v>
      </c>
      <c r="J44" s="1196">
        <f>IF(AND(L44=1,L42=1,C44&gt;E42),1)+IF(AND(L44=1,L43=1,D44&gt;E43),1)+IF(AND(L44=1,L45=1,F44&gt;E45),1)+IF(AND(L44=1,L46=1,G44&gt;E46),1)+IF(AND(L44=2,L42=2,C44&gt;E42),1)+IF(AND(L44=2,L43=2,D44&gt;E43),1)+IF(AND(L44=2,L45=2,F44&gt;E45),1)+IF(AND(L44=2,L46=2,G44&gt;E46),1)+IF(AND(L44=3,L42=3,C44&gt;E42),1)+IF(AND(L44=3,L43=3,D44&gt;E43),1)+IF(AND(L44=3,L45=3,F44&gt;E45),1)+IF(AND(L44=3,L46=3,G44&gt;E46),1)</f>
        <v>1</v>
      </c>
      <c r="K44" s="1197">
        <f>IF(AND(L44=1,L42=1),C44-E42)+IF(AND(L44=1,L43=1),D44-E43)+IF(AND(L44=1,L45=1),F44-E45)+IF(AND(L44=1,L46=1),G44-E46)+IF(AND(L44=2,L42=2),C44-E42)+IF(AND(L44=2,L43=2),D44-E43)+IF(AND(L44=2,L45=2),F44-E45)+IF(AND(L44=2,L46=2),G44-E46)+IF(AND(L44=3,L42=3),C44-E42)+IF(AND(L44=3,L43=3),D44-E43)+IF(AND(L44=3,L45=3),F44-E45)+IF(AND(L44=3,L46=3),G44-E46)</f>
        <v>-7</v>
      </c>
      <c r="L44" s="1198">
        <f>VALUE(LEFT(H44,1))</f>
        <v>1</v>
      </c>
      <c r="M44" s="1198">
        <f>10000*L44+J44*100+K44</f>
        <v>10093</v>
      </c>
      <c r="N44" s="1177"/>
      <c r="O44" s="1177"/>
      <c r="P44" s="1177"/>
      <c r="Q44" s="1177"/>
      <c r="R44" s="1177"/>
      <c r="S44" s="1177"/>
      <c r="T44" s="1177"/>
      <c r="U44" s="1177"/>
      <c r="V44" s="1177"/>
      <c r="W44" s="1177"/>
      <c r="X44" s="1177"/>
      <c r="Y44" s="1177"/>
      <c r="Z44" s="1177"/>
      <c r="AA44" s="1177"/>
      <c r="AB44" s="1177"/>
      <c r="AE44" s="618">
        <f t="shared" ca="1" si="4"/>
        <v>23</v>
      </c>
      <c r="AF44" s="619" t="str">
        <f t="shared" si="2"/>
        <v>Lemmit Toomra</v>
      </c>
      <c r="AG44" s="620">
        <f ca="1">IFERROR(INDEX(Reit!$I:$I,MATCH(AF44,Reit!$F:$F,0)),"")</f>
        <v>23</v>
      </c>
    </row>
    <row r="45" spans="1:33" hidden="1" x14ac:dyDescent="0.2">
      <c r="A45" s="1181">
        <v>4</v>
      </c>
      <c r="B45" s="1200"/>
      <c r="C45" s="1190"/>
      <c r="D45" s="1199"/>
      <c r="E45" s="1190"/>
      <c r="F45" s="1189"/>
      <c r="G45" s="1201"/>
      <c r="H45" s="1191" t="str">
        <f>(IF(C45-F42&gt;0,1)+IF(D45-F43&gt;0,1)+IF(E45-F44&gt;0,1)+IF(G45-F46&gt;0,1))&amp;"-"&amp;(IF(C45-F42&lt;0,1)+IF(D45-F43&lt;0,1)+IF(E45-F44&lt;0,1)+IF(G45-F46&lt;0,1))</f>
        <v>0-0</v>
      </c>
      <c r="I45" s="1190" t="str">
        <f>IF(AND(B45&lt;&gt;"",M$41=TRUE),A$41&amp;RANK(M45,M$42:M$46,0)," ")</f>
        <v xml:space="preserve"> </v>
      </c>
      <c r="J45" s="1196">
        <f>IF(AND(L45=1,L42=1,C45&gt;F42),1)+IF(AND(L45=1,L43=1,D45&gt;F43),1)+IF(AND(L45=1,L44=1,E45&gt;F44),1)+IF(AND(L45=1,L46=1,G45&gt;F46),1)+IF(AND(L45=2,L42=2,C45&gt;F42),1)+IF(AND(L45=2,L43=2,D45&gt;F43),1)+IF(AND(L45=2,L44=2,E45&gt;F44),1)+IF(AND(L45=2,L46=2,G45&gt;F46),1)+IF(AND(L45=3,L42=3,C45&gt;F42),1)+IF(AND(L45=3,L43=3,D45&gt;F43),1)+IF(AND(L45=3,L44=3,E45&gt;F44),1)+IF(AND(L45=3,L46=3,G45&gt;F46),1)</f>
        <v>0</v>
      </c>
      <c r="K45" s="1197">
        <f>IF(AND(L45=1,L42=1),C45-F42)+IF(AND(L45=1,L43=1),D45-F43)+IF(AND(L45=1,L44=1),E45-F44)+IF(AND(L45=1,L46=1),G45-F46)+IF(AND(L45=2,L42=2),C45-F42)+IF(AND(L45=2,L43=2),D45-F43)+IF(AND(L45=2,L44=2),E45-F44)+IF(AND(L45=2,L46=2),G45-F46)+IF(AND(L45=3,L42=3),C45-F42)+IF(AND(L45=3,L43=3),D45-F43)+IF(AND(L45=3,L44=3),E45-F44)+IF(AND(L45=3,L46=3),G45-F46)</f>
        <v>0</v>
      </c>
      <c r="L45" s="1198">
        <f>VALUE(LEFT(H45,1))</f>
        <v>0</v>
      </c>
      <c r="M45" s="1198">
        <f>10000*L45+J45*100+K45</f>
        <v>0</v>
      </c>
      <c r="N45" s="1177"/>
      <c r="O45" s="1177"/>
      <c r="P45" s="1177"/>
      <c r="Q45" s="1177"/>
      <c r="R45" s="1177"/>
      <c r="S45" s="1177"/>
      <c r="T45" s="1177"/>
      <c r="U45" s="1177"/>
      <c r="V45" s="1177"/>
      <c r="W45" s="1177"/>
      <c r="X45" s="1177"/>
      <c r="Y45" s="1177"/>
      <c r="Z45" s="1177"/>
      <c r="AA45" s="1177"/>
      <c r="AB45" s="1177"/>
      <c r="AE45" s="618">
        <f t="shared" si="4"/>
        <v>0</v>
      </c>
      <c r="AF45" s="619">
        <f t="shared" si="2"/>
        <v>0</v>
      </c>
      <c r="AG45" s="620" t="str">
        <f>IFERROR(INDEX(Reit!$I:$I,MATCH(AF45,Reit!$F:$F,0)),"")</f>
        <v/>
      </c>
    </row>
    <row r="46" spans="1:33" hidden="1" x14ac:dyDescent="0.2">
      <c r="A46" s="1181">
        <v>5</v>
      </c>
      <c r="B46" s="1200"/>
      <c r="C46" s="1190"/>
      <c r="D46" s="1190"/>
      <c r="E46" s="1190"/>
      <c r="F46" s="1190"/>
      <c r="G46" s="1189"/>
      <c r="H46" s="1191" t="str">
        <f>(IF(C46-G42&gt;0,1)+IF(D46-G43&gt;0,1)+IF(E46-G44&gt;0,1)+IF(F46-G45&gt;0,1))&amp;"-"&amp;(IF(C46-G42&lt;0,1)+IF(D46-G43&lt;0,1)+IF(E46-G44&lt;0,1)+IF(F46-G45&lt;0,1))</f>
        <v>0-0</v>
      </c>
      <c r="I46" s="1190" t="str">
        <f>IF(AND(B46&lt;&gt;"",M$41=TRUE),A$41&amp;RANK(M46,M$42:M$46,0)," ")</f>
        <v xml:space="preserve"> </v>
      </c>
      <c r="J46" s="1196">
        <f>IF(AND(L46=1,L42=1,C46&gt;G42),1)+IF(AND(L46=1,L43=1,D46&gt;G43),1)+IF(AND(L46=1,L44=1,E46&gt;G44),1)+IF(AND(L46=1,L45=1,F46&gt;G45),1)+IF(AND(L46=2,L42=2,C46&gt;G42),1)+IF(AND(L46=2,L43=2,D46&gt;G43),1)+IF(AND(L46=2,L44=2,E46&gt;G44),1)+IF(AND(L46=2,L45=2,F46&gt;G45),1)+IF(AND(L46=3,L42=3,C46&gt;G42),1)+IF(AND(L46=3,L43=3,D46&gt;G43),1)+IF(AND(L46=3,L44=3,E46&gt;G44),1)+IF(AND(L46=3,L45=3,F46&gt;G45),1)</f>
        <v>0</v>
      </c>
      <c r="K46" s="1197">
        <f>IF(AND(L46=1,L42=1),C46-G42)+IF(AND(L46=1,L43=1),D46-G43)+IF(AND(L46=1,L44=1),E46-G44)+IF(AND(L46=1,L45=1),F46-G45)+IF(AND(L46=2,L42=2),C46-G42)+IF(AND(L46=2,L43=2),D46-G43)+IF(AND(L46=2,L44=2),E46-G44)+IF(AND(L46=2,L45=2),F46-G45)+IF(AND(L46=3,L42=3),C46-G42)+IF(AND(L46=3,L43=3),D46-G43)+IF(AND(L46=3,L44=3),E46-G44)+IF(AND(L46=3,L45=3),F46-G45)</f>
        <v>0</v>
      </c>
      <c r="L46" s="1198">
        <f>VALUE(LEFT(H46,1))</f>
        <v>0</v>
      </c>
      <c r="M46" s="1198">
        <f>10000*L46+J46*100+K46</f>
        <v>0</v>
      </c>
      <c r="N46" s="1177"/>
      <c r="O46" s="1177"/>
      <c r="P46" s="1177"/>
      <c r="Q46" s="1177"/>
      <c r="R46" s="1177"/>
      <c r="S46" s="1177"/>
      <c r="T46" s="1177"/>
      <c r="U46" s="1177"/>
      <c r="V46" s="1177"/>
      <c r="W46" s="1177"/>
      <c r="X46" s="1177"/>
      <c r="Y46" s="1177"/>
      <c r="Z46" s="1177"/>
      <c r="AA46" s="1177"/>
      <c r="AB46" s="1177"/>
      <c r="AE46" s="618">
        <f t="shared" si="4"/>
        <v>0</v>
      </c>
      <c r="AF46" s="619">
        <f t="shared" si="2"/>
        <v>0</v>
      </c>
      <c r="AG46" s="620" t="str">
        <f>IFERROR(INDEX(Reit!$I:$I,MATCH(AF46,Reit!$F:$F,0)),"")</f>
        <v/>
      </c>
    </row>
    <row r="47" spans="1:33" x14ac:dyDescent="0.2">
      <c r="A47" s="1202"/>
      <c r="B47" s="1203"/>
      <c r="C47" s="1204"/>
      <c r="D47" s="1204"/>
      <c r="E47" s="1204"/>
      <c r="F47" s="1205"/>
      <c r="G47" s="1176"/>
      <c r="H47" s="1205"/>
      <c r="I47" s="1206"/>
      <c r="J47" s="1210"/>
      <c r="K47" s="1207"/>
      <c r="L47" s="1207"/>
      <c r="M47" s="1207"/>
      <c r="N47" s="1177"/>
      <c r="O47" s="1177"/>
      <c r="P47" s="1177"/>
      <c r="Q47" s="1177"/>
      <c r="R47" s="1177"/>
      <c r="S47" s="1177"/>
      <c r="T47" s="1177"/>
      <c r="U47" s="1177"/>
      <c r="V47" s="1177"/>
      <c r="W47" s="1177"/>
      <c r="X47" s="1177"/>
      <c r="Y47" s="1177"/>
      <c r="Z47" s="1177"/>
      <c r="AA47" s="1177"/>
      <c r="AB47" s="1177"/>
      <c r="AE47" s="618">
        <f t="shared" si="4"/>
        <v>0</v>
      </c>
      <c r="AF47" s="619">
        <f t="shared" si="2"/>
        <v>0</v>
      </c>
      <c r="AG47" s="620" t="str">
        <f>IFERROR(INDEX(Reit!$I:$I,MATCH(AF47,Reit!$F:$F,0)),"")</f>
        <v/>
      </c>
    </row>
    <row r="48" spans="1:33" x14ac:dyDescent="0.2">
      <c r="A48" s="1181" t="s">
        <v>251</v>
      </c>
      <c r="B48" s="1182"/>
      <c r="C48" s="1183">
        <v>1</v>
      </c>
      <c r="D48" s="1183">
        <v>2</v>
      </c>
      <c r="E48" s="1183">
        <v>3</v>
      </c>
      <c r="F48" s="1183"/>
      <c r="G48" s="1183"/>
      <c r="H48" s="1184" t="s">
        <v>313</v>
      </c>
      <c r="I48" s="1184" t="s">
        <v>296</v>
      </c>
      <c r="J48" s="1185" t="s">
        <v>183</v>
      </c>
      <c r="K48" s="1186" t="s">
        <v>344</v>
      </c>
      <c r="L48" s="1208" t="s">
        <v>183</v>
      </c>
      <c r="M48" s="1208" t="b">
        <f>OR(AND(COUNTA(B49:B53)=3,COUNTA(C49:G53)=6),AND(COUNTA(B49:B53)=4,COUNTA(C49:G53)=12),AND(COUNTA(B49:B53)=5,COUNTA(C49:G53)=20))</f>
        <v>1</v>
      </c>
      <c r="N48" s="1177"/>
      <c r="O48" s="1177"/>
      <c r="P48" s="1177"/>
      <c r="Q48" s="1177"/>
      <c r="R48" s="1177"/>
      <c r="S48" s="1177"/>
      <c r="T48" s="1177"/>
      <c r="U48" s="1177"/>
      <c r="V48" s="1177"/>
      <c r="W48" s="1177"/>
      <c r="X48" s="1177"/>
      <c r="Y48" s="1177"/>
      <c r="Z48" s="1177"/>
      <c r="AA48" s="1177"/>
      <c r="AB48" s="1177"/>
      <c r="AE48" s="618">
        <f t="shared" si="4"/>
        <v>0</v>
      </c>
      <c r="AF48" s="619">
        <f t="shared" si="2"/>
        <v>0</v>
      </c>
      <c r="AG48" s="620" t="str">
        <f>IFERROR(INDEX(Reit!$I:$I,MATCH(AF48,Reit!$F:$F,0)),"")</f>
        <v/>
      </c>
    </row>
    <row r="49" spans="1:33" x14ac:dyDescent="0.2">
      <c r="A49" s="1181">
        <v>1</v>
      </c>
      <c r="B49" s="1214" t="s">
        <v>90</v>
      </c>
      <c r="C49" s="1189"/>
      <c r="D49" s="1190">
        <v>13</v>
      </c>
      <c r="E49" s="1190">
        <v>12</v>
      </c>
      <c r="F49" s="1190"/>
      <c r="G49" s="1190"/>
      <c r="H49" s="1191" t="str">
        <f>(IF(D49-C50&gt;0,1)+IF(E49-C51&gt;0,1)+IF(F49-C52&gt;0,1)+IF(G49-C53&gt;0,1))&amp;"-"&amp;(IF(D49-C50&lt;0,1)+IF(E49-C51&lt;0,1)+IF(F49-C52&lt;0,1)+IF(G49-C53&lt;0,1))</f>
        <v>1-1</v>
      </c>
      <c r="I49" s="1190" t="str">
        <f>IF(AND(B49&lt;&gt;"",M$48=TRUE),A$48&amp;RANK(M49,M$49:M$53,0)," ")</f>
        <v>G2</v>
      </c>
      <c r="J49" s="1192">
        <f>IF(AND(L49=1,L50=1,D49&gt;C50),1)+IF(AND(L49=1,L51=1,E49&gt;C51),1)+IF(AND(L49=1,L52=1,F49&gt;C52),1)+IF(AND(L49=1,L53=1,G49&gt;C53),1)+IF(AND(L49=2,L50=2,D49&gt;C50),1)+IF(AND(L49=2,L51=2,E49&gt;C51),1)+IF(AND(L49=2,L52=2,F49&gt;C52),1)+IF(AND(L49=2,L53=2,G49&gt;C53),1)+IF(AND(L49=3,L50=3,D49&gt;C50),1)+IF(AND(L49=3,L51=3,E49&gt;C51),1)+IF(AND(L49=3,L52=3,F49&gt;C52),1)+IF(AND(L49=3,L53=3,G49&gt;C53),1)</f>
        <v>0</v>
      </c>
      <c r="K49" s="1193">
        <f>IF(AND(L49=1,L50=1),D49-C50)+IF(AND(L49=1,L51=1),E49-C51)+IF(AND(L49=1,L52=1),F49-C52)+IF(AND(L49=1,L53=1),G49-C53)+IF(AND(L49=2,L50=2),D49-C50)+IF(AND(L49=2,L51=2),E49-C51)+IF(AND(L49=2,L52=2),F49-C52)+IF(AND(L49=2,L53=2),G49-C53)+IF(AND(L49=3,L50=3),D49-C50)+IF(AND(L49=3,L51=3),E49-C51)+IF(AND(L49=3,L52=3),F49-C52)+IF(AND(L49=3,L53=3),G49-C53)</f>
        <v>0</v>
      </c>
      <c r="L49" s="1198">
        <f>VALUE(LEFT(H49,1))</f>
        <v>1</v>
      </c>
      <c r="M49" s="1198">
        <f>10000*L49+J49*100+K49</f>
        <v>10000</v>
      </c>
      <c r="N49" s="1177"/>
      <c r="O49" s="1177"/>
      <c r="P49" s="1177"/>
      <c r="Q49" s="1177"/>
      <c r="R49" s="1177"/>
      <c r="S49" s="1177"/>
      <c r="T49" s="1177"/>
      <c r="U49" s="1177"/>
      <c r="V49" s="1177"/>
      <c r="W49" s="1177"/>
      <c r="X49" s="1177"/>
      <c r="Y49" s="1177"/>
      <c r="Z49" s="1177"/>
      <c r="AA49" s="1177"/>
      <c r="AB49" s="1177"/>
      <c r="AE49" s="618">
        <f t="shared" ca="1" si="4"/>
        <v>262</v>
      </c>
      <c r="AF49" s="619" t="str">
        <f t="shared" si="2"/>
        <v>Kenneth Muusikus</v>
      </c>
      <c r="AG49" s="620">
        <f ca="1">IFERROR(INDEX(Reit!$I:$I,MATCH(AF49,Reit!$F:$F,0)),"")</f>
        <v>262</v>
      </c>
    </row>
    <row r="50" spans="1:33" x14ac:dyDescent="0.2">
      <c r="A50" s="1181">
        <v>2</v>
      </c>
      <c r="B50" s="1195" t="s">
        <v>86</v>
      </c>
      <c r="C50" s="1190">
        <v>7</v>
      </c>
      <c r="D50" s="1189"/>
      <c r="E50" s="1190">
        <v>5</v>
      </c>
      <c r="F50" s="1190"/>
      <c r="G50" s="1190"/>
      <c r="H50" s="1191" t="str">
        <f>(IF(C50-D49&gt;0,1)+IF(E50-D51&gt;0,1)+IF(F50-D52&gt;0,1)+IF(G50-D53&gt;0,1))&amp;"-"&amp;(IF(C50-D49&lt;0,1)+IF(E50-D51&lt;0,1)+IF(F50-D52&lt;0,1)+IF(G50-D53&lt;0,1))</f>
        <v>0-2</v>
      </c>
      <c r="I50" s="1190" t="str">
        <f>IF(AND(B50&lt;&gt;"",M$48=TRUE),A$48&amp;RANK(M50,M$49:M$53,0)," ")</f>
        <v>G3</v>
      </c>
      <c r="J50" s="1196">
        <f>IF(AND(L50=1,L49=1,C50&gt;D49),1)+IF(AND(L50=1,L51=1,E50&gt;D51),1)+IF(AND(L50=1,L52=1,F50&gt;D52),1)+IF(AND(L50=1,L53=1,G50&gt;D53),1)+IF(AND(L50=2,L49=2,C50&gt;D49),1)+IF(AND(L50=2,L51=2,E50&gt;D51),1)+IF(AND(L50=2,L52=2,F50&gt;D52),1)+IF(AND(L50=2,L53=2,G50&gt;D53),1)+IF(AND(L50=3,L49=3,C50&gt;D49),1)+IF(AND(L50=3,L51=3,E50&gt;D51),1)+IF(AND(L50=3,L52=3,F50&gt;D52),1)+IF(AND(L50=3,L53=3,G50&gt;D53),1)</f>
        <v>0</v>
      </c>
      <c r="K50" s="1197">
        <f>IF(AND(L50=1,L49=1),C50-D49)+IF(AND(L50=1,L51=1),E50-D51)+IF(AND(L50=1,L52=1),F50-D52)+IF(AND(L50=1,L53=1),G50-D53)+IF(AND(L50=2,L49=2),C50-D49)+IF(AND(L50=2,L51=2),E50-D51)+IF(AND(L50=2,L52=2),F50-D52)+IF(AND(L50=2,L53=2),G50-D53)+IF(AND(L50=3,L49=3),C50-D49)+IF(AND(L50=3,L51=3),E50-D51)+IF(AND(L50=3,L52=3),F50-D52)+IF(AND(L50=3,L53=3),G50-D53)</f>
        <v>0</v>
      </c>
      <c r="L50" s="1198">
        <f>VALUE(LEFT(H50,1))</f>
        <v>0</v>
      </c>
      <c r="M50" s="1198">
        <f>10000*L50+J50*100+K50</f>
        <v>0</v>
      </c>
      <c r="N50" s="1177"/>
      <c r="O50" s="1177"/>
      <c r="P50" s="1177"/>
      <c r="Q50" s="1177"/>
      <c r="R50" s="1177"/>
      <c r="S50" s="1177"/>
      <c r="T50" s="1177"/>
      <c r="U50" s="1177"/>
      <c r="V50" s="1177"/>
      <c r="W50" s="1177"/>
      <c r="X50" s="1177"/>
      <c r="Y50" s="1177"/>
      <c r="Z50" s="1177"/>
      <c r="AA50" s="1177"/>
      <c r="AB50" s="1177"/>
      <c r="AE50" s="618">
        <f t="shared" ca="1" si="4"/>
        <v>179</v>
      </c>
      <c r="AF50" s="619" t="str">
        <f t="shared" si="2"/>
        <v>Jaan Sepp</v>
      </c>
      <c r="AG50" s="620">
        <f ca="1">IFERROR(INDEX(Reit!$I:$I,MATCH(AF50,Reit!$F:$F,0)),"")</f>
        <v>179</v>
      </c>
    </row>
    <row r="51" spans="1:33" x14ac:dyDescent="0.2">
      <c r="A51" s="1181">
        <v>3</v>
      </c>
      <c r="B51" s="1195" t="s">
        <v>104</v>
      </c>
      <c r="C51" s="1190">
        <v>13</v>
      </c>
      <c r="D51" s="1199">
        <v>13</v>
      </c>
      <c r="E51" s="1189"/>
      <c r="F51" s="1190"/>
      <c r="G51" s="1190"/>
      <c r="H51" s="1191" t="str">
        <f>(IF(C51-E49&gt;0,1)+IF(D51-E50&gt;0,1)+IF(F51-E52&gt;0,1)+IF(G51-E53&gt;0,1))&amp;"-"&amp;(IF(C51-E49&lt;0,1)+IF(D51-E50&lt;0,1)+IF(F51-E52&lt;0,1)+IF(G51-E53&lt;0,1))</f>
        <v>2-0</v>
      </c>
      <c r="I51" s="1190" t="str">
        <f>IF(AND(B51&lt;&gt;"",M$48=TRUE),A$48&amp;RANK(M51,M$49:M$53,0)," ")</f>
        <v>G1</v>
      </c>
      <c r="J51" s="1196">
        <f>IF(AND(L51=1,L49=1,C51&gt;E49),1)+IF(AND(L51=1,L50=1,D51&gt;E50),1)+IF(AND(L51=1,L52=1,F51&gt;E52),1)+IF(AND(L51=1,L53=1,G51&gt;E53),1)+IF(AND(L51=2,L49=2,C51&gt;E49),1)+IF(AND(L51=2,L50=2,D51&gt;E50),1)+IF(AND(L51=2,L52=2,F51&gt;E52),1)+IF(AND(L51=2,L53=2,G51&gt;E53),1)+IF(AND(L51=3,L49=3,C51&gt;E49),1)+IF(AND(L51=3,L50=3,D51&gt;E50),1)+IF(AND(L51=3,L52=3,F51&gt;E52),1)+IF(AND(L51=3,L53=3,G51&gt;E53),1)</f>
        <v>0</v>
      </c>
      <c r="K51" s="1197">
        <f>IF(AND(L51=1,L49=1),C51-E49)+IF(AND(L51=1,L50=1),D51-E50)+IF(AND(L51=1,L52=1),F51-E52)+IF(AND(L51=1,L53=1),G51-E53)+IF(AND(L51=2,L49=2),C51-E49)+IF(AND(L51=2,L50=2),D51-E50)+IF(AND(L51=2,L52=2),F51-E52)+IF(AND(L51=2,L53=2),G51-E53)+IF(AND(L51=3,L49=3),C51-E49)+IF(AND(L51=3,L50=3),D51-E50)+IF(AND(L51=3,L52=3),F51-E52)+IF(AND(L51=3,L53=3),G51-E53)</f>
        <v>0</v>
      </c>
      <c r="L51" s="1198">
        <f>VALUE(LEFT(H51,1))</f>
        <v>2</v>
      </c>
      <c r="M51" s="1198">
        <f>10000*L51+J51*100+K51</f>
        <v>20000</v>
      </c>
      <c r="N51" s="1177"/>
      <c r="O51" s="1177"/>
      <c r="P51" s="1177"/>
      <c r="Q51" s="1177"/>
      <c r="R51" s="1177"/>
      <c r="S51" s="1177"/>
      <c r="T51" s="1177"/>
      <c r="U51" s="1177"/>
      <c r="V51" s="1177"/>
      <c r="W51" s="1177"/>
      <c r="X51" s="1177"/>
      <c r="Y51" s="1177"/>
      <c r="Z51" s="1177"/>
      <c r="AA51" s="1177"/>
      <c r="AB51" s="1177"/>
      <c r="AE51" s="618">
        <f t="shared" ca="1" si="4"/>
        <v>110</v>
      </c>
      <c r="AF51" s="619" t="str">
        <f t="shared" si="2"/>
        <v>Henri Mitt</v>
      </c>
      <c r="AG51" s="620">
        <f ca="1">IFERROR(INDEX(Reit!$I:$I,MATCH(AF51,Reit!$F:$F,0)),"")</f>
        <v>110</v>
      </c>
    </row>
    <row r="52" spans="1:33" hidden="1" x14ac:dyDescent="0.2">
      <c r="A52" s="1181">
        <v>4</v>
      </c>
      <c r="B52" s="1200"/>
      <c r="C52" s="1190"/>
      <c r="D52" s="1199"/>
      <c r="E52" s="1190"/>
      <c r="F52" s="1189"/>
      <c r="G52" s="1201"/>
      <c r="H52" s="1191" t="str">
        <f>(IF(C52-F49&gt;0,1)+IF(D52-F50&gt;0,1)+IF(E52-F51&gt;0,1)+IF(G52-F53&gt;0,1))&amp;"-"&amp;(IF(C52-F49&lt;0,1)+IF(D52-F50&lt;0,1)+IF(E52-F51&lt;0,1)+IF(G52-F53&lt;0,1))</f>
        <v>0-0</v>
      </c>
      <c r="I52" s="1190" t="str">
        <f>IF(AND(B52&lt;&gt;"",M$48=TRUE),A$48&amp;RANK(M52,M$49:M$53,0)," ")</f>
        <v xml:space="preserve"> </v>
      </c>
      <c r="J52" s="1196">
        <f>IF(AND(L52=1,L49=1,C52&gt;F49),1)+IF(AND(L52=1,L50=1,D52&gt;F50),1)+IF(AND(L52=1,L51=1,E52&gt;F51),1)+IF(AND(L52=1,L53=1,G52&gt;F53),1)+IF(AND(L52=2,L49=2,C52&gt;F49),1)+IF(AND(L52=2,L50=2,D52&gt;F50),1)+IF(AND(L52=2,L51=2,E52&gt;F51),1)+IF(AND(L52=2,L53=2,G52&gt;F53),1)+IF(AND(L52=3,L49=3,C52&gt;F49),1)+IF(AND(L52=3,L50=3,D52&gt;F50),1)+IF(AND(L52=3,L51=3,E52&gt;F51),1)+IF(AND(L52=3,L53=3,G52&gt;F53),1)</f>
        <v>0</v>
      </c>
      <c r="K52" s="1197">
        <f>IF(AND(L52=1,L49=1),C52-F49)+IF(AND(L52=1,L50=1),D52-F50)+IF(AND(L52=1,L51=1),E52-F51)+IF(AND(L52=1,L53=1),G52-F53)+IF(AND(L52=2,L49=2),C52-F49)+IF(AND(L52=2,L50=2),D52-F50)+IF(AND(L52=2,L51=2),E52-F51)+IF(AND(L52=2,L53=2),G52-F53)+IF(AND(L52=3,L49=3),C52-F49)+IF(AND(L52=3,L50=3),D52-F50)+IF(AND(L52=3,L51=3),E52-F51)+IF(AND(L52=3,L53=3),G52-F53)</f>
        <v>0</v>
      </c>
      <c r="L52" s="1198">
        <f>VALUE(LEFT(H52,1))</f>
        <v>0</v>
      </c>
      <c r="M52" s="1198">
        <f>10000*L52+J52*100+K52</f>
        <v>0</v>
      </c>
      <c r="N52" s="1177"/>
      <c r="O52" s="1177"/>
      <c r="P52" s="1177"/>
      <c r="Q52" s="1177"/>
      <c r="R52" s="1177"/>
      <c r="S52" s="1177"/>
      <c r="T52" s="1177"/>
      <c r="U52" s="1177"/>
      <c r="V52" s="1177"/>
      <c r="W52" s="1177"/>
      <c r="X52" s="1177"/>
      <c r="Y52" s="1177"/>
      <c r="Z52" s="1177"/>
      <c r="AA52" s="1177"/>
      <c r="AB52" s="1177"/>
      <c r="AE52" s="618">
        <f t="shared" si="4"/>
        <v>0</v>
      </c>
      <c r="AF52" s="619">
        <f t="shared" si="2"/>
        <v>0</v>
      </c>
      <c r="AG52" s="620" t="str">
        <f>IFERROR(INDEX(Reit!$I:$I,MATCH(AF52,Reit!$F:$F,0)),"")</f>
        <v/>
      </c>
    </row>
    <row r="53" spans="1:33" hidden="1" x14ac:dyDescent="0.2">
      <c r="A53" s="1181">
        <v>5</v>
      </c>
      <c r="B53" s="1200"/>
      <c r="C53" s="1190"/>
      <c r="D53" s="1190"/>
      <c r="E53" s="1190"/>
      <c r="F53" s="1190"/>
      <c r="G53" s="1189"/>
      <c r="H53" s="1191" t="str">
        <f>(IF(C53-G49&gt;0,1)+IF(D53-G50&gt;0,1)+IF(E53-G51&gt;0,1)+IF(F53-G52&gt;0,1))&amp;"-"&amp;(IF(C53-G49&lt;0,1)+IF(D53-G50&lt;0,1)+IF(E53-G51&lt;0,1)+IF(F53-G52&lt;0,1))</f>
        <v>0-0</v>
      </c>
      <c r="I53" s="1190" t="str">
        <f>IF(AND(B53&lt;&gt;"",M$48=TRUE),A$48&amp;RANK(M53,M$49:M$53,0)," ")</f>
        <v xml:space="preserve"> </v>
      </c>
      <c r="J53" s="1196">
        <f>IF(AND(L53=1,L49=1,C53&gt;G49),1)+IF(AND(L53=1,L50=1,D53&gt;G50),1)+IF(AND(L53=1,L51=1,E53&gt;G51),1)+IF(AND(L53=1,L52=1,F53&gt;G52),1)+IF(AND(L53=2,L49=2,C53&gt;G49),1)+IF(AND(L53=2,L50=2,D53&gt;G50),1)+IF(AND(L53=2,L51=2,E53&gt;G51),1)+IF(AND(L53=2,L52=2,F53&gt;G52),1)+IF(AND(L53=3,L49=3,C53&gt;G49),1)+IF(AND(L53=3,L50=3,D53&gt;G50),1)+IF(AND(L53=3,L51=3,E53&gt;G51),1)+IF(AND(L53=3,L52=3,F53&gt;G52),1)</f>
        <v>0</v>
      </c>
      <c r="K53" s="1197">
        <f>IF(AND(L53=1,L49=1),C53-G49)+IF(AND(L53=1,L50=1),D53-G50)+IF(AND(L53=1,L51=1),E53-G51)+IF(AND(L53=1,L52=1),F53-G52)+IF(AND(L53=2,L49=2),C53-G49)+IF(AND(L53=2,L50=2),D53-G50)+IF(AND(L53=2,L51=2),E53-G51)+IF(AND(L53=2,L52=2),F53-G52)+IF(AND(L53=3,L49=3),C53-G49)+IF(AND(L53=3,L50=3),D53-G50)+IF(AND(L53=3,L51=3),E53-G51)+IF(AND(L53=3,L52=3),F53-G52)</f>
        <v>0</v>
      </c>
      <c r="L53" s="1198">
        <f>VALUE(LEFT(H53,1))</f>
        <v>0</v>
      </c>
      <c r="M53" s="1198">
        <f>10000*L53+J53*100+K53</f>
        <v>0</v>
      </c>
      <c r="N53" s="1177"/>
      <c r="O53" s="1177"/>
      <c r="P53" s="1177"/>
      <c r="Q53" s="1177"/>
      <c r="R53" s="1177"/>
      <c r="S53" s="1177"/>
      <c r="T53" s="1177"/>
      <c r="U53" s="1177"/>
      <c r="V53" s="1177"/>
      <c r="W53" s="1177"/>
      <c r="X53" s="1177"/>
      <c r="Y53" s="1177"/>
      <c r="Z53" s="1177"/>
      <c r="AA53" s="1177"/>
      <c r="AB53" s="1177"/>
      <c r="AE53" s="618">
        <f t="shared" si="4"/>
        <v>0</v>
      </c>
      <c r="AF53" s="619">
        <f t="shared" si="2"/>
        <v>0</v>
      </c>
      <c r="AG53" s="620" t="str">
        <f>IFERROR(INDEX(Reit!$I:$I,MATCH(AF53,Reit!$F:$F,0)),"")</f>
        <v/>
      </c>
    </row>
    <row r="54" spans="1:33" x14ac:dyDescent="0.2">
      <c r="A54" s="807"/>
      <c r="B54" s="1211"/>
      <c r="C54" s="1176"/>
      <c r="D54" s="1176"/>
      <c r="E54" s="1176"/>
      <c r="F54" s="811"/>
      <c r="G54" s="811"/>
      <c r="H54" s="1211"/>
      <c r="I54" s="1211"/>
      <c r="J54" s="1207"/>
      <c r="K54" s="1212"/>
      <c r="L54" s="1212"/>
      <c r="M54" s="1212"/>
      <c r="N54" s="1177"/>
      <c r="O54" s="1177"/>
      <c r="P54" s="1177"/>
      <c r="Q54" s="1177"/>
      <c r="R54" s="1177"/>
      <c r="S54" s="1177"/>
      <c r="T54" s="1177"/>
      <c r="U54" s="1177"/>
      <c r="V54" s="1177"/>
      <c r="W54" s="1177"/>
      <c r="X54" s="1177"/>
      <c r="Y54" s="1177"/>
      <c r="Z54" s="1177"/>
      <c r="AA54" s="1177"/>
      <c r="AB54" s="1177"/>
      <c r="AE54" s="618">
        <f t="shared" si="4"/>
        <v>0</v>
      </c>
      <c r="AF54" s="619">
        <f t="shared" si="2"/>
        <v>0</v>
      </c>
      <c r="AG54" s="620" t="str">
        <f>IFERROR(INDEX(Reit!$I:$I,MATCH(AF54,Reit!$F:$F,0)),"")</f>
        <v/>
      </c>
    </row>
    <row r="55" spans="1:33" x14ac:dyDescent="0.2">
      <c r="A55" s="1181" t="s">
        <v>252</v>
      </c>
      <c r="B55" s="1182"/>
      <c r="C55" s="1183">
        <v>1</v>
      </c>
      <c r="D55" s="1183">
        <v>2</v>
      </c>
      <c r="E55" s="1183">
        <v>3</v>
      </c>
      <c r="F55" s="1183">
        <v>4</v>
      </c>
      <c r="G55" s="1183"/>
      <c r="H55" s="1184" t="s">
        <v>313</v>
      </c>
      <c r="I55" s="1184" t="s">
        <v>296</v>
      </c>
      <c r="J55" s="1185" t="s">
        <v>183</v>
      </c>
      <c r="K55" s="1186" t="s">
        <v>344</v>
      </c>
      <c r="L55" s="1208" t="s">
        <v>183</v>
      </c>
      <c r="M55" s="1208" t="b">
        <f>OR(AND(COUNTA(B56:B60)=3,COUNTA(C56:G60)=6),AND(COUNTA(B56:B60)=4,COUNTA(C56:G60)=12),AND(COUNTA(B56:B60)=5,COUNTA(C56:G60)=20))</f>
        <v>1</v>
      </c>
      <c r="N55" s="1177"/>
      <c r="O55" s="1177"/>
      <c r="P55" s="1177"/>
      <c r="Q55" s="1177"/>
      <c r="R55" s="1177"/>
      <c r="S55" s="1177"/>
      <c r="T55" s="1177"/>
      <c r="U55" s="1177"/>
      <c r="V55" s="1177"/>
      <c r="W55" s="1177"/>
      <c r="X55" s="1177"/>
      <c r="Y55" s="1177"/>
      <c r="Z55" s="1177"/>
      <c r="AA55" s="1177"/>
      <c r="AB55" s="1177"/>
      <c r="AE55" s="618">
        <f t="shared" si="4"/>
        <v>0</v>
      </c>
      <c r="AF55" s="619">
        <f t="shared" si="2"/>
        <v>0</v>
      </c>
      <c r="AG55" s="620" t="str">
        <f>IFERROR(INDEX(Reit!$I:$I,MATCH(AF55,Reit!$F:$F,0)),"")</f>
        <v/>
      </c>
    </row>
    <row r="56" spans="1:33" x14ac:dyDescent="0.2">
      <c r="A56" s="1181">
        <v>1</v>
      </c>
      <c r="B56" s="1214" t="s">
        <v>109</v>
      </c>
      <c r="C56" s="1189"/>
      <c r="D56" s="1190">
        <v>12</v>
      </c>
      <c r="E56" s="1190">
        <v>11</v>
      </c>
      <c r="F56" s="1190">
        <v>13</v>
      </c>
      <c r="G56" s="1190"/>
      <c r="H56" s="1191" t="str">
        <f>(IF(D56-C57&gt;0,1)+IF(E56-C58&gt;0,1)+IF(F56-C59&gt;0,1)+IF(G56-C60&gt;0,1))&amp;"-"&amp;(IF(D56-C57&lt;0,1)+IF(E56-C58&lt;0,1)+IF(F56-C59&lt;0,1)+IF(G56-C60&lt;0,1))</f>
        <v>1-2</v>
      </c>
      <c r="I56" s="1190" t="str">
        <f>IF(AND(B56&lt;&gt;"",M$55=TRUE),A$55&amp;RANK(M56,M$56:M$60,0)," ")</f>
        <v>H3</v>
      </c>
      <c r="J56" s="1192">
        <f>IF(AND(L56=1,L57=1,D56&gt;C57),1)+IF(AND(L56=1,L58=1,E56&gt;C58),1)+IF(AND(L56=1,L59=1,F56&gt;C59),1)+IF(AND(L56=1,L60=1,G56&gt;C60),1)+IF(AND(L56=2,L57=2,D56&gt;C57),1)+IF(AND(L56=2,L58=2,E56&gt;C58),1)+IF(AND(L56=2,L59=2,F56&gt;C59),1)+IF(AND(L56=2,L60=2,G56&gt;C60),1)+IF(AND(L56=3,L57=3,D56&gt;C57),1)+IF(AND(L56=3,L58=3,E56&gt;C58),1)+IF(AND(L56=3,L59=3,F56&gt;C59),1)+IF(AND(L56=3,L60=3,G56&gt;C60),1)</f>
        <v>0</v>
      </c>
      <c r="K56" s="1193">
        <f>IF(AND(L56=1,L57=1),D56-C57)+IF(AND(L56=1,L58=1),E56-C58)+IF(AND(L56=1,L59=1),F56-C59)+IF(AND(L56=1,L60=1),G56-C60)+IF(AND(L56=2,L57=2),D56-C57)+IF(AND(L56=2,L58=2),E56-C58)+IF(AND(L56=2,L59=2),F56-C59)+IF(AND(L56=2,L60=2),G56-C60)+IF(AND(L56=3,L57=3),D56-C57)+IF(AND(L56=3,L58=3),E56-C58)+IF(AND(L56=3,L59=3),F56-C59)+IF(AND(L56=3,L60=3),G56-C60)</f>
        <v>0</v>
      </c>
      <c r="L56" s="1198">
        <f>VALUE(LEFT(H56,1))</f>
        <v>1</v>
      </c>
      <c r="M56" s="1198">
        <f>10000*L56+J56*100+K56</f>
        <v>10000</v>
      </c>
      <c r="N56" s="1177"/>
      <c r="O56" s="1177"/>
      <c r="P56" s="1177"/>
      <c r="Q56" s="1177"/>
      <c r="R56" s="1177"/>
      <c r="S56" s="1177"/>
      <c r="T56" s="1177"/>
      <c r="U56" s="1177"/>
      <c r="V56" s="1177"/>
      <c r="W56" s="1177"/>
      <c r="X56" s="1177"/>
      <c r="Y56" s="1177"/>
      <c r="Z56" s="1177"/>
      <c r="AA56" s="1177"/>
      <c r="AB56" s="1177"/>
      <c r="AE56" s="618">
        <f t="shared" ca="1" si="4"/>
        <v>139</v>
      </c>
      <c r="AF56" s="619" t="str">
        <f t="shared" si="2"/>
        <v>Enn Tokman</v>
      </c>
      <c r="AG56" s="620">
        <f ca="1">IFERROR(INDEX(Reit!$I:$I,MATCH(AF56,Reit!$F:$F,0)),"")</f>
        <v>139</v>
      </c>
    </row>
    <row r="57" spans="1:33" x14ac:dyDescent="0.2">
      <c r="A57" s="1181">
        <v>2</v>
      </c>
      <c r="B57" s="1195" t="s">
        <v>88</v>
      </c>
      <c r="C57" s="1190">
        <v>13</v>
      </c>
      <c r="D57" s="1189"/>
      <c r="E57" s="1190">
        <v>13</v>
      </c>
      <c r="F57" s="1190">
        <v>13</v>
      </c>
      <c r="G57" s="1190"/>
      <c r="H57" s="1191" t="str">
        <f>(IF(C57-D56&gt;0,1)+IF(E57-D58&gt;0,1)+IF(F57-D59&gt;0,1)+IF(G57-D60&gt;0,1))&amp;"-"&amp;(IF(C57-D56&lt;0,1)+IF(E57-D58&lt;0,1)+IF(F57-D59&lt;0,1)+IF(G57-D60&lt;0,1))</f>
        <v>3-0</v>
      </c>
      <c r="I57" s="1190" t="str">
        <f>IF(AND(B57&lt;&gt;"",M$55=TRUE),A$55&amp;RANK(M57,M$56:M$60,0)," ")</f>
        <v>H1</v>
      </c>
      <c r="J57" s="1196">
        <f>IF(AND(L57=1,L56=1,C57&gt;D56),1)+IF(AND(L57=1,L58=1,E57&gt;D58),1)+IF(AND(L57=1,L59=1,F57&gt;D59),1)+IF(AND(L57=1,L60=1,G57&gt;D60),1)+IF(AND(L57=2,L56=2,C57&gt;D56),1)+IF(AND(L57=2,L58=2,E57&gt;D58),1)+IF(AND(L57=2,L59=2,F57&gt;D59),1)+IF(AND(L57=2,L60=2,G57&gt;D60),1)+IF(AND(L57=3,L56=3,C57&gt;D56),1)+IF(AND(L57=3,L58=3,E57&gt;D58),1)+IF(AND(L57=3,L59=3,F57&gt;D59),1)+IF(AND(L57=3,L60=3,G57&gt;D60),1)</f>
        <v>0</v>
      </c>
      <c r="K57" s="1197">
        <f>IF(AND(L57=1,L56=1),C57-D56)+IF(AND(L57=1,L58=1),E57-D58)+IF(AND(L57=1,L59=1),F57-D59)+IF(AND(L57=1,L60=1),G57-D60)+IF(AND(L57=2,L56=2),C57-D56)+IF(AND(L57=2,L58=2),E57-D58)+IF(AND(L57=2,L59=2),F57-D59)+IF(AND(L57=2,L60=2),G57-D60)+IF(AND(L57=3,L56=3),C57-D56)+IF(AND(L57=3,L58=3),E57-D58)+IF(AND(L57=3,L59=3),F57-D59)+IF(AND(L57=3,L60=3),G57-D60)</f>
        <v>0</v>
      </c>
      <c r="L57" s="1198">
        <f>VALUE(LEFT(H57,1))</f>
        <v>3</v>
      </c>
      <c r="M57" s="1198">
        <f>10000*L57+J57*100+K57</f>
        <v>30000</v>
      </c>
      <c r="N57" s="1177"/>
      <c r="O57" s="1177"/>
      <c r="P57" s="1177"/>
      <c r="Q57" s="1177"/>
      <c r="R57" s="1177"/>
      <c r="S57" s="1177"/>
      <c r="T57" s="1177"/>
      <c r="U57" s="1177"/>
      <c r="V57" s="1177"/>
      <c r="W57" s="1177"/>
      <c r="X57" s="1177"/>
      <c r="Y57" s="1177"/>
      <c r="Z57" s="1177"/>
      <c r="AA57" s="1177"/>
      <c r="AB57" s="1177"/>
      <c r="AE57" s="618">
        <f t="shared" ca="1" si="4"/>
        <v>232</v>
      </c>
      <c r="AF57" s="619" t="str">
        <f t="shared" si="2"/>
        <v>Oleg Rõndenkov</v>
      </c>
      <c r="AG57" s="620">
        <f ca="1">IFERROR(INDEX(Reit!$I:$I,MATCH(AF57,Reit!$F:$F,0)),"")</f>
        <v>232</v>
      </c>
    </row>
    <row r="58" spans="1:33" x14ac:dyDescent="0.2">
      <c r="A58" s="1181">
        <v>3</v>
      </c>
      <c r="B58" s="1195" t="s">
        <v>155</v>
      </c>
      <c r="C58" s="1190">
        <v>13</v>
      </c>
      <c r="D58" s="1199">
        <v>2</v>
      </c>
      <c r="E58" s="1189"/>
      <c r="F58" s="1190">
        <v>13</v>
      </c>
      <c r="G58" s="1190"/>
      <c r="H58" s="1191" t="str">
        <f>(IF(C58-E56&gt;0,1)+IF(D58-E57&gt;0,1)+IF(F58-E59&gt;0,1)+IF(G58-E60&gt;0,1))&amp;"-"&amp;(IF(C58-E56&lt;0,1)+IF(D58-E57&lt;0,1)+IF(F58-E59&lt;0,1)+IF(G58-E60&lt;0,1))</f>
        <v>2-1</v>
      </c>
      <c r="I58" s="1190" t="str">
        <f>IF(AND(B58&lt;&gt;"",M$55=TRUE),A$55&amp;RANK(M58,M$56:M$60,0)," ")</f>
        <v>H2</v>
      </c>
      <c r="J58" s="1196">
        <f>IF(AND(L58=1,L56=1,C58&gt;E56),1)+IF(AND(L58=1,L57=1,D58&gt;E57),1)+IF(AND(L58=1,L59=1,F58&gt;E59),1)+IF(AND(L58=1,L60=1,G58&gt;E60),1)+IF(AND(L58=2,L56=2,C58&gt;E56),1)+IF(AND(L58=2,L57=2,D58&gt;E57),1)+IF(AND(L58=2,L59=2,F58&gt;E59),1)+IF(AND(L58=2,L60=2,G58&gt;E60),1)+IF(AND(L58=3,L56=3,C58&gt;E56),1)+IF(AND(L58=3,L57=3,D58&gt;E57),1)+IF(AND(L58=3,L59=3,F58&gt;E59),1)+IF(AND(L58=3,L60=3,G58&gt;E60),1)</f>
        <v>0</v>
      </c>
      <c r="K58" s="1197">
        <f>IF(AND(L58=1,L56=1),C58-E56)+IF(AND(L58=1,L57=1),D58-E57)+IF(AND(L58=1,L59=1),F58-E59)+IF(AND(L58=1,L60=1),G58-E60)+IF(AND(L58=2,L56=2),C58-E56)+IF(AND(L58=2,L57=2),D58-E57)+IF(AND(L58=2,L59=2),F58-E59)+IF(AND(L58=2,L60=2),G58-E60)+IF(AND(L58=3,L56=3),C58-E56)+IF(AND(L58=3,L57=3),D58-E57)+IF(AND(L58=3,L59=3),F58-E59)+IF(AND(L58=3,L60=3),G58-E60)</f>
        <v>0</v>
      </c>
      <c r="L58" s="1198">
        <f>VALUE(LEFT(H58,1))</f>
        <v>2</v>
      </c>
      <c r="M58" s="1198">
        <f>10000*L58+J58*100+K58</f>
        <v>20000</v>
      </c>
      <c r="N58" s="1177"/>
      <c r="O58" s="1177"/>
      <c r="P58" s="1177"/>
      <c r="Q58" s="1177"/>
      <c r="R58" s="1177"/>
      <c r="S58" s="1177"/>
      <c r="T58" s="1177"/>
      <c r="U58" s="1177"/>
      <c r="V58" s="1177"/>
      <c r="W58" s="1177"/>
      <c r="X58" s="1177"/>
      <c r="Y58" s="1177"/>
      <c r="Z58" s="1177"/>
      <c r="AA58" s="1177"/>
      <c r="AB58" s="1177"/>
      <c r="AE58" s="618">
        <f t="shared" ca="1" si="4"/>
        <v>4</v>
      </c>
      <c r="AF58" s="619" t="str">
        <f t="shared" si="2"/>
        <v>Marta Bernat</v>
      </c>
      <c r="AG58" s="620">
        <f ca="1">IFERROR(INDEX(Reit!$I:$I,MATCH(AF58,Reit!$F:$F,0)),"")</f>
        <v>4</v>
      </c>
    </row>
    <row r="59" spans="1:33" x14ac:dyDescent="0.2">
      <c r="A59" s="1181">
        <v>4</v>
      </c>
      <c r="B59" s="1200" t="s">
        <v>92</v>
      </c>
      <c r="C59" s="1190">
        <v>3</v>
      </c>
      <c r="D59" s="1199">
        <v>6</v>
      </c>
      <c r="E59" s="1190">
        <v>5</v>
      </c>
      <c r="F59" s="1189"/>
      <c r="G59" s="1201"/>
      <c r="H59" s="1191" t="str">
        <f>(IF(C59-F56&gt;0,1)+IF(D59-F57&gt;0,1)+IF(E59-F58&gt;0,1)+IF(G59-F60&gt;0,1))&amp;"-"&amp;(IF(C59-F56&lt;0,1)+IF(D59-F57&lt;0,1)+IF(E59-F58&lt;0,1)+IF(G59-F60&lt;0,1))</f>
        <v>0-3</v>
      </c>
      <c r="I59" s="1190" t="str">
        <f>IF(AND(B59&lt;&gt;"",M$55=TRUE),A$55&amp;RANK(M59,M$56:M$60,0)," ")</f>
        <v>H4</v>
      </c>
      <c r="J59" s="1196">
        <f>IF(AND(L59=1,L56=1,C59&gt;F56),1)+IF(AND(L59=1,L57=1,D59&gt;F57),1)+IF(AND(L59=1,L58=1,E59&gt;F58),1)+IF(AND(L59=1,L60=1,G59&gt;F60),1)+IF(AND(L59=2,L56=2,C59&gt;F56),1)+IF(AND(L59=2,L57=2,D59&gt;F57),1)+IF(AND(L59=2,L58=2,E59&gt;F58),1)+IF(AND(L59=2,L60=2,G59&gt;F60),1)+IF(AND(L59=3,L56=3,C59&gt;F56),1)+IF(AND(L59=3,L57=3,D59&gt;F57),1)+IF(AND(L59=3,L58=3,E59&gt;F58),1)+IF(AND(L59=3,L60=3,G59&gt;F60),1)</f>
        <v>0</v>
      </c>
      <c r="K59" s="1197">
        <f>IF(AND(L59=1,L56=1),C59-F56)+IF(AND(L59=1,L57=1),D59-F57)+IF(AND(L59=1,L58=1),E59-F58)+IF(AND(L59=1,L60=1),G59-F60)+IF(AND(L59=2,L56=2),C59-F56)+IF(AND(L59=2,L57=2),D59-F57)+IF(AND(L59=2,L58=2),E59-F58)+IF(AND(L59=2,L60=2),G59-F60)+IF(AND(L59=3,L56=3),C59-F56)+IF(AND(L59=3,L57=3),D59-F57)+IF(AND(L59=3,L58=3),E59-F58)+IF(AND(L59=3,L60=3),G59-F60)</f>
        <v>0</v>
      </c>
      <c r="L59" s="1198">
        <f>VALUE(LEFT(H59,1))</f>
        <v>0</v>
      </c>
      <c r="M59" s="1198">
        <f>10000*L59+J59*100+K59</f>
        <v>0</v>
      </c>
      <c r="N59" s="1177"/>
      <c r="O59" s="1177"/>
      <c r="P59" s="1177"/>
      <c r="Q59" s="1177"/>
      <c r="R59" s="1177"/>
      <c r="S59" s="1177"/>
      <c r="T59" s="1177"/>
      <c r="U59" s="1177"/>
      <c r="V59" s="1177"/>
      <c r="W59" s="1177"/>
      <c r="X59" s="1177"/>
      <c r="Y59" s="1177"/>
      <c r="Z59" s="1177"/>
      <c r="AA59" s="1177"/>
      <c r="AB59" s="1177"/>
      <c r="AE59" s="618">
        <f t="shared" ca="1" si="4"/>
        <v>133</v>
      </c>
      <c r="AF59" s="619" t="str">
        <f t="shared" si="2"/>
        <v>Andres Veski</v>
      </c>
      <c r="AG59" s="620">
        <f ca="1">IFERROR(INDEX(Reit!$I:$I,MATCH(AF59,Reit!$F:$F,0)),"")</f>
        <v>133</v>
      </c>
    </row>
    <row r="60" spans="1:33" hidden="1" x14ac:dyDescent="0.2">
      <c r="A60" s="1181">
        <v>5</v>
      </c>
      <c r="B60" s="1200"/>
      <c r="C60" s="1190"/>
      <c r="D60" s="1190"/>
      <c r="E60" s="1190"/>
      <c r="F60" s="1190"/>
      <c r="G60" s="1189"/>
      <c r="H60" s="1191" t="str">
        <f>(IF(C60-G56&gt;0,1)+IF(D60-G57&gt;0,1)+IF(E60-G58&gt;0,1)+IF(F60-G59&gt;0,1))&amp;"-"&amp;(IF(C60-G56&lt;0,1)+IF(D60-G57&lt;0,1)+IF(E60-G58&lt;0,1)+IF(F60-G59&lt;0,1))</f>
        <v>0-0</v>
      </c>
      <c r="I60" s="1190" t="str">
        <f>IF(AND(B60&lt;&gt;"",M$55=TRUE),A$55&amp;RANK(M60,M$56:M$60,0)," ")</f>
        <v xml:space="preserve"> </v>
      </c>
      <c r="J60" s="1196">
        <f>IF(AND(L60=1,L56=1,C60&gt;G56),1)+IF(AND(L60=1,L57=1,D60&gt;G57),1)+IF(AND(L60=1,L58=1,E60&gt;G58),1)+IF(AND(L60=1,L59=1,F60&gt;G59),1)+IF(AND(L60=2,L56=2,C60&gt;G56),1)+IF(AND(L60=2,L57=2,D60&gt;G57),1)+IF(AND(L60=2,L58=2,E60&gt;G58),1)+IF(AND(L60=2,L59=2,F60&gt;G59),1)+IF(AND(L60=3,L56=3,C60&gt;G56),1)+IF(AND(L60=3,L57=3,D60&gt;G57),1)+IF(AND(L60=3,L58=3,E60&gt;G58),1)+IF(AND(L60=3,L59=3,F60&gt;G59),1)</f>
        <v>0</v>
      </c>
      <c r="K60" s="1197">
        <f>IF(AND(L60=1,L56=1),C60-G56)+IF(AND(L60=1,L57=1),D60-G57)+IF(AND(L60=1,L58=1),E60-G58)+IF(AND(L60=1,L59=1),F60-G59)+IF(AND(L60=2,L56=2),C60-G56)+IF(AND(L60=2,L57=2),D60-G57)+IF(AND(L60=2,L58=2),E60-G58)+IF(AND(L60=2,L59=2),F60-G59)+IF(AND(L60=3,L56=3),C60-G56)+IF(AND(L60=3,L57=3),D60-G57)+IF(AND(L60=3,L58=3),E60-G58)+IF(AND(L60=3,L59=3),F60-G59)</f>
        <v>0</v>
      </c>
      <c r="L60" s="1198">
        <f>VALUE(LEFT(H60,1))</f>
        <v>0</v>
      </c>
      <c r="M60" s="1198">
        <f>10000*L60+J60*100+K60</f>
        <v>0</v>
      </c>
      <c r="N60" s="1177"/>
      <c r="O60" s="1177"/>
      <c r="P60" s="1177"/>
      <c r="Q60" s="1177"/>
      <c r="R60" s="1177"/>
      <c r="S60" s="1177"/>
      <c r="T60" s="1177"/>
      <c r="U60" s="1177"/>
      <c r="V60" s="1177"/>
      <c r="W60" s="1177"/>
      <c r="X60" s="1177"/>
      <c r="Y60" s="1177"/>
      <c r="Z60" s="1177"/>
      <c r="AA60" s="1177"/>
      <c r="AB60" s="1177"/>
      <c r="AE60" s="618">
        <f t="shared" si="4"/>
        <v>0</v>
      </c>
      <c r="AF60" s="619">
        <f t="shared" si="2"/>
        <v>0</v>
      </c>
      <c r="AG60" s="620" t="str">
        <f>IFERROR(INDEX(Reit!$I:$I,MATCH(AF60,Reit!$F:$F,0)),"")</f>
        <v/>
      </c>
    </row>
    <row r="61" spans="1:33" hidden="1" x14ac:dyDescent="0.2">
      <c r="A61" s="1176"/>
      <c r="B61" s="1176"/>
      <c r="C61" s="1176"/>
      <c r="D61" s="1176"/>
      <c r="E61" s="1176"/>
      <c r="F61" s="1176"/>
      <c r="G61" s="1176"/>
      <c r="H61" s="1176"/>
      <c r="I61" s="1176"/>
      <c r="J61" s="1176"/>
      <c r="K61" s="1176"/>
      <c r="L61" s="1176"/>
      <c r="M61" s="1211"/>
      <c r="N61" s="1177"/>
      <c r="O61" s="1177"/>
      <c r="P61" s="1177"/>
      <c r="Q61" s="1177"/>
      <c r="R61" s="1177"/>
      <c r="S61" s="1177"/>
      <c r="T61" s="1177"/>
      <c r="U61" s="1177"/>
      <c r="V61" s="1177"/>
      <c r="W61" s="1177"/>
      <c r="X61" s="1177"/>
      <c r="Y61" s="1177"/>
      <c r="Z61" s="1177"/>
      <c r="AA61" s="1177"/>
      <c r="AB61" s="1177"/>
      <c r="AE61" s="573"/>
      <c r="AF61" s="573"/>
      <c r="AG61" s="573"/>
    </row>
    <row r="62" spans="1:33" hidden="1" x14ac:dyDescent="0.2">
      <c r="A62" s="1176"/>
      <c r="B62" s="1217" t="s">
        <v>280</v>
      </c>
      <c r="C62" s="1218" t="s">
        <v>327</v>
      </c>
      <c r="D62" s="1204"/>
      <c r="E62" s="1176"/>
      <c r="F62" s="1176"/>
      <c r="G62" s="1176"/>
      <c r="H62" s="1176"/>
      <c r="I62" s="1176"/>
      <c r="J62" s="1176"/>
      <c r="K62" s="1176"/>
      <c r="L62" s="1176"/>
      <c r="M62" s="1211"/>
      <c r="N62" s="1177"/>
      <c r="O62" s="1177"/>
      <c r="P62" s="1177"/>
      <c r="Q62" s="1177"/>
      <c r="R62" s="1177"/>
      <c r="S62" s="1177"/>
      <c r="T62" s="1177"/>
      <c r="U62" s="1177"/>
      <c r="V62" s="1177"/>
      <c r="W62" s="1177"/>
      <c r="X62" s="1177"/>
      <c r="Y62" s="1177"/>
      <c r="Z62" s="1177"/>
      <c r="AA62" s="1177"/>
      <c r="AB62" s="1177"/>
      <c r="AE62" s="573"/>
      <c r="AF62" s="573"/>
      <c r="AG62" s="573"/>
    </row>
    <row r="63" spans="1:33" hidden="1" x14ac:dyDescent="0.2">
      <c r="A63" s="1176"/>
      <c r="B63" s="1217" t="s">
        <v>281</v>
      </c>
      <c r="C63" s="1218" t="s">
        <v>326</v>
      </c>
      <c r="D63" s="1176"/>
      <c r="E63" s="1176"/>
      <c r="F63" s="1176"/>
      <c r="G63" s="1176"/>
      <c r="H63" s="1176"/>
      <c r="I63" s="1176"/>
      <c r="J63" s="1176"/>
      <c r="K63" s="1176"/>
      <c r="L63" s="1176"/>
      <c r="M63" s="1211"/>
      <c r="N63" s="1177"/>
      <c r="O63" s="1177"/>
      <c r="P63" s="1177"/>
      <c r="Q63" s="1177"/>
      <c r="R63" s="1177"/>
      <c r="S63" s="1177"/>
      <c r="T63" s="1177"/>
      <c r="U63" s="1177"/>
      <c r="V63" s="1177"/>
      <c r="W63" s="1177"/>
      <c r="X63" s="1177"/>
      <c r="Y63" s="1177"/>
      <c r="Z63" s="1177"/>
      <c r="AA63" s="1177"/>
      <c r="AB63" s="1177"/>
      <c r="AE63" s="573"/>
      <c r="AF63" s="573"/>
      <c r="AG63" s="573"/>
    </row>
    <row r="64" spans="1:33" hidden="1" x14ac:dyDescent="0.2">
      <c r="A64" s="1176"/>
      <c r="B64" s="1217" t="s">
        <v>282</v>
      </c>
      <c r="C64" s="1218" t="s">
        <v>329</v>
      </c>
      <c r="D64" s="1176"/>
      <c r="E64" s="1176"/>
      <c r="F64" s="1176"/>
      <c r="G64" s="1176"/>
      <c r="H64" s="1176"/>
      <c r="I64" s="1176"/>
      <c r="J64" s="1176"/>
      <c r="K64" s="1176"/>
      <c r="L64" s="1176"/>
      <c r="M64" s="1211"/>
      <c r="N64" s="1177"/>
      <c r="O64" s="1177"/>
      <c r="P64" s="1177"/>
      <c r="Q64" s="1177"/>
      <c r="R64" s="1177"/>
      <c r="S64" s="1177"/>
      <c r="T64" s="1177"/>
      <c r="U64" s="1177"/>
      <c r="V64" s="1177"/>
      <c r="W64" s="1177"/>
      <c r="X64" s="1177"/>
      <c r="Y64" s="1177"/>
      <c r="Z64" s="1177"/>
      <c r="AA64" s="1177"/>
      <c r="AB64" s="1177"/>
      <c r="AE64" s="573"/>
      <c r="AF64" s="573"/>
      <c r="AG64" s="573"/>
    </row>
    <row r="65" spans="1:33" x14ac:dyDescent="0.2">
      <c r="A65" s="1176"/>
      <c r="B65" s="1176"/>
      <c r="C65" s="1176"/>
      <c r="D65" s="1176"/>
      <c r="E65" s="1176"/>
      <c r="F65" s="1176"/>
      <c r="G65" s="1176"/>
      <c r="H65" s="1176"/>
      <c r="I65" s="1176"/>
      <c r="J65" s="1176"/>
      <c r="K65" s="1176"/>
      <c r="L65" s="1176"/>
      <c r="M65" s="1211"/>
      <c r="N65" s="1177"/>
      <c r="O65" s="1177"/>
      <c r="P65" s="1177"/>
      <c r="Q65" s="1177"/>
      <c r="R65" s="1177"/>
      <c r="S65" s="1177"/>
      <c r="T65" s="1177"/>
      <c r="U65" s="1177"/>
      <c r="V65" s="1177"/>
      <c r="W65" s="1177"/>
      <c r="X65" s="1177"/>
      <c r="Y65" s="1177"/>
      <c r="Z65" s="1177"/>
      <c r="AA65" s="1177"/>
      <c r="AB65" s="1177"/>
      <c r="AE65" s="573"/>
      <c r="AF65" s="573"/>
      <c r="AG65" s="573"/>
    </row>
    <row r="66" spans="1:33" x14ac:dyDescent="0.2">
      <c r="A66" s="1176"/>
      <c r="B66" s="1217" t="s">
        <v>280</v>
      </c>
      <c r="C66" s="1218" t="s">
        <v>325</v>
      </c>
      <c r="D66" s="1218" t="s">
        <v>326</v>
      </c>
      <c r="E66" s="1176"/>
      <c r="F66" s="1176"/>
      <c r="G66" s="1176"/>
      <c r="H66" s="1176"/>
      <c r="I66" s="1176"/>
      <c r="J66" s="1176"/>
      <c r="K66" s="1176"/>
      <c r="L66" s="1176"/>
      <c r="M66" s="1211"/>
      <c r="N66" s="1177"/>
      <c r="O66" s="1177"/>
      <c r="P66" s="1177"/>
      <c r="Q66" s="1177"/>
      <c r="R66" s="1177"/>
      <c r="S66" s="1177"/>
      <c r="T66" s="1177"/>
      <c r="U66" s="1177"/>
      <c r="V66" s="1177"/>
      <c r="W66" s="1177"/>
      <c r="X66" s="1177"/>
      <c r="Y66" s="1177"/>
      <c r="Z66" s="1177"/>
      <c r="AA66" s="1177"/>
      <c r="AB66" s="1177"/>
      <c r="AE66" s="573"/>
      <c r="AF66" s="573"/>
      <c r="AG66" s="573"/>
    </row>
    <row r="67" spans="1:33" x14ac:dyDescent="0.2">
      <c r="A67" s="1176"/>
      <c r="B67" s="1217" t="s">
        <v>281</v>
      </c>
      <c r="C67" s="1218" t="s">
        <v>327</v>
      </c>
      <c r="D67" s="1218" t="s">
        <v>324</v>
      </c>
      <c r="E67" s="1176"/>
      <c r="F67" s="1176"/>
      <c r="G67" s="1176"/>
      <c r="H67" s="1176"/>
      <c r="I67" s="1176"/>
      <c r="J67" s="1176"/>
      <c r="K67" s="1176"/>
      <c r="L67" s="1176"/>
      <c r="M67" s="1211"/>
      <c r="N67" s="1177"/>
      <c r="O67" s="1177"/>
      <c r="P67" s="1177"/>
      <c r="Q67" s="1177"/>
      <c r="R67" s="1177"/>
      <c r="S67" s="1177"/>
      <c r="T67" s="1177"/>
      <c r="U67" s="1177"/>
      <c r="V67" s="1177"/>
      <c r="W67" s="1177"/>
      <c r="X67" s="1177"/>
      <c r="Y67" s="1177"/>
      <c r="Z67" s="1177"/>
      <c r="AA67" s="1177"/>
      <c r="AB67" s="1177"/>
      <c r="AE67" s="573"/>
      <c r="AF67" s="573"/>
      <c r="AG67" s="573"/>
    </row>
    <row r="68" spans="1:33" x14ac:dyDescent="0.2">
      <c r="A68" s="1176"/>
      <c r="B68" s="1217" t="s">
        <v>282</v>
      </c>
      <c r="C68" s="1218" t="s">
        <v>329</v>
      </c>
      <c r="D68" s="1218" t="s">
        <v>322</v>
      </c>
      <c r="E68" s="1176"/>
      <c r="F68" s="1176"/>
      <c r="G68" s="1176"/>
      <c r="H68" s="1176"/>
      <c r="I68" s="1176"/>
      <c r="J68" s="1176"/>
      <c r="K68" s="1176"/>
      <c r="L68" s="1176"/>
      <c r="M68" s="1211"/>
      <c r="N68" s="1177"/>
      <c r="O68" s="1177"/>
      <c r="P68" s="1177"/>
      <c r="Q68" s="1177"/>
      <c r="R68" s="1177"/>
      <c r="S68" s="1177"/>
      <c r="T68" s="1177"/>
      <c r="U68" s="1177"/>
      <c r="V68" s="1177"/>
      <c r="W68" s="1177"/>
      <c r="X68" s="1177"/>
      <c r="Y68" s="1177"/>
      <c r="Z68" s="1177"/>
      <c r="AA68" s="1177"/>
      <c r="AB68" s="1177"/>
      <c r="AE68" s="573"/>
      <c r="AF68" s="573"/>
      <c r="AG68" s="573"/>
    </row>
    <row r="69" spans="1:33" hidden="1" x14ac:dyDescent="0.2">
      <c r="A69" s="1176"/>
      <c r="B69" s="1219"/>
      <c r="C69" s="1205"/>
      <c r="D69" s="1205"/>
      <c r="E69" s="1176"/>
      <c r="F69" s="1176"/>
      <c r="G69" s="1176"/>
      <c r="H69" s="1176"/>
      <c r="I69" s="1176"/>
      <c r="J69" s="1176"/>
      <c r="K69" s="1176"/>
      <c r="L69" s="1176"/>
      <c r="M69" s="1211"/>
      <c r="N69" s="1177"/>
      <c r="O69" s="1177"/>
      <c r="P69" s="1177"/>
      <c r="Q69" s="1177"/>
      <c r="R69" s="1177"/>
      <c r="S69" s="1177"/>
      <c r="T69" s="1177"/>
      <c r="U69" s="1177"/>
      <c r="V69" s="1177"/>
      <c r="W69" s="1177"/>
      <c r="X69" s="1177"/>
      <c r="Y69" s="1177"/>
      <c r="Z69" s="1177"/>
      <c r="AA69" s="1177"/>
      <c r="AB69" s="1177"/>
      <c r="AE69" s="573"/>
      <c r="AF69" s="573"/>
      <c r="AG69" s="573"/>
    </row>
    <row r="70" spans="1:33" hidden="1" x14ac:dyDescent="0.2">
      <c r="A70" s="1176"/>
      <c r="B70" s="1217" t="s">
        <v>280</v>
      </c>
      <c r="C70" s="1218" t="s">
        <v>323</v>
      </c>
      <c r="D70" s="1218" t="s">
        <v>324</v>
      </c>
      <c r="E70" s="1176"/>
      <c r="F70" s="1176"/>
      <c r="G70" s="1176"/>
      <c r="H70" s="1176"/>
      <c r="I70" s="1176"/>
      <c r="J70" s="1176"/>
      <c r="K70" s="1176"/>
      <c r="L70" s="1176"/>
      <c r="M70" s="1211"/>
      <c r="N70" s="1177"/>
      <c r="O70" s="1177"/>
      <c r="P70" s="1177"/>
      <c r="Q70" s="1177"/>
      <c r="R70" s="1177"/>
      <c r="S70" s="1177"/>
      <c r="T70" s="1177"/>
      <c r="U70" s="1177"/>
      <c r="V70" s="1177"/>
      <c r="W70" s="1177"/>
      <c r="X70" s="1177"/>
      <c r="Y70" s="1177"/>
      <c r="Z70" s="1177"/>
      <c r="AA70" s="1177"/>
      <c r="AB70" s="1177"/>
      <c r="AE70" s="573"/>
      <c r="AF70" s="573"/>
      <c r="AG70" s="573"/>
    </row>
    <row r="71" spans="1:33" hidden="1" x14ac:dyDescent="0.2">
      <c r="A71" s="1176"/>
      <c r="B71" s="1217" t="s">
        <v>281</v>
      </c>
      <c r="C71" s="1218" t="s">
        <v>327</v>
      </c>
      <c r="D71" s="1218" t="s">
        <v>328</v>
      </c>
      <c r="E71" s="1176"/>
      <c r="F71" s="1176"/>
      <c r="G71" s="1176"/>
      <c r="H71" s="1176"/>
      <c r="I71" s="1176"/>
      <c r="J71" s="1176"/>
      <c r="K71" s="1176"/>
      <c r="L71" s="1176"/>
      <c r="M71" s="1211"/>
      <c r="N71" s="1177"/>
      <c r="O71" s="1177"/>
      <c r="P71" s="1177"/>
      <c r="Q71" s="1177"/>
      <c r="R71" s="1177"/>
      <c r="S71" s="1177"/>
      <c r="T71" s="1177"/>
      <c r="U71" s="1177"/>
      <c r="V71" s="1177"/>
      <c r="W71" s="1177"/>
      <c r="X71" s="1177"/>
      <c r="Y71" s="1177"/>
      <c r="Z71" s="1177"/>
      <c r="AA71" s="1177"/>
      <c r="AB71" s="1177"/>
      <c r="AE71" s="573"/>
      <c r="AF71" s="573"/>
      <c r="AG71" s="573"/>
    </row>
    <row r="72" spans="1:33" hidden="1" x14ac:dyDescent="0.2">
      <c r="A72" s="1176"/>
      <c r="B72" s="1217" t="s">
        <v>282</v>
      </c>
      <c r="C72" s="1218" t="s">
        <v>321</v>
      </c>
      <c r="D72" s="1218" t="s">
        <v>322</v>
      </c>
      <c r="E72" s="1176"/>
      <c r="F72" s="1176"/>
      <c r="G72" s="1176"/>
      <c r="H72" s="1176"/>
      <c r="I72" s="1176"/>
      <c r="J72" s="1176"/>
      <c r="K72" s="1176"/>
      <c r="L72" s="1176"/>
      <c r="M72" s="1211"/>
      <c r="N72" s="1177"/>
      <c r="O72" s="1177"/>
      <c r="P72" s="1177"/>
      <c r="Q72" s="1177"/>
      <c r="R72" s="1177"/>
      <c r="S72" s="1177"/>
      <c r="T72" s="1177"/>
      <c r="U72" s="1177"/>
      <c r="V72" s="1177"/>
      <c r="W72" s="1177"/>
      <c r="X72" s="1177"/>
      <c r="Y72" s="1177"/>
      <c r="Z72" s="1177"/>
      <c r="AA72" s="1177"/>
      <c r="AB72" s="1177"/>
      <c r="AE72" s="573"/>
      <c r="AF72" s="573"/>
      <c r="AG72" s="573"/>
    </row>
    <row r="73" spans="1:33" hidden="1" x14ac:dyDescent="0.2">
      <c r="A73" s="1176"/>
      <c r="B73" s="1217" t="s">
        <v>283</v>
      </c>
      <c r="C73" s="1218" t="s">
        <v>542</v>
      </c>
      <c r="D73" s="1218" t="s">
        <v>330</v>
      </c>
      <c r="E73" s="1176"/>
      <c r="F73" s="1176"/>
      <c r="G73" s="1176"/>
      <c r="H73" s="1176"/>
      <c r="I73" s="1176"/>
      <c r="J73" s="1176"/>
      <c r="K73" s="1176"/>
      <c r="L73" s="1176"/>
      <c r="M73" s="1211"/>
      <c r="N73" s="1177"/>
      <c r="O73" s="1177"/>
      <c r="P73" s="1177"/>
      <c r="Q73" s="1177"/>
      <c r="R73" s="1177"/>
      <c r="S73" s="1177"/>
      <c r="T73" s="1177"/>
      <c r="U73" s="1177"/>
      <c r="V73" s="1177"/>
      <c r="W73" s="1177"/>
      <c r="X73" s="1177"/>
      <c r="Y73" s="1177"/>
      <c r="Z73" s="1177"/>
      <c r="AA73" s="1177"/>
      <c r="AB73" s="1177"/>
      <c r="AE73" s="573"/>
      <c r="AF73" s="573"/>
      <c r="AG73" s="573"/>
    </row>
    <row r="74" spans="1:33" hidden="1" x14ac:dyDescent="0.2">
      <c r="A74" s="1176"/>
      <c r="B74" s="1217" t="s">
        <v>284</v>
      </c>
      <c r="C74" s="1218" t="s">
        <v>326</v>
      </c>
      <c r="D74" s="1218" t="s">
        <v>325</v>
      </c>
      <c r="E74" s="1176"/>
      <c r="F74" s="1176"/>
      <c r="G74" s="1176"/>
      <c r="H74" s="1176"/>
      <c r="I74" s="1176"/>
      <c r="J74" s="1176"/>
      <c r="K74" s="1176"/>
      <c r="L74" s="1176"/>
      <c r="M74" s="1211"/>
      <c r="N74" s="1177"/>
      <c r="O74" s="1177"/>
      <c r="P74" s="1177"/>
      <c r="Q74" s="1177"/>
      <c r="R74" s="1177"/>
      <c r="S74" s="1177"/>
      <c r="T74" s="1177"/>
      <c r="U74" s="1177"/>
      <c r="V74" s="1177"/>
      <c r="W74" s="1177"/>
      <c r="X74" s="1177"/>
      <c r="Y74" s="1177"/>
      <c r="Z74" s="1177"/>
      <c r="AA74" s="1177"/>
      <c r="AB74" s="1177"/>
      <c r="AE74" s="573"/>
      <c r="AF74" s="573"/>
      <c r="AG74" s="573"/>
    </row>
    <row r="75" spans="1:33" hidden="1" x14ac:dyDescent="0.2">
      <c r="A75" s="1177"/>
      <c r="B75" s="1177"/>
      <c r="C75" s="1177"/>
      <c r="D75" s="1177"/>
      <c r="E75" s="1177"/>
      <c r="F75" s="1177"/>
      <c r="G75" s="1177"/>
      <c r="H75" s="1177"/>
      <c r="I75" s="1177"/>
      <c r="J75" s="1177"/>
      <c r="K75" s="1177"/>
      <c r="L75" s="1177"/>
      <c r="M75" s="1220"/>
      <c r="N75" s="1177"/>
      <c r="O75" s="1177"/>
      <c r="P75" s="1177"/>
      <c r="Q75" s="1177"/>
      <c r="R75" s="1177"/>
      <c r="S75" s="1177"/>
      <c r="T75" s="1177"/>
      <c r="U75" s="1177"/>
      <c r="V75" s="1177"/>
      <c r="W75" s="1177"/>
      <c r="X75" s="1177"/>
      <c r="Y75" s="1177"/>
      <c r="Z75" s="1177"/>
      <c r="AA75" s="1177"/>
      <c r="AB75" s="1177"/>
      <c r="AE75" s="573"/>
      <c r="AF75" s="573"/>
      <c r="AG75" s="573"/>
    </row>
    <row r="76" spans="1:33" hidden="1" x14ac:dyDescent="0.2">
      <c r="A76" s="1177"/>
      <c r="B76" s="1177"/>
      <c r="C76" s="1177"/>
      <c r="D76" s="1177"/>
      <c r="E76" s="1177"/>
      <c r="F76" s="1177"/>
      <c r="G76" s="1177"/>
      <c r="H76" s="1177"/>
      <c r="I76" s="1177"/>
      <c r="J76" s="1177"/>
      <c r="K76" s="1177"/>
      <c r="L76" s="1177"/>
      <c r="M76" s="1220"/>
      <c r="N76" s="1177"/>
      <c r="O76" s="1177"/>
      <c r="P76" s="1177"/>
      <c r="Q76" s="1177"/>
      <c r="R76" s="1177"/>
      <c r="S76" s="1177"/>
      <c r="T76" s="1177"/>
      <c r="U76" s="1177"/>
      <c r="V76" s="1177"/>
      <c r="W76" s="1177"/>
      <c r="X76" s="1177"/>
      <c r="Y76" s="1177"/>
      <c r="Z76" s="1177"/>
      <c r="AA76" s="1177"/>
      <c r="AB76" s="1177"/>
      <c r="AE76" s="573"/>
      <c r="AF76" s="573"/>
      <c r="AG76" s="573"/>
    </row>
    <row r="77" spans="1:33" hidden="1" x14ac:dyDescent="0.2">
      <c r="A77" s="1177"/>
      <c r="B77" s="1177"/>
      <c r="C77" s="1177"/>
      <c r="D77" s="1177"/>
      <c r="E77" s="1177"/>
      <c r="F77" s="1177"/>
      <c r="G77" s="1177"/>
      <c r="H77" s="1177"/>
      <c r="I77" s="1177"/>
      <c r="J77" s="1177"/>
      <c r="K77" s="1177"/>
      <c r="L77" s="1177"/>
      <c r="M77" s="1220"/>
      <c r="N77" s="1177"/>
      <c r="O77" s="1177"/>
      <c r="P77" s="1177"/>
      <c r="Q77" s="1177"/>
      <c r="R77" s="1177"/>
      <c r="S77" s="1177"/>
      <c r="T77" s="1177"/>
      <c r="U77" s="1177"/>
      <c r="V77" s="1177"/>
      <c r="W77" s="1177"/>
      <c r="X77" s="1177"/>
      <c r="Y77" s="1177"/>
      <c r="Z77" s="1177"/>
      <c r="AA77" s="1177"/>
      <c r="AB77" s="1177"/>
      <c r="AE77" s="573"/>
      <c r="AF77" s="573"/>
      <c r="AG77" s="573"/>
    </row>
    <row r="78" spans="1:33" hidden="1" x14ac:dyDescent="0.2">
      <c r="A78" s="1177"/>
      <c r="B78" s="1177"/>
      <c r="C78" s="1177"/>
      <c r="D78" s="1177"/>
      <c r="E78" s="1177"/>
      <c r="F78" s="1177"/>
      <c r="G78" s="1177"/>
      <c r="H78" s="1177"/>
      <c r="I78" s="1177"/>
      <c r="J78" s="1177"/>
      <c r="K78" s="1177"/>
      <c r="L78" s="1177"/>
      <c r="M78" s="1220"/>
      <c r="N78" s="1177"/>
      <c r="O78" s="1177"/>
      <c r="P78" s="1177"/>
      <c r="Q78" s="1177"/>
      <c r="R78" s="1177"/>
      <c r="S78" s="1177"/>
      <c r="T78" s="1177"/>
      <c r="U78" s="1177"/>
      <c r="V78" s="1177"/>
      <c r="W78" s="1177"/>
      <c r="X78" s="1177"/>
      <c r="Y78" s="1177"/>
      <c r="Z78" s="1177"/>
      <c r="AA78" s="1177"/>
      <c r="AB78" s="1177"/>
      <c r="AE78" s="573"/>
      <c r="AF78" s="573"/>
      <c r="AG78" s="573"/>
    </row>
    <row r="79" spans="1:33" hidden="1" x14ac:dyDescent="0.2">
      <c r="A79" s="1177"/>
      <c r="B79" s="1177"/>
      <c r="C79" s="1177"/>
      <c r="D79" s="1177"/>
      <c r="E79" s="1177"/>
      <c r="F79" s="1177"/>
      <c r="G79" s="1177"/>
      <c r="H79" s="1177"/>
      <c r="I79" s="1177"/>
      <c r="J79" s="1177"/>
      <c r="K79" s="1177"/>
      <c r="L79" s="1177"/>
      <c r="M79" s="1220"/>
      <c r="N79" s="1177"/>
      <c r="O79" s="1177"/>
      <c r="P79" s="1177"/>
      <c r="Q79" s="1177"/>
      <c r="R79" s="1177"/>
      <c r="S79" s="1177"/>
      <c r="T79" s="1177"/>
      <c r="U79" s="1177"/>
      <c r="V79" s="1177"/>
      <c r="W79" s="1177"/>
      <c r="X79" s="1177"/>
      <c r="Y79" s="1177"/>
      <c r="Z79" s="1177"/>
      <c r="AA79" s="1177"/>
      <c r="AB79" s="1177"/>
      <c r="AE79" s="573"/>
      <c r="AF79" s="573"/>
      <c r="AG79" s="573"/>
    </row>
    <row r="80" spans="1:33" hidden="1" x14ac:dyDescent="0.2">
      <c r="A80" s="1177"/>
      <c r="B80" s="1177"/>
      <c r="C80" s="1177"/>
      <c r="D80" s="1177"/>
      <c r="E80" s="1177"/>
      <c r="F80" s="1177"/>
      <c r="G80" s="1177"/>
      <c r="H80" s="1177"/>
      <c r="I80" s="1177"/>
      <c r="J80" s="1177"/>
      <c r="K80" s="1177"/>
      <c r="L80" s="1177"/>
      <c r="M80" s="1220"/>
      <c r="N80" s="1177"/>
      <c r="O80" s="1177"/>
      <c r="P80" s="1177"/>
      <c r="Q80" s="1177"/>
      <c r="R80" s="1177"/>
      <c r="S80" s="1177"/>
      <c r="T80" s="1177"/>
      <c r="U80" s="1177"/>
      <c r="V80" s="1177"/>
      <c r="W80" s="1177"/>
      <c r="X80" s="1177"/>
      <c r="Y80" s="1177"/>
      <c r="Z80" s="1177"/>
      <c r="AA80" s="1177"/>
      <c r="AB80" s="1177"/>
      <c r="AE80" s="573"/>
      <c r="AF80" s="573"/>
      <c r="AG80" s="573"/>
    </row>
    <row r="81" spans="1:33" hidden="1" x14ac:dyDescent="0.2">
      <c r="A81" s="1177"/>
      <c r="B81" s="1177"/>
      <c r="C81" s="1177"/>
      <c r="D81" s="1177"/>
      <c r="E81" s="1177"/>
      <c r="F81" s="1177"/>
      <c r="G81" s="1177"/>
      <c r="H81" s="1177"/>
      <c r="I81" s="1177"/>
      <c r="J81" s="1177"/>
      <c r="K81" s="1177"/>
      <c r="L81" s="1177"/>
      <c r="M81" s="1220"/>
      <c r="N81" s="1177"/>
      <c r="O81" s="1177"/>
      <c r="P81" s="1177"/>
      <c r="Q81" s="1177"/>
      <c r="R81" s="1177"/>
      <c r="S81" s="1177"/>
      <c r="T81" s="1177"/>
      <c r="U81" s="1177"/>
      <c r="V81" s="1177"/>
      <c r="W81" s="1177"/>
      <c r="X81" s="1177"/>
      <c r="Y81" s="1177"/>
      <c r="Z81" s="1177"/>
      <c r="AA81" s="1177"/>
      <c r="AB81" s="1177"/>
      <c r="AE81" s="573"/>
      <c r="AF81" s="573"/>
      <c r="AG81" s="573"/>
    </row>
    <row r="82" spans="1:33" hidden="1" x14ac:dyDescent="0.2">
      <c r="A82" s="1177"/>
      <c r="B82" s="1177"/>
      <c r="C82" s="1177"/>
      <c r="D82" s="1177"/>
      <c r="E82" s="1177"/>
      <c r="F82" s="1177"/>
      <c r="G82" s="1177"/>
      <c r="H82" s="1177"/>
      <c r="I82" s="1177"/>
      <c r="J82" s="1177"/>
      <c r="K82" s="1177"/>
      <c r="L82" s="1177"/>
      <c r="M82" s="1220"/>
      <c r="N82" s="1177"/>
      <c r="O82" s="1177"/>
      <c r="P82" s="1177"/>
      <c r="Q82" s="1177"/>
      <c r="R82" s="1177"/>
      <c r="S82" s="1177"/>
      <c r="T82" s="1177"/>
      <c r="U82" s="1177"/>
      <c r="V82" s="1177"/>
      <c r="W82" s="1177"/>
      <c r="X82" s="1177"/>
      <c r="Y82" s="1177"/>
      <c r="Z82" s="1177"/>
      <c r="AA82" s="1177"/>
      <c r="AB82" s="1177"/>
      <c r="AE82" s="573"/>
      <c r="AF82" s="573"/>
      <c r="AG82" s="573"/>
    </row>
    <row r="83" spans="1:33" hidden="1" x14ac:dyDescent="0.2">
      <c r="A83" s="1177"/>
      <c r="B83" s="1177"/>
      <c r="C83" s="1177"/>
      <c r="D83" s="1177"/>
      <c r="E83" s="1177"/>
      <c r="F83" s="1177"/>
      <c r="G83" s="1177"/>
      <c r="H83" s="1177"/>
      <c r="I83" s="1177"/>
      <c r="J83" s="1177"/>
      <c r="K83" s="1177"/>
      <c r="L83" s="1177"/>
      <c r="M83" s="1220"/>
      <c r="N83" s="1177"/>
      <c r="O83" s="1177"/>
      <c r="P83" s="1177"/>
      <c r="Q83" s="1177"/>
      <c r="R83" s="1177"/>
      <c r="S83" s="1177"/>
      <c r="T83" s="1177"/>
      <c r="U83" s="1177"/>
      <c r="V83" s="1177"/>
      <c r="W83" s="1177"/>
      <c r="X83" s="1177"/>
      <c r="Y83" s="1177"/>
      <c r="Z83" s="1177"/>
      <c r="AA83" s="1177"/>
      <c r="AB83" s="1177"/>
      <c r="AE83" s="573"/>
      <c r="AF83" s="573"/>
      <c r="AG83" s="573"/>
    </row>
    <row r="84" spans="1:33" hidden="1" x14ac:dyDescent="0.2">
      <c r="A84" s="1177"/>
      <c r="B84" s="1177"/>
      <c r="C84" s="1177"/>
      <c r="D84" s="1177"/>
      <c r="E84" s="1177"/>
      <c r="F84" s="1177"/>
      <c r="G84" s="1177"/>
      <c r="H84" s="1177"/>
      <c r="I84" s="1177"/>
      <c r="J84" s="1177"/>
      <c r="K84" s="1177"/>
      <c r="L84" s="1177"/>
      <c r="M84" s="1220"/>
      <c r="N84" s="1177"/>
      <c r="O84" s="1177"/>
      <c r="P84" s="1177"/>
      <c r="Q84" s="1177"/>
      <c r="R84" s="1177"/>
      <c r="S84" s="1177"/>
      <c r="T84" s="1177"/>
      <c r="U84" s="1177"/>
      <c r="V84" s="1177"/>
      <c r="W84" s="1177"/>
      <c r="X84" s="1177"/>
      <c r="Y84" s="1177"/>
      <c r="Z84" s="1177"/>
      <c r="AA84" s="1177"/>
      <c r="AB84" s="1177"/>
      <c r="AE84" s="573"/>
      <c r="AF84" s="573"/>
      <c r="AG84" s="573"/>
    </row>
    <row r="85" spans="1:33" hidden="1" x14ac:dyDescent="0.2">
      <c r="A85" s="1177"/>
      <c r="B85" s="1177"/>
      <c r="C85" s="1177"/>
      <c r="D85" s="1177"/>
      <c r="E85" s="1177"/>
      <c r="F85" s="1177"/>
      <c r="G85" s="1177"/>
      <c r="H85" s="1177"/>
      <c r="I85" s="1177"/>
      <c r="J85" s="1177"/>
      <c r="K85" s="1177"/>
      <c r="L85" s="1177"/>
      <c r="M85" s="1220"/>
      <c r="N85" s="1177"/>
      <c r="O85" s="1177"/>
      <c r="P85" s="1177"/>
      <c r="Q85" s="1177"/>
      <c r="R85" s="1177"/>
      <c r="S85" s="1177"/>
      <c r="T85" s="1177"/>
      <c r="U85" s="1177"/>
      <c r="V85" s="1177"/>
      <c r="W85" s="1177"/>
      <c r="X85" s="1177"/>
      <c r="Y85" s="1177"/>
      <c r="Z85" s="1177"/>
      <c r="AA85" s="1177"/>
      <c r="AB85" s="1177"/>
      <c r="AE85" s="573"/>
      <c r="AF85" s="573"/>
      <c r="AG85" s="573"/>
    </row>
    <row r="86" spans="1:33" hidden="1" x14ac:dyDescent="0.2">
      <c r="A86" s="1177"/>
      <c r="B86" s="1177"/>
      <c r="C86" s="1177"/>
      <c r="D86" s="1177"/>
      <c r="E86" s="1177"/>
      <c r="F86" s="1177"/>
      <c r="G86" s="1177"/>
      <c r="H86" s="1177"/>
      <c r="I86" s="1177"/>
      <c r="J86" s="1177"/>
      <c r="K86" s="1177"/>
      <c r="L86" s="1177"/>
      <c r="M86" s="1220"/>
      <c r="N86" s="1177"/>
      <c r="O86" s="1177"/>
      <c r="P86" s="1177"/>
      <c r="Q86" s="1177"/>
      <c r="R86" s="1177"/>
      <c r="S86" s="1177"/>
      <c r="T86" s="1177"/>
      <c r="U86" s="1177"/>
      <c r="V86" s="1177"/>
      <c r="W86" s="1177"/>
      <c r="X86" s="1177"/>
      <c r="Y86" s="1177"/>
      <c r="Z86" s="1177"/>
      <c r="AA86" s="1177"/>
      <c r="AB86" s="1177"/>
      <c r="AE86" s="573"/>
      <c r="AF86" s="573"/>
      <c r="AG86" s="573"/>
    </row>
    <row r="87" spans="1:33" hidden="1" x14ac:dyDescent="0.2">
      <c r="A87" s="1177"/>
      <c r="B87" s="1177"/>
      <c r="C87" s="1177"/>
      <c r="D87" s="1177"/>
      <c r="E87" s="1177"/>
      <c r="F87" s="1177"/>
      <c r="G87" s="1177"/>
      <c r="H87" s="1177"/>
      <c r="I87" s="1177"/>
      <c r="J87" s="1177"/>
      <c r="K87" s="1177"/>
      <c r="L87" s="1177"/>
      <c r="M87" s="1220"/>
      <c r="N87" s="1177"/>
      <c r="O87" s="1177"/>
      <c r="P87" s="1177"/>
      <c r="Q87" s="1177"/>
      <c r="R87" s="1177"/>
      <c r="S87" s="1177"/>
      <c r="T87" s="1177"/>
      <c r="U87" s="1177"/>
      <c r="V87" s="1177"/>
      <c r="W87" s="1177"/>
      <c r="X87" s="1177"/>
      <c r="Y87" s="1177"/>
      <c r="Z87" s="1177"/>
      <c r="AA87" s="1177"/>
      <c r="AB87" s="1177"/>
      <c r="AE87" s="573"/>
      <c r="AF87" s="573"/>
      <c r="AG87" s="573"/>
    </row>
    <row r="88" spans="1:33" hidden="1" x14ac:dyDescent="0.2">
      <c r="A88" s="1177"/>
      <c r="B88" s="1177"/>
      <c r="C88" s="1177"/>
      <c r="D88" s="1177"/>
      <c r="E88" s="1177"/>
      <c r="F88" s="1177"/>
      <c r="G88" s="1177"/>
      <c r="H88" s="1177"/>
      <c r="I88" s="1177"/>
      <c r="J88" s="1177"/>
      <c r="K88" s="1177"/>
      <c r="L88" s="1177"/>
      <c r="M88" s="1220"/>
      <c r="N88" s="1177"/>
      <c r="O88" s="1177"/>
      <c r="P88" s="1177"/>
      <c r="Q88" s="1177"/>
      <c r="R88" s="1177"/>
      <c r="S88" s="1177"/>
      <c r="T88" s="1177"/>
      <c r="U88" s="1177"/>
      <c r="V88" s="1177"/>
      <c r="W88" s="1177"/>
      <c r="X88" s="1177"/>
      <c r="Y88" s="1177"/>
      <c r="Z88" s="1177"/>
      <c r="AA88" s="1177"/>
      <c r="AB88" s="1177"/>
      <c r="AE88" s="573"/>
      <c r="AF88" s="573"/>
      <c r="AG88" s="573"/>
    </row>
    <row r="89" spans="1:33" hidden="1" x14ac:dyDescent="0.2">
      <c r="A89" s="1177"/>
      <c r="B89" s="1177"/>
      <c r="C89" s="1177"/>
      <c r="D89" s="1177"/>
      <c r="E89" s="1177"/>
      <c r="F89" s="1177"/>
      <c r="G89" s="1177"/>
      <c r="H89" s="1177"/>
      <c r="I89" s="1177"/>
      <c r="J89" s="1177"/>
      <c r="K89" s="1177"/>
      <c r="L89" s="1177"/>
      <c r="M89" s="1220"/>
      <c r="N89" s="1177"/>
      <c r="O89" s="1177"/>
      <c r="P89" s="1177"/>
      <c r="Q89" s="1177"/>
      <c r="R89" s="1177"/>
      <c r="S89" s="1177"/>
      <c r="T89" s="1177"/>
      <c r="U89" s="1177"/>
      <c r="V89" s="1177"/>
      <c r="W89" s="1177"/>
      <c r="X89" s="1177"/>
      <c r="Y89" s="1177"/>
      <c r="Z89" s="1177"/>
      <c r="AA89" s="1177"/>
      <c r="AB89" s="1177"/>
      <c r="AE89" s="573"/>
      <c r="AF89" s="573"/>
      <c r="AG89" s="573"/>
    </row>
    <row r="90" spans="1:33" hidden="1" x14ac:dyDescent="0.2">
      <c r="A90" s="1177"/>
      <c r="B90" s="1177"/>
      <c r="C90" s="1177"/>
      <c r="D90" s="1177"/>
      <c r="E90" s="1177"/>
      <c r="F90" s="1177"/>
      <c r="G90" s="1177"/>
      <c r="H90" s="1177"/>
      <c r="I90" s="1177"/>
      <c r="J90" s="1177"/>
      <c r="K90" s="1177"/>
      <c r="L90" s="1177"/>
      <c r="M90" s="1220"/>
      <c r="N90" s="1177"/>
      <c r="O90" s="1177"/>
      <c r="P90" s="1177"/>
      <c r="Q90" s="1177"/>
      <c r="R90" s="1177"/>
      <c r="S90" s="1177"/>
      <c r="T90" s="1177"/>
      <c r="U90" s="1177"/>
      <c r="V90" s="1177"/>
      <c r="W90" s="1177"/>
      <c r="X90" s="1177"/>
      <c r="Y90" s="1177"/>
      <c r="Z90" s="1177"/>
      <c r="AA90" s="1177"/>
      <c r="AB90" s="1177"/>
      <c r="AE90" s="573"/>
      <c r="AF90" s="573"/>
      <c r="AG90" s="573"/>
    </row>
    <row r="91" spans="1:33" hidden="1" x14ac:dyDescent="0.2">
      <c r="A91" s="1177"/>
      <c r="B91" s="1177"/>
      <c r="C91" s="1177"/>
      <c r="D91" s="1177"/>
      <c r="E91" s="1177"/>
      <c r="F91" s="1177"/>
      <c r="G91" s="1177"/>
      <c r="H91" s="1177"/>
      <c r="I91" s="1177"/>
      <c r="J91" s="1177"/>
      <c r="K91" s="1177"/>
      <c r="L91" s="1177"/>
      <c r="M91" s="1220"/>
      <c r="N91" s="1177"/>
      <c r="O91" s="1177"/>
      <c r="P91" s="1177"/>
      <c r="Q91" s="1177"/>
      <c r="R91" s="1177"/>
      <c r="S91" s="1177"/>
      <c r="T91" s="1177"/>
      <c r="U91" s="1177"/>
      <c r="V91" s="1177"/>
      <c r="W91" s="1177"/>
      <c r="X91" s="1177"/>
      <c r="Y91" s="1177"/>
      <c r="Z91" s="1177"/>
      <c r="AA91" s="1177"/>
      <c r="AB91" s="1177"/>
      <c r="AE91" s="573"/>
      <c r="AF91" s="573"/>
      <c r="AG91" s="573"/>
    </row>
    <row r="92" spans="1:33" hidden="1" x14ac:dyDescent="0.2">
      <c r="A92" s="1177"/>
      <c r="B92" s="1177"/>
      <c r="C92" s="1177"/>
      <c r="D92" s="1177"/>
      <c r="E92" s="1177"/>
      <c r="F92" s="1177"/>
      <c r="G92" s="1177"/>
      <c r="H92" s="1177"/>
      <c r="I92" s="1177"/>
      <c r="J92" s="1177"/>
      <c r="K92" s="1177"/>
      <c r="L92" s="1177"/>
      <c r="M92" s="1220"/>
      <c r="N92" s="1177"/>
      <c r="O92" s="1177"/>
      <c r="P92" s="1177"/>
      <c r="Q92" s="1177"/>
      <c r="R92" s="1177"/>
      <c r="S92" s="1177"/>
      <c r="T92" s="1177"/>
      <c r="U92" s="1177"/>
      <c r="V92" s="1177"/>
      <c r="W92" s="1177"/>
      <c r="X92" s="1177"/>
      <c r="Y92" s="1177"/>
      <c r="Z92" s="1177"/>
      <c r="AA92" s="1177"/>
      <c r="AB92" s="1177"/>
      <c r="AE92" s="573"/>
      <c r="AF92" s="573"/>
      <c r="AG92" s="573"/>
    </row>
    <row r="93" spans="1:33" hidden="1" x14ac:dyDescent="0.2">
      <c r="A93" s="1177"/>
      <c r="B93" s="1177"/>
      <c r="C93" s="1177"/>
      <c r="D93" s="1177"/>
      <c r="E93" s="1177"/>
      <c r="F93" s="1177"/>
      <c r="G93" s="1177"/>
      <c r="H93" s="1177"/>
      <c r="I93" s="1177"/>
      <c r="J93" s="1177"/>
      <c r="K93" s="1177"/>
      <c r="L93" s="1177"/>
      <c r="M93" s="1220"/>
      <c r="N93" s="1177"/>
      <c r="O93" s="1177"/>
      <c r="P93" s="1177"/>
      <c r="Q93" s="1177"/>
      <c r="R93" s="1177"/>
      <c r="S93" s="1177"/>
      <c r="T93" s="1177"/>
      <c r="U93" s="1177"/>
      <c r="V93" s="1177"/>
      <c r="W93" s="1177"/>
      <c r="X93" s="1177"/>
      <c r="Y93" s="1177"/>
      <c r="Z93" s="1177"/>
      <c r="AA93" s="1177"/>
      <c r="AB93" s="1177"/>
      <c r="AE93" s="573"/>
      <c r="AF93" s="573"/>
      <c r="AG93" s="573"/>
    </row>
    <row r="94" spans="1:33" hidden="1" x14ac:dyDescent="0.2">
      <c r="A94" s="1177"/>
      <c r="B94" s="1177"/>
      <c r="C94" s="1177"/>
      <c r="D94" s="1177"/>
      <c r="E94" s="1177"/>
      <c r="F94" s="1177"/>
      <c r="G94" s="1177"/>
      <c r="H94" s="1177"/>
      <c r="I94" s="1177"/>
      <c r="J94" s="1177"/>
      <c r="K94" s="1177"/>
      <c r="L94" s="1177"/>
      <c r="M94" s="1220"/>
      <c r="N94" s="1177"/>
      <c r="O94" s="1177"/>
      <c r="P94" s="1177"/>
      <c r="Q94" s="1177"/>
      <c r="R94" s="1177"/>
      <c r="S94" s="1177"/>
      <c r="T94" s="1177"/>
      <c r="U94" s="1177"/>
      <c r="V94" s="1177"/>
      <c r="W94" s="1177"/>
      <c r="X94" s="1177"/>
      <c r="Y94" s="1177"/>
      <c r="Z94" s="1177"/>
      <c r="AA94" s="1177"/>
      <c r="AB94" s="1177"/>
      <c r="AE94" s="573"/>
      <c r="AF94" s="573"/>
      <c r="AG94" s="573"/>
    </row>
    <row r="95" spans="1:33" hidden="1" x14ac:dyDescent="0.2">
      <c r="A95" s="1177"/>
      <c r="B95" s="1177"/>
      <c r="C95" s="1177"/>
      <c r="D95" s="1177"/>
      <c r="E95" s="1177"/>
      <c r="F95" s="1177"/>
      <c r="G95" s="1177"/>
      <c r="H95" s="1177"/>
      <c r="I95" s="1177"/>
      <c r="J95" s="1177"/>
      <c r="K95" s="1177"/>
      <c r="L95" s="1177"/>
      <c r="M95" s="1220"/>
      <c r="N95" s="1177"/>
      <c r="O95" s="1177"/>
      <c r="P95" s="1177"/>
      <c r="Q95" s="1177"/>
      <c r="R95" s="1177"/>
      <c r="S95" s="1177"/>
      <c r="T95" s="1177"/>
      <c r="U95" s="1177"/>
      <c r="V95" s="1177"/>
      <c r="W95" s="1177"/>
      <c r="X95" s="1177"/>
      <c r="Y95" s="1177"/>
      <c r="Z95" s="1177"/>
      <c r="AA95" s="1177"/>
      <c r="AB95" s="1177"/>
      <c r="AE95" s="573"/>
      <c r="AF95" s="573"/>
      <c r="AG95" s="573"/>
    </row>
    <row r="96" spans="1:33" hidden="1" x14ac:dyDescent="0.2">
      <c r="A96" s="1177"/>
      <c r="B96" s="1177"/>
      <c r="C96" s="1177"/>
      <c r="D96" s="1177"/>
      <c r="E96" s="1177"/>
      <c r="F96" s="1177"/>
      <c r="G96" s="1177"/>
      <c r="H96" s="1177"/>
      <c r="I96" s="1177"/>
      <c r="J96" s="1177"/>
      <c r="K96" s="1177"/>
      <c r="L96" s="1177"/>
      <c r="M96" s="1220"/>
      <c r="N96" s="1177"/>
      <c r="O96" s="1177"/>
      <c r="P96" s="1177"/>
      <c r="Q96" s="1177"/>
      <c r="R96" s="1177"/>
      <c r="S96" s="1177"/>
      <c r="T96" s="1177"/>
      <c r="U96" s="1177"/>
      <c r="V96" s="1177"/>
      <c r="W96" s="1177"/>
      <c r="X96" s="1177"/>
      <c r="Y96" s="1177"/>
      <c r="Z96" s="1177"/>
      <c r="AA96" s="1177"/>
      <c r="AB96" s="1177"/>
      <c r="AE96" s="573"/>
      <c r="AF96" s="573"/>
      <c r="AG96" s="573"/>
    </row>
    <row r="97" spans="1:33" hidden="1" x14ac:dyDescent="0.2">
      <c r="A97" s="1177"/>
      <c r="B97" s="1177"/>
      <c r="C97" s="1177"/>
      <c r="D97" s="1177"/>
      <c r="E97" s="1177"/>
      <c r="F97" s="1177"/>
      <c r="G97" s="1177"/>
      <c r="H97" s="1177"/>
      <c r="I97" s="1177"/>
      <c r="J97" s="1177"/>
      <c r="K97" s="1177"/>
      <c r="L97" s="1177"/>
      <c r="M97" s="1220"/>
      <c r="N97" s="1177"/>
      <c r="O97" s="1177"/>
      <c r="P97" s="1177"/>
      <c r="Q97" s="1177"/>
      <c r="R97" s="1177"/>
      <c r="S97" s="1177"/>
      <c r="T97" s="1177"/>
      <c r="U97" s="1177"/>
      <c r="V97" s="1177"/>
      <c r="W97" s="1177"/>
      <c r="X97" s="1177"/>
      <c r="Y97" s="1177"/>
      <c r="Z97" s="1177"/>
      <c r="AA97" s="1177"/>
      <c r="AB97" s="1177"/>
      <c r="AE97" s="573"/>
      <c r="AF97" s="573"/>
      <c r="AG97" s="573"/>
    </row>
    <row r="98" spans="1:33" hidden="1" x14ac:dyDescent="0.2">
      <c r="A98" s="1177"/>
      <c r="B98" s="1177"/>
      <c r="C98" s="1177"/>
      <c r="D98" s="1177"/>
      <c r="E98" s="1177"/>
      <c r="F98" s="1177"/>
      <c r="G98" s="1177"/>
      <c r="H98" s="1177"/>
      <c r="I98" s="1177"/>
      <c r="J98" s="1177"/>
      <c r="K98" s="1177"/>
      <c r="L98" s="1177"/>
      <c r="M98" s="1220"/>
      <c r="N98" s="1177"/>
      <c r="O98" s="1177"/>
      <c r="P98" s="1177"/>
      <c r="Q98" s="1177"/>
      <c r="R98" s="1177"/>
      <c r="S98" s="1177"/>
      <c r="T98" s="1177"/>
      <c r="U98" s="1177"/>
      <c r="V98" s="1177"/>
      <c r="W98" s="1177"/>
      <c r="X98" s="1177"/>
      <c r="Y98" s="1177"/>
      <c r="Z98" s="1177"/>
      <c r="AA98" s="1177"/>
      <c r="AB98" s="1177"/>
      <c r="AE98" s="573"/>
      <c r="AF98" s="573"/>
      <c r="AG98" s="573"/>
    </row>
    <row r="99" spans="1:33" x14ac:dyDescent="0.2">
      <c r="A99" s="1177"/>
      <c r="B99" s="1177"/>
      <c r="C99" s="1177"/>
      <c r="D99" s="1177"/>
      <c r="E99" s="1177"/>
      <c r="F99" s="1177"/>
      <c r="G99" s="1177"/>
      <c r="H99" s="1177"/>
      <c r="I99" s="1177"/>
      <c r="J99" s="1177"/>
      <c r="K99" s="1177"/>
      <c r="L99" s="1177"/>
      <c r="M99" s="1220"/>
      <c r="N99" s="1177"/>
      <c r="O99" s="1177"/>
      <c r="P99" s="1177"/>
      <c r="Q99" s="1177"/>
      <c r="R99" s="1177"/>
      <c r="S99" s="1177"/>
      <c r="T99" s="1177"/>
      <c r="U99" s="1177"/>
      <c r="V99" s="1177"/>
      <c r="W99" s="1177"/>
      <c r="X99" s="1177"/>
      <c r="Y99" s="1177"/>
      <c r="Z99" s="1177"/>
      <c r="AA99" s="1177"/>
      <c r="AB99" s="1177"/>
      <c r="AE99" s="573"/>
      <c r="AF99" s="573"/>
      <c r="AG99" s="573"/>
    </row>
    <row r="100" spans="1:33" x14ac:dyDescent="0.2">
      <c r="A100" s="1221" t="s">
        <v>345</v>
      </c>
      <c r="B100" s="1222"/>
      <c r="C100" s="1218"/>
      <c r="D100" s="1218"/>
      <c r="E100" s="1218"/>
      <c r="F100" s="1197"/>
      <c r="G100" s="1218"/>
      <c r="H100" s="1223"/>
      <c r="I100" s="1223"/>
      <c r="J100" s="1223"/>
      <c r="K100" s="1223"/>
      <c r="L100" s="1223"/>
      <c r="M100" s="1224"/>
      <c r="N100" s="1223"/>
      <c r="O100" s="1223"/>
      <c r="P100" s="1225"/>
      <c r="AE100" s="573"/>
      <c r="AF100" s="573"/>
      <c r="AG100" s="573"/>
    </row>
    <row r="101" spans="1:33" x14ac:dyDescent="0.2">
      <c r="AE101" s="573"/>
      <c r="AF101" s="573"/>
      <c r="AG101" s="573"/>
    </row>
    <row r="102" spans="1:33" x14ac:dyDescent="0.2">
      <c r="A102" s="1226" t="s">
        <v>336</v>
      </c>
      <c r="B102" s="1227" t="str">
        <f>IF(A102="-","-",IFERROR(INDEX(B$1:B$100,MATCH(A102,I$1:I$100,0)),""))</f>
        <v>Ivar Viljaste</v>
      </c>
      <c r="C102" s="1228">
        <v>13</v>
      </c>
      <c r="D102" s="1223"/>
      <c r="E102" s="1223"/>
      <c r="F102" s="1223"/>
      <c r="G102" s="1223"/>
      <c r="H102" s="1223"/>
      <c r="I102" s="1223"/>
      <c r="J102" s="1223"/>
      <c r="AE102" s="573"/>
      <c r="AF102" s="573"/>
      <c r="AG102" s="573"/>
    </row>
    <row r="103" spans="1:33" x14ac:dyDescent="0.2">
      <c r="A103" s="1229"/>
      <c r="B103" s="1230"/>
      <c r="C103" s="1231" t="str">
        <f>IF(COUNT(C102,C104)=2,IF(C102&gt;C104,B102,B104),"")</f>
        <v>Ivar Viljaste</v>
      </c>
      <c r="D103" s="1223"/>
      <c r="E103" s="1228">
        <v>13</v>
      </c>
      <c r="F103" s="1223"/>
      <c r="G103" s="1223"/>
      <c r="H103" s="1223"/>
      <c r="I103" s="1223"/>
      <c r="J103" s="1223"/>
      <c r="AE103" s="573"/>
      <c r="AF103" s="573"/>
      <c r="AG103" s="573"/>
    </row>
    <row r="104" spans="1:33" x14ac:dyDescent="0.2">
      <c r="A104" s="1229" t="s">
        <v>548</v>
      </c>
      <c r="B104" s="1232" t="str">
        <f>IF(A104="-","-",IFERROR(INDEX(B$1:B$100,MATCH(A104,I$1:I$100,0)),""))</f>
        <v>Marta Bernat</v>
      </c>
      <c r="C104" s="1233">
        <v>8</v>
      </c>
      <c r="D104" s="1234"/>
      <c r="E104" s="1223"/>
      <c r="F104" s="1223"/>
      <c r="G104" s="1223"/>
      <c r="H104" s="1223"/>
      <c r="I104" s="1223"/>
      <c r="J104" s="1223"/>
      <c r="AE104" s="573"/>
      <c r="AF104" s="573"/>
      <c r="AG104" s="573"/>
    </row>
    <row r="105" spans="1:33" x14ac:dyDescent="0.2">
      <c r="A105" s="1229"/>
      <c r="B105" s="1224"/>
      <c r="C105" s="1223"/>
      <c r="D105" s="1235"/>
      <c r="E105" s="1231" t="str">
        <f>IF(COUNT(E103,E107)=2,IF(E103&gt;E107,C103,C107),"")</f>
        <v>Ivar Viljaste</v>
      </c>
      <c r="F105" s="1223"/>
      <c r="G105" s="1228">
        <v>7</v>
      </c>
      <c r="H105" s="1223"/>
      <c r="I105" s="1223"/>
      <c r="J105" s="1223"/>
      <c r="AE105" s="573"/>
      <c r="AF105" s="573"/>
      <c r="AG105" s="573"/>
    </row>
    <row r="106" spans="1:33" x14ac:dyDescent="0.2">
      <c r="A106" s="1229" t="s">
        <v>349</v>
      </c>
      <c r="B106" s="1227" t="str">
        <f>IF(A106="-","-",IFERROR(INDEX(B$1:B$100,MATCH(A106,I$1:I$100,0)),""))</f>
        <v>Janek Tarto</v>
      </c>
      <c r="C106" s="1228">
        <v>13</v>
      </c>
      <c r="D106" s="1235"/>
      <c r="E106" s="1236"/>
      <c r="F106" s="1234"/>
      <c r="G106" s="1223"/>
      <c r="H106" s="1223"/>
      <c r="I106" s="1223"/>
      <c r="J106" s="1223"/>
      <c r="AE106" s="573"/>
      <c r="AF106" s="573"/>
      <c r="AG106" s="573"/>
    </row>
    <row r="107" spans="1:33" x14ac:dyDescent="0.2">
      <c r="A107" s="1229"/>
      <c r="B107" s="1230"/>
      <c r="C107" s="1231" t="str">
        <f>IF(COUNT(C106,C108)=2,IF(C106&gt;C108,B106,B108),"")</f>
        <v>Janek Tarto</v>
      </c>
      <c r="D107" s="1237"/>
      <c r="E107" s="1233">
        <v>7</v>
      </c>
      <c r="F107" s="1235"/>
      <c r="G107" s="1223"/>
      <c r="H107" s="1223"/>
      <c r="I107" s="1223"/>
      <c r="J107" s="1223"/>
      <c r="AE107" s="573"/>
      <c r="AF107" s="573"/>
      <c r="AG107" s="573"/>
    </row>
    <row r="108" spans="1:33" x14ac:dyDescent="0.2">
      <c r="A108" s="1229" t="s">
        <v>549</v>
      </c>
      <c r="B108" s="1232" t="str">
        <f>IF(A108="-","-",IFERROR(INDEX(B$1:B$100,MATCH(A108,I$1:I$100,0)),""))</f>
        <v>Viktor Švarõgin</v>
      </c>
      <c r="C108" s="1233">
        <v>12</v>
      </c>
      <c r="D108" s="1223"/>
      <c r="E108" s="1222"/>
      <c r="F108" s="1235"/>
      <c r="G108" s="1223"/>
      <c r="H108" s="1223"/>
      <c r="I108" s="1223"/>
      <c r="J108" s="1223"/>
      <c r="AE108" s="573"/>
      <c r="AF108" s="573"/>
      <c r="AG108" s="573"/>
    </row>
    <row r="109" spans="1:33" x14ac:dyDescent="0.2">
      <c r="A109" s="1238"/>
      <c r="B109" s="1224"/>
      <c r="C109" s="1223"/>
      <c r="D109" s="1223"/>
      <c r="E109" s="1222"/>
      <c r="F109" s="1235"/>
      <c r="G109" s="1223" t="str">
        <f>IF(COUNT(G105,G113)=2,IF(G105&gt;G113,E105,E113),"")</f>
        <v>Kaspar Mänd</v>
      </c>
      <c r="H109" s="1223"/>
      <c r="I109" s="1239">
        <v>13</v>
      </c>
      <c r="J109" s="1223"/>
      <c r="AE109" s="573"/>
      <c r="AF109" s="573"/>
      <c r="AG109" s="573"/>
    </row>
    <row r="110" spans="1:33" x14ac:dyDescent="0.2">
      <c r="A110" s="1226" t="s">
        <v>550</v>
      </c>
      <c r="B110" s="1227" t="str">
        <f>IF(A110="-","-",IFERROR(INDEX(B$1:B$100,MATCH(A110,I$1:I$100,0)),""))</f>
        <v>Kaspar Mänd</v>
      </c>
      <c r="C110" s="1228">
        <v>13</v>
      </c>
      <c r="D110" s="1223"/>
      <c r="E110" s="1223"/>
      <c r="F110" s="1235"/>
      <c r="G110" s="1236"/>
      <c r="H110" s="1234"/>
      <c r="I110" s="1223"/>
      <c r="J110" s="1223"/>
      <c r="AE110" s="573"/>
      <c r="AF110" s="573"/>
      <c r="AG110" s="573"/>
    </row>
    <row r="111" spans="1:33" x14ac:dyDescent="0.2">
      <c r="A111" s="1229"/>
      <c r="B111" s="1230"/>
      <c r="C111" s="1231" t="str">
        <f>IF(COUNT(C110,C112)=2,IF(C110&gt;C112,B110,B112),"")</f>
        <v>Kaspar Mänd</v>
      </c>
      <c r="D111" s="1223"/>
      <c r="E111" s="1228">
        <v>13</v>
      </c>
      <c r="F111" s="1235"/>
      <c r="G111" s="1222"/>
      <c r="H111" s="1235"/>
      <c r="I111" s="1223"/>
      <c r="J111" s="1223"/>
      <c r="AE111" s="573"/>
      <c r="AF111" s="573"/>
      <c r="AG111" s="573"/>
    </row>
    <row r="112" spans="1:33" x14ac:dyDescent="0.2">
      <c r="A112" s="1229" t="s">
        <v>348</v>
      </c>
      <c r="B112" s="1232" t="str">
        <f>IF(A112="-","-",IFERROR(INDEX(B$1:B$100,MATCH(A112,I$1:I$100,0)),""))</f>
        <v>Sirje Maala</v>
      </c>
      <c r="C112" s="1233">
        <v>6</v>
      </c>
      <c r="D112" s="1234"/>
      <c r="E112" s="1223"/>
      <c r="F112" s="1235"/>
      <c r="G112" s="1222"/>
      <c r="H112" s="1235"/>
      <c r="I112" s="1223"/>
      <c r="J112" s="1223"/>
      <c r="AE112" s="573"/>
      <c r="AF112" s="573"/>
      <c r="AG112" s="573"/>
    </row>
    <row r="113" spans="1:33" x14ac:dyDescent="0.2">
      <c r="A113" s="1229"/>
      <c r="B113" s="1224"/>
      <c r="C113" s="1223"/>
      <c r="D113" s="1235"/>
      <c r="E113" s="1231" t="str">
        <f>IF(COUNT(E111,E115)=2,IF(E111&gt;E115,C111,C115),"")</f>
        <v>Kaspar Mänd</v>
      </c>
      <c r="F113" s="1237"/>
      <c r="G113" s="1233">
        <v>13</v>
      </c>
      <c r="H113" s="1235"/>
      <c r="I113" s="1223"/>
      <c r="J113" s="1223"/>
      <c r="AE113" s="573"/>
      <c r="AF113" s="573"/>
      <c r="AG113" s="573"/>
    </row>
    <row r="114" spans="1:33" x14ac:dyDescent="0.2">
      <c r="A114" s="1229" t="s">
        <v>551</v>
      </c>
      <c r="B114" s="1227" t="str">
        <f>IF(A114="-","-",IFERROR(INDEX(B$1:B$100,MATCH(A114,I$1:I$100,0)),""))</f>
        <v>Henri Mitt</v>
      </c>
      <c r="C114" s="1228">
        <v>7</v>
      </c>
      <c r="D114" s="1235"/>
      <c r="E114" s="1236"/>
      <c r="F114" s="1222"/>
      <c r="G114" s="1222"/>
      <c r="H114" s="1235"/>
      <c r="I114" s="1223"/>
      <c r="J114" s="1223"/>
      <c r="AE114" s="573"/>
      <c r="AF114" s="573"/>
      <c r="AG114" s="573"/>
    </row>
    <row r="115" spans="1:33" x14ac:dyDescent="0.2">
      <c r="A115" s="1229"/>
      <c r="B115" s="1230"/>
      <c r="C115" s="1231" t="str">
        <f>IF(COUNT(C114,C116)=2,IF(C114&gt;C116,B114,B116),"")</f>
        <v>Olav Türk</v>
      </c>
      <c r="D115" s="1237"/>
      <c r="E115" s="1233">
        <v>5</v>
      </c>
      <c r="F115" s="1223"/>
      <c r="G115" s="1222"/>
      <c r="H115" s="1235"/>
      <c r="I115" s="1223"/>
      <c r="J115" s="1223"/>
      <c r="M115" s="581"/>
      <c r="AE115" s="573"/>
      <c r="AF115" s="573"/>
      <c r="AG115" s="573"/>
    </row>
    <row r="116" spans="1:33" x14ac:dyDescent="0.2">
      <c r="A116" s="1229" t="s">
        <v>337</v>
      </c>
      <c r="B116" s="1232" t="str">
        <f>IF(A116="-","-",IFERROR(INDEX(B$1:B$100,MATCH(A116,I$1:I$100,0)),""))</f>
        <v>Olav Türk</v>
      </c>
      <c r="C116" s="1233">
        <v>13</v>
      </c>
      <c r="D116" s="1223"/>
      <c r="E116" s="1222"/>
      <c r="F116" s="1222"/>
      <c r="G116" s="1222"/>
      <c r="H116" s="1235"/>
      <c r="I116" s="1223"/>
      <c r="J116" s="1223"/>
      <c r="M116" s="581"/>
      <c r="AE116" s="573"/>
      <c r="AF116" s="573"/>
      <c r="AG116" s="573"/>
    </row>
    <row r="117" spans="1:33" ht="13.5" thickBot="1" x14ac:dyDescent="0.25">
      <c r="A117" s="1238"/>
      <c r="B117" s="1224"/>
      <c r="C117" s="1223"/>
      <c r="D117" s="1223"/>
      <c r="E117" s="1223"/>
      <c r="F117" s="1223"/>
      <c r="G117" s="1222"/>
      <c r="H117" s="1235"/>
      <c r="I117" s="1223"/>
      <c r="J117" s="1240" t="str">
        <f>IF(COUNT(I109,I125)=2,IF(I109&gt;I125,G109,G125),"")</f>
        <v>Kaspar Mänd</v>
      </c>
      <c r="M117" s="581"/>
      <c r="AE117" s="573"/>
      <c r="AF117" s="573"/>
      <c r="AG117" s="573"/>
    </row>
    <row r="118" spans="1:33" x14ac:dyDescent="0.2">
      <c r="A118" s="1226" t="s">
        <v>338</v>
      </c>
      <c r="B118" s="1227" t="str">
        <f>IF(A118="-","-",IFERROR(INDEX(B$1:B$100,MATCH(A118,I$1:I$100,0)),""))</f>
        <v>Kristel Tihhonjuk</v>
      </c>
      <c r="C118" s="1228">
        <v>6</v>
      </c>
      <c r="D118" s="1223"/>
      <c r="E118" s="1223"/>
      <c r="F118" s="1223"/>
      <c r="G118" s="1222"/>
      <c r="H118" s="1235"/>
      <c r="I118" s="1241"/>
      <c r="J118" s="1242" t="s">
        <v>331</v>
      </c>
      <c r="K118" s="1243"/>
      <c r="M118" s="581"/>
      <c r="AE118" s="573"/>
      <c r="AF118" s="573"/>
      <c r="AG118" s="573"/>
    </row>
    <row r="119" spans="1:33" x14ac:dyDescent="0.2">
      <c r="A119" s="1229"/>
      <c r="B119" s="1230"/>
      <c r="C119" s="1231" t="str">
        <f>IF(COUNT(C118,C120)=2,IF(C118&gt;C120,B118,B120),"")</f>
        <v>Kenneth Muusikus</v>
      </c>
      <c r="D119" s="1223"/>
      <c r="E119" s="1228">
        <v>13</v>
      </c>
      <c r="F119" s="1223"/>
      <c r="G119" s="1222"/>
      <c r="H119" s="1235"/>
      <c r="I119" s="1222"/>
      <c r="J119" s="1222"/>
      <c r="K119" s="622"/>
      <c r="M119" s="581"/>
      <c r="AE119" s="573"/>
      <c r="AF119" s="573"/>
      <c r="AG119" s="573"/>
    </row>
    <row r="120" spans="1:33" x14ac:dyDescent="0.2">
      <c r="A120" s="1229" t="s">
        <v>552</v>
      </c>
      <c r="B120" s="1232" t="str">
        <f>IF(A120="-","-",IFERROR(INDEX(B$1:B$100,MATCH(A120,I$1:I$100,0)),""))</f>
        <v>Kenneth Muusikus</v>
      </c>
      <c r="C120" s="1233">
        <v>13</v>
      </c>
      <c r="D120" s="1234"/>
      <c r="E120" s="1223"/>
      <c r="F120" s="1223"/>
      <c r="G120" s="1222"/>
      <c r="H120" s="1235"/>
      <c r="I120" s="1222"/>
      <c r="J120" s="1222"/>
      <c r="K120" s="622"/>
      <c r="M120" s="581"/>
      <c r="AE120" s="573"/>
      <c r="AF120" s="573"/>
      <c r="AG120" s="573"/>
    </row>
    <row r="121" spans="1:33" x14ac:dyDescent="0.2">
      <c r="A121" s="1229"/>
      <c r="B121" s="1224"/>
      <c r="C121" s="1223"/>
      <c r="D121" s="1235"/>
      <c r="E121" s="1231" t="str">
        <f>IF(COUNT(E119,E123)=2,IF(E119&gt;E123,C119,C123),"")</f>
        <v>Kenneth Muusikus</v>
      </c>
      <c r="F121" s="1223"/>
      <c r="G121" s="1228">
        <v>13</v>
      </c>
      <c r="H121" s="1235"/>
      <c r="I121" s="1222"/>
      <c r="J121" s="1222"/>
      <c r="K121" s="622"/>
      <c r="M121" s="581"/>
      <c r="AE121" s="573"/>
      <c r="AF121" s="573"/>
      <c r="AG121" s="573"/>
    </row>
    <row r="122" spans="1:33" x14ac:dyDescent="0.2">
      <c r="A122" s="1229" t="s">
        <v>347</v>
      </c>
      <c r="B122" s="1227" t="str">
        <f>IF(A122="-","-",IFERROR(INDEX(B$1:B$100,MATCH(A122,I$1:I$100,0)),""))</f>
        <v>Jaan Saar</v>
      </c>
      <c r="C122" s="1228">
        <v>13</v>
      </c>
      <c r="D122" s="1235"/>
      <c r="E122" s="1236"/>
      <c r="F122" s="1234"/>
      <c r="G122" s="1223"/>
      <c r="H122" s="1235"/>
      <c r="I122" s="1222"/>
      <c r="J122" s="1222"/>
      <c r="K122" s="622"/>
      <c r="M122" s="581"/>
      <c r="AE122" s="573"/>
      <c r="AF122" s="573"/>
      <c r="AG122" s="573"/>
    </row>
    <row r="123" spans="1:33" x14ac:dyDescent="0.2">
      <c r="A123" s="1229"/>
      <c r="B123" s="1230"/>
      <c r="C123" s="1231" t="str">
        <f>IF(COUNT(C122,C124)=2,IF(C122&gt;C124,B122,B124),"")</f>
        <v>Jaan Saar</v>
      </c>
      <c r="D123" s="1237"/>
      <c r="E123" s="1233">
        <v>8</v>
      </c>
      <c r="F123" s="1235"/>
      <c r="G123" s="1223"/>
      <c r="H123" s="1235"/>
      <c r="I123" s="1222"/>
      <c r="J123" s="1222"/>
      <c r="K123" s="622"/>
      <c r="M123" s="581"/>
      <c r="AE123" s="573"/>
      <c r="AF123" s="573"/>
      <c r="AG123" s="573"/>
    </row>
    <row r="124" spans="1:33" x14ac:dyDescent="0.2">
      <c r="A124" s="1229" t="s">
        <v>553</v>
      </c>
      <c r="B124" s="1232" t="str">
        <f>IF(A124="-","-",IFERROR(INDEX(B$1:B$100,MATCH(A124,I$1:I$100,0)),""))</f>
        <v>Ljudmila Varendi</v>
      </c>
      <c r="C124" s="1233">
        <v>7</v>
      </c>
      <c r="D124" s="1223"/>
      <c r="E124" s="1222"/>
      <c r="F124" s="1235"/>
      <c r="G124" s="1223"/>
      <c r="H124" s="1235"/>
      <c r="I124" s="1222"/>
      <c r="J124" s="1222"/>
      <c r="K124" s="622"/>
      <c r="M124" s="581"/>
      <c r="AE124" s="573"/>
      <c r="AF124" s="573"/>
      <c r="AG124" s="573"/>
    </row>
    <row r="125" spans="1:33" x14ac:dyDescent="0.2">
      <c r="A125" s="1238"/>
      <c r="B125" s="1224"/>
      <c r="C125" s="1223"/>
      <c r="D125" s="1223"/>
      <c r="E125" s="1222"/>
      <c r="F125" s="1235"/>
      <c r="G125" s="1223" t="str">
        <f>IF(COUNT(G121,G129)=2,IF(G121&gt;G129,E121,E129),"")</f>
        <v>Kenneth Muusikus</v>
      </c>
      <c r="H125" s="1237"/>
      <c r="I125" s="1244">
        <v>4</v>
      </c>
      <c r="J125" s="1222"/>
      <c r="K125" s="622"/>
      <c r="M125" s="581"/>
      <c r="AE125" s="573"/>
      <c r="AF125" s="573"/>
      <c r="AG125" s="573"/>
    </row>
    <row r="126" spans="1:33" ht="13.5" thickBot="1" x14ac:dyDescent="0.25">
      <c r="A126" s="1226" t="s">
        <v>346</v>
      </c>
      <c r="B126" s="1227" t="str">
        <f>IF(A126="-","-",IFERROR(INDEX(B$1:B$100,MATCH(A126,I$1:I$100,0)),""))</f>
        <v>Matti Vinni</v>
      </c>
      <c r="C126" s="1228">
        <v>13</v>
      </c>
      <c r="D126" s="1223"/>
      <c r="E126" s="1223"/>
      <c r="F126" s="1235"/>
      <c r="G126" s="1236"/>
      <c r="H126" s="1223"/>
      <c r="I126" s="1222"/>
      <c r="J126" s="1245" t="str">
        <f>IF(COUNT(I109,I125)=2,IF(I109&lt;I125,G109,G125),"")</f>
        <v>Kenneth Muusikus</v>
      </c>
      <c r="K126" s="1246"/>
      <c r="M126" s="581"/>
      <c r="AE126" s="573"/>
      <c r="AF126" s="573"/>
      <c r="AG126" s="573"/>
    </row>
    <row r="127" spans="1:33" x14ac:dyDescent="0.2">
      <c r="A127" s="1229"/>
      <c r="B127" s="1230"/>
      <c r="C127" s="1231" t="str">
        <f>IF(COUNT(C126,C128)=2,IF(C126&gt;C128,B126,B128),"")</f>
        <v>Matti Vinni</v>
      </c>
      <c r="D127" s="1223"/>
      <c r="E127" s="1228">
        <v>9</v>
      </c>
      <c r="F127" s="1235"/>
      <c r="G127" s="1222"/>
      <c r="H127" s="1223"/>
      <c r="I127" s="1222"/>
      <c r="J127" s="1247" t="s">
        <v>332</v>
      </c>
      <c r="M127" s="581"/>
      <c r="AE127" s="573"/>
      <c r="AF127" s="573"/>
      <c r="AG127" s="573"/>
    </row>
    <row r="128" spans="1:33" x14ac:dyDescent="0.2">
      <c r="A128" s="1229" t="s">
        <v>554</v>
      </c>
      <c r="B128" s="1232" t="str">
        <f>IF(A128="-","-",IFERROR(INDEX(B$1:B$100,MATCH(A128,I$1:I$100,0)),""))</f>
        <v>Meelis Luud</v>
      </c>
      <c r="C128" s="1233">
        <v>1</v>
      </c>
      <c r="D128" s="1234"/>
      <c r="E128" s="1223"/>
      <c r="F128" s="1235"/>
      <c r="G128" s="1222"/>
      <c r="H128" s="1223"/>
      <c r="I128" s="1222"/>
      <c r="J128" s="1223"/>
      <c r="M128" s="581"/>
      <c r="AE128" s="573"/>
      <c r="AF128" s="573"/>
      <c r="AG128" s="573"/>
    </row>
    <row r="129" spans="1:33" x14ac:dyDescent="0.2">
      <c r="A129" s="1229"/>
      <c r="B129" s="1224"/>
      <c r="C129" s="1223"/>
      <c r="D129" s="1235"/>
      <c r="E129" s="1231" t="str">
        <f>IF(COUNT(E127,E131)=2,IF(E127&gt;E131,C127,C131),"")</f>
        <v>Oleg Rõndenkov</v>
      </c>
      <c r="F129" s="1237"/>
      <c r="G129" s="1233">
        <v>8</v>
      </c>
      <c r="H129" s="1223"/>
      <c r="I129" s="1222"/>
      <c r="J129" s="1223"/>
      <c r="M129" s="581"/>
      <c r="AE129" s="573"/>
      <c r="AF129" s="573"/>
      <c r="AG129" s="573"/>
    </row>
    <row r="130" spans="1:33" x14ac:dyDescent="0.2">
      <c r="A130" s="1229" t="s">
        <v>555</v>
      </c>
      <c r="B130" s="1227" t="str">
        <f>IF(A130="-","-",IFERROR(INDEX(B$1:B$100,MATCH(A130,I$1:I$100,0)),""))</f>
        <v>Oleg Rõndenkov</v>
      </c>
      <c r="C130" s="1228">
        <v>13</v>
      </c>
      <c r="D130" s="1235"/>
      <c r="E130" s="1236"/>
      <c r="F130" s="1222"/>
      <c r="G130" s="1222"/>
      <c r="H130" s="1223"/>
      <c r="I130" s="1222"/>
      <c r="J130" s="1223"/>
      <c r="M130" s="581"/>
      <c r="AE130" s="573"/>
      <c r="AF130" s="573"/>
      <c r="AG130" s="573"/>
    </row>
    <row r="131" spans="1:33" x14ac:dyDescent="0.2">
      <c r="A131" s="1229"/>
      <c r="B131" s="1230"/>
      <c r="C131" s="1231" t="str">
        <f>IF(COUNT(C130,C132)=2,IF(C130&gt;C132,B130,B132),"")</f>
        <v>Oleg Rõndenkov</v>
      </c>
      <c r="D131" s="1237"/>
      <c r="E131" s="1233">
        <v>13</v>
      </c>
      <c r="F131" s="1223"/>
      <c r="G131" s="1222" t="str">
        <f>IF(COUNT(G105,G113)=2,IF(G105&lt;G113,E105,E113),"")</f>
        <v>Ivar Viljaste</v>
      </c>
      <c r="H131" s="1223"/>
      <c r="I131" s="1248">
        <v>13</v>
      </c>
      <c r="J131" s="1223"/>
      <c r="M131" s="581"/>
      <c r="AE131" s="573"/>
      <c r="AF131" s="573"/>
      <c r="AG131" s="573"/>
    </row>
    <row r="132" spans="1:33" ht="13.5" thickBot="1" x14ac:dyDescent="0.25">
      <c r="A132" s="1229" t="s">
        <v>339</v>
      </c>
      <c r="B132" s="1232" t="str">
        <f>IF(A132="-","-",IFERROR(INDEX(B$1:B$100,MATCH(A132,I$1:I$100,0)),""))</f>
        <v>Tõnu Kapper</v>
      </c>
      <c r="C132" s="1233">
        <v>2</v>
      </c>
      <c r="D132" s="1223"/>
      <c r="E132" s="1222"/>
      <c r="F132" s="1222"/>
      <c r="G132" s="1249"/>
      <c r="H132" s="1234"/>
      <c r="I132" s="1250"/>
      <c r="J132" s="1240" t="str">
        <f>IF(COUNT(I131,I133)=2,IF(I131&gt;I133,G131,G133),"")</f>
        <v>Ivar Viljaste</v>
      </c>
      <c r="M132" s="581"/>
      <c r="AE132" s="573"/>
      <c r="AF132" s="573"/>
      <c r="AG132" s="573"/>
    </row>
    <row r="133" spans="1:33" x14ac:dyDescent="0.2">
      <c r="A133" s="1223"/>
      <c r="B133" s="1223"/>
      <c r="C133" s="1223"/>
      <c r="D133" s="1223"/>
      <c r="E133" s="1223"/>
      <c r="F133" s="1222"/>
      <c r="G133" s="1251" t="str">
        <f>IF(COUNT(G121,G129)=2,IF(G121&lt;G129,E121,E129),"")</f>
        <v>Oleg Rõndenkov</v>
      </c>
      <c r="H133" s="1237"/>
      <c r="I133" s="1233">
        <v>0</v>
      </c>
      <c r="J133" s="1242" t="s">
        <v>300</v>
      </c>
      <c r="K133" s="1243"/>
      <c r="M133" s="581"/>
      <c r="AE133" s="573"/>
      <c r="AF133" s="573"/>
      <c r="AG133" s="573"/>
    </row>
    <row r="134" spans="1:33" x14ac:dyDescent="0.2">
      <c r="A134" s="1223"/>
      <c r="B134" s="1223"/>
      <c r="C134" s="1223"/>
      <c r="D134" s="1223"/>
      <c r="E134" s="1223"/>
      <c r="F134" s="1222"/>
      <c r="G134" s="1223"/>
      <c r="H134" s="1223"/>
      <c r="I134" s="1223"/>
      <c r="J134" s="1222"/>
      <c r="K134" s="622"/>
      <c r="M134" s="581"/>
      <c r="AE134" s="573"/>
      <c r="AF134" s="573"/>
      <c r="AG134" s="573"/>
    </row>
    <row r="135" spans="1:33" ht="13.5" thickBot="1" x14ac:dyDescent="0.25">
      <c r="A135" s="1223"/>
      <c r="B135" s="1223"/>
      <c r="C135" s="1223"/>
      <c r="D135" s="1223"/>
      <c r="E135" s="1223"/>
      <c r="F135" s="1222"/>
      <c r="G135" s="1222"/>
      <c r="H135" s="1222"/>
      <c r="I135" s="1223"/>
      <c r="J135" s="1245" t="str">
        <f>IF(COUNT(I131,I133)=2,IF(I131&lt;I133,G131,G133),"")</f>
        <v>Oleg Rõndenkov</v>
      </c>
      <c r="K135" s="1246"/>
      <c r="M135" s="581"/>
      <c r="AE135" s="573"/>
      <c r="AF135" s="573"/>
      <c r="AG135" s="573"/>
    </row>
    <row r="136" spans="1:33" x14ac:dyDescent="0.2">
      <c r="A136" s="1223"/>
      <c r="B136" s="1223"/>
      <c r="C136" s="1223"/>
      <c r="D136" s="1223"/>
      <c r="E136" s="1223"/>
      <c r="F136" s="1223"/>
      <c r="G136" s="1222"/>
      <c r="H136" s="1222"/>
      <c r="I136" s="1223"/>
      <c r="J136" s="1238" t="s">
        <v>298</v>
      </c>
      <c r="M136" s="581"/>
      <c r="AE136" s="573"/>
      <c r="AF136" s="573"/>
      <c r="AG136" s="573"/>
    </row>
    <row r="137" spans="1:33" x14ac:dyDescent="0.2">
      <c r="A137" s="1223"/>
      <c r="B137" s="1223"/>
      <c r="C137" s="1223"/>
      <c r="D137" s="1223"/>
      <c r="E137" s="1223"/>
      <c r="F137" s="1223"/>
      <c r="G137" s="1222"/>
      <c r="H137" s="1222"/>
      <c r="I137" s="1223"/>
      <c r="J137" s="1238"/>
      <c r="M137" s="581"/>
      <c r="AE137" s="573"/>
      <c r="AF137" s="573"/>
      <c r="AG137" s="573"/>
    </row>
    <row r="138" spans="1:33" x14ac:dyDescent="0.2">
      <c r="A138" s="1223"/>
      <c r="B138" s="1223"/>
      <c r="C138" s="1223"/>
      <c r="D138" s="1223"/>
      <c r="E138" s="1251" t="str">
        <f>IF(COUNT(E103,E107)=2,IF(E103&lt;E107,C103,C107),"")</f>
        <v>Janek Tarto</v>
      </c>
      <c r="F138" s="1223"/>
      <c r="G138" s="1228">
        <v>9</v>
      </c>
      <c r="H138" s="1228"/>
      <c r="I138" s="1228"/>
      <c r="J138" s="1223"/>
      <c r="M138" s="581"/>
      <c r="AE138" s="573"/>
      <c r="AF138" s="573"/>
      <c r="AG138" s="573"/>
    </row>
    <row r="139" spans="1:33" x14ac:dyDescent="0.2">
      <c r="A139" s="1223"/>
      <c r="B139" s="1223"/>
      <c r="C139" s="1223"/>
      <c r="D139" s="1223"/>
      <c r="E139" s="1252"/>
      <c r="F139" s="1253"/>
      <c r="G139" s="1231" t="str">
        <f>IF(COUNT(G138,G140)=2,IF(G138&gt;G140,E138,E140),"")</f>
        <v>Olav Türk</v>
      </c>
      <c r="H139" s="1223"/>
      <c r="I139" s="1228">
        <v>13</v>
      </c>
      <c r="J139" s="1223"/>
      <c r="M139" s="581"/>
      <c r="AE139" s="573"/>
      <c r="AF139" s="573"/>
      <c r="AG139" s="573"/>
    </row>
    <row r="140" spans="1:33" x14ac:dyDescent="0.2">
      <c r="A140" s="1223"/>
      <c r="B140" s="1223"/>
      <c r="C140" s="1223"/>
      <c r="D140" s="1223"/>
      <c r="E140" s="1251" t="str">
        <f>IF(COUNT(E111,E115)=2,IF(E111&lt;E115,C111,C115),"")</f>
        <v>Olav Türk</v>
      </c>
      <c r="F140" s="1254"/>
      <c r="G140" s="1233">
        <v>13</v>
      </c>
      <c r="H140" s="1253"/>
      <c r="I140" s="1223"/>
      <c r="J140" s="1223"/>
      <c r="M140" s="581"/>
      <c r="AE140" s="573"/>
      <c r="AF140" s="573"/>
      <c r="AG140" s="573"/>
    </row>
    <row r="141" spans="1:33" ht="13.5" thickBot="1" x14ac:dyDescent="0.25">
      <c r="A141" s="1223"/>
      <c r="B141" s="1223"/>
      <c r="C141" s="1223"/>
      <c r="D141" s="1223"/>
      <c r="E141" s="1228"/>
      <c r="F141" s="1228"/>
      <c r="G141" s="1248"/>
      <c r="H141" s="1255"/>
      <c r="I141" s="1256"/>
      <c r="J141" s="1240" t="str">
        <f>IF(COUNT(I139,I143)=2,IF(I139&gt;I143,G139,G143),"")</f>
        <v>Olav Türk</v>
      </c>
      <c r="M141" s="581"/>
      <c r="AE141" s="573"/>
      <c r="AF141" s="573"/>
      <c r="AG141" s="573"/>
    </row>
    <row r="142" spans="1:33" x14ac:dyDescent="0.2">
      <c r="A142" s="1223"/>
      <c r="B142" s="1223"/>
      <c r="C142" s="1223"/>
      <c r="D142" s="1223"/>
      <c r="E142" s="1251" t="str">
        <f>IF(COUNT(E119,E123)=2,IF(E119&lt;E123,C119,C123),"")</f>
        <v>Jaan Saar</v>
      </c>
      <c r="F142" s="1228"/>
      <c r="G142" s="1228">
        <v>2</v>
      </c>
      <c r="H142" s="1255"/>
      <c r="I142" s="1241"/>
      <c r="J142" s="1242" t="s">
        <v>299</v>
      </c>
      <c r="K142" s="1243"/>
      <c r="M142" s="581"/>
      <c r="AE142" s="573"/>
      <c r="AF142" s="573"/>
      <c r="AG142" s="573"/>
    </row>
    <row r="143" spans="1:33" x14ac:dyDescent="0.2">
      <c r="A143" s="1223"/>
      <c r="B143" s="1223"/>
      <c r="C143" s="1223"/>
      <c r="D143" s="1223"/>
      <c r="E143" s="1252"/>
      <c r="F143" s="1253"/>
      <c r="G143" s="1231" t="str">
        <f>IF(COUNT(G142,G144)=2,IF(G142&gt;G144,E142,E144),"")</f>
        <v>Matti Vinni</v>
      </c>
      <c r="H143" s="1237"/>
      <c r="I143" s="1233">
        <v>8</v>
      </c>
      <c r="J143" s="1222"/>
      <c r="K143" s="622"/>
      <c r="M143" s="581"/>
      <c r="AE143" s="573"/>
      <c r="AF143" s="573"/>
      <c r="AG143" s="573"/>
    </row>
    <row r="144" spans="1:33" ht="13.5" thickBot="1" x14ac:dyDescent="0.25">
      <c r="A144" s="1223"/>
      <c r="B144" s="1223"/>
      <c r="C144" s="1223"/>
      <c r="D144" s="1223"/>
      <c r="E144" s="1251" t="str">
        <f>IF(COUNT(E127,E131)=2,IF(E127&lt;E131,C127,C131),"")</f>
        <v>Matti Vinni</v>
      </c>
      <c r="F144" s="1254"/>
      <c r="G144" s="1233">
        <v>13</v>
      </c>
      <c r="H144" s="1228"/>
      <c r="I144" s="1248"/>
      <c r="J144" s="1245" t="str">
        <f>IF(COUNT(I139,I143)=2,IF(I139&lt;I143,G139,G143),"")</f>
        <v>Matti Vinni</v>
      </c>
      <c r="K144" s="1246"/>
      <c r="M144" s="581"/>
      <c r="AE144" s="573"/>
      <c r="AF144" s="573"/>
      <c r="AG144" s="573"/>
    </row>
    <row r="145" spans="1:33" x14ac:dyDescent="0.2">
      <c r="A145" s="1223"/>
      <c r="B145" s="1223"/>
      <c r="C145" s="1223"/>
      <c r="D145" s="1223"/>
      <c r="E145" s="1228"/>
      <c r="F145" s="1228"/>
      <c r="G145" s="1228"/>
      <c r="H145" s="1228"/>
      <c r="I145" s="1248"/>
      <c r="J145" s="1247" t="s">
        <v>297</v>
      </c>
      <c r="M145" s="581"/>
      <c r="AE145" s="573"/>
      <c r="AF145" s="573"/>
      <c r="AG145" s="573"/>
    </row>
    <row r="146" spans="1:33" x14ac:dyDescent="0.2">
      <c r="A146" s="1223"/>
      <c r="B146" s="1223"/>
      <c r="C146" s="1223"/>
      <c r="D146" s="1223"/>
      <c r="E146" s="1228"/>
      <c r="F146" s="1248"/>
      <c r="G146" s="1240" t="str">
        <f>IF(COUNT(G138,G140)=2,IF(G138&lt;G140,E138,E140),"")</f>
        <v>Janek Tarto</v>
      </c>
      <c r="H146" s="1223"/>
      <c r="I146" s="1248">
        <v>13</v>
      </c>
      <c r="J146" s="1222"/>
      <c r="M146" s="581"/>
      <c r="AE146" s="573"/>
      <c r="AF146" s="573"/>
      <c r="AG146" s="573"/>
    </row>
    <row r="147" spans="1:33" ht="13.5" thickBot="1" x14ac:dyDescent="0.25">
      <c r="A147" s="1223"/>
      <c r="B147" s="1223"/>
      <c r="C147" s="1223"/>
      <c r="D147" s="1223"/>
      <c r="E147" s="1228"/>
      <c r="F147" s="1248"/>
      <c r="G147" s="1249"/>
      <c r="H147" s="1234"/>
      <c r="I147" s="1250"/>
      <c r="J147" s="1240" t="str">
        <f>IF(COUNT(I146,I148)=2,IF(I146&gt;I148,G146,G148),"")</f>
        <v>Janek Tarto</v>
      </c>
      <c r="M147" s="581"/>
      <c r="AE147" s="573"/>
      <c r="AF147" s="573"/>
      <c r="AG147" s="573"/>
    </row>
    <row r="148" spans="1:33" x14ac:dyDescent="0.2">
      <c r="A148" s="1223"/>
      <c r="B148" s="1223"/>
      <c r="C148" s="1223"/>
      <c r="D148" s="1223"/>
      <c r="E148" s="1228"/>
      <c r="F148" s="1248"/>
      <c r="G148" s="1251" t="str">
        <f>IF(COUNT(G142,G144)=2,IF(G142&lt;G144,E142,E144),"")</f>
        <v>Jaan Saar</v>
      </c>
      <c r="H148" s="1237"/>
      <c r="I148" s="1233">
        <v>0</v>
      </c>
      <c r="J148" s="1242" t="s">
        <v>305</v>
      </c>
      <c r="K148" s="1243"/>
      <c r="M148" s="581"/>
      <c r="AE148" s="573"/>
      <c r="AF148" s="573"/>
      <c r="AG148" s="573"/>
    </row>
    <row r="149" spans="1:33" x14ac:dyDescent="0.2">
      <c r="A149" s="1223"/>
      <c r="B149" s="1223"/>
      <c r="C149" s="1223"/>
      <c r="D149" s="1223"/>
      <c r="E149" s="1223"/>
      <c r="F149" s="1222"/>
      <c r="G149" s="1223"/>
      <c r="H149" s="1223"/>
      <c r="I149" s="1223"/>
      <c r="J149" s="1222"/>
      <c r="K149" s="622"/>
      <c r="M149" s="581"/>
      <c r="AE149" s="573"/>
      <c r="AF149" s="573"/>
      <c r="AG149" s="573"/>
    </row>
    <row r="150" spans="1:33" ht="13.5" thickBot="1" x14ac:dyDescent="0.25">
      <c r="A150" s="1223"/>
      <c r="B150" s="1223"/>
      <c r="C150" s="1223"/>
      <c r="D150" s="1223"/>
      <c r="E150" s="1223"/>
      <c r="F150" s="1223"/>
      <c r="G150" s="1222"/>
      <c r="H150" s="1222"/>
      <c r="I150" s="1223"/>
      <c r="J150" s="1257" t="str">
        <f>IF(COUNT(I146,I148)=2,IF(I146&lt;I148,G146,G148),"")</f>
        <v>Jaan Saar</v>
      </c>
      <c r="K150" s="1246"/>
      <c r="M150" s="581"/>
      <c r="AE150" s="573"/>
      <c r="AF150" s="573"/>
      <c r="AG150" s="573"/>
    </row>
    <row r="151" spans="1:33" x14ac:dyDescent="0.2">
      <c r="A151" s="1223"/>
      <c r="B151" s="1223"/>
      <c r="C151" s="1223"/>
      <c r="D151" s="1223"/>
      <c r="E151" s="1223"/>
      <c r="F151" s="1223"/>
      <c r="G151" s="1222"/>
      <c r="H151" s="1222"/>
      <c r="I151" s="1223"/>
      <c r="J151" s="1247" t="s">
        <v>301</v>
      </c>
      <c r="M151" s="581"/>
      <c r="AE151" s="573"/>
      <c r="AF151" s="573"/>
      <c r="AG151" s="573"/>
    </row>
    <row r="152" spans="1:33" x14ac:dyDescent="0.2">
      <c r="A152" s="746"/>
      <c r="B152" s="746"/>
      <c r="C152" s="746"/>
      <c r="D152" s="746"/>
      <c r="E152" s="746"/>
      <c r="F152" s="746"/>
      <c r="G152" s="746"/>
      <c r="H152" s="746"/>
      <c r="I152" s="746"/>
      <c r="J152" s="746"/>
      <c r="M152" s="581"/>
      <c r="AE152" s="573"/>
      <c r="AF152" s="573"/>
      <c r="AG152" s="573"/>
    </row>
    <row r="153" spans="1:33" x14ac:dyDescent="0.2">
      <c r="A153" s="1258" t="s">
        <v>350</v>
      </c>
      <c r="B153" s="746"/>
      <c r="C153" s="746"/>
      <c r="D153" s="746"/>
      <c r="E153" s="746"/>
      <c r="F153" s="746"/>
      <c r="G153" s="746"/>
      <c r="H153" s="746"/>
      <c r="I153" s="746"/>
      <c r="J153" s="746"/>
      <c r="M153" s="581"/>
      <c r="AE153" s="573"/>
      <c r="AF153" s="573"/>
      <c r="AG153" s="573"/>
    </row>
    <row r="154" spans="1:33" x14ac:dyDescent="0.2">
      <c r="A154" s="746"/>
      <c r="B154" s="746"/>
      <c r="C154" s="746"/>
      <c r="D154" s="746"/>
      <c r="E154" s="746"/>
      <c r="F154" s="746"/>
      <c r="G154" s="746"/>
      <c r="H154" s="746"/>
      <c r="I154" s="746"/>
      <c r="J154" s="746"/>
      <c r="M154" s="581"/>
      <c r="AE154" s="573"/>
      <c r="AF154" s="573"/>
      <c r="AG154" s="573"/>
    </row>
    <row r="155" spans="1:33" x14ac:dyDescent="0.2">
      <c r="A155" s="746"/>
      <c r="B155" s="746"/>
      <c r="C155" s="1251" t="str">
        <f>IF(COUNT(C102,C104)=2,IF(C102&lt;C104,B102,B104),"")</f>
        <v>Marta Bernat</v>
      </c>
      <c r="D155" s="746"/>
      <c r="E155" s="1228">
        <v>10</v>
      </c>
      <c r="F155" s="1223"/>
      <c r="G155" s="1223"/>
      <c r="H155" s="1223"/>
      <c r="I155" s="1223"/>
      <c r="J155" s="1223"/>
      <c r="M155" s="581"/>
      <c r="AE155" s="573"/>
      <c r="AF155" s="573"/>
      <c r="AG155" s="573"/>
    </row>
    <row r="156" spans="1:33" x14ac:dyDescent="0.2">
      <c r="A156" s="746"/>
      <c r="B156" s="746"/>
      <c r="C156" s="1230"/>
      <c r="D156" s="1259"/>
      <c r="E156" s="1231" t="str">
        <f>IF(COUNT(E155,E157)=2,IF(E155&gt;E157,C155,C157),"")</f>
        <v>Viktor Švarõgin</v>
      </c>
      <c r="F156" s="1223"/>
      <c r="G156" s="1228">
        <v>13</v>
      </c>
      <c r="H156" s="1223"/>
      <c r="I156" s="1223"/>
      <c r="J156" s="1223"/>
      <c r="M156" s="581"/>
      <c r="AE156" s="573"/>
      <c r="AF156" s="573"/>
      <c r="AG156" s="573"/>
    </row>
    <row r="157" spans="1:33" x14ac:dyDescent="0.2">
      <c r="A157" s="746"/>
      <c r="B157" s="746"/>
      <c r="C157" s="1251" t="str">
        <f>IF(COUNT(C106,C108)=2,IF(C106&lt;C108,B106,B108),"")</f>
        <v>Viktor Švarõgin</v>
      </c>
      <c r="D157" s="1260"/>
      <c r="E157" s="1233">
        <v>13</v>
      </c>
      <c r="F157" s="1234"/>
      <c r="G157" s="1223"/>
      <c r="H157" s="1223"/>
      <c r="I157" s="1223"/>
      <c r="J157" s="1223"/>
      <c r="M157" s="581"/>
      <c r="AE157" s="573"/>
      <c r="AF157" s="573"/>
      <c r="AG157" s="573"/>
    </row>
    <row r="158" spans="1:33" x14ac:dyDescent="0.2">
      <c r="A158" s="746"/>
      <c r="B158" s="746"/>
      <c r="C158" s="1224"/>
      <c r="D158" s="746"/>
      <c r="E158" s="1223"/>
      <c r="F158" s="1235"/>
      <c r="G158" s="1231" t="str">
        <f>IF(COUNT(G156,G160)=2,IF(G156&gt;G160,E156,E160),"")</f>
        <v>Viktor Švarõgin</v>
      </c>
      <c r="H158" s="1223"/>
      <c r="I158" s="1228">
        <v>3</v>
      </c>
      <c r="J158" s="1223"/>
      <c r="M158" s="581"/>
      <c r="AE158" s="573"/>
      <c r="AF158" s="573"/>
      <c r="AG158" s="573"/>
    </row>
    <row r="159" spans="1:33" x14ac:dyDescent="0.2">
      <c r="A159" s="746"/>
      <c r="B159" s="746"/>
      <c r="C159" s="1251" t="str">
        <f>IF(COUNT(C110,C112)=2,IF(C110&lt;C112,B110,B112),"")</f>
        <v>Sirje Maala</v>
      </c>
      <c r="D159" s="746"/>
      <c r="E159" s="1228">
        <v>9</v>
      </c>
      <c r="F159" s="1235"/>
      <c r="G159" s="1236"/>
      <c r="H159" s="1234"/>
      <c r="I159" s="1223"/>
      <c r="J159" s="1223"/>
      <c r="M159" s="581"/>
      <c r="AE159" s="573"/>
      <c r="AF159" s="573"/>
      <c r="AG159" s="573"/>
    </row>
    <row r="160" spans="1:33" x14ac:dyDescent="0.2">
      <c r="A160" s="746"/>
      <c r="B160" s="746"/>
      <c r="C160" s="1230"/>
      <c r="D160" s="1259"/>
      <c r="E160" s="1231" t="str">
        <f>IF(COUNT(E159,E161)=2,IF(E159&gt;E161,C159,C161),"")</f>
        <v>Henri Mitt</v>
      </c>
      <c r="F160" s="1237"/>
      <c r="G160" s="1233">
        <v>0</v>
      </c>
      <c r="H160" s="1235"/>
      <c r="I160" s="1223"/>
      <c r="J160" s="1223"/>
      <c r="M160" s="581"/>
      <c r="AE160" s="573"/>
      <c r="AF160" s="573"/>
      <c r="AG160" s="573"/>
    </row>
    <row r="161" spans="1:33" x14ac:dyDescent="0.2">
      <c r="A161" s="746"/>
      <c r="B161" s="746"/>
      <c r="C161" s="1251" t="str">
        <f>IF(COUNT(C114,C116)=2,IF(C114&lt;C116,B114,B116),"")</f>
        <v>Henri Mitt</v>
      </c>
      <c r="D161" s="1260"/>
      <c r="E161" s="1233">
        <v>13</v>
      </c>
      <c r="F161" s="1223"/>
      <c r="G161" s="1222"/>
      <c r="H161" s="1235"/>
      <c r="I161" s="1223"/>
      <c r="J161" s="1223"/>
      <c r="M161" s="581"/>
      <c r="AE161" s="573"/>
      <c r="AF161" s="573"/>
      <c r="AG161" s="573"/>
    </row>
    <row r="162" spans="1:33" ht="13.5" thickBot="1" x14ac:dyDescent="0.25">
      <c r="A162" s="746"/>
      <c r="B162" s="746"/>
      <c r="C162" s="1224"/>
      <c r="D162" s="746"/>
      <c r="E162" s="1223"/>
      <c r="F162" s="1223"/>
      <c r="G162" s="1222"/>
      <c r="H162" s="1235"/>
      <c r="I162" s="1223"/>
      <c r="J162" s="1240" t="str">
        <f>IF(COUNT(I158,I166)=2,IF(I158&gt;I166,G158,G166),"")</f>
        <v>Ljudmila Varendi</v>
      </c>
      <c r="M162" s="581"/>
      <c r="AE162" s="573"/>
      <c r="AF162" s="573"/>
      <c r="AG162" s="573"/>
    </row>
    <row r="163" spans="1:33" x14ac:dyDescent="0.2">
      <c r="A163" s="746"/>
      <c r="B163" s="746"/>
      <c r="C163" s="1251" t="str">
        <f>IF(COUNT(C118,C120)=2,IF(C118&lt;C120,B118,B120),"")</f>
        <v>Kristel Tihhonjuk</v>
      </c>
      <c r="D163" s="746"/>
      <c r="E163" s="1228">
        <v>8</v>
      </c>
      <c r="F163" s="1223"/>
      <c r="G163" s="1223"/>
      <c r="H163" s="1235"/>
      <c r="I163" s="1241"/>
      <c r="J163" s="1242" t="s">
        <v>304</v>
      </c>
      <c r="K163" s="1243"/>
      <c r="M163" s="581"/>
      <c r="AE163" s="573"/>
      <c r="AF163" s="573"/>
      <c r="AG163" s="573"/>
    </row>
    <row r="164" spans="1:33" x14ac:dyDescent="0.2">
      <c r="A164" s="746"/>
      <c r="B164" s="746"/>
      <c r="C164" s="1230"/>
      <c r="D164" s="1259"/>
      <c r="E164" s="1231" t="str">
        <f>IF(COUNT(E163,E165)=2,IF(E163&gt;E165,C163,C165),"")</f>
        <v>Ljudmila Varendi</v>
      </c>
      <c r="F164" s="1223"/>
      <c r="G164" s="1228">
        <v>13</v>
      </c>
      <c r="H164" s="1235"/>
      <c r="I164" s="1222"/>
      <c r="J164" s="1222"/>
      <c r="K164" s="622"/>
      <c r="M164" s="581"/>
      <c r="AE164" s="573"/>
      <c r="AF164" s="573"/>
      <c r="AG164" s="573"/>
    </row>
    <row r="165" spans="1:33" x14ac:dyDescent="0.2">
      <c r="A165" s="746"/>
      <c r="B165" s="746"/>
      <c r="C165" s="1251" t="str">
        <f>IF(COUNT(C122,C124)=2,IF(C122&lt;C124,B122,B124),"")</f>
        <v>Ljudmila Varendi</v>
      </c>
      <c r="D165" s="1260"/>
      <c r="E165" s="1233">
        <v>13</v>
      </c>
      <c r="F165" s="1234"/>
      <c r="G165" s="1223"/>
      <c r="H165" s="1235"/>
      <c r="I165" s="1222"/>
      <c r="J165" s="1222"/>
      <c r="K165" s="622"/>
      <c r="M165" s="581"/>
      <c r="AE165" s="573"/>
      <c r="AF165" s="573"/>
      <c r="AG165" s="573"/>
    </row>
    <row r="166" spans="1:33" x14ac:dyDescent="0.2">
      <c r="A166" s="746"/>
      <c r="B166" s="746"/>
      <c r="C166" s="1224"/>
      <c r="D166" s="746"/>
      <c r="E166" s="1223"/>
      <c r="F166" s="1235"/>
      <c r="G166" s="1231" t="str">
        <f>IF(COUNT(G164,G168)=2,IF(G164&gt;G168,E164,E168),"")</f>
        <v>Ljudmila Varendi</v>
      </c>
      <c r="H166" s="1237"/>
      <c r="I166" s="1233">
        <v>13</v>
      </c>
      <c r="J166" s="1222"/>
      <c r="K166" s="622"/>
      <c r="M166" s="581"/>
      <c r="AE166" s="573"/>
      <c r="AF166" s="573"/>
      <c r="AG166" s="573"/>
    </row>
    <row r="167" spans="1:33" ht="13.5" thickBot="1" x14ac:dyDescent="0.25">
      <c r="A167" s="746"/>
      <c r="B167" s="746"/>
      <c r="C167" s="1251" t="str">
        <f>IF(COUNT(C126,C128)=2,IF(C126&lt;C128,B126,B128),"")</f>
        <v>Meelis Luud</v>
      </c>
      <c r="D167" s="746"/>
      <c r="E167" s="1228">
        <v>13</v>
      </c>
      <c r="F167" s="1235"/>
      <c r="G167" s="1236"/>
      <c r="H167" s="1222"/>
      <c r="I167" s="1222"/>
      <c r="J167" s="1245" t="str">
        <f>IF(COUNT(I158,I166)=2,IF(I158&lt;I166,G158,G166),"")</f>
        <v>Viktor Švarõgin</v>
      </c>
      <c r="K167" s="1246"/>
      <c r="M167" s="581"/>
      <c r="AE167" s="573"/>
      <c r="AF167" s="573"/>
      <c r="AG167" s="573"/>
    </row>
    <row r="168" spans="1:33" x14ac:dyDescent="0.2">
      <c r="A168" s="746"/>
      <c r="B168" s="746"/>
      <c r="C168" s="1230"/>
      <c r="D168" s="1259"/>
      <c r="E168" s="1231" t="str">
        <f>IF(COUNT(E167,E169)=2,IF(E167&gt;E169,C167,C169),"")</f>
        <v>Meelis Luud</v>
      </c>
      <c r="F168" s="1237"/>
      <c r="G168" s="1233">
        <v>5</v>
      </c>
      <c r="H168" s="1223"/>
      <c r="I168" s="1222"/>
      <c r="J168" s="1247" t="s">
        <v>302</v>
      </c>
      <c r="M168" s="581"/>
      <c r="AE168" s="573"/>
      <c r="AF168" s="573"/>
      <c r="AG168" s="573"/>
    </row>
    <row r="169" spans="1:33" x14ac:dyDescent="0.2">
      <c r="A169" s="746"/>
      <c r="B169" s="746"/>
      <c r="C169" s="1251" t="str">
        <f>IF(COUNT(C130,C132)=2,IF(C130&lt;C132,B130,B132),"")</f>
        <v>Tõnu Kapper</v>
      </c>
      <c r="D169" s="1260"/>
      <c r="E169" s="1233">
        <v>10</v>
      </c>
      <c r="F169" s="1223"/>
      <c r="G169" s="1222"/>
      <c r="H169" s="1222"/>
      <c r="I169" s="1222"/>
      <c r="J169" s="1223"/>
      <c r="M169" s="581"/>
      <c r="AE169" s="573"/>
      <c r="AF169" s="573"/>
      <c r="AG169" s="573"/>
    </row>
    <row r="170" spans="1:33" x14ac:dyDescent="0.2">
      <c r="A170" s="746"/>
      <c r="B170" s="746"/>
      <c r="C170" s="746"/>
      <c r="D170" s="746"/>
      <c r="E170" s="1223"/>
      <c r="F170" s="1223"/>
      <c r="G170" s="1240" t="str">
        <f>IF(COUNT(G156,G160)=2,IF(G156&lt;G160,E156,E160),"")</f>
        <v>Henri Mitt</v>
      </c>
      <c r="H170" s="1223"/>
      <c r="I170" s="1248">
        <v>13</v>
      </c>
      <c r="J170" s="1223"/>
      <c r="M170" s="581"/>
      <c r="AE170" s="573"/>
      <c r="AF170" s="573"/>
      <c r="AG170" s="573"/>
    </row>
    <row r="171" spans="1:33" ht="13.5" thickBot="1" x14ac:dyDescent="0.25">
      <c r="A171" s="746"/>
      <c r="B171" s="746"/>
      <c r="C171" s="746"/>
      <c r="D171" s="746"/>
      <c r="E171" s="1223"/>
      <c r="F171" s="1223"/>
      <c r="G171" s="1249"/>
      <c r="H171" s="1234"/>
      <c r="I171" s="1250"/>
      <c r="J171" s="1240" t="str">
        <f>IF(COUNT(I170,I172)=2,IF(I170&gt;I172,G170,G172),"")</f>
        <v>Henri Mitt</v>
      </c>
      <c r="M171" s="581"/>
      <c r="AE171" s="573"/>
      <c r="AF171" s="573"/>
      <c r="AG171" s="573"/>
    </row>
    <row r="172" spans="1:33" x14ac:dyDescent="0.2">
      <c r="A172" s="746"/>
      <c r="B172" s="746"/>
      <c r="C172" s="746"/>
      <c r="D172" s="746"/>
      <c r="E172" s="1223"/>
      <c r="F172" s="1223"/>
      <c r="G172" s="1251" t="str">
        <f>IF(COUNT(G164,G168)=2,IF(G164&lt;G168,E164,E168),"")</f>
        <v>Meelis Luud</v>
      </c>
      <c r="H172" s="1237"/>
      <c r="I172" s="1233">
        <v>0</v>
      </c>
      <c r="J172" s="1242" t="s">
        <v>303</v>
      </c>
      <c r="K172" s="1243"/>
      <c r="M172" s="581"/>
      <c r="AE172" s="573"/>
      <c r="AF172" s="573"/>
      <c r="AG172" s="573"/>
    </row>
    <row r="173" spans="1:33" x14ac:dyDescent="0.2">
      <c r="A173" s="746"/>
      <c r="B173" s="746"/>
      <c r="C173" s="746"/>
      <c r="D173" s="1223"/>
      <c r="E173" s="1223"/>
      <c r="F173" s="1223"/>
      <c r="G173" s="1223"/>
      <c r="H173" s="1223"/>
      <c r="I173" s="1223"/>
      <c r="J173" s="1222"/>
      <c r="K173" s="622"/>
      <c r="M173" s="581"/>
      <c r="AE173" s="573"/>
      <c r="AF173" s="573"/>
      <c r="AG173" s="573"/>
    </row>
    <row r="174" spans="1:33" ht="13.5" thickBot="1" x14ac:dyDescent="0.25">
      <c r="A174" s="746"/>
      <c r="B174" s="746"/>
      <c r="C174" s="746"/>
      <c r="D174" s="1223"/>
      <c r="E174" s="1223"/>
      <c r="F174" s="1223"/>
      <c r="G174" s="1222"/>
      <c r="H174" s="1222"/>
      <c r="I174" s="1223"/>
      <c r="J174" s="1245" t="str">
        <f>IF(COUNT(I170,I172)=2,IF(I170&lt;I172,G170,G172),"")</f>
        <v>Meelis Luud</v>
      </c>
      <c r="K174" s="1246"/>
      <c r="M174" s="581"/>
      <c r="AE174" s="573"/>
      <c r="AF174" s="573"/>
      <c r="AG174" s="573"/>
    </row>
    <row r="175" spans="1:33" x14ac:dyDescent="0.2">
      <c r="A175" s="746"/>
      <c r="B175" s="746"/>
      <c r="C175" s="746"/>
      <c r="D175" s="1223"/>
      <c r="E175" s="1223"/>
      <c r="F175" s="1223"/>
      <c r="G175" s="1223"/>
      <c r="H175" s="1223"/>
      <c r="I175" s="1223"/>
      <c r="J175" s="1238" t="s">
        <v>355</v>
      </c>
      <c r="M175" s="581"/>
      <c r="AE175" s="573"/>
      <c r="AF175" s="573"/>
      <c r="AG175" s="573"/>
    </row>
    <row r="176" spans="1:33" x14ac:dyDescent="0.2">
      <c r="A176" s="746"/>
      <c r="B176" s="746"/>
      <c r="C176" s="746"/>
      <c r="D176" s="1223"/>
      <c r="E176" s="1223"/>
      <c r="F176" s="1223"/>
      <c r="G176" s="1223"/>
      <c r="H176" s="1223"/>
      <c r="I176" s="1223"/>
      <c r="J176" s="1223"/>
      <c r="M176" s="581"/>
      <c r="AE176" s="573"/>
      <c r="AF176" s="573"/>
      <c r="AG176" s="573"/>
    </row>
    <row r="177" spans="1:33" x14ac:dyDescent="0.2">
      <c r="A177" s="746"/>
      <c r="B177" s="746"/>
      <c r="C177" s="746"/>
      <c r="D177" s="1223"/>
      <c r="E177" s="1251" t="str">
        <f>IF(COUNT(E155,E157)=2,IF(E155&lt;E157,C155,C157),"")</f>
        <v>Marta Bernat</v>
      </c>
      <c r="F177" s="1223"/>
      <c r="G177" s="1239">
        <v>7</v>
      </c>
      <c r="H177" s="1228"/>
      <c r="I177" s="1228"/>
      <c r="J177" s="1223"/>
      <c r="M177" s="581"/>
      <c r="AE177" s="573"/>
      <c r="AF177" s="573"/>
      <c r="AG177" s="573"/>
    </row>
    <row r="178" spans="1:33" x14ac:dyDescent="0.2">
      <c r="A178" s="746"/>
      <c r="B178" s="746"/>
      <c r="C178" s="746"/>
      <c r="D178" s="1223"/>
      <c r="E178" s="1252"/>
      <c r="F178" s="1253"/>
      <c r="G178" s="1231" t="str">
        <f>IF(COUNT(G177,G179)=2,IF(G177&gt;G179,E177,E179),"")</f>
        <v>Sirje Maala</v>
      </c>
      <c r="H178" s="1223"/>
      <c r="I178" s="1228">
        <v>13</v>
      </c>
      <c r="J178" s="1223"/>
      <c r="M178" s="581"/>
      <c r="AE178" s="573"/>
      <c r="AF178" s="573"/>
      <c r="AG178" s="573"/>
    </row>
    <row r="179" spans="1:33" x14ac:dyDescent="0.2">
      <c r="A179" s="746"/>
      <c r="B179" s="746"/>
      <c r="C179" s="746"/>
      <c r="D179" s="1223"/>
      <c r="E179" s="1251" t="str">
        <f>IF(COUNT(E159,E161)=2,IF(E159&lt;E161,C159,C161),"")</f>
        <v>Sirje Maala</v>
      </c>
      <c r="F179" s="1254"/>
      <c r="G179" s="1233">
        <v>13</v>
      </c>
      <c r="H179" s="1253"/>
      <c r="I179" s="1223"/>
      <c r="J179" s="1223"/>
      <c r="M179" s="581"/>
      <c r="AE179" s="573"/>
      <c r="AF179" s="573"/>
      <c r="AG179" s="573"/>
    </row>
    <row r="180" spans="1:33" ht="13.5" thickBot="1" x14ac:dyDescent="0.25">
      <c r="A180" s="746"/>
      <c r="B180" s="746"/>
      <c r="C180" s="746"/>
      <c r="D180" s="1223"/>
      <c r="E180" s="1228"/>
      <c r="F180" s="1228"/>
      <c r="G180" s="1248"/>
      <c r="H180" s="1255"/>
      <c r="I180" s="1256"/>
      <c r="J180" s="1240" t="str">
        <f>IF(COUNT(I178,I182)=2,IF(I178&gt;I182,G178,G182),"")</f>
        <v>Sirje Maala</v>
      </c>
      <c r="M180" s="581"/>
      <c r="AE180" s="573"/>
      <c r="AF180" s="573"/>
      <c r="AG180" s="573"/>
    </row>
    <row r="181" spans="1:33" x14ac:dyDescent="0.2">
      <c r="A181" s="746"/>
      <c r="B181" s="746"/>
      <c r="C181" s="746"/>
      <c r="D181" s="1223"/>
      <c r="E181" s="1251" t="str">
        <f>IF(COUNT(E163,E165)=2,IF(E163&lt;E165,C163,C165),"")</f>
        <v>Kristel Tihhonjuk</v>
      </c>
      <c r="F181" s="1228"/>
      <c r="G181" s="1228">
        <v>5</v>
      </c>
      <c r="H181" s="1255"/>
      <c r="I181" s="1241"/>
      <c r="J181" s="1242" t="s">
        <v>356</v>
      </c>
      <c r="K181" s="1243"/>
      <c r="M181" s="581"/>
      <c r="AE181" s="573"/>
      <c r="AF181" s="573"/>
      <c r="AG181" s="573"/>
    </row>
    <row r="182" spans="1:33" x14ac:dyDescent="0.2">
      <c r="A182" s="746"/>
      <c r="B182" s="746"/>
      <c r="C182" s="746"/>
      <c r="D182" s="1223"/>
      <c r="E182" s="1252"/>
      <c r="F182" s="1253"/>
      <c r="G182" s="1231" t="str">
        <f>IF(COUNT(G181,G183)=2,IF(G181&gt;G183,E181,E183),"")</f>
        <v>Tõnu Kapper</v>
      </c>
      <c r="H182" s="1237"/>
      <c r="I182" s="1233">
        <v>0</v>
      </c>
      <c r="J182" s="1222"/>
      <c r="K182" s="622"/>
      <c r="M182" s="581"/>
      <c r="AE182" s="573"/>
      <c r="AF182" s="573"/>
      <c r="AG182" s="573"/>
    </row>
    <row r="183" spans="1:33" ht="13.5" thickBot="1" x14ac:dyDescent="0.25">
      <c r="A183" s="746"/>
      <c r="B183" s="746"/>
      <c r="C183" s="746"/>
      <c r="D183" s="1223"/>
      <c r="E183" s="1251" t="str">
        <f>IF(COUNT(E167,E169)=2,IF(E167&lt;E169,C167,C169),"")</f>
        <v>Tõnu Kapper</v>
      </c>
      <c r="F183" s="1254"/>
      <c r="G183" s="1233">
        <v>13</v>
      </c>
      <c r="H183" s="1228"/>
      <c r="I183" s="1248"/>
      <c r="J183" s="1245" t="str">
        <f>IF(COUNT(I178,I182)=2,IF(I178&lt;I182,G178,G182),"")</f>
        <v>Tõnu Kapper</v>
      </c>
      <c r="K183" s="1246"/>
      <c r="M183" s="581"/>
      <c r="AE183" s="573"/>
      <c r="AF183" s="573"/>
      <c r="AG183" s="573"/>
    </row>
    <row r="184" spans="1:33" x14ac:dyDescent="0.2">
      <c r="A184" s="746"/>
      <c r="B184" s="746"/>
      <c r="C184" s="746"/>
      <c r="D184" s="1223"/>
      <c r="E184" s="1228"/>
      <c r="F184" s="1228"/>
      <c r="G184" s="1228"/>
      <c r="H184" s="1228"/>
      <c r="I184" s="1248"/>
      <c r="J184" s="1238" t="s">
        <v>357</v>
      </c>
      <c r="M184" s="581"/>
      <c r="AE184" s="573"/>
      <c r="AF184" s="573"/>
      <c r="AG184" s="573"/>
    </row>
    <row r="185" spans="1:33" x14ac:dyDescent="0.2">
      <c r="A185" s="746"/>
      <c r="B185" s="746"/>
      <c r="C185" s="746"/>
      <c r="D185" s="1223"/>
      <c r="E185" s="1228"/>
      <c r="F185" s="1248"/>
      <c r="G185" s="1240" t="str">
        <f>IF(COUNT(G177,G179)=2,IF(G177&lt;G179,E177,E179),"")</f>
        <v>Marta Bernat</v>
      </c>
      <c r="H185" s="1223"/>
      <c r="I185" s="1248">
        <v>13</v>
      </c>
      <c r="J185" s="1222"/>
      <c r="M185" s="581"/>
      <c r="AE185" s="573"/>
      <c r="AF185" s="573"/>
      <c r="AG185" s="573"/>
    </row>
    <row r="186" spans="1:33" ht="13.5" thickBot="1" x14ac:dyDescent="0.25">
      <c r="A186" s="746"/>
      <c r="B186" s="746"/>
      <c r="C186" s="746"/>
      <c r="D186" s="1223"/>
      <c r="E186" s="1228"/>
      <c r="F186" s="1248"/>
      <c r="G186" s="1249"/>
      <c r="H186" s="1234"/>
      <c r="I186" s="1250"/>
      <c r="J186" s="1240" t="str">
        <f>IF(COUNT(I185,I187)=2,IF(I185&gt;I187,G185,G187),"")</f>
        <v>Marta Bernat</v>
      </c>
      <c r="M186" s="581"/>
      <c r="AE186" s="573"/>
      <c r="AF186" s="573"/>
      <c r="AG186" s="573"/>
    </row>
    <row r="187" spans="1:33" x14ac:dyDescent="0.2">
      <c r="A187" s="746"/>
      <c r="B187" s="746"/>
      <c r="C187" s="746"/>
      <c r="D187" s="1223"/>
      <c r="E187" s="1228"/>
      <c r="F187" s="1248"/>
      <c r="G187" s="1251" t="str">
        <f>IF(COUNT(G181,G183)=2,IF(G181&lt;G183,E181,E183),"")</f>
        <v>Kristel Tihhonjuk</v>
      </c>
      <c r="H187" s="1237"/>
      <c r="I187" s="1233">
        <v>8</v>
      </c>
      <c r="J187" s="1242" t="s">
        <v>358</v>
      </c>
      <c r="K187" s="1243"/>
      <c r="M187" s="581"/>
      <c r="AE187" s="573"/>
      <c r="AF187" s="573"/>
      <c r="AG187" s="573"/>
    </row>
    <row r="188" spans="1:33" x14ac:dyDescent="0.2">
      <c r="A188" s="746"/>
      <c r="B188" s="746"/>
      <c r="C188" s="746"/>
      <c r="D188" s="1223"/>
      <c r="E188" s="1223"/>
      <c r="F188" s="1222"/>
      <c r="G188" s="1223"/>
      <c r="H188" s="1223"/>
      <c r="I188" s="1223"/>
      <c r="J188" s="1222"/>
      <c r="K188" s="622"/>
      <c r="M188" s="581"/>
      <c r="AE188" s="573"/>
      <c r="AF188" s="573"/>
      <c r="AG188" s="573"/>
    </row>
    <row r="189" spans="1:33" ht="13.5" thickBot="1" x14ac:dyDescent="0.25">
      <c r="A189" s="746"/>
      <c r="B189" s="746"/>
      <c r="C189" s="746"/>
      <c r="D189" s="1223"/>
      <c r="E189" s="1223"/>
      <c r="F189" s="1223"/>
      <c r="G189" s="1222"/>
      <c r="H189" s="1222"/>
      <c r="I189" s="1223"/>
      <c r="J189" s="1257" t="str">
        <f>IF(COUNT(I185,I187)=2,IF(I185&lt;I187,G185,G187),"")</f>
        <v>Kristel Tihhonjuk</v>
      </c>
      <c r="K189" s="1246"/>
      <c r="M189" s="581"/>
      <c r="AE189" s="573"/>
      <c r="AF189" s="573"/>
      <c r="AG189" s="573"/>
    </row>
    <row r="190" spans="1:33" x14ac:dyDescent="0.2">
      <c r="A190" s="746"/>
      <c r="B190" s="746"/>
      <c r="C190" s="746"/>
      <c r="D190" s="1223"/>
      <c r="E190" s="1223"/>
      <c r="F190" s="1223"/>
      <c r="G190" s="1222"/>
      <c r="H190" s="1222"/>
      <c r="I190" s="1223"/>
      <c r="J190" s="1238" t="s">
        <v>359</v>
      </c>
      <c r="M190" s="581"/>
      <c r="AE190" s="573"/>
      <c r="AF190" s="573"/>
      <c r="AG190" s="573"/>
    </row>
    <row r="191" spans="1:33" x14ac:dyDescent="0.2">
      <c r="A191" s="746"/>
      <c r="B191" s="746"/>
      <c r="C191" s="746"/>
      <c r="D191" s="746"/>
      <c r="E191" s="746"/>
      <c r="F191" s="746"/>
      <c r="G191" s="746"/>
      <c r="H191" s="746"/>
      <c r="I191" s="746"/>
      <c r="J191" s="746"/>
      <c r="M191" s="581"/>
      <c r="AE191" s="573"/>
      <c r="AF191" s="573"/>
      <c r="AG191" s="573"/>
    </row>
    <row r="192" spans="1:33" x14ac:dyDescent="0.2">
      <c r="A192" s="1258" t="s">
        <v>543</v>
      </c>
      <c r="B192" s="746"/>
      <c r="C192" s="746"/>
      <c r="D192" s="746"/>
      <c r="E192" s="746"/>
      <c r="F192" s="746"/>
      <c r="G192" s="746"/>
      <c r="H192" s="746"/>
      <c r="I192" s="746"/>
      <c r="J192" s="746"/>
      <c r="M192" s="581"/>
      <c r="AE192" s="573"/>
      <c r="AF192" s="573"/>
      <c r="AG192" s="573"/>
    </row>
    <row r="193" spans="1:33" x14ac:dyDescent="0.2">
      <c r="A193" s="746"/>
      <c r="B193" s="746"/>
      <c r="C193" s="746"/>
      <c r="D193" s="746"/>
      <c r="E193" s="746"/>
      <c r="F193" s="746"/>
      <c r="G193" s="746"/>
      <c r="H193" s="746"/>
      <c r="I193" s="746"/>
      <c r="J193" s="746"/>
      <c r="M193" s="581"/>
      <c r="AE193" s="573"/>
      <c r="AF193" s="573"/>
      <c r="AG193" s="573"/>
    </row>
    <row r="194" spans="1:33" x14ac:dyDescent="0.2">
      <c r="A194" s="1226" t="s">
        <v>340</v>
      </c>
      <c r="B194" s="1227" t="str">
        <f>IF(A194="-","-",IFERROR(INDEX(B$1:B$100,MATCH(A194,I$1:I$100,0)),""))</f>
        <v>Urmas Jõeäär</v>
      </c>
      <c r="C194" s="1228">
        <v>13</v>
      </c>
      <c r="D194" s="1223"/>
      <c r="E194" s="1223"/>
      <c r="F194" s="1223"/>
      <c r="G194" s="1223"/>
      <c r="H194" s="1223"/>
      <c r="I194" s="1223"/>
      <c r="J194" s="1223"/>
      <c r="M194" s="581"/>
      <c r="AE194" s="573"/>
      <c r="AF194" s="573"/>
      <c r="AG194" s="573"/>
    </row>
    <row r="195" spans="1:33" x14ac:dyDescent="0.2">
      <c r="A195" s="1229"/>
      <c r="B195" s="1230"/>
      <c r="C195" s="1231" t="str">
        <f>IF(COUNT(C194,C196)=2,IF(C194&gt;C196,B194,B196),"")</f>
        <v>Urmas Jõeäär</v>
      </c>
      <c r="D195" s="1223"/>
      <c r="E195" s="1228">
        <v>13</v>
      </c>
      <c r="F195" s="1223"/>
      <c r="G195" s="1223"/>
      <c r="H195" s="1223"/>
      <c r="I195" s="1223"/>
      <c r="J195" s="1223"/>
      <c r="M195" s="581"/>
      <c r="AE195" s="573"/>
      <c r="AF195" s="573"/>
      <c r="AG195" s="573"/>
    </row>
    <row r="196" spans="1:33" x14ac:dyDescent="0.2">
      <c r="A196" s="1229" t="s">
        <v>556</v>
      </c>
      <c r="B196" s="1232" t="str">
        <f>IF(A196="-","-",IFERROR(INDEX(B$1:B$100,MATCH(A196,I$1:I$100,0)),""))</f>
        <v>Andres Veski</v>
      </c>
      <c r="C196" s="1233">
        <v>8</v>
      </c>
      <c r="D196" s="1234"/>
      <c r="E196" s="1223"/>
      <c r="F196" s="1223"/>
      <c r="G196" s="1223"/>
      <c r="H196" s="1223"/>
      <c r="I196" s="1223"/>
      <c r="J196" s="1223"/>
      <c r="M196" s="581"/>
      <c r="AE196" s="573"/>
      <c r="AF196" s="573"/>
      <c r="AG196" s="573"/>
    </row>
    <row r="197" spans="1:33" x14ac:dyDescent="0.2">
      <c r="A197" s="1229"/>
      <c r="B197" s="1224"/>
      <c r="C197" s="1223"/>
      <c r="D197" s="1235"/>
      <c r="E197" s="1231" t="str">
        <f>IF(COUNT(E195,E199)=2,IF(E195&gt;E199,C195,C199),"")</f>
        <v>Urmas Jõeäär</v>
      </c>
      <c r="F197" s="1223"/>
      <c r="G197" s="1228">
        <v>13</v>
      </c>
      <c r="H197" s="1223"/>
      <c r="I197" s="1223"/>
      <c r="J197" s="1223"/>
      <c r="M197" s="581"/>
      <c r="AE197" s="573"/>
      <c r="AF197" s="573"/>
      <c r="AG197" s="573"/>
    </row>
    <row r="198" spans="1:33" x14ac:dyDescent="0.2">
      <c r="A198" s="1229" t="s">
        <v>354</v>
      </c>
      <c r="B198" s="1227" t="s">
        <v>564</v>
      </c>
      <c r="C198" s="1228">
        <f>IF(B198="-",0,IF(B200="-",13,""))</f>
        <v>0</v>
      </c>
      <c r="D198" s="1235"/>
      <c r="E198" s="1236"/>
      <c r="F198" s="1234"/>
      <c r="G198" s="1223"/>
      <c r="H198" s="1223"/>
      <c r="I198" s="1223"/>
      <c r="J198" s="1223"/>
      <c r="M198" s="581"/>
      <c r="AE198" s="573"/>
      <c r="AF198" s="573"/>
      <c r="AG198" s="573"/>
    </row>
    <row r="199" spans="1:33" x14ac:dyDescent="0.2">
      <c r="A199" s="1229"/>
      <c r="B199" s="1230"/>
      <c r="C199" s="1231" t="str">
        <f>IF(COUNT(C198,C200)=2,IF(C198&gt;C200,B198,B200),"")</f>
        <v>Jaan Sepp</v>
      </c>
      <c r="D199" s="1237"/>
      <c r="E199" s="1233">
        <v>8</v>
      </c>
      <c r="F199" s="1235"/>
      <c r="G199" s="1223"/>
      <c r="H199" s="1223"/>
      <c r="I199" s="1223"/>
      <c r="J199" s="1223"/>
      <c r="M199" s="581"/>
      <c r="AE199" s="573"/>
      <c r="AF199" s="573"/>
      <c r="AG199" s="573"/>
    </row>
    <row r="200" spans="1:33" x14ac:dyDescent="0.2">
      <c r="A200" s="1229" t="s">
        <v>557</v>
      </c>
      <c r="B200" s="1232" t="str">
        <f>IF(A200="-","-",IFERROR(INDEX(B$1:B$100,MATCH(A200,I$1:I$100,0)),""))</f>
        <v>Jaan Sepp</v>
      </c>
      <c r="C200" s="1233">
        <f>IF(B200="-",0,IF(B198="-",13,""))</f>
        <v>13</v>
      </c>
      <c r="D200" s="1223"/>
      <c r="E200" s="1222"/>
      <c r="F200" s="1235"/>
      <c r="G200" s="1223"/>
      <c r="H200" s="1223"/>
      <c r="I200" s="1223"/>
      <c r="J200" s="1223"/>
      <c r="M200" s="581"/>
      <c r="AE200" s="573"/>
      <c r="AF200" s="573"/>
      <c r="AG200" s="573"/>
    </row>
    <row r="201" spans="1:33" x14ac:dyDescent="0.2">
      <c r="A201" s="1238"/>
      <c r="B201" s="1224"/>
      <c r="C201" s="1223"/>
      <c r="D201" s="1223"/>
      <c r="E201" s="1222"/>
      <c r="F201" s="1235"/>
      <c r="G201" s="1223" t="str">
        <f>IF(COUNT(G197,G205)=2,IF(G197&gt;G205,E197,E205),"")</f>
        <v>Urmas Jõeäär</v>
      </c>
      <c r="H201" s="1223"/>
      <c r="I201" s="1228">
        <v>13</v>
      </c>
      <c r="J201" s="1223"/>
      <c r="M201" s="581"/>
      <c r="AE201" s="573"/>
      <c r="AF201" s="573"/>
      <c r="AG201" s="573"/>
    </row>
    <row r="202" spans="1:33" x14ac:dyDescent="0.2">
      <c r="A202" s="1226" t="s">
        <v>353</v>
      </c>
      <c r="B202" s="1227" t="str">
        <f>IF(A202="-","-",IFERROR(INDEX(B$1:B$100,MATCH(A202,I$1:I$100,0)),""))</f>
        <v>Vadim Tihhonjuk</v>
      </c>
      <c r="C202" s="1228">
        <f>IF(B202="-",0,IF(B204="-",13,""))</f>
        <v>13</v>
      </c>
      <c r="D202" s="1223"/>
      <c r="E202" s="1223"/>
      <c r="F202" s="1235"/>
      <c r="G202" s="1236"/>
      <c r="H202" s="1234"/>
      <c r="I202" s="1223"/>
      <c r="J202" s="1223"/>
      <c r="M202" s="581"/>
      <c r="AE202" s="573"/>
      <c r="AF202" s="573"/>
      <c r="AG202" s="573"/>
    </row>
    <row r="203" spans="1:33" x14ac:dyDescent="0.2">
      <c r="A203" s="1229"/>
      <c r="B203" s="1230"/>
      <c r="C203" s="1231" t="str">
        <f>IF(COUNT(C202,C204)=2,IF(C202&gt;C204,B202,B204),"")</f>
        <v>Vadim Tihhonjuk</v>
      </c>
      <c r="D203" s="1223"/>
      <c r="E203" s="1228">
        <v>11</v>
      </c>
      <c r="F203" s="1235"/>
      <c r="G203" s="1222"/>
      <c r="H203" s="1235"/>
      <c r="I203" s="1223"/>
      <c r="J203" s="1223"/>
      <c r="M203" s="581"/>
      <c r="AE203" s="573"/>
      <c r="AF203" s="573"/>
      <c r="AG203" s="573"/>
    </row>
    <row r="204" spans="1:33" x14ac:dyDescent="0.2">
      <c r="A204" s="1229" t="s">
        <v>558</v>
      </c>
      <c r="B204" s="1232" t="s">
        <v>564</v>
      </c>
      <c r="C204" s="1233">
        <f>IF(B204="-",0,IF(B202="-",13,""))</f>
        <v>0</v>
      </c>
      <c r="D204" s="1234"/>
      <c r="E204" s="1223"/>
      <c r="F204" s="1235"/>
      <c r="G204" s="1222"/>
      <c r="H204" s="1235"/>
      <c r="I204" s="1223"/>
      <c r="J204" s="1223"/>
      <c r="M204" s="581"/>
      <c r="AE204" s="573"/>
      <c r="AF204" s="573"/>
      <c r="AG204" s="573"/>
    </row>
    <row r="205" spans="1:33" x14ac:dyDescent="0.2">
      <c r="A205" s="1229"/>
      <c r="B205" s="1224"/>
      <c r="C205" s="1223"/>
      <c r="D205" s="1235"/>
      <c r="E205" s="1231" t="str">
        <f>IF(COUNT(E203,E207)=2,IF(E203&gt;E207,C203,C207),"")</f>
        <v>Vello Vasser</v>
      </c>
      <c r="F205" s="1237"/>
      <c r="G205" s="1233">
        <v>8</v>
      </c>
      <c r="H205" s="1235"/>
      <c r="I205" s="1223"/>
      <c r="J205" s="1223"/>
      <c r="M205" s="581"/>
      <c r="AE205" s="573"/>
      <c r="AF205" s="573"/>
      <c r="AG205" s="573"/>
    </row>
    <row r="206" spans="1:33" x14ac:dyDescent="0.2">
      <c r="A206" s="1229" t="s">
        <v>559</v>
      </c>
      <c r="B206" s="1227" t="str">
        <f>IF(A206="-","-",IFERROR(INDEX(B$1:B$100,MATCH(A206,I$1:I$100,0)),""))</f>
        <v>Vello Vasser</v>
      </c>
      <c r="C206" s="1228">
        <f>IF(B206="-",0,IF(B208="-",13,""))</f>
        <v>13</v>
      </c>
      <c r="D206" s="1235"/>
      <c r="E206" s="1236"/>
      <c r="F206" s="1222"/>
      <c r="G206" s="1222"/>
      <c r="H206" s="1235"/>
      <c r="I206" s="1223"/>
      <c r="J206" s="1223"/>
      <c r="M206" s="581"/>
      <c r="AE206" s="573"/>
      <c r="AF206" s="573"/>
      <c r="AG206" s="573"/>
    </row>
    <row r="207" spans="1:33" x14ac:dyDescent="0.2">
      <c r="A207" s="1229"/>
      <c r="B207" s="1230"/>
      <c r="C207" s="1231" t="str">
        <f>IF(COUNT(C206,C208)=2,IF(C206&gt;C208,B206,B208),"")</f>
        <v>Vello Vasser</v>
      </c>
      <c r="D207" s="1237"/>
      <c r="E207" s="1233">
        <v>13</v>
      </c>
      <c r="F207" s="1223"/>
      <c r="G207" s="1222"/>
      <c r="H207" s="1235"/>
      <c r="I207" s="1223"/>
      <c r="J207" s="1223"/>
      <c r="M207" s="581"/>
      <c r="AE207" s="573"/>
      <c r="AF207" s="573"/>
      <c r="AG207" s="573"/>
    </row>
    <row r="208" spans="1:33" x14ac:dyDescent="0.2">
      <c r="A208" s="1229" t="s">
        <v>341</v>
      </c>
      <c r="B208" s="1232" t="s">
        <v>564</v>
      </c>
      <c r="C208" s="1233">
        <f>IF(B208="-",0,IF(B206="-",13,""))</f>
        <v>0</v>
      </c>
      <c r="D208" s="1223"/>
      <c r="E208" s="1222"/>
      <c r="F208" s="1222"/>
      <c r="G208" s="1222"/>
      <c r="H208" s="1235"/>
      <c r="I208" s="1223"/>
      <c r="J208" s="1223"/>
      <c r="M208" s="581"/>
      <c r="AE208" s="573"/>
      <c r="AF208" s="573"/>
      <c r="AG208" s="573"/>
    </row>
    <row r="209" spans="1:33" ht="13.5" thickBot="1" x14ac:dyDescent="0.25">
      <c r="A209" s="1238"/>
      <c r="B209" s="1224"/>
      <c r="C209" s="1223"/>
      <c r="D209" s="1223"/>
      <c r="E209" s="1223"/>
      <c r="F209" s="1223"/>
      <c r="G209" s="1222"/>
      <c r="H209" s="1235"/>
      <c r="I209" s="1223"/>
      <c r="J209" s="1240" t="str">
        <f>IF(COUNT(I201,I217)=2,IF(I201&gt;I217,G201,G217),"")</f>
        <v>Urmas Jõeäär</v>
      </c>
      <c r="M209" s="581"/>
      <c r="AE209" s="573"/>
      <c r="AF209" s="573"/>
      <c r="AG209" s="573"/>
    </row>
    <row r="210" spans="1:33" x14ac:dyDescent="0.2">
      <c r="A210" s="1226" t="s">
        <v>342</v>
      </c>
      <c r="B210" s="1227" t="str">
        <f>IF(A210="-","-",IFERROR(INDEX(B$1:B$100,MATCH(A210,I$1:I$100,0)),""))</f>
        <v>Sander Rose</v>
      </c>
      <c r="C210" s="1228">
        <f>IF(B210="-",0,IF(B212="-",13,""))</f>
        <v>13</v>
      </c>
      <c r="D210" s="1223"/>
      <c r="E210" s="1223"/>
      <c r="F210" s="1223"/>
      <c r="G210" s="1222"/>
      <c r="H210" s="1235"/>
      <c r="I210" s="1241"/>
      <c r="J210" s="1242" t="s">
        <v>361</v>
      </c>
      <c r="K210" s="1243"/>
      <c r="M210" s="581"/>
      <c r="AE210" s="573"/>
      <c r="AF210" s="573"/>
      <c r="AG210" s="573"/>
    </row>
    <row r="211" spans="1:33" x14ac:dyDescent="0.2">
      <c r="A211" s="1229"/>
      <c r="B211" s="1230"/>
      <c r="C211" s="1231" t="str">
        <f>IF(COUNT(C210,C212)=2,IF(C210&gt;C212,B210,B212),"")</f>
        <v>Sander Rose</v>
      </c>
      <c r="D211" s="1223"/>
      <c r="E211" s="1228">
        <v>10</v>
      </c>
      <c r="F211" s="1223"/>
      <c r="G211" s="1222"/>
      <c r="H211" s="1235"/>
      <c r="I211" s="1222"/>
      <c r="J211" s="1222"/>
      <c r="K211" s="622"/>
      <c r="M211" s="581"/>
      <c r="AE211" s="573"/>
      <c r="AF211" s="573"/>
      <c r="AG211" s="573"/>
    </row>
    <row r="212" spans="1:33" x14ac:dyDescent="0.2">
      <c r="A212" s="1229" t="s">
        <v>560</v>
      </c>
      <c r="B212" s="1232" t="s">
        <v>564</v>
      </c>
      <c r="C212" s="1233">
        <f>IF(B212="-",0,IF(B210="-",13,""))</f>
        <v>0</v>
      </c>
      <c r="D212" s="1234"/>
      <c r="E212" s="1223"/>
      <c r="F212" s="1223"/>
      <c r="G212" s="1222"/>
      <c r="H212" s="1235"/>
      <c r="I212" s="1222"/>
      <c r="J212" s="1222"/>
      <c r="K212" s="622"/>
      <c r="M212" s="581"/>
      <c r="AE212" s="573"/>
      <c r="AF212" s="573"/>
      <c r="AG212" s="573"/>
    </row>
    <row r="213" spans="1:33" x14ac:dyDescent="0.2">
      <c r="A213" s="1229"/>
      <c r="B213" s="1224"/>
      <c r="C213" s="1223"/>
      <c r="D213" s="1235"/>
      <c r="E213" s="1231" t="str">
        <f>IF(COUNT(E211,E215)=2,IF(E211&gt;E215,C211,C215),"")</f>
        <v>Lemmit Toomra</v>
      </c>
      <c r="F213" s="1223"/>
      <c r="G213" s="1228">
        <v>4</v>
      </c>
      <c r="H213" s="1235"/>
      <c r="I213" s="1222"/>
      <c r="J213" s="1222"/>
      <c r="K213" s="622"/>
      <c r="M213" s="581"/>
      <c r="AE213" s="573"/>
      <c r="AF213" s="573"/>
      <c r="AG213" s="573"/>
    </row>
    <row r="214" spans="1:33" x14ac:dyDescent="0.2">
      <c r="A214" s="1229" t="s">
        <v>352</v>
      </c>
      <c r="B214" s="1227" t="s">
        <v>564</v>
      </c>
      <c r="C214" s="1228">
        <f>IF(B214="-",0,IF(B216="-",13,""))</f>
        <v>0</v>
      </c>
      <c r="D214" s="1235"/>
      <c r="E214" s="1236"/>
      <c r="F214" s="1234"/>
      <c r="G214" s="1223"/>
      <c r="H214" s="1235"/>
      <c r="I214" s="1222"/>
      <c r="J214" s="1222"/>
      <c r="K214" s="622"/>
      <c r="M214" s="581"/>
      <c r="AE214" s="573"/>
      <c r="AF214" s="573"/>
      <c r="AG214" s="573"/>
    </row>
    <row r="215" spans="1:33" x14ac:dyDescent="0.2">
      <c r="A215" s="1229"/>
      <c r="B215" s="1230"/>
      <c r="C215" s="1231" t="str">
        <f>IF(COUNT(C214,C216)=2,IF(C214&gt;C216,B214,B216),"")</f>
        <v>Lemmit Toomra</v>
      </c>
      <c r="D215" s="1237"/>
      <c r="E215" s="1233">
        <v>13</v>
      </c>
      <c r="F215" s="1235"/>
      <c r="G215" s="1223"/>
      <c r="H215" s="1235"/>
      <c r="I215" s="1222"/>
      <c r="J215" s="1222"/>
      <c r="K215" s="622"/>
      <c r="M215" s="581"/>
      <c r="AE215" s="573"/>
      <c r="AF215" s="573"/>
      <c r="AG215" s="573"/>
    </row>
    <row r="216" spans="1:33" x14ac:dyDescent="0.2">
      <c r="A216" s="1229" t="s">
        <v>561</v>
      </c>
      <c r="B216" s="1232" t="str">
        <f>IF(A216="-","-",IFERROR(INDEX(B$1:B$100,MATCH(A216,I$1:I$100,0)),""))</f>
        <v>Lemmit Toomra</v>
      </c>
      <c r="C216" s="1233">
        <f>IF(B216="-",0,IF(B214="-",13,""))</f>
        <v>13</v>
      </c>
      <c r="D216" s="1223"/>
      <c r="E216" s="1222"/>
      <c r="F216" s="1235"/>
      <c r="G216" s="1223"/>
      <c r="H216" s="1235"/>
      <c r="I216" s="1222"/>
      <c r="J216" s="1222"/>
      <c r="K216" s="622"/>
      <c r="M216" s="581"/>
      <c r="AE216" s="573"/>
      <c r="AF216" s="573"/>
      <c r="AG216" s="573"/>
    </row>
    <row r="217" spans="1:33" x14ac:dyDescent="0.2">
      <c r="A217" s="1238"/>
      <c r="B217" s="1224"/>
      <c r="C217" s="1223"/>
      <c r="D217" s="1223"/>
      <c r="E217" s="1222"/>
      <c r="F217" s="1235"/>
      <c r="G217" s="1223" t="str">
        <f>IF(COUNT(G213,G221)=2,IF(G213&gt;G221,E213,E221),"")</f>
        <v>Enn Tokman</v>
      </c>
      <c r="H217" s="1237"/>
      <c r="I217" s="1233">
        <v>6</v>
      </c>
      <c r="J217" s="1222"/>
      <c r="K217" s="622"/>
      <c r="M217" s="581"/>
      <c r="AE217" s="573"/>
      <c r="AF217" s="573"/>
      <c r="AG217" s="573"/>
    </row>
    <row r="218" spans="1:33" ht="13.5" thickBot="1" x14ac:dyDescent="0.25">
      <c r="A218" s="1226" t="s">
        <v>351</v>
      </c>
      <c r="B218" s="1227" t="str">
        <f>IF(A218="-","-",IFERROR(INDEX(B$1:B$100,MATCH(A218,I$1:I$100,0)),""))</f>
        <v>Vladimir Ogneštšikov</v>
      </c>
      <c r="C218" s="1228">
        <f>IF(B218="-",0,IF(B220="-",13,""))</f>
        <v>13</v>
      </c>
      <c r="D218" s="1223"/>
      <c r="E218" s="1223"/>
      <c r="F218" s="1235"/>
      <c r="G218" s="1236"/>
      <c r="H218" s="1223"/>
      <c r="I218" s="1222"/>
      <c r="J218" s="1245" t="str">
        <f>IF(COUNT(I201,I217)=2,IF(I201&lt;I217,G201,G217),"")</f>
        <v>Enn Tokman</v>
      </c>
      <c r="K218" s="1246"/>
      <c r="M218" s="581"/>
      <c r="AE218" s="573"/>
      <c r="AF218" s="573"/>
      <c r="AG218" s="573"/>
    </row>
    <row r="219" spans="1:33" x14ac:dyDescent="0.2">
      <c r="A219" s="1229"/>
      <c r="B219" s="1230"/>
      <c r="C219" s="1231" t="str">
        <f>IF(COUNT(C218,C220)=2,IF(C218&gt;C220,B218,B220),"")</f>
        <v>Vladimir Ogneštšikov</v>
      </c>
      <c r="D219" s="1223"/>
      <c r="E219" s="1228">
        <v>0</v>
      </c>
      <c r="F219" s="1235"/>
      <c r="G219" s="1222"/>
      <c r="H219" s="1223"/>
      <c r="I219" s="1222"/>
      <c r="J219" s="1247" t="s">
        <v>363</v>
      </c>
      <c r="M219" s="581"/>
      <c r="AE219" s="573"/>
      <c r="AF219" s="573"/>
      <c r="AG219" s="573"/>
    </row>
    <row r="220" spans="1:33" x14ac:dyDescent="0.2">
      <c r="A220" s="1229" t="s">
        <v>562</v>
      </c>
      <c r="B220" s="1232" t="s">
        <v>564</v>
      </c>
      <c r="C220" s="1233">
        <f>IF(B220="-",0,IF(B218="-",13,""))</f>
        <v>0</v>
      </c>
      <c r="D220" s="1234"/>
      <c r="E220" s="1223"/>
      <c r="F220" s="1235"/>
      <c r="G220" s="1222"/>
      <c r="H220" s="1223"/>
      <c r="I220" s="1222"/>
      <c r="J220" s="1223"/>
      <c r="M220" s="581"/>
      <c r="AE220" s="573"/>
      <c r="AF220" s="573"/>
      <c r="AG220" s="573"/>
    </row>
    <row r="221" spans="1:33" x14ac:dyDescent="0.2">
      <c r="A221" s="1229"/>
      <c r="B221" s="1224"/>
      <c r="C221" s="1223"/>
      <c r="D221" s="1235"/>
      <c r="E221" s="1231" t="str">
        <f>IF(COUNT(E219,E223)=2,IF(E219&gt;E223,C219,C223),"")</f>
        <v>Enn Tokman</v>
      </c>
      <c r="F221" s="1237"/>
      <c r="G221" s="1233">
        <v>13</v>
      </c>
      <c r="H221" s="1223"/>
      <c r="I221" s="1222"/>
      <c r="J221" s="1223"/>
      <c r="M221" s="581"/>
      <c r="AE221" s="573"/>
      <c r="AF221" s="573"/>
      <c r="AG221" s="573"/>
    </row>
    <row r="222" spans="1:33" x14ac:dyDescent="0.2">
      <c r="A222" s="1229" t="s">
        <v>563</v>
      </c>
      <c r="B222" s="1227" t="str">
        <f>IF(A222="-","-",IFERROR(INDEX(B$1:B$100,MATCH(A222,I$1:I$100,0)),""))</f>
        <v>Enn Tokman</v>
      </c>
      <c r="C222" s="1228">
        <f>IF(B222="-",0,IF(B224="-",13,""))</f>
        <v>13</v>
      </c>
      <c r="D222" s="1235"/>
      <c r="E222" s="1236"/>
      <c r="F222" s="1222"/>
      <c r="G222" s="1222"/>
      <c r="H222" s="1223"/>
      <c r="I222" s="1222"/>
      <c r="J222" s="1223"/>
      <c r="M222" s="581"/>
      <c r="AE222" s="573"/>
      <c r="AF222" s="573"/>
      <c r="AG222" s="573"/>
    </row>
    <row r="223" spans="1:33" x14ac:dyDescent="0.2">
      <c r="A223" s="1229"/>
      <c r="B223" s="1230"/>
      <c r="C223" s="1231" t="str">
        <f>IF(COUNT(C222,C224)=2,IF(C222&gt;C224,B222,B224),"")</f>
        <v>Enn Tokman</v>
      </c>
      <c r="D223" s="1237"/>
      <c r="E223" s="1233">
        <v>13</v>
      </c>
      <c r="F223" s="1223"/>
      <c r="G223" s="1222" t="str">
        <f>IF(COUNT(G197,G205)=2,IF(G197&lt;G205,E197,E205),"")</f>
        <v>Vello Vasser</v>
      </c>
      <c r="H223" s="1223"/>
      <c r="I223" s="1248">
        <v>13</v>
      </c>
      <c r="J223" s="1223"/>
      <c r="M223" s="581"/>
      <c r="AE223" s="573"/>
      <c r="AF223" s="573"/>
      <c r="AG223" s="573"/>
    </row>
    <row r="224" spans="1:33" ht="13.5" thickBot="1" x14ac:dyDescent="0.25">
      <c r="A224" s="1229" t="s">
        <v>343</v>
      </c>
      <c r="B224" s="1232" t="s">
        <v>564</v>
      </c>
      <c r="C224" s="1233">
        <f>IF(B224="-",0,IF(B222="-",13,""))</f>
        <v>0</v>
      </c>
      <c r="D224" s="1223"/>
      <c r="E224" s="1222"/>
      <c r="F224" s="1222"/>
      <c r="G224" s="1249"/>
      <c r="H224" s="1234"/>
      <c r="I224" s="1250"/>
      <c r="J224" s="1240" t="str">
        <f>IF(COUNT(I223,I225)=2,IF(I223&gt;I225,G223,G225),"")</f>
        <v>Vello Vasser</v>
      </c>
      <c r="M224" s="581"/>
      <c r="AE224" s="573"/>
      <c r="AF224" s="573"/>
      <c r="AG224" s="573"/>
    </row>
    <row r="225" spans="1:33" x14ac:dyDescent="0.2">
      <c r="A225" s="1223"/>
      <c r="B225" s="1223"/>
      <c r="C225" s="1223"/>
      <c r="D225" s="1223"/>
      <c r="E225" s="1223"/>
      <c r="F225" s="1222"/>
      <c r="G225" s="1251" t="str">
        <f>IF(COUNT(G213,G221)=2,IF(G213&lt;G221,E213,E221),"")</f>
        <v>Lemmit Toomra</v>
      </c>
      <c r="H225" s="1237"/>
      <c r="I225" s="1244">
        <v>7</v>
      </c>
      <c r="J225" s="1242" t="s">
        <v>364</v>
      </c>
      <c r="K225" s="1243"/>
      <c r="M225" s="581"/>
      <c r="AE225" s="573"/>
      <c r="AF225" s="573"/>
      <c r="AG225" s="573"/>
    </row>
    <row r="226" spans="1:33" x14ac:dyDescent="0.2">
      <c r="A226" s="1223"/>
      <c r="B226" s="1223"/>
      <c r="C226" s="1223"/>
      <c r="D226" s="1223"/>
      <c r="E226" s="1223"/>
      <c r="F226" s="1222"/>
      <c r="G226" s="1223"/>
      <c r="H226" s="1223"/>
      <c r="I226" s="1223"/>
      <c r="J226" s="1222"/>
      <c r="K226" s="622"/>
      <c r="M226" s="581"/>
      <c r="AE226" s="573"/>
      <c r="AF226" s="573"/>
      <c r="AG226" s="573"/>
    </row>
    <row r="227" spans="1:33" ht="13.5" thickBot="1" x14ac:dyDescent="0.25">
      <c r="A227" s="1223"/>
      <c r="B227" s="1223"/>
      <c r="C227" s="1223"/>
      <c r="D227" s="1223"/>
      <c r="E227" s="1223"/>
      <c r="F227" s="1222"/>
      <c r="G227" s="1222"/>
      <c r="H227" s="1222"/>
      <c r="I227" s="1223"/>
      <c r="J227" s="1245" t="str">
        <f>IF(COUNT(I223,I225)=2,IF(I223&lt;I225,G223,G225),"")</f>
        <v>Lemmit Toomra</v>
      </c>
      <c r="K227" s="1246"/>
      <c r="M227" s="581"/>
      <c r="AE227" s="573"/>
      <c r="AF227" s="573"/>
      <c r="AG227" s="573"/>
    </row>
    <row r="228" spans="1:33" x14ac:dyDescent="0.2">
      <c r="A228" s="1223"/>
      <c r="B228" s="1223"/>
      <c r="C228" s="1223"/>
      <c r="D228" s="1223"/>
      <c r="E228" s="1223"/>
      <c r="F228" s="1223"/>
      <c r="G228" s="1222"/>
      <c r="H228" s="1222"/>
      <c r="I228" s="1223"/>
      <c r="J228" s="1238" t="s">
        <v>365</v>
      </c>
      <c r="M228" s="581"/>
      <c r="AE228" s="573"/>
      <c r="AF228" s="573"/>
      <c r="AG228" s="573"/>
    </row>
    <row r="229" spans="1:33" x14ac:dyDescent="0.2">
      <c r="A229" s="1223"/>
      <c r="B229" s="1223"/>
      <c r="C229" s="1223"/>
      <c r="D229" s="1223"/>
      <c r="E229" s="1223"/>
      <c r="F229" s="1223"/>
      <c r="G229" s="1222"/>
      <c r="H229" s="1222"/>
      <c r="I229" s="1223"/>
      <c r="J229" s="1238"/>
      <c r="M229" s="581"/>
      <c r="AE229" s="573"/>
      <c r="AF229" s="573"/>
      <c r="AG229" s="573"/>
    </row>
    <row r="230" spans="1:33" x14ac:dyDescent="0.2">
      <c r="A230" s="1223"/>
      <c r="B230" s="1223"/>
      <c r="C230" s="1223"/>
      <c r="D230" s="1223"/>
      <c r="E230" s="1251" t="str">
        <f>IF(COUNT(E195,E199)=2,IF(E195&lt;E199,C195,C199),"")</f>
        <v>Jaan Sepp</v>
      </c>
      <c r="F230" s="1223"/>
      <c r="G230" s="1228">
        <v>0</v>
      </c>
      <c r="H230" s="1228"/>
      <c r="I230" s="1228"/>
      <c r="J230" s="1223"/>
      <c r="M230" s="581"/>
      <c r="AE230" s="573"/>
      <c r="AF230" s="573"/>
      <c r="AG230" s="573"/>
    </row>
    <row r="231" spans="1:33" x14ac:dyDescent="0.2">
      <c r="A231" s="1223"/>
      <c r="B231" s="1223"/>
      <c r="C231" s="1223"/>
      <c r="D231" s="1223"/>
      <c r="E231" s="1252"/>
      <c r="F231" s="1253"/>
      <c r="G231" s="1231" t="str">
        <f>IF(COUNT(G230,G232)=2,IF(G230&gt;G232,E230,E232),"")</f>
        <v>Vadim Tihhonjuk</v>
      </c>
      <c r="H231" s="1223"/>
      <c r="I231" s="1228">
        <v>11</v>
      </c>
      <c r="J231" s="1223"/>
      <c r="M231" s="581"/>
      <c r="AE231" s="573"/>
      <c r="AF231" s="573"/>
      <c r="AG231" s="573"/>
    </row>
    <row r="232" spans="1:33" x14ac:dyDescent="0.2">
      <c r="A232" s="1223"/>
      <c r="B232" s="1223"/>
      <c r="C232" s="1223"/>
      <c r="D232" s="1223"/>
      <c r="E232" s="1251" t="str">
        <f>IF(COUNT(E203,E207)=2,IF(E203&lt;E207,C203,C207),"")</f>
        <v>Vadim Tihhonjuk</v>
      </c>
      <c r="F232" s="1254"/>
      <c r="G232" s="1233">
        <v>13</v>
      </c>
      <c r="H232" s="1253"/>
      <c r="I232" s="1223"/>
      <c r="J232" s="1223"/>
      <c r="M232" s="581"/>
      <c r="AE232" s="573"/>
      <c r="AF232" s="573"/>
      <c r="AG232" s="573"/>
    </row>
    <row r="233" spans="1:33" ht="13.5" thickBot="1" x14ac:dyDescent="0.25">
      <c r="A233" s="1223"/>
      <c r="B233" s="1223"/>
      <c r="C233" s="1223"/>
      <c r="D233" s="1223"/>
      <c r="E233" s="1228"/>
      <c r="F233" s="1228"/>
      <c r="G233" s="1248"/>
      <c r="H233" s="1255"/>
      <c r="I233" s="1256"/>
      <c r="J233" s="1240" t="str">
        <f>IF(COUNT(I231,I235)=2,IF(I231&gt;I235,G231,G235),"")</f>
        <v>Sander Rose</v>
      </c>
      <c r="M233" s="581"/>
      <c r="AE233" s="573"/>
      <c r="AF233" s="573"/>
      <c r="AG233" s="573"/>
    </row>
    <row r="234" spans="1:33" x14ac:dyDescent="0.2">
      <c r="A234" s="1223"/>
      <c r="B234" s="1223"/>
      <c r="C234" s="1223"/>
      <c r="D234" s="1223"/>
      <c r="E234" s="1251" t="str">
        <f>IF(COUNT(E211,E215)=2,IF(E211&lt;E215,C211,C215),"")</f>
        <v>Sander Rose</v>
      </c>
      <c r="F234" s="1228"/>
      <c r="G234" s="1228">
        <v>13</v>
      </c>
      <c r="H234" s="1255"/>
      <c r="I234" s="1241"/>
      <c r="J234" s="1242" t="s">
        <v>544</v>
      </c>
      <c r="K234" s="1243"/>
      <c r="M234" s="581"/>
      <c r="AE234" s="573"/>
      <c r="AF234" s="573"/>
      <c r="AG234" s="573"/>
    </row>
    <row r="235" spans="1:33" x14ac:dyDescent="0.2">
      <c r="A235" s="1223"/>
      <c r="B235" s="1223"/>
      <c r="C235" s="1223"/>
      <c r="D235" s="1223"/>
      <c r="E235" s="1252"/>
      <c r="F235" s="1253"/>
      <c r="G235" s="1231" t="str">
        <f>IF(COUNT(G234,G236)=2,IF(G234&gt;G236,E234,E236),"")</f>
        <v>Sander Rose</v>
      </c>
      <c r="H235" s="1237"/>
      <c r="I235" s="1233">
        <v>13</v>
      </c>
      <c r="J235" s="1222"/>
      <c r="K235" s="622"/>
      <c r="M235" s="581"/>
      <c r="AE235" s="573"/>
      <c r="AF235" s="573"/>
      <c r="AG235" s="573"/>
    </row>
    <row r="236" spans="1:33" ht="13.5" thickBot="1" x14ac:dyDescent="0.25">
      <c r="A236" s="1223"/>
      <c r="B236" s="1223"/>
      <c r="C236" s="1223"/>
      <c r="D236" s="1223"/>
      <c r="E236" s="1251" t="str">
        <f>IF(COUNT(E219,E223)=2,IF(E219&lt;E223,C219,C223),"")</f>
        <v>Vladimir Ogneštšikov</v>
      </c>
      <c r="F236" s="1254"/>
      <c r="G236" s="1233">
        <v>0</v>
      </c>
      <c r="H236" s="1228"/>
      <c r="I236" s="1248"/>
      <c r="J236" s="1245" t="str">
        <f>IF(COUNT(I231,I235)=2,IF(I231&lt;I235,G231,G235),"")</f>
        <v>Vadim Tihhonjuk</v>
      </c>
      <c r="K236" s="1246"/>
      <c r="M236" s="581"/>
      <c r="AE236" s="573"/>
      <c r="AF236" s="573"/>
      <c r="AG236" s="573"/>
    </row>
    <row r="237" spans="1:33" x14ac:dyDescent="0.2">
      <c r="A237" s="1223"/>
      <c r="B237" s="1223"/>
      <c r="C237" s="1223"/>
      <c r="D237" s="1223"/>
      <c r="E237" s="1228"/>
      <c r="F237" s="1228"/>
      <c r="G237" s="1228"/>
      <c r="H237" s="1228"/>
      <c r="I237" s="1248"/>
      <c r="J237" s="1247" t="s">
        <v>545</v>
      </c>
      <c r="M237" s="581"/>
      <c r="AE237" s="573"/>
      <c r="AF237" s="573"/>
      <c r="AG237" s="573"/>
    </row>
    <row r="238" spans="1:33" x14ac:dyDescent="0.2">
      <c r="A238" s="1223"/>
      <c r="B238" s="1223"/>
      <c r="C238" s="1223"/>
      <c r="D238" s="1223"/>
      <c r="E238" s="1228"/>
      <c r="F238" s="1248"/>
      <c r="G238" s="1240" t="str">
        <f>IF(COUNT(G230,G232)=2,IF(G230&lt;G232,E230,E232),"")</f>
        <v>Jaan Sepp</v>
      </c>
      <c r="H238" s="1223"/>
      <c r="I238" s="1248" t="str">
        <f>IF(G238="-",0,IF(G240="-",13,""))</f>
        <v/>
      </c>
      <c r="J238" s="1222"/>
      <c r="M238" s="581"/>
      <c r="AE238" s="573"/>
      <c r="AF238" s="573"/>
      <c r="AG238" s="573"/>
    </row>
    <row r="239" spans="1:33" ht="13.5" thickBot="1" x14ac:dyDescent="0.25">
      <c r="A239" s="1223"/>
      <c r="B239" s="1223"/>
      <c r="C239" s="1223"/>
      <c r="D239" s="1223"/>
      <c r="E239" s="1228"/>
      <c r="F239" s="1248"/>
      <c r="G239" s="1249"/>
      <c r="H239" s="1234"/>
      <c r="I239" s="1250"/>
      <c r="J239" s="1240" t="s">
        <v>86</v>
      </c>
      <c r="M239" s="581"/>
      <c r="AE239" s="573"/>
      <c r="AF239" s="573"/>
      <c r="AG239" s="573"/>
    </row>
    <row r="240" spans="1:33" x14ac:dyDescent="0.2">
      <c r="A240" s="1223"/>
      <c r="B240" s="1223"/>
      <c r="C240" s="1223"/>
      <c r="D240" s="1223"/>
      <c r="E240" s="1228"/>
      <c r="F240" s="1248"/>
      <c r="G240" s="1251" t="str">
        <f>IF(COUNT(G234,G236)=2,IF(G234&lt;G236,E234,E236),"")</f>
        <v>Vladimir Ogneštšikov</v>
      </c>
      <c r="H240" s="1237"/>
      <c r="I240" s="1233" t="str">
        <f>IF(G240="-",0,IF(G238="-",13,""))</f>
        <v/>
      </c>
      <c r="J240" s="1242" t="s">
        <v>546</v>
      </c>
      <c r="K240" s="1243"/>
      <c r="M240" s="581"/>
      <c r="AE240" s="573"/>
      <c r="AF240" s="573"/>
      <c r="AG240" s="573"/>
    </row>
    <row r="241" spans="1:33" x14ac:dyDescent="0.2">
      <c r="A241" s="1223"/>
      <c r="B241" s="1223"/>
      <c r="C241" s="1223"/>
      <c r="D241" s="1223"/>
      <c r="E241" s="1223"/>
      <c r="F241" s="1222"/>
      <c r="G241" s="1223"/>
      <c r="H241" s="1223"/>
      <c r="I241" s="1223"/>
      <c r="J241" s="1222"/>
      <c r="K241" s="622"/>
      <c r="M241" s="581"/>
      <c r="AE241" s="573"/>
      <c r="AF241" s="573"/>
      <c r="AG241" s="573"/>
    </row>
    <row r="242" spans="1:33" ht="13.5" thickBot="1" x14ac:dyDescent="0.25">
      <c r="A242" s="1223"/>
      <c r="B242" s="1223"/>
      <c r="C242" s="1223"/>
      <c r="D242" s="1223"/>
      <c r="E242" s="1223"/>
      <c r="F242" s="1223"/>
      <c r="G242" s="1222"/>
      <c r="H242" s="1222"/>
      <c r="I242" s="1223"/>
      <c r="J242" s="1257" t="s">
        <v>102</v>
      </c>
      <c r="K242" s="1246"/>
      <c r="M242" s="581"/>
      <c r="AE242" s="573"/>
      <c r="AF242" s="573"/>
      <c r="AG242" s="573"/>
    </row>
    <row r="243" spans="1:33" x14ac:dyDescent="0.2">
      <c r="A243" s="1223"/>
      <c r="B243" s="1223"/>
      <c r="C243" s="1223"/>
      <c r="D243" s="1223"/>
      <c r="E243" s="1223"/>
      <c r="F243" s="1223"/>
      <c r="G243" s="1222"/>
      <c r="H243" s="1222"/>
      <c r="I243" s="1223"/>
      <c r="J243" s="1247" t="s">
        <v>546</v>
      </c>
      <c r="M243" s="581"/>
      <c r="AE243" s="573"/>
      <c r="AF243" s="573"/>
      <c r="AG243" s="573"/>
    </row>
    <row r="244" spans="1:33" x14ac:dyDescent="0.2">
      <c r="A244" s="746"/>
      <c r="B244" s="746"/>
      <c r="C244" s="746"/>
      <c r="D244" s="746"/>
      <c r="E244" s="746"/>
      <c r="F244" s="746"/>
      <c r="G244" s="746"/>
      <c r="H244" s="746"/>
      <c r="I244" s="746"/>
      <c r="J244" s="746"/>
      <c r="M244" s="581"/>
      <c r="AE244" s="573"/>
      <c r="AF244" s="573"/>
      <c r="AG244" s="573"/>
    </row>
    <row r="245" spans="1:33" x14ac:dyDescent="0.2">
      <c r="A245" s="1258" t="s">
        <v>565</v>
      </c>
      <c r="B245" s="746"/>
      <c r="C245" s="746"/>
      <c r="D245" s="746"/>
      <c r="E245" s="746"/>
      <c r="F245" s="746"/>
      <c r="G245" s="746"/>
      <c r="H245" s="746"/>
      <c r="I245" s="746"/>
      <c r="J245" s="746"/>
      <c r="M245" s="581"/>
      <c r="AE245" s="573"/>
      <c r="AF245" s="573"/>
      <c r="AG245" s="573"/>
    </row>
    <row r="246" spans="1:33" x14ac:dyDescent="0.2">
      <c r="A246" s="746"/>
      <c r="B246" s="746"/>
      <c r="C246" s="746"/>
      <c r="D246" s="746"/>
      <c r="E246" s="746"/>
      <c r="F246" s="746"/>
      <c r="G246" s="746"/>
      <c r="H246" s="746"/>
      <c r="I246" s="746"/>
      <c r="J246" s="746"/>
      <c r="M246" s="581"/>
      <c r="AE246" s="573"/>
      <c r="AF246" s="573"/>
      <c r="AG246" s="573"/>
    </row>
    <row r="247" spans="1:33" ht="13.5" thickBot="1" x14ac:dyDescent="0.25">
      <c r="A247" s="746"/>
      <c r="B247" s="746"/>
      <c r="J247" s="1245" t="str">
        <f>IF(COUNT(C194,C196)=2,IF(C194&lt;C196,B194,B196),"")</f>
        <v>Andres Veski</v>
      </c>
      <c r="K247" s="1246"/>
      <c r="M247" s="581"/>
      <c r="AE247" s="573"/>
      <c r="AF247" s="573"/>
      <c r="AG247" s="573"/>
    </row>
    <row r="248" spans="1:33" x14ac:dyDescent="0.2">
      <c r="A248" s="746"/>
      <c r="B248" s="746"/>
      <c r="J248" s="1247" t="s">
        <v>547</v>
      </c>
      <c r="M248" s="581"/>
      <c r="AE248" s="573"/>
      <c r="AF248" s="573"/>
      <c r="AG248" s="573"/>
    </row>
    <row r="249" spans="1:33" hidden="1" x14ac:dyDescent="0.2">
      <c r="A249" s="746"/>
      <c r="B249" s="746"/>
      <c r="J249" s="1223"/>
      <c r="M249" s="581"/>
      <c r="AE249" s="573"/>
      <c r="AF249" s="573"/>
      <c r="AG249" s="573"/>
    </row>
    <row r="250" spans="1:33" hidden="1" x14ac:dyDescent="0.2">
      <c r="A250" s="746"/>
      <c r="B250" s="746"/>
      <c r="J250" s="1223"/>
      <c r="M250" s="581"/>
      <c r="AE250" s="573"/>
      <c r="AF250" s="573"/>
      <c r="AG250" s="573"/>
    </row>
    <row r="251" spans="1:33" hidden="1" x14ac:dyDescent="0.2">
      <c r="A251" s="746"/>
      <c r="B251" s="746"/>
      <c r="J251" s="1223"/>
      <c r="M251" s="581"/>
      <c r="AE251" s="573"/>
      <c r="AF251" s="573"/>
      <c r="AG251" s="573"/>
    </row>
    <row r="252" spans="1:33" hidden="1" x14ac:dyDescent="0.2">
      <c r="A252" s="746"/>
      <c r="B252" s="746"/>
      <c r="J252" s="1223"/>
      <c r="M252" s="581"/>
      <c r="AE252" s="573"/>
      <c r="AF252" s="573"/>
      <c r="AG252" s="573"/>
    </row>
    <row r="253" spans="1:33" hidden="1" x14ac:dyDescent="0.2">
      <c r="A253" s="746"/>
      <c r="B253" s="746"/>
      <c r="M253" s="581"/>
      <c r="AE253" s="573"/>
      <c r="AF253" s="573"/>
      <c r="AG253" s="573"/>
    </row>
    <row r="254" spans="1:33" hidden="1" x14ac:dyDescent="0.2">
      <c r="A254" s="746"/>
      <c r="B254" s="746"/>
      <c r="M254" s="581"/>
      <c r="AE254" s="573"/>
      <c r="AF254" s="573"/>
      <c r="AG254" s="573"/>
    </row>
    <row r="255" spans="1:33" hidden="1" x14ac:dyDescent="0.2">
      <c r="A255" s="746"/>
      <c r="B255" s="746"/>
      <c r="M255" s="581"/>
      <c r="AE255" s="573"/>
      <c r="AF255" s="573"/>
      <c r="AG255" s="573"/>
    </row>
    <row r="256" spans="1:33" hidden="1" x14ac:dyDescent="0.2">
      <c r="A256" s="746"/>
      <c r="B256" s="746"/>
      <c r="M256" s="581"/>
      <c r="AE256" s="573"/>
      <c r="AF256" s="573"/>
      <c r="AG256" s="573"/>
    </row>
    <row r="257" spans="1:33" hidden="1" x14ac:dyDescent="0.2">
      <c r="A257" s="746"/>
      <c r="B257" s="746"/>
      <c r="M257" s="581"/>
      <c r="AE257" s="573"/>
      <c r="AF257" s="573"/>
      <c r="AG257" s="573"/>
    </row>
    <row r="258" spans="1:33" hidden="1" x14ac:dyDescent="0.2">
      <c r="A258" s="746"/>
      <c r="B258" s="746"/>
      <c r="M258" s="581"/>
      <c r="AE258" s="573"/>
      <c r="AF258" s="573"/>
      <c r="AG258" s="573"/>
    </row>
    <row r="259" spans="1:33" hidden="1" x14ac:dyDescent="0.2">
      <c r="A259" s="746"/>
      <c r="B259" s="746"/>
      <c r="M259" s="581"/>
      <c r="AE259" s="573"/>
      <c r="AF259" s="573"/>
      <c r="AG259" s="573"/>
    </row>
    <row r="260" spans="1:33" hidden="1" x14ac:dyDescent="0.2">
      <c r="A260" s="746"/>
      <c r="B260" s="746"/>
      <c r="M260" s="581"/>
      <c r="AE260" s="573"/>
      <c r="AF260" s="573"/>
      <c r="AG260" s="573"/>
    </row>
    <row r="261" spans="1:33" hidden="1" x14ac:dyDescent="0.2">
      <c r="A261" s="746"/>
      <c r="B261" s="746"/>
      <c r="M261" s="581"/>
      <c r="AE261" s="573"/>
      <c r="AF261" s="573"/>
      <c r="AG261" s="573"/>
    </row>
    <row r="262" spans="1:33" hidden="1" x14ac:dyDescent="0.2">
      <c r="A262" s="746"/>
      <c r="B262" s="746"/>
      <c r="M262" s="581"/>
      <c r="AE262" s="573"/>
      <c r="AF262" s="573"/>
      <c r="AG262" s="573"/>
    </row>
    <row r="263" spans="1:33" hidden="1" x14ac:dyDescent="0.2">
      <c r="A263" s="746"/>
      <c r="B263" s="746"/>
      <c r="M263" s="581"/>
      <c r="AE263" s="573"/>
      <c r="AF263" s="573"/>
      <c r="AG263" s="573"/>
    </row>
    <row r="264" spans="1:33" hidden="1" x14ac:dyDescent="0.2">
      <c r="A264" s="746"/>
      <c r="B264" s="746"/>
      <c r="M264" s="581"/>
      <c r="AE264" s="573"/>
      <c r="AF264" s="573"/>
      <c r="AG264" s="573"/>
    </row>
    <row r="265" spans="1:33" hidden="1" x14ac:dyDescent="0.2">
      <c r="A265" s="746"/>
      <c r="B265" s="746"/>
      <c r="M265" s="581"/>
      <c r="AE265" s="573"/>
      <c r="AF265" s="573"/>
      <c r="AG265" s="573"/>
    </row>
    <row r="266" spans="1:33" hidden="1" x14ac:dyDescent="0.2">
      <c r="A266" s="746"/>
      <c r="B266" s="746"/>
      <c r="M266" s="581"/>
      <c r="AE266" s="573"/>
      <c r="AF266" s="573"/>
      <c r="AG266" s="573"/>
    </row>
    <row r="267" spans="1:33" hidden="1" x14ac:dyDescent="0.2">
      <c r="A267" s="746"/>
      <c r="B267" s="746"/>
      <c r="M267" s="581"/>
      <c r="AE267" s="573"/>
      <c r="AF267" s="573"/>
      <c r="AG267" s="573"/>
    </row>
    <row r="268" spans="1:33" hidden="1" x14ac:dyDescent="0.2">
      <c r="A268" s="746"/>
      <c r="B268" s="746"/>
      <c r="C268" s="746"/>
      <c r="D268" s="1223"/>
      <c r="E268" s="1223"/>
      <c r="F268" s="1223"/>
      <c r="G268" s="1223"/>
      <c r="H268" s="1223"/>
      <c r="I268" s="1223"/>
      <c r="J268" s="1223"/>
      <c r="M268" s="581"/>
      <c r="AE268" s="573"/>
      <c r="AF268" s="573"/>
      <c r="AG268" s="573"/>
    </row>
    <row r="269" spans="1:33" hidden="1" x14ac:dyDescent="0.2">
      <c r="A269" s="746"/>
      <c r="B269" s="746"/>
      <c r="C269" s="746"/>
      <c r="D269" s="1223"/>
      <c r="M269" s="581"/>
      <c r="AE269" s="573"/>
      <c r="AF269" s="573"/>
      <c r="AG269" s="573"/>
    </row>
    <row r="270" spans="1:33" hidden="1" x14ac:dyDescent="0.2">
      <c r="A270" s="746"/>
      <c r="B270" s="746"/>
      <c r="C270" s="746"/>
      <c r="D270" s="1223"/>
      <c r="M270" s="581"/>
      <c r="AE270" s="573"/>
      <c r="AF270" s="573"/>
      <c r="AG270" s="573"/>
    </row>
    <row r="271" spans="1:33" hidden="1" x14ac:dyDescent="0.2">
      <c r="A271" s="746"/>
      <c r="B271" s="746"/>
      <c r="C271" s="746"/>
      <c r="D271" s="1223"/>
      <c r="M271" s="581"/>
      <c r="AE271" s="573"/>
      <c r="AF271" s="573"/>
      <c r="AG271" s="573"/>
    </row>
    <row r="272" spans="1:33" hidden="1" x14ac:dyDescent="0.2">
      <c r="A272" s="746"/>
      <c r="B272" s="746"/>
      <c r="C272" s="746"/>
      <c r="D272" s="1223"/>
      <c r="M272" s="581"/>
      <c r="AE272" s="573"/>
      <c r="AF272" s="573"/>
      <c r="AG272" s="573"/>
    </row>
    <row r="273" spans="1:33" hidden="1" x14ac:dyDescent="0.2">
      <c r="A273" s="746"/>
      <c r="B273" s="746"/>
      <c r="C273" s="746"/>
      <c r="D273" s="1223"/>
      <c r="M273" s="581"/>
      <c r="AE273" s="573"/>
      <c r="AF273" s="573"/>
      <c r="AG273" s="573"/>
    </row>
    <row r="274" spans="1:33" hidden="1" x14ac:dyDescent="0.2">
      <c r="A274" s="746"/>
      <c r="B274" s="746"/>
      <c r="C274" s="746"/>
      <c r="D274" s="1223"/>
      <c r="M274" s="581"/>
      <c r="AE274" s="573"/>
      <c r="AF274" s="573"/>
      <c r="AG274" s="573"/>
    </row>
    <row r="275" spans="1:33" hidden="1" x14ac:dyDescent="0.2">
      <c r="A275" s="746"/>
      <c r="B275" s="746"/>
      <c r="C275" s="746"/>
      <c r="D275" s="1223"/>
      <c r="M275" s="581"/>
      <c r="AE275" s="573"/>
      <c r="AF275" s="573"/>
      <c r="AG275" s="573"/>
    </row>
    <row r="276" spans="1:33" hidden="1" x14ac:dyDescent="0.2">
      <c r="A276" s="746"/>
      <c r="B276" s="746"/>
      <c r="C276" s="746"/>
      <c r="D276" s="1223"/>
      <c r="M276" s="581"/>
      <c r="AE276" s="573"/>
      <c r="AF276" s="573"/>
      <c r="AG276" s="573"/>
    </row>
    <row r="277" spans="1:33" hidden="1" x14ac:dyDescent="0.2">
      <c r="A277" s="746"/>
      <c r="B277" s="746"/>
      <c r="C277" s="746"/>
      <c r="D277" s="1223"/>
      <c r="M277" s="581"/>
      <c r="AE277" s="573"/>
      <c r="AF277" s="573"/>
      <c r="AG277" s="573"/>
    </row>
    <row r="278" spans="1:33" hidden="1" x14ac:dyDescent="0.2">
      <c r="A278" s="746"/>
      <c r="B278" s="746"/>
      <c r="C278" s="746"/>
      <c r="D278" s="1223"/>
      <c r="M278" s="581"/>
      <c r="AE278" s="573"/>
      <c r="AF278" s="573"/>
      <c r="AG278" s="573"/>
    </row>
    <row r="279" spans="1:33" hidden="1" x14ac:dyDescent="0.2">
      <c r="A279" s="746"/>
      <c r="B279" s="746"/>
      <c r="C279" s="746"/>
      <c r="D279" s="1223"/>
      <c r="M279" s="581"/>
      <c r="AE279" s="573"/>
      <c r="AF279" s="573"/>
      <c r="AG279" s="573"/>
    </row>
    <row r="280" spans="1:33" hidden="1" x14ac:dyDescent="0.2">
      <c r="A280" s="746"/>
      <c r="B280" s="746"/>
      <c r="C280" s="746"/>
      <c r="D280" s="1223"/>
      <c r="M280" s="581"/>
      <c r="AE280" s="573"/>
      <c r="AF280" s="573"/>
      <c r="AG280" s="573"/>
    </row>
    <row r="281" spans="1:33" hidden="1" x14ac:dyDescent="0.2">
      <c r="A281" s="746"/>
      <c r="B281" s="746"/>
      <c r="C281" s="746"/>
      <c r="D281" s="1223"/>
      <c r="M281" s="581"/>
      <c r="AE281" s="573"/>
      <c r="AF281" s="573"/>
      <c r="AG281" s="573"/>
    </row>
    <row r="282" spans="1:33" hidden="1" x14ac:dyDescent="0.2">
      <c r="A282" s="746"/>
      <c r="B282" s="746"/>
      <c r="C282" s="746"/>
      <c r="D282" s="1223"/>
      <c r="M282" s="581"/>
      <c r="AE282" s="573"/>
      <c r="AF282" s="573"/>
      <c r="AG282" s="573"/>
    </row>
    <row r="283" spans="1:33" hidden="1" x14ac:dyDescent="0.2">
      <c r="M283" s="581"/>
      <c r="AE283" s="573"/>
      <c r="AF283" s="573"/>
      <c r="AG283" s="573"/>
    </row>
    <row r="284" spans="1:33" hidden="1" x14ac:dyDescent="0.2">
      <c r="M284" s="581"/>
      <c r="AE284" s="573"/>
      <c r="AF284" s="573"/>
      <c r="AG284" s="573"/>
    </row>
    <row r="285" spans="1:33" hidden="1" x14ac:dyDescent="0.2">
      <c r="M285" s="581"/>
      <c r="AE285" s="573"/>
      <c r="AF285" s="573"/>
      <c r="AG285" s="573"/>
    </row>
    <row r="286" spans="1:33" hidden="1" x14ac:dyDescent="0.2">
      <c r="M286" s="581"/>
      <c r="AE286" s="573"/>
      <c r="AF286" s="573"/>
      <c r="AG286" s="573"/>
    </row>
    <row r="287" spans="1:33" hidden="1" x14ac:dyDescent="0.2">
      <c r="M287" s="581"/>
      <c r="AE287" s="573"/>
      <c r="AF287" s="573"/>
      <c r="AG287" s="573"/>
    </row>
    <row r="288" spans="1:33" hidden="1" x14ac:dyDescent="0.2">
      <c r="M288" s="581"/>
      <c r="AE288" s="573"/>
      <c r="AF288" s="573"/>
      <c r="AG288" s="573"/>
    </row>
    <row r="289" spans="1:33" hidden="1" x14ac:dyDescent="0.2">
      <c r="M289" s="581"/>
      <c r="AE289" s="573"/>
      <c r="AF289" s="573"/>
      <c r="AG289" s="573"/>
    </row>
    <row r="290" spans="1:33" hidden="1" x14ac:dyDescent="0.2">
      <c r="M290" s="581"/>
      <c r="AE290" s="573"/>
      <c r="AF290" s="573"/>
      <c r="AG290" s="573"/>
    </row>
    <row r="291" spans="1:33" hidden="1" x14ac:dyDescent="0.2">
      <c r="M291" s="581"/>
      <c r="AE291" s="573"/>
      <c r="AF291" s="573"/>
      <c r="AG291" s="573"/>
    </row>
    <row r="292" spans="1:33" hidden="1" x14ac:dyDescent="0.2">
      <c r="M292" s="581"/>
      <c r="AE292" s="573"/>
      <c r="AF292" s="573"/>
      <c r="AG292" s="573"/>
    </row>
    <row r="293" spans="1:33" hidden="1" x14ac:dyDescent="0.2">
      <c r="M293" s="581"/>
      <c r="AE293" s="573"/>
      <c r="AF293" s="573"/>
      <c r="AG293" s="573"/>
    </row>
    <row r="294" spans="1:33" hidden="1" x14ac:dyDescent="0.2">
      <c r="M294" s="581"/>
    </row>
    <row r="295" spans="1:33" hidden="1" x14ac:dyDescent="0.2">
      <c r="M295" s="581"/>
    </row>
    <row r="296" spans="1:33" hidden="1" x14ac:dyDescent="0.2">
      <c r="M296" s="581"/>
    </row>
    <row r="297" spans="1:33" hidden="1" x14ac:dyDescent="0.2">
      <c r="M297" s="581"/>
    </row>
    <row r="298" spans="1:33" x14ac:dyDescent="0.2">
      <c r="M298" s="581"/>
    </row>
    <row r="299" spans="1:33" x14ac:dyDescent="0.2">
      <c r="A299" s="573"/>
      <c r="B299" s="573"/>
      <c r="C299" s="1261" t="s">
        <v>54</v>
      </c>
    </row>
    <row r="300" spans="1:33" x14ac:dyDescent="0.2">
      <c r="A300" s="627">
        <v>1</v>
      </c>
      <c r="B300" s="628" t="str">
        <f>IFERROR(INDEX(J$100:J$300,MATCH(A300&amp;". koht",J$101:J$301,0)),"")</f>
        <v>Kaspar Mänd</v>
      </c>
      <c r="C300" s="1169">
        <v>40</v>
      </c>
    </row>
    <row r="301" spans="1:33" x14ac:dyDescent="0.2">
      <c r="A301" s="627">
        <v>2</v>
      </c>
      <c r="B301" s="628" t="str">
        <f t="shared" ref="B301:B321" si="5">IFERROR(INDEX(J$100:J$300,MATCH(A301&amp;". koht",J$101:J$301,0)),"")</f>
        <v>Kenneth Muusikus</v>
      </c>
      <c r="C301" s="1169">
        <v>34</v>
      </c>
    </row>
    <row r="302" spans="1:33" x14ac:dyDescent="0.2">
      <c r="A302" s="627">
        <v>3</v>
      </c>
      <c r="B302" s="628" t="str">
        <f t="shared" si="5"/>
        <v>Ivar Viljaste</v>
      </c>
      <c r="C302" s="1169">
        <v>30</v>
      </c>
    </row>
    <row r="303" spans="1:33" x14ac:dyDescent="0.2">
      <c r="A303" s="627">
        <v>4</v>
      </c>
      <c r="B303" s="628" t="str">
        <f t="shared" si="5"/>
        <v>Oleg Rõndenkov</v>
      </c>
      <c r="C303" s="1169">
        <v>26</v>
      </c>
    </row>
    <row r="304" spans="1:33" x14ac:dyDescent="0.2">
      <c r="A304" s="627">
        <v>5</v>
      </c>
      <c r="B304" s="628" t="str">
        <f t="shared" si="5"/>
        <v>Olav Türk</v>
      </c>
      <c r="C304" s="1169">
        <v>24</v>
      </c>
    </row>
    <row r="305" spans="1:3" x14ac:dyDescent="0.2">
      <c r="A305" s="627">
        <v>6</v>
      </c>
      <c r="B305" s="628" t="str">
        <f t="shared" si="5"/>
        <v>Matti Vinni</v>
      </c>
      <c r="C305" s="1169">
        <v>22</v>
      </c>
    </row>
    <row r="306" spans="1:3" x14ac:dyDescent="0.2">
      <c r="A306" s="627">
        <v>7</v>
      </c>
      <c r="B306" s="628" t="str">
        <f t="shared" si="5"/>
        <v>Janek Tarto</v>
      </c>
      <c r="C306" s="1169">
        <v>20</v>
      </c>
    </row>
    <row r="307" spans="1:3" x14ac:dyDescent="0.2">
      <c r="A307" s="627">
        <v>8</v>
      </c>
      <c r="B307" s="628" t="str">
        <f t="shared" si="5"/>
        <v>Jaan Saar</v>
      </c>
      <c r="C307" s="1169">
        <v>18</v>
      </c>
    </row>
    <row r="308" spans="1:3" x14ac:dyDescent="0.2">
      <c r="A308" s="627">
        <v>9</v>
      </c>
      <c r="B308" s="628" t="str">
        <f t="shared" si="5"/>
        <v>Ljudmila Varendi</v>
      </c>
      <c r="C308" s="1169">
        <v>16</v>
      </c>
    </row>
    <row r="309" spans="1:3" x14ac:dyDescent="0.2">
      <c r="A309" s="627">
        <v>10</v>
      </c>
      <c r="B309" s="628" t="str">
        <f t="shared" si="5"/>
        <v>Viktor Švarõgin</v>
      </c>
      <c r="C309" s="1169">
        <v>14</v>
      </c>
    </row>
    <row r="310" spans="1:3" x14ac:dyDescent="0.2">
      <c r="A310" s="627">
        <v>11</v>
      </c>
      <c r="B310" s="628" t="str">
        <f t="shared" si="5"/>
        <v>Henri Mitt</v>
      </c>
      <c r="C310" s="1169">
        <v>12</v>
      </c>
    </row>
    <row r="311" spans="1:3" x14ac:dyDescent="0.2">
      <c r="A311" s="627">
        <v>12</v>
      </c>
      <c r="B311" s="628" t="str">
        <f t="shared" si="5"/>
        <v>Meelis Luud</v>
      </c>
      <c r="C311" s="1169">
        <v>10</v>
      </c>
    </row>
    <row r="312" spans="1:3" x14ac:dyDescent="0.2">
      <c r="A312" s="627">
        <v>13</v>
      </c>
      <c r="B312" s="628" t="str">
        <f t="shared" si="5"/>
        <v>Sirje Maala</v>
      </c>
      <c r="C312" s="1169">
        <v>8</v>
      </c>
    </row>
    <row r="313" spans="1:3" x14ac:dyDescent="0.2">
      <c r="A313" s="627">
        <v>14</v>
      </c>
      <c r="B313" s="628" t="str">
        <f t="shared" si="5"/>
        <v>Tõnu Kapper</v>
      </c>
      <c r="C313" s="1169">
        <v>6</v>
      </c>
    </row>
    <row r="314" spans="1:3" x14ac:dyDescent="0.2">
      <c r="A314" s="627">
        <v>15</v>
      </c>
      <c r="B314" s="628" t="str">
        <f t="shared" si="5"/>
        <v>Marta Bernat</v>
      </c>
      <c r="C314" s="1169">
        <v>4</v>
      </c>
    </row>
    <row r="315" spans="1:3" x14ac:dyDescent="0.2">
      <c r="A315" s="627">
        <v>16</v>
      </c>
      <c r="B315" s="628" t="str">
        <f t="shared" si="5"/>
        <v>Kristel Tihhonjuk</v>
      </c>
      <c r="C315" s="1169">
        <v>2</v>
      </c>
    </row>
    <row r="316" spans="1:3" x14ac:dyDescent="0.2">
      <c r="A316" s="627">
        <v>17</v>
      </c>
      <c r="B316" s="628" t="str">
        <f t="shared" si="5"/>
        <v>Urmas Jõeäär</v>
      </c>
      <c r="C316" s="1169">
        <v>1</v>
      </c>
    </row>
    <row r="317" spans="1:3" x14ac:dyDescent="0.2">
      <c r="A317" s="627">
        <v>18</v>
      </c>
      <c r="B317" s="628" t="str">
        <f t="shared" si="5"/>
        <v>Enn Tokman</v>
      </c>
      <c r="C317" s="1169">
        <v>1</v>
      </c>
    </row>
    <row r="318" spans="1:3" x14ac:dyDescent="0.2">
      <c r="A318" s="627">
        <v>19</v>
      </c>
      <c r="B318" s="628" t="str">
        <f t="shared" si="5"/>
        <v>Vello Vasser</v>
      </c>
      <c r="C318" s="1169">
        <v>1</v>
      </c>
    </row>
    <row r="319" spans="1:3" x14ac:dyDescent="0.2">
      <c r="A319" s="627">
        <v>20</v>
      </c>
      <c r="B319" s="628" t="str">
        <f t="shared" si="5"/>
        <v>Lemmit Toomra</v>
      </c>
      <c r="C319" s="1169">
        <v>1</v>
      </c>
    </row>
    <row r="320" spans="1:3" x14ac:dyDescent="0.2">
      <c r="A320" s="627">
        <v>21</v>
      </c>
      <c r="B320" s="628" t="str">
        <f t="shared" si="5"/>
        <v>Sander Rose</v>
      </c>
      <c r="C320" s="1169">
        <v>1</v>
      </c>
    </row>
    <row r="321" spans="1:3" x14ac:dyDescent="0.2">
      <c r="A321" s="627">
        <v>22</v>
      </c>
      <c r="B321" s="628" t="str">
        <f t="shared" si="5"/>
        <v>Vadim Tihhonjuk</v>
      </c>
      <c r="C321" s="1169">
        <v>1</v>
      </c>
    </row>
    <row r="322" spans="1:3" x14ac:dyDescent="0.2">
      <c r="A322" s="627">
        <v>23</v>
      </c>
      <c r="B322" s="628" t="str">
        <f t="shared" ref="B322:B331" si="6">IFERROR(INDEX(J$100:J$300,MATCH(A322&amp;". koht",J$101:J$301,0)),"")</f>
        <v>Jaan Sepp</v>
      </c>
      <c r="C322" s="1169">
        <v>1</v>
      </c>
    </row>
    <row r="323" spans="1:3" x14ac:dyDescent="0.2">
      <c r="A323" s="627">
        <v>24</v>
      </c>
      <c r="B323" s="628" t="str">
        <f t="shared" si="6"/>
        <v/>
      </c>
      <c r="C323" s="1169">
        <v>1</v>
      </c>
    </row>
    <row r="324" spans="1:3" x14ac:dyDescent="0.2">
      <c r="A324" s="627">
        <v>25</v>
      </c>
      <c r="B324" s="628" t="str">
        <f t="shared" si="6"/>
        <v>Andres Veski</v>
      </c>
      <c r="C324" s="1169">
        <v>1</v>
      </c>
    </row>
    <row r="325" spans="1:3" x14ac:dyDescent="0.2">
      <c r="A325" s="627">
        <v>26</v>
      </c>
      <c r="B325" s="628" t="str">
        <f t="shared" si="6"/>
        <v/>
      </c>
    </row>
    <row r="326" spans="1:3" x14ac:dyDescent="0.2">
      <c r="A326" s="627">
        <v>27</v>
      </c>
      <c r="B326" s="628" t="str">
        <f t="shared" si="6"/>
        <v/>
      </c>
    </row>
    <row r="327" spans="1:3" x14ac:dyDescent="0.2">
      <c r="A327" s="627">
        <v>28</v>
      </c>
      <c r="B327" s="628" t="str">
        <f t="shared" si="6"/>
        <v/>
      </c>
    </row>
    <row r="328" spans="1:3" x14ac:dyDescent="0.2">
      <c r="A328" s="627">
        <v>29</v>
      </c>
      <c r="B328" s="628" t="str">
        <f t="shared" si="6"/>
        <v/>
      </c>
    </row>
    <row r="329" spans="1:3" x14ac:dyDescent="0.2">
      <c r="A329" s="627">
        <v>30</v>
      </c>
      <c r="B329" s="628" t="str">
        <f t="shared" si="6"/>
        <v/>
      </c>
    </row>
    <row r="330" spans="1:3" x14ac:dyDescent="0.2">
      <c r="A330" s="627">
        <v>31</v>
      </c>
      <c r="B330" s="628" t="str">
        <f t="shared" si="6"/>
        <v/>
      </c>
    </row>
    <row r="331" spans="1:3" x14ac:dyDescent="0.2">
      <c r="A331" s="627">
        <v>32</v>
      </c>
      <c r="B331" s="628" t="str">
        <f t="shared" si="6"/>
        <v/>
      </c>
    </row>
  </sheetData>
  <conditionalFormatting sqref="A102:A132">
    <cfRule type="duplicateValues" dxfId="1370" priority="335"/>
  </conditionalFormatting>
  <conditionalFormatting sqref="C102 C104">
    <cfRule type="aboveAverage" dxfId="1369" priority="334"/>
  </conditionalFormatting>
  <conditionalFormatting sqref="C102 C104">
    <cfRule type="containsBlanks" dxfId="1368" priority="333">
      <formula>LEN(TRIM(C102))=0</formula>
    </cfRule>
  </conditionalFormatting>
  <conditionalFormatting sqref="C114 C116">
    <cfRule type="aboveAverage" dxfId="1367" priority="332"/>
  </conditionalFormatting>
  <conditionalFormatting sqref="C114 C116">
    <cfRule type="containsBlanks" dxfId="1366" priority="331">
      <formula>LEN(TRIM(C114))=0</formula>
    </cfRule>
  </conditionalFormatting>
  <conditionalFormatting sqref="C118 C120">
    <cfRule type="aboveAverage" dxfId="1365" priority="330"/>
  </conditionalFormatting>
  <conditionalFormatting sqref="C118 C120">
    <cfRule type="containsBlanks" dxfId="1364" priority="329">
      <formula>LEN(TRIM(C118))=0</formula>
    </cfRule>
  </conditionalFormatting>
  <conditionalFormatting sqref="C126 C128">
    <cfRule type="aboveAverage" dxfId="1363" priority="328"/>
  </conditionalFormatting>
  <conditionalFormatting sqref="C126 C128">
    <cfRule type="containsBlanks" dxfId="1362" priority="327">
      <formula>LEN(TRIM(C126))=0</formula>
    </cfRule>
  </conditionalFormatting>
  <conditionalFormatting sqref="E155 E157">
    <cfRule type="aboveAverage" dxfId="1361" priority="326"/>
  </conditionalFormatting>
  <conditionalFormatting sqref="E155 E157">
    <cfRule type="containsBlanks" dxfId="1360" priority="325">
      <formula>LEN(TRIM(E155))=0</formula>
    </cfRule>
  </conditionalFormatting>
  <conditionalFormatting sqref="A194:A224">
    <cfRule type="duplicateValues" dxfId="1359" priority="324"/>
  </conditionalFormatting>
  <conditionalFormatting sqref="C194 C196">
    <cfRule type="aboveAverage" dxfId="1358" priority="323"/>
  </conditionalFormatting>
  <conditionalFormatting sqref="C194 C196">
    <cfRule type="containsBlanks" dxfId="1357" priority="322">
      <formula>LEN(TRIM(C194))=0</formula>
    </cfRule>
  </conditionalFormatting>
  <conditionalFormatting sqref="C206 C208">
    <cfRule type="aboveAverage" dxfId="1356" priority="321"/>
  </conditionalFormatting>
  <conditionalFormatting sqref="C206 C208">
    <cfRule type="containsBlanks" dxfId="1355" priority="320">
      <formula>LEN(TRIM(C206))=0</formula>
    </cfRule>
  </conditionalFormatting>
  <conditionalFormatting sqref="C210 C212">
    <cfRule type="aboveAverage" dxfId="1354" priority="319"/>
  </conditionalFormatting>
  <conditionalFormatting sqref="C210 C212">
    <cfRule type="containsBlanks" dxfId="1353" priority="318">
      <formula>LEN(TRIM(C210))=0</formula>
    </cfRule>
  </conditionalFormatting>
  <conditionalFormatting sqref="C218 C220">
    <cfRule type="aboveAverage" dxfId="1352" priority="317"/>
  </conditionalFormatting>
  <conditionalFormatting sqref="C218 C220">
    <cfRule type="containsBlanks" dxfId="1351" priority="316">
      <formula>LEN(TRIM(C218))=0</formula>
    </cfRule>
  </conditionalFormatting>
  <conditionalFormatting sqref="C202 C204">
    <cfRule type="aboveAverage" dxfId="1350" priority="315"/>
  </conditionalFormatting>
  <conditionalFormatting sqref="C202 C204">
    <cfRule type="containsBlanks" dxfId="1349" priority="314">
      <formula>LEN(TRIM(C202))=0</formula>
    </cfRule>
  </conditionalFormatting>
  <conditionalFormatting sqref="C106 C108">
    <cfRule type="aboveAverage" dxfId="1348" priority="313"/>
  </conditionalFormatting>
  <conditionalFormatting sqref="C106 C108">
    <cfRule type="containsBlanks" dxfId="1347" priority="312">
      <formula>LEN(TRIM(C106))=0</formula>
    </cfRule>
  </conditionalFormatting>
  <conditionalFormatting sqref="C110 C112">
    <cfRule type="aboveAverage" dxfId="1346" priority="311"/>
  </conditionalFormatting>
  <conditionalFormatting sqref="C110 C112">
    <cfRule type="containsBlanks" dxfId="1345" priority="310">
      <formula>LEN(TRIM(C110))=0</formula>
    </cfRule>
  </conditionalFormatting>
  <conditionalFormatting sqref="C122 C124">
    <cfRule type="aboveAverage" dxfId="1344" priority="309"/>
  </conditionalFormatting>
  <conditionalFormatting sqref="C122 C124">
    <cfRule type="containsBlanks" dxfId="1343" priority="308">
      <formula>LEN(TRIM(C122))=0</formula>
    </cfRule>
  </conditionalFormatting>
  <conditionalFormatting sqref="C130 C132">
    <cfRule type="aboveAverage" dxfId="1342" priority="307"/>
  </conditionalFormatting>
  <conditionalFormatting sqref="C130 C132">
    <cfRule type="containsBlanks" dxfId="1341" priority="306">
      <formula>LEN(TRIM(C130))=0</formula>
    </cfRule>
  </conditionalFormatting>
  <conditionalFormatting sqref="C198 C200">
    <cfRule type="aboveAverage" dxfId="1340" priority="305"/>
  </conditionalFormatting>
  <conditionalFormatting sqref="C198 C200">
    <cfRule type="containsBlanks" dxfId="1339" priority="304">
      <formula>LEN(TRIM(C198))=0</formula>
    </cfRule>
  </conditionalFormatting>
  <conditionalFormatting sqref="C214 C216">
    <cfRule type="aboveAverage" dxfId="1338" priority="303"/>
  </conditionalFormatting>
  <conditionalFormatting sqref="C214 C216">
    <cfRule type="containsBlanks" dxfId="1337" priority="302">
      <formula>LEN(TRIM(C214))=0</formula>
    </cfRule>
  </conditionalFormatting>
  <conditionalFormatting sqref="C222 C224">
    <cfRule type="aboveAverage" dxfId="1336" priority="301"/>
  </conditionalFormatting>
  <conditionalFormatting sqref="C222 C224">
    <cfRule type="containsBlanks" dxfId="1335" priority="300">
      <formula>LEN(TRIM(C222))=0</formula>
    </cfRule>
  </conditionalFormatting>
  <conditionalFormatting sqref="E103 E107">
    <cfRule type="containsBlanks" dxfId="1334" priority="298">
      <formula>LEN(TRIM(E103))=0</formula>
    </cfRule>
    <cfRule type="aboveAverage" dxfId="1333" priority="299"/>
  </conditionalFormatting>
  <conditionalFormatting sqref="E111 E115">
    <cfRule type="containsBlanks" dxfId="1332" priority="296">
      <formula>LEN(TRIM(E111))=0</formula>
    </cfRule>
    <cfRule type="aboveAverage" dxfId="1331" priority="297"/>
  </conditionalFormatting>
  <conditionalFormatting sqref="E119 E123">
    <cfRule type="containsBlanks" dxfId="1330" priority="294">
      <formula>LEN(TRIM(E119))=0</formula>
    </cfRule>
    <cfRule type="aboveAverage" dxfId="1329" priority="295"/>
  </conditionalFormatting>
  <conditionalFormatting sqref="E127 E131">
    <cfRule type="containsBlanks" dxfId="1328" priority="292">
      <formula>LEN(TRIM(E127))=0</formula>
    </cfRule>
    <cfRule type="aboveAverage" dxfId="1327" priority="293"/>
  </conditionalFormatting>
  <conditionalFormatting sqref="I139 I143">
    <cfRule type="containsBlanks" dxfId="1326" priority="290">
      <formula>LEN(TRIM(I139))=0</formula>
    </cfRule>
    <cfRule type="aboveAverage" dxfId="1325" priority="291"/>
  </conditionalFormatting>
  <conditionalFormatting sqref="G156 G160">
    <cfRule type="containsBlanks" dxfId="1324" priority="288">
      <formula>LEN(TRIM(G156))=0</formula>
    </cfRule>
    <cfRule type="aboveAverage" dxfId="1323" priority="289"/>
  </conditionalFormatting>
  <conditionalFormatting sqref="G164 G168">
    <cfRule type="containsBlanks" dxfId="1322" priority="286">
      <formula>LEN(TRIM(G164))=0</formula>
    </cfRule>
    <cfRule type="aboveAverage" dxfId="1321" priority="287"/>
  </conditionalFormatting>
  <conditionalFormatting sqref="E195 E199">
    <cfRule type="containsBlanks" dxfId="1320" priority="284">
      <formula>LEN(TRIM(E195))=0</formula>
    </cfRule>
    <cfRule type="aboveAverage" dxfId="1319" priority="285"/>
  </conditionalFormatting>
  <conditionalFormatting sqref="E203 E207">
    <cfRule type="containsBlanks" dxfId="1318" priority="282">
      <formula>LEN(TRIM(E203))=0</formula>
    </cfRule>
    <cfRule type="aboveAverage" dxfId="1317" priority="283"/>
  </conditionalFormatting>
  <conditionalFormatting sqref="E211 E215">
    <cfRule type="containsBlanks" dxfId="1316" priority="280">
      <formula>LEN(TRIM(E211))=0</formula>
    </cfRule>
    <cfRule type="aboveAverage" dxfId="1315" priority="281"/>
  </conditionalFormatting>
  <conditionalFormatting sqref="E219 E223">
    <cfRule type="containsBlanks" dxfId="1314" priority="278">
      <formula>LEN(TRIM(E219))=0</formula>
    </cfRule>
    <cfRule type="aboveAverage" dxfId="1313" priority="279"/>
  </conditionalFormatting>
  <conditionalFormatting sqref="G138 G140">
    <cfRule type="aboveAverage" dxfId="1312" priority="277"/>
  </conditionalFormatting>
  <conditionalFormatting sqref="G138 G140">
    <cfRule type="containsBlanks" dxfId="1311" priority="276">
      <formula>LEN(TRIM(G138))=0</formula>
    </cfRule>
  </conditionalFormatting>
  <conditionalFormatting sqref="G142 G144">
    <cfRule type="aboveAverage" dxfId="1310" priority="275"/>
  </conditionalFormatting>
  <conditionalFormatting sqref="G142 G144">
    <cfRule type="containsBlanks" dxfId="1309" priority="274">
      <formula>LEN(TRIM(G142))=0</formula>
    </cfRule>
  </conditionalFormatting>
  <conditionalFormatting sqref="I131 I133">
    <cfRule type="aboveAverage" dxfId="1308" priority="273"/>
  </conditionalFormatting>
  <conditionalFormatting sqref="I131 I133">
    <cfRule type="containsBlanks" dxfId="1307" priority="272">
      <formula>LEN(TRIM(I131))=0</formula>
    </cfRule>
  </conditionalFormatting>
  <conditionalFormatting sqref="I146 I148">
    <cfRule type="aboveAverage" dxfId="1306" priority="271"/>
  </conditionalFormatting>
  <conditionalFormatting sqref="I146 I148">
    <cfRule type="containsBlanks" dxfId="1305" priority="270">
      <formula>LEN(TRIM(I146))=0</formula>
    </cfRule>
  </conditionalFormatting>
  <conditionalFormatting sqref="E159 E161">
    <cfRule type="aboveAverage" dxfId="1304" priority="269"/>
  </conditionalFormatting>
  <conditionalFormatting sqref="E159 E161">
    <cfRule type="containsBlanks" dxfId="1303" priority="268">
      <formula>LEN(TRIM(E159))=0</formula>
    </cfRule>
  </conditionalFormatting>
  <conditionalFormatting sqref="E163 E165">
    <cfRule type="aboveAverage" dxfId="1302" priority="267"/>
  </conditionalFormatting>
  <conditionalFormatting sqref="E163 E165">
    <cfRule type="containsBlanks" dxfId="1301" priority="266">
      <formula>LEN(TRIM(E163))=0</formula>
    </cfRule>
  </conditionalFormatting>
  <conditionalFormatting sqref="E167 E169">
    <cfRule type="aboveAverage" dxfId="1300" priority="265"/>
  </conditionalFormatting>
  <conditionalFormatting sqref="E167 E169">
    <cfRule type="containsBlanks" dxfId="1299" priority="264">
      <formula>LEN(TRIM(E167))=0</formula>
    </cfRule>
  </conditionalFormatting>
  <conditionalFormatting sqref="I170 I172">
    <cfRule type="aboveAverage" dxfId="1298" priority="263"/>
  </conditionalFormatting>
  <conditionalFormatting sqref="I170 I172">
    <cfRule type="containsBlanks" dxfId="1297" priority="262">
      <formula>LEN(TRIM(I170))=0</formula>
    </cfRule>
  </conditionalFormatting>
  <conditionalFormatting sqref="I223 I225">
    <cfRule type="aboveAverage" dxfId="1296" priority="261"/>
  </conditionalFormatting>
  <conditionalFormatting sqref="I223 I225">
    <cfRule type="containsBlanks" dxfId="1295" priority="260">
      <formula>LEN(TRIM(I223))=0</formula>
    </cfRule>
  </conditionalFormatting>
  <conditionalFormatting sqref="G105 G113">
    <cfRule type="containsBlanks" dxfId="1294" priority="258">
      <formula>LEN(TRIM(G105))=0</formula>
    </cfRule>
    <cfRule type="aboveAverage" dxfId="1293" priority="259"/>
  </conditionalFormatting>
  <conditionalFormatting sqref="G121 G129">
    <cfRule type="containsBlanks" dxfId="1292" priority="256">
      <formula>LEN(TRIM(G121))=0</formula>
    </cfRule>
    <cfRule type="aboveAverage" dxfId="1291" priority="257"/>
  </conditionalFormatting>
  <conditionalFormatting sqref="I158 I166">
    <cfRule type="containsBlanks" dxfId="1290" priority="254">
      <formula>LEN(TRIM(I158))=0</formula>
    </cfRule>
    <cfRule type="aboveAverage" dxfId="1289" priority="255"/>
  </conditionalFormatting>
  <conditionalFormatting sqref="G197 G205">
    <cfRule type="containsBlanks" dxfId="1288" priority="252">
      <formula>LEN(TRIM(G197))=0</formula>
    </cfRule>
    <cfRule type="aboveAverage" dxfId="1287" priority="253"/>
  </conditionalFormatting>
  <conditionalFormatting sqref="G213 G221">
    <cfRule type="containsBlanks" dxfId="1286" priority="250">
      <formula>LEN(TRIM(G213))=0</formula>
    </cfRule>
    <cfRule type="aboveAverage" dxfId="1285" priority="251"/>
  </conditionalFormatting>
  <conditionalFormatting sqref="I178 I182">
    <cfRule type="containsBlanks" dxfId="1284" priority="232">
      <formula>LEN(TRIM(I178))=0</formula>
    </cfRule>
    <cfRule type="aboveAverage" dxfId="1283" priority="233"/>
  </conditionalFormatting>
  <conditionalFormatting sqref="G177 G179">
    <cfRule type="aboveAverage" dxfId="1282" priority="231"/>
  </conditionalFormatting>
  <conditionalFormatting sqref="G177 G179">
    <cfRule type="containsBlanks" dxfId="1281" priority="230">
      <formula>LEN(TRIM(G177))=0</formula>
    </cfRule>
  </conditionalFormatting>
  <conditionalFormatting sqref="G181 G183">
    <cfRule type="aboveAverage" dxfId="1280" priority="229"/>
  </conditionalFormatting>
  <conditionalFormatting sqref="G181 G183">
    <cfRule type="containsBlanks" dxfId="1279" priority="228">
      <formula>LEN(TRIM(G181))=0</formula>
    </cfRule>
  </conditionalFormatting>
  <conditionalFormatting sqref="I185 I187">
    <cfRule type="aboveAverage" dxfId="1278" priority="227"/>
  </conditionalFormatting>
  <conditionalFormatting sqref="I185 I187">
    <cfRule type="containsBlanks" dxfId="1277" priority="226">
      <formula>LEN(TRIM(I185))=0</formula>
    </cfRule>
  </conditionalFormatting>
  <conditionalFormatting sqref="I231 I235">
    <cfRule type="containsBlanks" dxfId="1276" priority="224">
      <formula>LEN(TRIM(I231))=0</formula>
    </cfRule>
    <cfRule type="aboveAverage" dxfId="1275" priority="225"/>
  </conditionalFormatting>
  <conditionalFormatting sqref="G230 G232">
    <cfRule type="aboveAverage" dxfId="1274" priority="223"/>
  </conditionalFormatting>
  <conditionalFormatting sqref="G230 G232">
    <cfRule type="containsBlanks" dxfId="1273" priority="222">
      <formula>LEN(TRIM(G230))=0</formula>
    </cfRule>
  </conditionalFormatting>
  <conditionalFormatting sqref="G234 G236">
    <cfRule type="aboveAverage" dxfId="1272" priority="221"/>
  </conditionalFormatting>
  <conditionalFormatting sqref="G234 G236">
    <cfRule type="containsBlanks" dxfId="1271" priority="220">
      <formula>LEN(TRIM(G234))=0</formula>
    </cfRule>
  </conditionalFormatting>
  <conditionalFormatting sqref="I238 I240">
    <cfRule type="aboveAverage" dxfId="1270" priority="219"/>
  </conditionalFormatting>
  <conditionalFormatting sqref="I238 I240">
    <cfRule type="containsBlanks" dxfId="1269" priority="218">
      <formula>LEN(TRIM(I238))=0</formula>
    </cfRule>
  </conditionalFormatting>
  <conditionalFormatting sqref="I109 I125">
    <cfRule type="containsBlanks" dxfId="1268" priority="208">
      <formula>LEN(TRIM(I109))=0</formula>
    </cfRule>
    <cfRule type="aboveAverage" dxfId="1267" priority="209"/>
  </conditionalFormatting>
  <conditionalFormatting sqref="I201 I217">
    <cfRule type="containsBlanks" dxfId="1266" priority="206">
      <formula>LEN(TRIM(I201))=0</formula>
    </cfRule>
    <cfRule type="aboveAverage" dxfId="1265" priority="207"/>
  </conditionalFormatting>
  <conditionalFormatting sqref="D7 C8">
    <cfRule type="aboveAverage" dxfId="1264" priority="118"/>
  </conditionalFormatting>
  <conditionalFormatting sqref="E7 C9">
    <cfRule type="aboveAverage" dxfId="1263" priority="117"/>
  </conditionalFormatting>
  <conditionalFormatting sqref="F7 C10">
    <cfRule type="aboveAverage" dxfId="1262" priority="116"/>
  </conditionalFormatting>
  <conditionalFormatting sqref="E8 D9">
    <cfRule type="aboveAverage" dxfId="1261" priority="115"/>
  </conditionalFormatting>
  <conditionalFormatting sqref="G7 C11">
    <cfRule type="aboveAverage" dxfId="1260" priority="114"/>
  </conditionalFormatting>
  <conditionalFormatting sqref="F8 D10">
    <cfRule type="aboveAverage" dxfId="1259" priority="113"/>
  </conditionalFormatting>
  <conditionalFormatting sqref="G8 D11">
    <cfRule type="aboveAverage" dxfId="1258" priority="112"/>
  </conditionalFormatting>
  <conditionalFormatting sqref="F9 E10">
    <cfRule type="aboveAverage" dxfId="1257" priority="111"/>
  </conditionalFormatting>
  <conditionalFormatting sqref="G9 E11">
    <cfRule type="aboveAverage" dxfId="1256" priority="110"/>
  </conditionalFormatting>
  <conditionalFormatting sqref="F11 G10">
    <cfRule type="aboveAverage" dxfId="1255" priority="109"/>
  </conditionalFormatting>
  <conditionalFormatting sqref="D14 C15">
    <cfRule type="aboveAverage" dxfId="1254" priority="108"/>
  </conditionalFormatting>
  <conditionalFormatting sqref="E14 C16">
    <cfRule type="aboveAverage" dxfId="1253" priority="107"/>
  </conditionalFormatting>
  <conditionalFormatting sqref="F14 C17">
    <cfRule type="aboveAverage" dxfId="1252" priority="106"/>
  </conditionalFormatting>
  <conditionalFormatting sqref="E15 D16">
    <cfRule type="aboveAverage" dxfId="1251" priority="105"/>
  </conditionalFormatting>
  <conditionalFormatting sqref="G14 C18">
    <cfRule type="aboveAverage" dxfId="1250" priority="104"/>
  </conditionalFormatting>
  <conditionalFormatting sqref="F15 D17">
    <cfRule type="aboveAverage" dxfId="1249" priority="103"/>
  </conditionalFormatting>
  <conditionalFormatting sqref="G15 D18">
    <cfRule type="aboveAverage" dxfId="1248" priority="102"/>
  </conditionalFormatting>
  <conditionalFormatting sqref="F16 E17">
    <cfRule type="aboveAverage" dxfId="1247" priority="101"/>
  </conditionalFormatting>
  <conditionalFormatting sqref="G16 E18">
    <cfRule type="aboveAverage" dxfId="1246" priority="100"/>
  </conditionalFormatting>
  <conditionalFormatting sqref="F18 G17">
    <cfRule type="aboveAverage" dxfId="1245" priority="99"/>
  </conditionalFormatting>
  <conditionalFormatting sqref="D21 C22">
    <cfRule type="aboveAverage" dxfId="1244" priority="98"/>
  </conditionalFormatting>
  <conditionalFormatting sqref="E21 C23">
    <cfRule type="aboveAverage" dxfId="1243" priority="97"/>
  </conditionalFormatting>
  <conditionalFormatting sqref="F21 C24">
    <cfRule type="aboveAverage" dxfId="1242" priority="96"/>
  </conditionalFormatting>
  <conditionalFormatting sqref="E22 D23">
    <cfRule type="aboveAverage" dxfId="1241" priority="95"/>
  </conditionalFormatting>
  <conditionalFormatting sqref="G21 C25">
    <cfRule type="aboveAverage" dxfId="1240" priority="94"/>
  </conditionalFormatting>
  <conditionalFormatting sqref="F22 D24">
    <cfRule type="aboveAverage" dxfId="1239" priority="93"/>
  </conditionalFormatting>
  <conditionalFormatting sqref="G22 D25">
    <cfRule type="aboveAverage" dxfId="1238" priority="92"/>
  </conditionalFormatting>
  <conditionalFormatting sqref="F23 E24">
    <cfRule type="aboveAverage" dxfId="1237" priority="91"/>
  </conditionalFormatting>
  <conditionalFormatting sqref="G23 E25">
    <cfRule type="aboveAverage" dxfId="1236" priority="90"/>
  </conditionalFormatting>
  <conditionalFormatting sqref="F25 G24">
    <cfRule type="aboveAverage" dxfId="1235" priority="89"/>
  </conditionalFormatting>
  <conditionalFormatting sqref="D28 C29">
    <cfRule type="aboveAverage" dxfId="1234" priority="88"/>
  </conditionalFormatting>
  <conditionalFormatting sqref="E28 C30">
    <cfRule type="aboveAverage" dxfId="1233" priority="87"/>
  </conditionalFormatting>
  <conditionalFormatting sqref="F28 C31">
    <cfRule type="aboveAverage" dxfId="1232" priority="86"/>
  </conditionalFormatting>
  <conditionalFormatting sqref="E29 D30">
    <cfRule type="aboveAverage" dxfId="1231" priority="85"/>
  </conditionalFormatting>
  <conditionalFormatting sqref="G28 C32">
    <cfRule type="aboveAverage" dxfId="1230" priority="84"/>
  </conditionalFormatting>
  <conditionalFormatting sqref="F29 D31">
    <cfRule type="aboveAverage" dxfId="1229" priority="83"/>
  </conditionalFormatting>
  <conditionalFormatting sqref="G29 D32">
    <cfRule type="aboveAverage" dxfId="1228" priority="82"/>
  </conditionalFormatting>
  <conditionalFormatting sqref="F30 E31">
    <cfRule type="aboveAverage" dxfId="1227" priority="81"/>
  </conditionalFormatting>
  <conditionalFormatting sqref="G30 E32">
    <cfRule type="aboveAverage" dxfId="1226" priority="80"/>
  </conditionalFormatting>
  <conditionalFormatting sqref="F32 G31">
    <cfRule type="aboveAverage" dxfId="1225" priority="79"/>
  </conditionalFormatting>
  <conditionalFormatting sqref="D35 C36">
    <cfRule type="aboveAverage" dxfId="1224" priority="78"/>
  </conditionalFormatting>
  <conditionalFormatting sqref="E35 C37">
    <cfRule type="aboveAverage" dxfId="1223" priority="77"/>
  </conditionalFormatting>
  <conditionalFormatting sqref="F35 C38">
    <cfRule type="aboveAverage" dxfId="1222" priority="76"/>
  </conditionalFormatting>
  <conditionalFormatting sqref="E36 D37">
    <cfRule type="aboveAverage" dxfId="1221" priority="75"/>
  </conditionalFormatting>
  <conditionalFormatting sqref="G35 C39">
    <cfRule type="aboveAverage" dxfId="1220" priority="74"/>
  </conditionalFormatting>
  <conditionalFormatting sqref="F36 D38">
    <cfRule type="aboveAverage" dxfId="1219" priority="73"/>
  </conditionalFormatting>
  <conditionalFormatting sqref="G36 D39">
    <cfRule type="aboveAverage" dxfId="1218" priority="72"/>
  </conditionalFormatting>
  <conditionalFormatting sqref="F37 E38">
    <cfRule type="aboveAverage" dxfId="1217" priority="71"/>
  </conditionalFormatting>
  <conditionalFormatting sqref="G37 E39">
    <cfRule type="aboveAverage" dxfId="1216" priority="70"/>
  </conditionalFormatting>
  <conditionalFormatting sqref="F39 G38">
    <cfRule type="aboveAverage" dxfId="1215" priority="69"/>
  </conditionalFormatting>
  <conditionalFormatting sqref="D42 C43">
    <cfRule type="aboveAverage" dxfId="1214" priority="68"/>
  </conditionalFormatting>
  <conditionalFormatting sqref="E42 C44">
    <cfRule type="aboveAverage" dxfId="1213" priority="67"/>
  </conditionalFormatting>
  <conditionalFormatting sqref="F42 C45">
    <cfRule type="aboveAverage" dxfId="1212" priority="66"/>
  </conditionalFormatting>
  <conditionalFormatting sqref="E43 D44">
    <cfRule type="aboveAverage" dxfId="1211" priority="65"/>
  </conditionalFormatting>
  <conditionalFormatting sqref="G42 C46">
    <cfRule type="aboveAverage" dxfId="1210" priority="64"/>
  </conditionalFormatting>
  <conditionalFormatting sqref="F43 D45">
    <cfRule type="aboveAverage" dxfId="1209" priority="63"/>
  </conditionalFormatting>
  <conditionalFormatting sqref="G43 D46">
    <cfRule type="aboveAverage" dxfId="1208" priority="62"/>
  </conditionalFormatting>
  <conditionalFormatting sqref="F44 E45">
    <cfRule type="aboveAverage" dxfId="1207" priority="61"/>
  </conditionalFormatting>
  <conditionalFormatting sqref="G44 E46">
    <cfRule type="aboveAverage" dxfId="1206" priority="60"/>
  </conditionalFormatting>
  <conditionalFormatting sqref="F46 G45">
    <cfRule type="aboveAverage" dxfId="1205" priority="59"/>
  </conditionalFormatting>
  <conditionalFormatting sqref="D49 C50">
    <cfRule type="aboveAverage" dxfId="1204" priority="58"/>
  </conditionalFormatting>
  <conditionalFormatting sqref="E49 C51">
    <cfRule type="aboveAverage" dxfId="1203" priority="57"/>
  </conditionalFormatting>
  <conditionalFormatting sqref="F49 C52">
    <cfRule type="aboveAverage" dxfId="1202" priority="56"/>
  </conditionalFormatting>
  <conditionalFormatting sqref="E50 D51">
    <cfRule type="aboveAverage" dxfId="1201" priority="55"/>
  </conditionalFormatting>
  <conditionalFormatting sqref="G49 C53">
    <cfRule type="aboveAverage" dxfId="1200" priority="54"/>
  </conditionalFormatting>
  <conditionalFormatting sqref="F50 D52">
    <cfRule type="aboveAverage" dxfId="1199" priority="53"/>
  </conditionalFormatting>
  <conditionalFormatting sqref="G50 D53">
    <cfRule type="aboveAverage" dxfId="1198" priority="52"/>
  </conditionalFormatting>
  <conditionalFormatting sqref="F51 E52">
    <cfRule type="aboveAverage" dxfId="1197" priority="51"/>
  </conditionalFormatting>
  <conditionalFormatting sqref="G51 E53">
    <cfRule type="aboveAverage" dxfId="1196" priority="50"/>
  </conditionalFormatting>
  <conditionalFormatting sqref="F53 G52">
    <cfRule type="aboveAverage" dxfId="1195" priority="49"/>
  </conditionalFormatting>
  <conditionalFormatting sqref="D56 C57">
    <cfRule type="aboveAverage" dxfId="1194" priority="48"/>
  </conditionalFormatting>
  <conditionalFormatting sqref="E56 C58">
    <cfRule type="aboveAverage" dxfId="1193" priority="47"/>
  </conditionalFormatting>
  <conditionalFormatting sqref="F56 C59">
    <cfRule type="aboveAverage" dxfId="1192" priority="46"/>
  </conditionalFormatting>
  <conditionalFormatting sqref="E57 D58">
    <cfRule type="aboveAverage" dxfId="1191" priority="45"/>
  </conditionalFormatting>
  <conditionalFormatting sqref="G56 C60">
    <cfRule type="aboveAverage" dxfId="1190" priority="44"/>
  </conditionalFormatting>
  <conditionalFormatting sqref="F57 D59">
    <cfRule type="aboveAverage" dxfId="1189" priority="43"/>
  </conditionalFormatting>
  <conditionalFormatting sqref="G57 D60">
    <cfRule type="aboveAverage" dxfId="1188" priority="42"/>
  </conditionalFormatting>
  <conditionalFormatting sqref="F58 E59">
    <cfRule type="aboveAverage" dxfId="1187" priority="41"/>
  </conditionalFormatting>
  <conditionalFormatting sqref="G58 E60">
    <cfRule type="aboveAverage" dxfId="1186" priority="40"/>
  </conditionalFormatting>
  <conditionalFormatting sqref="F60 G59">
    <cfRule type="aboveAverage" dxfId="1185" priority="39"/>
  </conditionalFormatting>
  <conditionalFormatting sqref="I28:I32">
    <cfRule type="expression" dxfId="1184" priority="33">
      <formula>FIND(2,I28,1)</formula>
    </cfRule>
    <cfRule type="expression" dxfId="1183" priority="34">
      <formula>FIND(1,I28,1)</formula>
    </cfRule>
  </conditionalFormatting>
  <conditionalFormatting sqref="I21:I25">
    <cfRule type="expression" dxfId="1182" priority="35">
      <formula>FIND(2,I21,1)</formula>
    </cfRule>
    <cfRule type="expression" dxfId="1181" priority="36">
      <formula>FIND(1,I21,1)</formula>
    </cfRule>
  </conditionalFormatting>
  <conditionalFormatting sqref="I49:I53">
    <cfRule type="expression" dxfId="1180" priority="31">
      <formula>FIND(2,I49,1)</formula>
    </cfRule>
    <cfRule type="expression" dxfId="1179" priority="32">
      <formula>FIND(1,I49,1)</formula>
    </cfRule>
  </conditionalFormatting>
  <conditionalFormatting sqref="I7:I11">
    <cfRule type="expression" dxfId="1178" priority="37">
      <formula>FIND(2,I7,1)</formula>
    </cfRule>
    <cfRule type="expression" dxfId="1177" priority="38">
      <formula>FIND(1,I7,1)</formula>
    </cfRule>
  </conditionalFormatting>
  <conditionalFormatting sqref="I14:I18">
    <cfRule type="expression" dxfId="1176" priority="27">
      <formula>FIND(2,I14,1)</formula>
    </cfRule>
    <cfRule type="expression" dxfId="1175" priority="28">
      <formula>FIND(1,I14,1)</formula>
    </cfRule>
  </conditionalFormatting>
  <conditionalFormatting sqref="I35:I39">
    <cfRule type="expression" dxfId="1174" priority="25">
      <formula>FIND(2,I35,1)</formula>
    </cfRule>
    <cfRule type="expression" dxfId="1173" priority="26">
      <formula>FIND(1,I35,1)</formula>
    </cfRule>
  </conditionalFormatting>
  <conditionalFormatting sqref="I42:I46">
    <cfRule type="expression" dxfId="1172" priority="23">
      <formula>FIND(2,I42,1)</formula>
    </cfRule>
    <cfRule type="expression" dxfId="1171" priority="24">
      <formula>FIND(1,I42,1)</formula>
    </cfRule>
  </conditionalFormatting>
  <conditionalFormatting sqref="J14:J18">
    <cfRule type="expression" dxfId="1170" priority="21">
      <formula>AND(L14=3,IF(COUNTIF(L$14:L$18,"=3")&gt;=2,TRUE))</formula>
    </cfRule>
    <cfRule type="expression" dxfId="1169" priority="119">
      <formula>AND(L14=1,IF(COUNTIF(L$14:L$18,"=1")&gt;=2,TRUE))</formula>
    </cfRule>
    <cfRule type="expression" dxfId="1168" priority="120">
      <formula>AND(L14=2,IF(COUNTIF(L$14:L$18,"=2")&gt;=2,TRUE))</formula>
    </cfRule>
  </conditionalFormatting>
  <conditionalFormatting sqref="J49:J53">
    <cfRule type="expression" dxfId="1167" priority="121">
      <formula>AND(L49=3,IF(COUNTIF(L$49:L$53,"=3")&gt;=2,TRUE))</formula>
    </cfRule>
    <cfRule type="expression" dxfId="1166" priority="122">
      <formula>AND(L49=1,IF(COUNTIF(L$49:L$53,"=1")&gt;=2,TRUE))</formula>
    </cfRule>
    <cfRule type="expression" priority="123">
      <formula>AND(L49=2,IF(COUNTIF(L$49:L$53,"=2")&gt;=2,TRUE))</formula>
    </cfRule>
  </conditionalFormatting>
  <conditionalFormatting sqref="J42:J46">
    <cfRule type="expression" dxfId="1165" priority="127">
      <formula>AND(L42=3,IF(COUNTIF(L$42:L$46,"=3")&gt;=2,TRUE))</formula>
    </cfRule>
    <cfRule type="expression" dxfId="1164" priority="128">
      <formula>AND(L42=1,IF(COUNTIF(L$42:L$46,"=1")&gt;=2,TRUE))</formula>
    </cfRule>
    <cfRule type="expression" dxfId="1163" priority="129">
      <formula>AND(L42=2,IF(COUNTIF(L$42:L$46,"=2")&gt;=2,TRUE))</formula>
    </cfRule>
  </conditionalFormatting>
  <conditionalFormatting sqref="J35:J39">
    <cfRule type="expression" dxfId="1162" priority="130">
      <formula>AND(L35=3,IF(COUNTIF(L$35:L$39,"=3")&gt;=2,TRUE))</formula>
    </cfRule>
    <cfRule type="expression" dxfId="1161" priority="131">
      <formula>AND(L35=1,IF(COUNTIF(L$35:L$39,"=1")&gt;=2,TRUE))</formula>
    </cfRule>
    <cfRule type="expression" dxfId="1160" priority="132">
      <formula>AND(L35=2,IF(COUNTIF(L$35:L$39,"=2")&gt;=2,TRUE))</formula>
    </cfRule>
  </conditionalFormatting>
  <conditionalFormatting sqref="J28:J32">
    <cfRule type="expression" dxfId="1159" priority="133">
      <formula>AND(L28=3,IF(COUNTIF(L$28:L$32,"=3")&gt;=2,TRUE))</formula>
    </cfRule>
    <cfRule type="expression" dxfId="1158" priority="134">
      <formula>AND(L28=1,IF(COUNTIF(L$28:L$32,"=1")&gt;=2,TRUE))</formula>
    </cfRule>
    <cfRule type="expression" dxfId="1157" priority="135">
      <formula>AND(L28=2,IF(COUNTIF(L$28:L$32,"=2")&gt;=2,TRUE))</formula>
    </cfRule>
  </conditionalFormatting>
  <conditionalFormatting sqref="J21:J25">
    <cfRule type="expression" dxfId="1156" priority="136">
      <formula>AND(L21=3,IF(COUNTIF(L$21:L$25,"=3")&gt;=2,TRUE))</formula>
    </cfRule>
    <cfRule type="expression" dxfId="1155" priority="137">
      <formula>AND(L21=1,IF(COUNTIF(L$21:L$25,"=1")&gt;=2,TRUE))</formula>
    </cfRule>
    <cfRule type="expression" dxfId="1154" priority="138">
      <formula>AND(L21=2,IF(COUNTIF(L$21:L$25,"=2")&gt;=2,TRUE))</formula>
    </cfRule>
  </conditionalFormatting>
  <conditionalFormatting sqref="J7:J11">
    <cfRule type="expression" dxfId="1153" priority="139">
      <formula>AND(L7=3,IF(COUNTIF(L$7:L$11,"=3")&gt;=2,TRUE))</formula>
    </cfRule>
    <cfRule type="expression" dxfId="1152" priority="140">
      <formula>AND(L7=1,IF(COUNTIF(L$7:L$11,"=1")&gt;=2,TRUE))</formula>
    </cfRule>
    <cfRule type="expression" dxfId="1151" priority="141">
      <formula>AND(L7=2,IF(COUNTIF(L$7:L$11,"=2")&gt;=2,TRUE))</formula>
    </cfRule>
  </conditionalFormatting>
  <conditionalFormatting sqref="K7:K11">
    <cfRule type="expression" dxfId="1150" priority="142">
      <formula>AND(L7=2,IF(COUNTIF(L$7:L$11,"=2")=1,TRUE))</formula>
    </cfRule>
    <cfRule type="expression" dxfId="1149" priority="143">
      <formula>AND(IF(COUNTIF(L$7:L$11,"=1")=2,TRUE),IF(COUNTIF(L$7:L$11,"=2")=2,TRUE))</formula>
    </cfRule>
    <cfRule type="expression" dxfId="1148" priority="144">
      <formula>OR(L7=0,L7=4)</formula>
    </cfRule>
    <cfRule type="expression" dxfId="1147" priority="145">
      <formula>AND(L7=1,IF(COUNTIF(L$7:L$11,"=1")=1,TRUE))</formula>
    </cfRule>
    <cfRule type="expression" dxfId="1146" priority="146">
      <formula>AND(L7=3,IF(COUNTIF(L$7:L$11,"=3")=1,TRUE))</formula>
    </cfRule>
  </conditionalFormatting>
  <conditionalFormatting sqref="K14:K18">
    <cfRule type="expression" dxfId="1145" priority="147">
      <formula>AND(L14=2,IF(COUNTIF(L$14:L$18,"=2")=1,TRUE))</formula>
    </cfRule>
    <cfRule type="expression" dxfId="1144" priority="148">
      <formula>AND(IF(COUNTIF(L$14:L$18,"=1")=2,TRUE),IF(COUNTIF(L$14:L$18,"=2")=2,TRUE))</formula>
    </cfRule>
    <cfRule type="expression" dxfId="1143" priority="149">
      <formula>OR(L14=0,L14=4)</formula>
    </cfRule>
    <cfRule type="expression" dxfId="1142" priority="150">
      <formula>AND(L14=1,IF(COUNTIF(L$14:L$18,"=1")=1,TRUE))</formula>
    </cfRule>
    <cfRule type="expression" dxfId="1141" priority="151">
      <formula>AND(L14=3,IF(COUNTIF(L$14:L$18,"=3")=1,TRUE))</formula>
    </cfRule>
  </conditionalFormatting>
  <conditionalFormatting sqref="K21:K25">
    <cfRule type="expression" dxfId="1140" priority="152">
      <formula>AND(L21=2,IF(COUNTIF(L$21:L$25,"=2")=1,TRUE))</formula>
    </cfRule>
    <cfRule type="expression" dxfId="1139" priority="153">
      <formula>AND(IF(COUNTIF(L$21:L$25,"=1")=2,TRUE),IF(COUNTIF(L$21:L$25,"=2")=2,TRUE))</formula>
    </cfRule>
    <cfRule type="expression" dxfId="1138" priority="154">
      <formula>OR(L21=0,L21=4)</formula>
    </cfRule>
    <cfRule type="expression" dxfId="1137" priority="155">
      <formula>AND(L21=1,IF(COUNTIF(L$21:L$25,"=1")=1,TRUE))</formula>
    </cfRule>
    <cfRule type="expression" dxfId="1136" priority="156">
      <formula>AND(L21=3,IF(COUNTIF(L$21:L$25,"=3")=1,TRUE))</formula>
    </cfRule>
  </conditionalFormatting>
  <conditionalFormatting sqref="K35:K39">
    <cfRule type="expression" dxfId="1135" priority="157">
      <formula>AND(L35=2,IF(COUNTIF(L$35:L$39,"=2")=1,TRUE))</formula>
    </cfRule>
    <cfRule type="expression" dxfId="1134" priority="158">
      <formula>AND(IF(COUNTIF(L$35:L$39,"=1")=2,TRUE),IF(COUNTIF(L$35:L$39,"=2")=2,TRUE))</formula>
    </cfRule>
    <cfRule type="expression" dxfId="1133" priority="159">
      <formula>OR(L35=0,L35=4)</formula>
    </cfRule>
    <cfRule type="expression" dxfId="1132" priority="160">
      <formula>AND(L35=1,IF(COUNTIF(L$35:L$39,"=1")=1,TRUE))</formula>
    </cfRule>
    <cfRule type="expression" dxfId="1131" priority="161">
      <formula>AND(L35=3,IF(COUNTIF(L$35:L$39,"=3")=1,TRUE))</formula>
    </cfRule>
  </conditionalFormatting>
  <conditionalFormatting sqref="K28:K32">
    <cfRule type="expression" dxfId="1130" priority="162">
      <formula>AND(L28=2,IF(COUNTIF(L$28:L$32,"=2")=1,TRUE))</formula>
    </cfRule>
    <cfRule type="expression" dxfId="1129" priority="163">
      <formula>AND(IF(COUNTIF(L$28:L$32,"=1")=2,TRUE),IF(COUNTIF(L$28:L$32,"=2")=2,TRUE))</formula>
    </cfRule>
    <cfRule type="expression" dxfId="1128" priority="164">
      <formula>OR(L28=0,L28=4)</formula>
    </cfRule>
    <cfRule type="expression" dxfId="1127" priority="165">
      <formula>AND(L28=1,IF(COUNTIF(L$28:L$32,"=1")=1,TRUE))</formula>
    </cfRule>
    <cfRule type="expression" dxfId="1126" priority="166">
      <formula>AND(L28=3,IF(COUNTIF(L$28:L$32,"=3")=1,TRUE))</formula>
    </cfRule>
  </conditionalFormatting>
  <conditionalFormatting sqref="K42:K46">
    <cfRule type="expression" dxfId="1125" priority="167">
      <formula>AND(L42=2,IF(COUNTIF(L$42:L$46,"=2")=1,TRUE))</formula>
    </cfRule>
    <cfRule type="expression" dxfId="1124" priority="168">
      <formula>AND(IF(COUNTIF(L$42:L$46,"=1")=2,TRUE),IF(COUNTIF(L$42:L$46,"=2")=2,TRUE))</formula>
    </cfRule>
    <cfRule type="expression" dxfId="1123" priority="169">
      <formula>OR(L42=0,L42=4)</formula>
    </cfRule>
    <cfRule type="expression" dxfId="1122" priority="170">
      <formula>AND(L42=1,IF(COUNTIF(L$42:L$46,"=1")=1,TRUE))</formula>
    </cfRule>
    <cfRule type="expression" dxfId="1121" priority="171">
      <formula>AND(L42=3,IF(COUNTIF(L$42:L$46,"=3")=1,TRUE))</formula>
    </cfRule>
  </conditionalFormatting>
  <conditionalFormatting sqref="K49:K53">
    <cfRule type="expression" dxfId="1120" priority="172">
      <formula>AND(L49=2,IF(COUNTIF(L$49:L$53,"=2")=1,TRUE))</formula>
    </cfRule>
    <cfRule type="expression" dxfId="1119" priority="173">
      <formula>AND(IF(COUNTIF(L$49:L$53,"=1")=2,TRUE),IF(COUNTIF(L$49:L$53,"=2")=2,TRUE))</formula>
    </cfRule>
    <cfRule type="expression" dxfId="1118" priority="174">
      <formula>OR(L49=0,L49=4)</formula>
    </cfRule>
    <cfRule type="expression" dxfId="1117" priority="175">
      <formula>AND(L49=1,IF(COUNTIF(L$49:L$53,"=1")=1,TRUE))</formula>
    </cfRule>
    <cfRule type="expression" dxfId="1116" priority="176">
      <formula>AND(L49=3,IF(COUNTIF(L$49:L$53,"=3")=1,TRUE))</formula>
    </cfRule>
  </conditionalFormatting>
  <conditionalFormatting sqref="H7:H11">
    <cfRule type="expression" dxfId="1115" priority="182">
      <formula>AND(L7=1,IF(COUNTIF(L$7:L$11,"=1")&gt;=2,TRUE))</formula>
    </cfRule>
    <cfRule type="expression" dxfId="1114" priority="183">
      <formula>AND(L7=3,IF(COUNTIF(L$7:L$11,"=3")&gt;=2,TRUE))</formula>
    </cfRule>
    <cfRule type="expression" dxfId="1113" priority="184">
      <formula>AND(L7=2,IF(COUNTIF(L$7:L$11,"=2")&gt;=2,TRUE))</formula>
    </cfRule>
  </conditionalFormatting>
  <conditionalFormatting sqref="H14:H18">
    <cfRule type="expression" dxfId="1112" priority="185">
      <formula>AND(L14=1,IF(COUNTIF(L$14:L$18,"=1")&gt;=2,TRUE))</formula>
    </cfRule>
    <cfRule type="expression" dxfId="1111" priority="186">
      <formula>AND(L14=3,IF(COUNTIF(L$14:L$18,"=3")&gt;=2,TRUE))</formula>
    </cfRule>
    <cfRule type="expression" dxfId="1110" priority="187">
      <formula>AND(L14=2,IF(COUNTIF(L$14:L$18,"=2")&gt;=2,TRUE))</formula>
    </cfRule>
  </conditionalFormatting>
  <conditionalFormatting sqref="H21:H25">
    <cfRule type="expression" dxfId="1109" priority="188">
      <formula>AND(L21=1,IF(COUNTIF(L$21:L$25,"=1")&gt;=2,TRUE))</formula>
    </cfRule>
    <cfRule type="expression" dxfId="1108" priority="189">
      <formula>AND(L21=3,IF(COUNTIF(L$21:L$25,"=3")&gt;=2,TRUE))</formula>
    </cfRule>
    <cfRule type="expression" dxfId="1107" priority="190">
      <formula>AND(L21=2,IF(COUNTIF(L$21:L$25,"=2")&gt;=2,TRUE))</formula>
    </cfRule>
  </conditionalFormatting>
  <conditionalFormatting sqref="H28:H32">
    <cfRule type="expression" dxfId="1106" priority="191">
      <formula>AND(L28=1,IF(COUNTIF(L$28:L$32,"=1")&gt;=2,TRUE))</formula>
    </cfRule>
    <cfRule type="expression" dxfId="1105" priority="192">
      <formula>AND(L28=3,IF(COUNTIF(L$28:L$32,"=3")&gt;=2,TRUE))</formula>
    </cfRule>
    <cfRule type="expression" dxfId="1104" priority="193">
      <formula>AND(L28=2,IF(COUNTIF(L$28:L$32,"=2")&gt;=2,TRUE))</formula>
    </cfRule>
  </conditionalFormatting>
  <conditionalFormatting sqref="H35:H39">
    <cfRule type="expression" dxfId="1103" priority="194">
      <formula>AND(L35=1,IF(COUNTIF(L$35:L$39,"=1")&gt;=2,TRUE))</formula>
    </cfRule>
    <cfRule type="expression" dxfId="1102" priority="195">
      <formula>AND(L35=3,IF(COUNTIF(L$35:L$39,"=3")&gt;=2,TRUE))</formula>
    </cfRule>
    <cfRule type="expression" dxfId="1101" priority="196">
      <formula>AND(L35=2,IF(COUNTIF(L$35:L$39,"=2")&gt;=2,TRUE))</formula>
    </cfRule>
  </conditionalFormatting>
  <conditionalFormatting sqref="H42:H46">
    <cfRule type="expression" dxfId="1100" priority="197">
      <formula>AND(L42=1,IF(COUNTIF(L$42:L$46,"=1")&gt;=2,TRUE))</formula>
    </cfRule>
    <cfRule type="expression" dxfId="1099" priority="198">
      <formula>AND(L42=3,IF(COUNTIF(L$42:L$46,"=3")&gt;=2,TRUE))</formula>
    </cfRule>
    <cfRule type="expression" dxfId="1098" priority="199">
      <formula>AND(L42=2,IF(COUNTIF(L$42:L$46,"=2")&gt;=2,TRUE))</formula>
    </cfRule>
  </conditionalFormatting>
  <conditionalFormatting sqref="H49:H53">
    <cfRule type="expression" dxfId="1097" priority="200">
      <formula>AND(L49=1,IF(COUNTIF(L$49:L$53,"=1")&gt;=2,TRUE))</formula>
    </cfRule>
    <cfRule type="expression" dxfId="1096" priority="201">
      <formula>AND(L49=3,IF(COUNTIF(L$49:L$53,"=3")&gt;=2,TRUE))</formula>
    </cfRule>
    <cfRule type="expression" dxfId="1095" priority="202">
      <formula>AND(L49=2,IF(COUNTIF(L$49:L$53,"=2")&gt;=2,TRUE))</formula>
    </cfRule>
  </conditionalFormatting>
  <conditionalFormatting sqref="B7:B60">
    <cfRule type="duplicateValues" dxfId="1094" priority="22"/>
  </conditionalFormatting>
  <conditionalFormatting sqref="AF7:AF60">
    <cfRule type="expression" dxfId="1093" priority="20">
      <formula>AND(AG7="",COUNTIF(AF7,"*,*")=0)</formula>
    </cfRule>
  </conditionalFormatting>
  <conditionalFormatting sqref="I56:I60">
    <cfRule type="expression" dxfId="1092" priority="7">
      <formula>FIND(2,I56,1)</formula>
    </cfRule>
    <cfRule type="expression" dxfId="1091" priority="8">
      <formula>FIND(1,I56,1)</formula>
    </cfRule>
  </conditionalFormatting>
  <conditionalFormatting sqref="J56:J60">
    <cfRule type="expression" dxfId="1090" priority="9">
      <formula>AND(L56=3,IF(COUNTIF(L$56:L$60,"=3")&gt;=2,TRUE))</formula>
    </cfRule>
    <cfRule type="expression" dxfId="1089" priority="10">
      <formula>AND(L56=1,IF(COUNTIF(L$56:L$60,"=1")&gt;=2,TRUE))</formula>
    </cfRule>
    <cfRule type="expression" dxfId="1088" priority="11">
      <formula>AND(L56=2,IF(COUNTIF(L$56:L$60,"=2")&gt;=2,TRUE))</formula>
    </cfRule>
  </conditionalFormatting>
  <conditionalFormatting sqref="K56:K60">
    <cfRule type="expression" dxfId="1087" priority="12">
      <formula>AND(L56=2,IF(COUNTIF(L$56:L$60,"=2")=1,TRUE))</formula>
    </cfRule>
    <cfRule type="expression" dxfId="1086" priority="13">
      <formula>AND(IF(COUNTIF(L$56:L$60,"=1")=2,TRUE),IF(COUNTIF(L$56:L$60,"=2")=2,TRUE))</formula>
    </cfRule>
    <cfRule type="expression" dxfId="1085" priority="14">
      <formula>OR(L56=0,L56=4)</formula>
    </cfRule>
    <cfRule type="expression" dxfId="1084" priority="15">
      <formula>AND(L56=1,IF(COUNTIF(L$56:L$60,"=1")=1,TRUE))</formula>
    </cfRule>
    <cfRule type="expression" dxfId="1083" priority="16">
      <formula>AND(L56=3,IF(COUNTIF(L$56:L$60,"=3")=1,TRUE))</formula>
    </cfRule>
  </conditionalFormatting>
  <conditionalFormatting sqref="H56:H60">
    <cfRule type="expression" dxfId="1082" priority="17">
      <formula>AND(L56=1,IF(COUNTIF(L$56:L$60,"=1")&gt;=2,TRUE))</formula>
    </cfRule>
    <cfRule type="expression" dxfId="1081" priority="18">
      <formula>AND(L56=3,IF(COUNTIF(L$56:L$60,"=3")&gt;=2,TRUE))</formula>
    </cfRule>
    <cfRule type="expression" dxfId="1080" priority="19">
      <formula>AND(L56=2,IF(COUNTIF(L$56:L$60,"=2")&gt;=2,TRUE))</formula>
    </cfRule>
  </conditionalFormatting>
  <conditionalFormatting sqref="A300:A331">
    <cfRule type="duplicateValues" dxfId="1079" priority="6"/>
  </conditionalFormatting>
  <conditionalFormatting sqref="B300:B331">
    <cfRule type="expression" dxfId="1078" priority="1">
      <formula>A300=3</formula>
    </cfRule>
    <cfRule type="expression" dxfId="1077" priority="2">
      <formula>A300=2</formula>
    </cfRule>
    <cfRule type="expression" dxfId="1076" priority="3">
      <formula>A300=1</formula>
    </cfRule>
    <cfRule type="containsBlanks" dxfId="1075" priority="4">
      <formula>LEN(TRIM(B300))=0</formula>
    </cfRule>
    <cfRule type="duplicateValues" dxfId="1074" priority="5"/>
  </conditionalFormatting>
  <pageMargins left="0.78740157480314965" right="0.39370078740157483" top="0.78740157480314965" bottom="0.27559055118110237" header="0.59055118110236227" footer="0"/>
  <pageSetup paperSize="9" fitToHeight="0" orientation="portrait" horizontalDpi="1200" verticalDpi="1200" r:id="rId1"/>
  <headerFooter>
    <oddHeader>&amp;R&amp;9Page &amp;P of &amp;N</oddHeader>
  </headerFooter>
  <rowBreaks count="3" manualBreakCount="3">
    <brk id="98" max="16383" man="1"/>
    <brk id="151" max="16383" man="1"/>
    <brk id="190"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9</vt:i4>
      </vt:variant>
    </vt:vector>
  </HeadingPairs>
  <TitlesOfParts>
    <vt:vector size="44" baseType="lpstr">
      <vt:lpstr>Kalend</vt:lpstr>
      <vt:lpstr>Kal E</vt:lpstr>
      <vt:lpstr>Reit</vt:lpstr>
      <vt:lpstr>1</vt:lpstr>
      <vt:lpstr>2</vt:lpstr>
      <vt:lpstr>3</vt:lpstr>
      <vt:lpstr>4</vt:lpstr>
      <vt:lpstr>5</vt:lpstr>
      <vt:lpstr>6</vt:lpstr>
      <vt:lpstr>7</vt:lpstr>
      <vt:lpstr>Mu</vt:lpstr>
      <vt:lpstr>8</vt:lpstr>
      <vt:lpstr>9</vt:lpstr>
      <vt:lpstr>10</vt:lpstr>
      <vt:lpstr>11</vt:lpstr>
      <vt:lpstr>V</vt:lpstr>
      <vt:lpstr>V1</vt:lpstr>
      <vt:lpstr>V2</vt:lpstr>
      <vt:lpstr>V3</vt:lpstr>
      <vt:lpstr>V4</vt:lpstr>
      <vt:lpstr>V5</vt:lpstr>
      <vt:lpstr>V6</vt:lpstr>
      <vt:lpstr>V7</vt:lpstr>
      <vt:lpstr>V8</vt:lpstr>
      <vt:lpstr>V9</vt:lpstr>
      <vt:lpstr>V10</vt:lpstr>
      <vt:lpstr>M</vt:lpstr>
      <vt:lpstr>M1</vt:lpstr>
      <vt:lpstr>M2</vt:lpstr>
      <vt:lpstr>M3</vt:lpstr>
      <vt:lpstr>M4</vt:lpstr>
      <vt:lpstr>M5</vt:lpstr>
      <vt:lpstr>templ</vt:lpstr>
      <vt:lpstr>ETAPP</vt:lpstr>
      <vt:lpstr>PIV</vt:lpstr>
      <vt:lpstr>V!Print_Area</vt:lpstr>
      <vt:lpstr>'6'!Print_Titles</vt:lpstr>
      <vt:lpstr>'7'!Print_Titles</vt:lpstr>
      <vt:lpstr>'Kal E'!Print_Titles</vt:lpstr>
      <vt:lpstr>Kalend!Print_Titles</vt:lpstr>
      <vt:lpstr>M!Print_Titles</vt:lpstr>
      <vt:lpstr>Mu!Print_Titles</vt:lpstr>
      <vt:lpstr>Reit!Print_Titles</vt:lpstr>
      <vt:lpstr>V!Print_Titles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Martin</cp:lastModifiedBy>
  <cp:lastPrinted>2023-03-26T17:06:03Z</cp:lastPrinted>
  <dcterms:created xsi:type="dcterms:W3CDTF">2019-10-02T19:18:01Z</dcterms:created>
  <dcterms:modified xsi:type="dcterms:W3CDTF">2023-06-22T09:52:25Z</dcterms:modified>
</cp:coreProperties>
</file>