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15480" windowHeight="8580" tabRatio="826" activeTab="1"/>
  </bookViews>
  <sheets>
    <sheet name="Kalend" sheetId="8" r:id="rId1"/>
    <sheet name="Kal E" sheetId="7" r:id="rId2"/>
    <sheet name="V" sheetId="16" r:id="rId3"/>
    <sheet name="V1" sheetId="82" r:id="rId4"/>
    <sheet name="V2" sheetId="92" r:id="rId5"/>
    <sheet name="V3" sheetId="93" r:id="rId6"/>
    <sheet name="V4" sheetId="94" r:id="rId7"/>
    <sheet name="V5" sheetId="96" r:id="rId8"/>
    <sheet name="V-jh" sheetId="84" r:id="rId9"/>
    <sheet name="V6" sheetId="87" r:id="rId10"/>
    <sheet name="V7" sheetId="97" r:id="rId11"/>
    <sheet name="V8" sheetId="98" r:id="rId12"/>
    <sheet name="EW" sheetId="99" r:id="rId13"/>
    <sheet name="V9" sheetId="100" r:id="rId14"/>
    <sheet name="T-MV-d" sheetId="103" r:id="rId15"/>
    <sheet name="T-MV-t" sheetId="102" r:id="rId16"/>
    <sheet name="V10" sheetId="104" r:id="rId17"/>
    <sheet name="V-lõp" sheetId="105" r:id="rId18"/>
    <sheet name="I-V-d" sheetId="106" r:id="rId19"/>
    <sheet name="V9 (2)" sheetId="101" state="hidden" r:id="rId20"/>
    <sheet name="Juhend" sheetId="56" state="hidden" r:id="rId21"/>
    <sheet name="ETAPP" sheetId="5" state="hidden" r:id="rId22"/>
    <sheet name="PIV" sheetId="4" state="hidden" r:id="rId23"/>
    <sheet name="swiss-v" sheetId="50" state="hidden" r:id="rId24"/>
    <sheet name="alagr-v" sheetId="53" state="hidden" r:id="rId25"/>
    <sheet name="alagr-9-v" sheetId="69" state="hidden" r:id="rId26"/>
  </sheets>
  <definedNames>
    <definedName name="_xlnm._FilterDatabase" localSheetId="2" hidden="1">V!$A$5:$I$117</definedName>
    <definedName name="_xlnm.Print_Titles" localSheetId="25">'alagr-9-v'!$1:$2</definedName>
    <definedName name="_xlnm.Print_Titles" localSheetId="24">'alagr-v'!$1:$2</definedName>
    <definedName name="_xlnm.Print_Titles" localSheetId="12">EW!$1:$1</definedName>
    <definedName name="_xlnm.Print_Titles" localSheetId="18">'I-V-d'!$1:$2</definedName>
    <definedName name="_xlnm.Print_Titles" localSheetId="1">'Kal E'!$1:$3</definedName>
    <definedName name="_xlnm.Print_Titles" localSheetId="0">Kalend!$1:$2</definedName>
    <definedName name="_xlnm.Print_Titles" localSheetId="23">'swiss-v'!$1:$2</definedName>
    <definedName name="_xlnm.Print_Titles" localSheetId="14">'T-MV-d'!$1:$2</definedName>
    <definedName name="_xlnm.Print_Titles" localSheetId="15">'T-MV-t'!$1:$2</definedName>
    <definedName name="_xlnm.Print_Titles" localSheetId="2">V!$1:$6</definedName>
    <definedName name="_xlnm.Print_Titles" localSheetId="3">'V1'!$1:$2</definedName>
    <definedName name="_xlnm.Print_Titles" localSheetId="16">'V10'!$1:$2</definedName>
    <definedName name="_xlnm.Print_Titles" localSheetId="4">'V2'!$1:$2</definedName>
    <definedName name="_xlnm.Print_Titles" localSheetId="5">'V3'!$1:$2</definedName>
    <definedName name="_xlnm.Print_Titles" localSheetId="6">'V4'!$1:$2</definedName>
    <definedName name="_xlnm.Print_Titles" localSheetId="7">'V5'!$1:$2</definedName>
    <definedName name="_xlnm.Print_Titles" localSheetId="9">'V6'!$1:$2</definedName>
    <definedName name="_xlnm.Print_Titles" localSheetId="10">'V7'!$1:$2</definedName>
    <definedName name="_xlnm.Print_Titles" localSheetId="11">'V8'!$1:$2</definedName>
    <definedName name="_xlnm.Print_Titles" localSheetId="13">'V9'!$1:$2</definedName>
    <definedName name="_xlnm.Print_Titles" localSheetId="19">'V9 (2)'!$1:$2</definedName>
    <definedName name="_xlnm.Print_Titles" localSheetId="8">'V-jh'!$1:$2</definedName>
    <definedName name="_xlnm.Print_Titles" localSheetId="17">'V-lõp'!$1:$2</definedName>
  </definedNames>
  <calcPr calcId="145621"/>
</workbook>
</file>

<file path=xl/calcChain.xml><?xml version="1.0" encoding="utf-8"?>
<calcChain xmlns="http://schemas.openxmlformats.org/spreadsheetml/2006/main">
  <c r="M113" i="7" l="1"/>
  <c r="K113" i="7"/>
  <c r="M110" i="7"/>
  <c r="K110" i="7"/>
  <c r="E23" i="8" l="1"/>
  <c r="E22" i="8"/>
  <c r="A1" i="103" s="1"/>
  <c r="M90" i="7"/>
  <c r="M87" i="7"/>
  <c r="M104" i="7"/>
  <c r="AB17" i="106"/>
  <c r="Z17" i="106"/>
  <c r="AC17" i="106" s="1"/>
  <c r="W17" i="106"/>
  <c r="AB16" i="106"/>
  <c r="Z16" i="106"/>
  <c r="AC16" i="106" s="1"/>
  <c r="W16" i="106"/>
  <c r="AB15" i="106"/>
  <c r="Z15" i="106"/>
  <c r="AC15" i="106" s="1"/>
  <c r="W15" i="106"/>
  <c r="AB14" i="106"/>
  <c r="Z14" i="106"/>
  <c r="AC14" i="106" s="1"/>
  <c r="W14" i="106"/>
  <c r="AB13" i="106"/>
  <c r="Z13" i="106"/>
  <c r="AC13" i="106" s="1"/>
  <c r="W13" i="106"/>
  <c r="AB12" i="106"/>
  <c r="Z12" i="106"/>
  <c r="AC12" i="106" s="1"/>
  <c r="W12" i="106"/>
  <c r="AB11" i="106"/>
  <c r="Z11" i="106"/>
  <c r="AC11" i="106" s="1"/>
  <c r="W11" i="106"/>
  <c r="AB10" i="106"/>
  <c r="Z10" i="106"/>
  <c r="AC10" i="106" s="1"/>
  <c r="W10" i="106"/>
  <c r="AB9" i="106"/>
  <c r="Z9" i="106"/>
  <c r="AC9" i="106" s="1"/>
  <c r="W9" i="106"/>
  <c r="AB8" i="106"/>
  <c r="Z8" i="106"/>
  <c r="AC8" i="106" s="1"/>
  <c r="W8" i="106"/>
  <c r="AB7" i="106"/>
  <c r="Z7" i="106"/>
  <c r="AC7" i="106" s="1"/>
  <c r="W7" i="106"/>
  <c r="B306" i="106"/>
  <c r="B307" i="106"/>
  <c r="B308" i="106"/>
  <c r="B309" i="106"/>
  <c r="B310" i="106"/>
  <c r="AF13" i="106"/>
  <c r="AE13" i="106" s="1"/>
  <c r="AH13" i="106"/>
  <c r="AG13" i="106" s="1"/>
  <c r="AJ13" i="106"/>
  <c r="AI13" i="106" s="1"/>
  <c r="AL13" i="106"/>
  <c r="AK13" i="106" s="1"/>
  <c r="AN13" i="106"/>
  <c r="AM13" i="106" s="1"/>
  <c r="AP13" i="106"/>
  <c r="AO13" i="106" s="1"/>
  <c r="AE14" i="106"/>
  <c r="AF14" i="106"/>
  <c r="AG14" i="106"/>
  <c r="AH14" i="106"/>
  <c r="AI14" i="106"/>
  <c r="AJ14" i="106"/>
  <c r="AK14" i="106"/>
  <c r="AL14" i="106"/>
  <c r="AM14" i="106"/>
  <c r="AN14" i="106"/>
  <c r="AO14" i="106"/>
  <c r="AP14" i="106"/>
  <c r="AF15" i="106"/>
  <c r="AE15" i="106" s="1"/>
  <c r="AH15" i="106"/>
  <c r="AG15" i="106" s="1"/>
  <c r="AJ15" i="106"/>
  <c r="AI15" i="106" s="1"/>
  <c r="AL15" i="106"/>
  <c r="AK15" i="106" s="1"/>
  <c r="AN15" i="106"/>
  <c r="AM15" i="106" s="1"/>
  <c r="AP15" i="106"/>
  <c r="AO15" i="106" s="1"/>
  <c r="AE16" i="106"/>
  <c r="AF16" i="106"/>
  <c r="AG16" i="106"/>
  <c r="AH16" i="106"/>
  <c r="AI16" i="106"/>
  <c r="AJ16" i="106"/>
  <c r="AK16" i="106"/>
  <c r="AL16" i="106"/>
  <c r="AM16" i="106"/>
  <c r="AN16" i="106"/>
  <c r="AO16" i="106"/>
  <c r="AP16" i="106"/>
  <c r="AF17" i="106"/>
  <c r="AE17" i="106" s="1"/>
  <c r="AH17" i="106"/>
  <c r="AG17" i="106" s="1"/>
  <c r="AJ17" i="106"/>
  <c r="AI17" i="106" s="1"/>
  <c r="AL17" i="106"/>
  <c r="AK17" i="106" s="1"/>
  <c r="AN17" i="106"/>
  <c r="AM17" i="106" s="1"/>
  <c r="AP17" i="106"/>
  <c r="AO17" i="106" s="1"/>
  <c r="A1" i="104"/>
  <c r="A1" i="105"/>
  <c r="E25" i="8"/>
  <c r="A1" i="106"/>
  <c r="B305" i="106" s="1"/>
  <c r="E26" i="8"/>
  <c r="F25" i="8"/>
  <c r="AP12" i="106"/>
  <c r="AO12" i="106" s="1"/>
  <c r="AN12" i="106"/>
  <c r="AM12" i="106" s="1"/>
  <c r="AL12" i="106"/>
  <c r="AJ12" i="106"/>
  <c r="AH12" i="106"/>
  <c r="AG12" i="106" s="1"/>
  <c r="AF12" i="106"/>
  <c r="AP11" i="106"/>
  <c r="AO11" i="106"/>
  <c r="AN11" i="106"/>
  <c r="AM11" i="106"/>
  <c r="AL11" i="106"/>
  <c r="AJ11" i="106"/>
  <c r="AH11" i="106"/>
  <c r="AG11" i="106" s="1"/>
  <c r="AF11" i="106"/>
  <c r="AP10" i="106"/>
  <c r="AO10" i="106"/>
  <c r="AN10" i="106"/>
  <c r="AM10" i="106"/>
  <c r="AL10" i="106"/>
  <c r="AJ10" i="106"/>
  <c r="AH10" i="106"/>
  <c r="AG10" i="106"/>
  <c r="AF10" i="106"/>
  <c r="AP9" i="106"/>
  <c r="AO9" i="106" s="1"/>
  <c r="AN9" i="106"/>
  <c r="AM9" i="106" s="1"/>
  <c r="AL9" i="106"/>
  <c r="AJ9" i="106"/>
  <c r="AH9" i="106"/>
  <c r="AG9" i="106" s="1"/>
  <c r="AF9" i="106"/>
  <c r="AP8" i="106"/>
  <c r="AO8" i="106" s="1"/>
  <c r="AN8" i="106"/>
  <c r="AM8" i="106" s="1"/>
  <c r="AL8" i="106"/>
  <c r="AJ8" i="106"/>
  <c r="AH8" i="106"/>
  <c r="AG8" i="106" s="1"/>
  <c r="AF8" i="106"/>
  <c r="AP7" i="106"/>
  <c r="AO7" i="106" s="1"/>
  <c r="AN7" i="106"/>
  <c r="AM7" i="106" s="1"/>
  <c r="AL7" i="106"/>
  <c r="AJ7" i="106"/>
  <c r="AH7" i="106"/>
  <c r="AG7" i="106" s="1"/>
  <c r="AF7" i="106"/>
  <c r="AD16" i="106" l="1"/>
  <c r="AD14" i="106"/>
  <c r="AD17" i="106"/>
  <c r="AD15" i="106"/>
  <c r="AD13" i="106"/>
  <c r="B300" i="106"/>
  <c r="B302" i="106"/>
  <c r="B304" i="106"/>
  <c r="B301" i="106"/>
  <c r="B303" i="106"/>
  <c r="M106" i="7"/>
  <c r="M112" i="7" l="1"/>
  <c r="K104" i="7"/>
  <c r="K90" i="7"/>
  <c r="K92" i="7"/>
  <c r="W18" i="105" l="1"/>
  <c r="W17" i="105"/>
  <c r="W16" i="105"/>
  <c r="W15" i="105"/>
  <c r="W14" i="105"/>
  <c r="W13" i="105"/>
  <c r="W12" i="105"/>
  <c r="W11" i="105"/>
  <c r="W10" i="105"/>
  <c r="W9" i="105"/>
  <c r="W8" i="105"/>
  <c r="W7" i="105"/>
  <c r="AB18" i="105"/>
  <c r="Z18" i="105"/>
  <c r="AB17" i="105"/>
  <c r="Z17" i="105"/>
  <c r="AB16" i="105"/>
  <c r="Z16" i="105"/>
  <c r="AB15" i="105"/>
  <c r="Z15" i="105"/>
  <c r="AB14" i="105"/>
  <c r="Z14" i="105"/>
  <c r="AB13" i="105"/>
  <c r="Z13" i="105"/>
  <c r="AB12" i="105"/>
  <c r="Z12" i="105"/>
  <c r="AB11" i="105"/>
  <c r="Z11" i="105"/>
  <c r="AB10" i="105"/>
  <c r="Z10" i="105"/>
  <c r="AB9" i="105"/>
  <c r="Z9" i="105"/>
  <c r="AB8" i="105"/>
  <c r="Z8" i="105"/>
  <c r="AB7" i="105"/>
  <c r="Z7" i="105"/>
  <c r="AC18" i="105"/>
  <c r="AC17" i="105"/>
  <c r="AC16" i="105"/>
  <c r="AC15" i="105"/>
  <c r="AC14" i="105"/>
  <c r="AC13" i="105"/>
  <c r="AC12" i="105"/>
  <c r="AC11" i="105"/>
  <c r="AC10" i="105"/>
  <c r="AC9" i="105"/>
  <c r="AC8" i="105"/>
  <c r="AC7" i="105"/>
  <c r="M97" i="7"/>
  <c r="AP18" i="105"/>
  <c r="AO18" i="105" s="1"/>
  <c r="AN18" i="105"/>
  <c r="AM18" i="105" s="1"/>
  <c r="AL18" i="105"/>
  <c r="AK18" i="105" s="1"/>
  <c r="AJ18" i="105"/>
  <c r="AI18" i="105" s="1"/>
  <c r="AH18" i="105"/>
  <c r="AF18" i="105"/>
  <c r="AP17" i="105"/>
  <c r="AO17" i="105" s="1"/>
  <c r="AN17" i="105"/>
  <c r="AM17" i="105" s="1"/>
  <c r="AL17" i="105"/>
  <c r="AK17" i="105" s="1"/>
  <c r="AJ17" i="105"/>
  <c r="AI17" i="105" s="1"/>
  <c r="AH17" i="105"/>
  <c r="AF17" i="105"/>
  <c r="AP16" i="105"/>
  <c r="AO16" i="105" s="1"/>
  <c r="AN16" i="105"/>
  <c r="AM16" i="105" s="1"/>
  <c r="AL16" i="105"/>
  <c r="AK16" i="105" s="1"/>
  <c r="AJ16" i="105"/>
  <c r="AI16" i="105" s="1"/>
  <c r="AH16" i="105"/>
  <c r="AF16" i="105"/>
  <c r="AP15" i="105"/>
  <c r="AO15" i="105" s="1"/>
  <c r="AN15" i="105"/>
  <c r="AM15" i="105" s="1"/>
  <c r="AL15" i="105"/>
  <c r="AK15" i="105" s="1"/>
  <c r="AJ15" i="105"/>
  <c r="AI15" i="105" s="1"/>
  <c r="AH15" i="105"/>
  <c r="AF15" i="105"/>
  <c r="AP14" i="105"/>
  <c r="AO14" i="105" s="1"/>
  <c r="AN14" i="105"/>
  <c r="AM14" i="105" s="1"/>
  <c r="AL14" i="105"/>
  <c r="AK14" i="105" s="1"/>
  <c r="AJ14" i="105"/>
  <c r="AI14" i="105" s="1"/>
  <c r="AH14" i="105"/>
  <c r="AF14" i="105"/>
  <c r="AP13" i="105"/>
  <c r="AO13" i="105" s="1"/>
  <c r="AN13" i="105"/>
  <c r="AM13" i="105" s="1"/>
  <c r="AL13" i="105"/>
  <c r="AK13" i="105" s="1"/>
  <c r="AJ13" i="105"/>
  <c r="AI13" i="105" s="1"/>
  <c r="AH13" i="105"/>
  <c r="AF13" i="105"/>
  <c r="AP12" i="105"/>
  <c r="AO12" i="105" s="1"/>
  <c r="AN12" i="105"/>
  <c r="AM12" i="105" s="1"/>
  <c r="AL12" i="105"/>
  <c r="AK12" i="105" s="1"/>
  <c r="AJ12" i="105"/>
  <c r="AI12" i="105" s="1"/>
  <c r="AH12" i="105"/>
  <c r="AF12" i="105"/>
  <c r="AP11" i="105"/>
  <c r="AO11" i="105" s="1"/>
  <c r="AN11" i="105"/>
  <c r="AM11" i="105" s="1"/>
  <c r="AL11" i="105"/>
  <c r="AK11" i="105" s="1"/>
  <c r="AJ11" i="105"/>
  <c r="AI11" i="105" s="1"/>
  <c r="AH11" i="105"/>
  <c r="AF11" i="105"/>
  <c r="AP10" i="105"/>
  <c r="AO10" i="105" s="1"/>
  <c r="AN10" i="105"/>
  <c r="AM10" i="105" s="1"/>
  <c r="AL10" i="105"/>
  <c r="AK10" i="105" s="1"/>
  <c r="AJ10" i="105"/>
  <c r="AI10" i="105" s="1"/>
  <c r="AH10" i="105"/>
  <c r="AF10" i="105"/>
  <c r="AP9" i="105"/>
  <c r="AO9" i="105" s="1"/>
  <c r="AN9" i="105"/>
  <c r="AM9" i="105" s="1"/>
  <c r="AL9" i="105"/>
  <c r="AK9" i="105" s="1"/>
  <c r="AJ9" i="105"/>
  <c r="AI9" i="105" s="1"/>
  <c r="AH9" i="105"/>
  <c r="AF9" i="105"/>
  <c r="AP8" i="105"/>
  <c r="AO8" i="105" s="1"/>
  <c r="AN8" i="105"/>
  <c r="AM8" i="105" s="1"/>
  <c r="AL8" i="105"/>
  <c r="AK8" i="105" s="1"/>
  <c r="AJ8" i="105"/>
  <c r="AI8" i="105" s="1"/>
  <c r="AH8" i="105"/>
  <c r="AF8" i="105"/>
  <c r="AP7" i="105"/>
  <c r="AO7" i="105" s="1"/>
  <c r="AN7" i="105"/>
  <c r="AM7" i="105" s="1"/>
  <c r="AL7" i="105"/>
  <c r="AK7" i="105" s="1"/>
  <c r="AJ7" i="105"/>
  <c r="AI7" i="105" s="1"/>
  <c r="AH7" i="105"/>
  <c r="AF7" i="105"/>
  <c r="B301" i="105" l="1"/>
  <c r="B303" i="105"/>
  <c r="B305" i="105"/>
  <c r="B307" i="105"/>
  <c r="B309" i="105"/>
  <c r="B311" i="105"/>
  <c r="B300" i="105"/>
  <c r="B302" i="105"/>
  <c r="B304" i="105"/>
  <c r="B306" i="105"/>
  <c r="B308" i="105"/>
  <c r="B310" i="105"/>
  <c r="F24" i="8"/>
  <c r="E24" i="8"/>
  <c r="M100" i="7"/>
  <c r="AB19" i="104" l="1"/>
  <c r="Z19" i="104"/>
  <c r="AC19" i="104" s="1"/>
  <c r="AB18" i="104"/>
  <c r="Z18" i="104"/>
  <c r="AC18" i="104" s="1"/>
  <c r="AB17" i="104"/>
  <c r="Z17" i="104"/>
  <c r="AC17" i="104" s="1"/>
  <c r="AB16" i="104"/>
  <c r="Z16" i="104"/>
  <c r="AC16" i="104" s="1"/>
  <c r="AB15" i="104"/>
  <c r="Z15" i="104"/>
  <c r="AC15" i="104" s="1"/>
  <c r="AB14" i="104"/>
  <c r="Z14" i="104"/>
  <c r="AC14" i="104" s="1"/>
  <c r="AB13" i="104"/>
  <c r="Z13" i="104"/>
  <c r="AC13" i="104" s="1"/>
  <c r="AB12" i="104"/>
  <c r="Z12" i="104"/>
  <c r="AC12" i="104" s="1"/>
  <c r="AB11" i="104"/>
  <c r="Z11" i="104"/>
  <c r="AC11" i="104" s="1"/>
  <c r="AB10" i="104"/>
  <c r="Z10" i="104"/>
  <c r="AC10" i="104" s="1"/>
  <c r="AB9" i="104"/>
  <c r="Z9" i="104"/>
  <c r="AC9" i="104" s="1"/>
  <c r="AB8" i="104"/>
  <c r="Z8" i="104"/>
  <c r="AC8" i="104" s="1"/>
  <c r="AB7" i="104"/>
  <c r="Z7" i="104"/>
  <c r="AC7" i="104" s="1"/>
  <c r="W17" i="104"/>
  <c r="W18" i="104"/>
  <c r="W19" i="104"/>
  <c r="W16" i="104"/>
  <c r="W15" i="104"/>
  <c r="W14" i="104"/>
  <c r="W13" i="104"/>
  <c r="W12" i="104"/>
  <c r="W11" i="104"/>
  <c r="W10" i="104"/>
  <c r="W9" i="104"/>
  <c r="W8" i="104"/>
  <c r="W7" i="104"/>
  <c r="V37" i="16" l="1"/>
  <c r="AM37" i="16"/>
  <c r="C301" i="104" l="1"/>
  <c r="C302" i="104"/>
  <c r="C303" i="104"/>
  <c r="C304" i="104"/>
  <c r="C305" i="104"/>
  <c r="C306" i="104"/>
  <c r="C307" i="104"/>
  <c r="C308" i="104"/>
  <c r="C309" i="104"/>
  <c r="C310" i="104"/>
  <c r="C311" i="104"/>
  <c r="C312" i="104"/>
  <c r="C300" i="104"/>
  <c r="AP19" i="104"/>
  <c r="AO19" i="104" s="1"/>
  <c r="AN19" i="104"/>
  <c r="AM19" i="104" s="1"/>
  <c r="AL19" i="104"/>
  <c r="AK19" i="104" s="1"/>
  <c r="AJ19" i="104"/>
  <c r="AI19" i="104" s="1"/>
  <c r="AH19" i="104"/>
  <c r="AF19" i="104"/>
  <c r="AP18" i="104"/>
  <c r="AO18" i="104" s="1"/>
  <c r="AN18" i="104"/>
  <c r="AM18" i="104" s="1"/>
  <c r="AL18" i="104"/>
  <c r="AK18" i="104" s="1"/>
  <c r="AJ18" i="104"/>
  <c r="AI18" i="104" s="1"/>
  <c r="AH18" i="104"/>
  <c r="AF18" i="104"/>
  <c r="AP17" i="104"/>
  <c r="AO17" i="104" s="1"/>
  <c r="AN17" i="104"/>
  <c r="AM17" i="104" s="1"/>
  <c r="AL17" i="104"/>
  <c r="AK17" i="104" s="1"/>
  <c r="AJ17" i="104"/>
  <c r="AI17" i="104" s="1"/>
  <c r="AH17" i="104"/>
  <c r="AF17" i="104"/>
  <c r="AP16" i="104"/>
  <c r="AO16" i="104" s="1"/>
  <c r="AN16" i="104"/>
  <c r="AM16" i="104" s="1"/>
  <c r="AL16" i="104"/>
  <c r="AK16" i="104" s="1"/>
  <c r="AJ16" i="104"/>
  <c r="AI16" i="104" s="1"/>
  <c r="AH16" i="104"/>
  <c r="AF16" i="104"/>
  <c r="AP15" i="104"/>
  <c r="AO15" i="104" s="1"/>
  <c r="AN15" i="104"/>
  <c r="AM15" i="104" s="1"/>
  <c r="AL15" i="104"/>
  <c r="AK15" i="104" s="1"/>
  <c r="AJ15" i="104"/>
  <c r="AI15" i="104" s="1"/>
  <c r="AH15" i="104"/>
  <c r="AF15" i="104"/>
  <c r="AP14" i="104"/>
  <c r="AO14" i="104" s="1"/>
  <c r="AN14" i="104"/>
  <c r="AM14" i="104" s="1"/>
  <c r="AL14" i="104"/>
  <c r="AK14" i="104" s="1"/>
  <c r="AJ14" i="104"/>
  <c r="AI14" i="104" s="1"/>
  <c r="AH14" i="104"/>
  <c r="AF14" i="104"/>
  <c r="AP13" i="104"/>
  <c r="AO13" i="104" s="1"/>
  <c r="AN13" i="104"/>
  <c r="AM13" i="104" s="1"/>
  <c r="AL13" i="104"/>
  <c r="AK13" i="104" s="1"/>
  <c r="AJ13" i="104"/>
  <c r="AI13" i="104" s="1"/>
  <c r="AH13" i="104"/>
  <c r="AF13" i="104"/>
  <c r="AP12" i="104"/>
  <c r="AO12" i="104" s="1"/>
  <c r="AN12" i="104"/>
  <c r="AM12" i="104" s="1"/>
  <c r="AL12" i="104"/>
  <c r="AK12" i="104" s="1"/>
  <c r="AJ12" i="104"/>
  <c r="AI12" i="104" s="1"/>
  <c r="AH12" i="104"/>
  <c r="AF12" i="104"/>
  <c r="AP11" i="104"/>
  <c r="AO11" i="104" s="1"/>
  <c r="AN11" i="104"/>
  <c r="AM11" i="104" s="1"/>
  <c r="AL11" i="104"/>
  <c r="AK11" i="104" s="1"/>
  <c r="AJ11" i="104"/>
  <c r="AI11" i="104" s="1"/>
  <c r="AH11" i="104"/>
  <c r="AF11" i="104"/>
  <c r="AP10" i="104"/>
  <c r="AO10" i="104" s="1"/>
  <c r="AN10" i="104"/>
  <c r="AM10" i="104" s="1"/>
  <c r="AL10" i="104"/>
  <c r="AK10" i="104" s="1"/>
  <c r="AJ10" i="104"/>
  <c r="AI10" i="104" s="1"/>
  <c r="AH10" i="104"/>
  <c r="AF10" i="104"/>
  <c r="AP9" i="104"/>
  <c r="AO9" i="104" s="1"/>
  <c r="AN9" i="104"/>
  <c r="AM9" i="104" s="1"/>
  <c r="AL9" i="104"/>
  <c r="AK9" i="104" s="1"/>
  <c r="AJ9" i="104"/>
  <c r="AI9" i="104" s="1"/>
  <c r="AH9" i="104"/>
  <c r="AF9" i="104"/>
  <c r="AP8" i="104"/>
  <c r="AO8" i="104" s="1"/>
  <c r="AN8" i="104"/>
  <c r="AM8" i="104" s="1"/>
  <c r="AL8" i="104"/>
  <c r="AK8" i="104" s="1"/>
  <c r="AJ8" i="104"/>
  <c r="AI8" i="104" s="1"/>
  <c r="AH8" i="104"/>
  <c r="AF8" i="104"/>
  <c r="AP7" i="104"/>
  <c r="AO7" i="104" s="1"/>
  <c r="AN7" i="104"/>
  <c r="AM7" i="104" s="1"/>
  <c r="AL7" i="104"/>
  <c r="AK7" i="104" s="1"/>
  <c r="AJ7" i="104"/>
  <c r="AI7" i="104" s="1"/>
  <c r="AH7" i="104"/>
  <c r="AF7" i="104"/>
  <c r="M86" i="7" l="1"/>
  <c r="AP19" i="103" l="1"/>
  <c r="AO19" i="103" s="1"/>
  <c r="AN19" i="103"/>
  <c r="AM19" i="103" s="1"/>
  <c r="AL19" i="103"/>
  <c r="AK19" i="103" s="1"/>
  <c r="AJ19" i="103"/>
  <c r="AI19" i="103" s="1"/>
  <c r="AH19" i="103"/>
  <c r="AF19" i="103"/>
  <c r="AP18" i="103"/>
  <c r="AO18" i="103"/>
  <c r="AN18" i="103"/>
  <c r="AM18" i="103"/>
  <c r="AL18" i="103"/>
  <c r="AK18" i="103"/>
  <c r="AJ18" i="103"/>
  <c r="AI18" i="103"/>
  <c r="AH18" i="103"/>
  <c r="AF18" i="103"/>
  <c r="AP17" i="103"/>
  <c r="AO17" i="103" s="1"/>
  <c r="AN17" i="103"/>
  <c r="AM17" i="103" s="1"/>
  <c r="AL17" i="103"/>
  <c r="AK17" i="103" s="1"/>
  <c r="AJ17" i="103"/>
  <c r="AI17" i="103" s="1"/>
  <c r="AH17" i="103"/>
  <c r="AF17" i="103"/>
  <c r="AP16" i="103"/>
  <c r="AO16" i="103"/>
  <c r="AN16" i="103"/>
  <c r="AM16" i="103"/>
  <c r="AL16" i="103"/>
  <c r="AK16" i="103"/>
  <c r="AJ16" i="103"/>
  <c r="AI16" i="103"/>
  <c r="AH16" i="103"/>
  <c r="AF16" i="103"/>
  <c r="AP15" i="103"/>
  <c r="AO15" i="103" s="1"/>
  <c r="AN15" i="103"/>
  <c r="AM15" i="103" s="1"/>
  <c r="AL15" i="103"/>
  <c r="AJ15" i="103"/>
  <c r="AH15" i="103"/>
  <c r="AG15" i="103" s="1"/>
  <c r="AF15" i="103"/>
  <c r="AP14" i="103"/>
  <c r="AO14" i="103"/>
  <c r="AN14" i="103"/>
  <c r="AM14" i="103"/>
  <c r="AL14" i="103"/>
  <c r="AK14" i="103"/>
  <c r="AJ14" i="103"/>
  <c r="AI14" i="103"/>
  <c r="AH14" i="103"/>
  <c r="AF14" i="103"/>
  <c r="AP13" i="103"/>
  <c r="AO13" i="103" s="1"/>
  <c r="AN13" i="103"/>
  <c r="AM13" i="103" s="1"/>
  <c r="AL13" i="103"/>
  <c r="AK13" i="103" s="1"/>
  <c r="AJ13" i="103"/>
  <c r="AI13" i="103" s="1"/>
  <c r="AH13" i="103"/>
  <c r="AF13" i="103"/>
  <c r="AP12" i="103"/>
  <c r="AO12" i="103"/>
  <c r="AN12" i="103"/>
  <c r="AM12" i="103"/>
  <c r="AL12" i="103"/>
  <c r="AK12" i="103"/>
  <c r="AJ12" i="103"/>
  <c r="AI12" i="103"/>
  <c r="AH12" i="103"/>
  <c r="AF12" i="103"/>
  <c r="AP11" i="103"/>
  <c r="AO11" i="103" s="1"/>
  <c r="AN11" i="103"/>
  <c r="AM11" i="103" s="1"/>
  <c r="AL11" i="103"/>
  <c r="AK11" i="103" s="1"/>
  <c r="AJ11" i="103"/>
  <c r="AI11" i="103" s="1"/>
  <c r="AH11" i="103"/>
  <c r="AF11" i="103"/>
  <c r="AP10" i="103"/>
  <c r="AO10" i="103"/>
  <c r="AN10" i="103"/>
  <c r="AM10" i="103"/>
  <c r="AL10" i="103"/>
  <c r="AK10" i="103"/>
  <c r="AJ10" i="103"/>
  <c r="AI10" i="103"/>
  <c r="AH10" i="103"/>
  <c r="AF10" i="103"/>
  <c r="AP9" i="103"/>
  <c r="AO9" i="103" s="1"/>
  <c r="AN9" i="103"/>
  <c r="AM9" i="103" s="1"/>
  <c r="AL9" i="103"/>
  <c r="AK9" i="103" s="1"/>
  <c r="AJ9" i="103"/>
  <c r="AI9" i="103" s="1"/>
  <c r="AH9" i="103"/>
  <c r="AF9" i="103"/>
  <c r="AP8" i="103"/>
  <c r="AO8" i="103"/>
  <c r="AN8" i="103"/>
  <c r="AM8" i="103"/>
  <c r="AL8" i="103"/>
  <c r="AK8" i="103"/>
  <c r="AJ8" i="103"/>
  <c r="AI8" i="103"/>
  <c r="AH8" i="103"/>
  <c r="AF8" i="103"/>
  <c r="AP7" i="103"/>
  <c r="AO7" i="103" s="1"/>
  <c r="AN7" i="103"/>
  <c r="AM7" i="103" s="1"/>
  <c r="AL7" i="103"/>
  <c r="AK7" i="103" s="1"/>
  <c r="AJ7" i="103"/>
  <c r="AI7" i="103" s="1"/>
  <c r="AH7" i="103"/>
  <c r="AF7" i="103"/>
  <c r="E21" i="8"/>
  <c r="AP12" i="102"/>
  <c r="AO12" i="102" s="1"/>
  <c r="AN12" i="102"/>
  <c r="AM12" i="102" s="1"/>
  <c r="AL12" i="102"/>
  <c r="AJ12" i="102"/>
  <c r="AH12" i="102"/>
  <c r="AF12" i="102"/>
  <c r="AP11" i="102"/>
  <c r="AO11" i="102" s="1"/>
  <c r="AN11" i="102"/>
  <c r="AM11" i="102" s="1"/>
  <c r="AL11" i="102"/>
  <c r="AJ11" i="102"/>
  <c r="AH11" i="102"/>
  <c r="AF11" i="102"/>
  <c r="AP10" i="102"/>
  <c r="AO10" i="102" s="1"/>
  <c r="AN10" i="102"/>
  <c r="AM10" i="102" s="1"/>
  <c r="AL10" i="102"/>
  <c r="AJ10" i="102"/>
  <c r="AH10" i="102"/>
  <c r="AF10" i="102"/>
  <c r="AP9" i="102"/>
  <c r="AO9" i="102" s="1"/>
  <c r="AN9" i="102"/>
  <c r="AM9" i="102" s="1"/>
  <c r="AL9" i="102"/>
  <c r="AJ9" i="102"/>
  <c r="AH9" i="102"/>
  <c r="AF9" i="102"/>
  <c r="AP8" i="102"/>
  <c r="AO8" i="102" s="1"/>
  <c r="AN8" i="102"/>
  <c r="AM8" i="102" s="1"/>
  <c r="AL8" i="102"/>
  <c r="AJ8" i="102"/>
  <c r="AH8" i="102"/>
  <c r="AF8" i="102"/>
  <c r="AP7" i="102"/>
  <c r="AO7" i="102" s="1"/>
  <c r="AN7" i="102"/>
  <c r="AM7" i="102" s="1"/>
  <c r="AL7" i="102"/>
  <c r="AJ7" i="102"/>
  <c r="AH7" i="102"/>
  <c r="AF7" i="102"/>
  <c r="C312" i="101" l="1"/>
  <c r="C311" i="101"/>
  <c r="C310" i="101"/>
  <c r="C309" i="101"/>
  <c r="C308" i="101"/>
  <c r="C307" i="101"/>
  <c r="C306" i="101"/>
  <c r="C305" i="101"/>
  <c r="C304" i="101"/>
  <c r="C303" i="101"/>
  <c r="C302" i="101"/>
  <c r="C301" i="101"/>
  <c r="C300" i="101"/>
  <c r="AP19" i="101"/>
  <c r="AO19" i="101" s="1"/>
  <c r="AN19" i="101"/>
  <c r="AM19" i="101" s="1"/>
  <c r="AL19" i="101"/>
  <c r="AK19" i="101" s="1"/>
  <c r="AJ19" i="101"/>
  <c r="AI19" i="101" s="1"/>
  <c r="AH19" i="101"/>
  <c r="AF19" i="101"/>
  <c r="AB19" i="101"/>
  <c r="Z19" i="101"/>
  <c r="AC19" i="101" s="1"/>
  <c r="W19" i="101"/>
  <c r="AP18" i="101"/>
  <c r="AO18" i="101"/>
  <c r="AN18" i="101"/>
  <c r="AM18" i="101"/>
  <c r="AL18" i="101"/>
  <c r="AK18" i="101"/>
  <c r="AJ18" i="101"/>
  <c r="AI18" i="101"/>
  <c r="AH18" i="101"/>
  <c r="AF18" i="101"/>
  <c r="AB18" i="101"/>
  <c r="Z18" i="101"/>
  <c r="AC18" i="101" s="1"/>
  <c r="W18" i="101"/>
  <c r="AP17" i="101"/>
  <c r="AO17" i="101" s="1"/>
  <c r="AN17" i="101"/>
  <c r="AM17" i="101" s="1"/>
  <c r="AL17" i="101"/>
  <c r="AK17" i="101" s="1"/>
  <c r="AJ17" i="101"/>
  <c r="AI17" i="101" s="1"/>
  <c r="AH17" i="101"/>
  <c r="AF17" i="101"/>
  <c r="AB17" i="101"/>
  <c r="Z17" i="101"/>
  <c r="AC17" i="101" s="1"/>
  <c r="W17" i="101"/>
  <c r="AP16" i="101"/>
  <c r="AO16" i="101"/>
  <c r="AN16" i="101"/>
  <c r="AM16" i="101"/>
  <c r="AL16" i="101"/>
  <c r="AK16" i="101"/>
  <c r="AJ16" i="101"/>
  <c r="AI16" i="101"/>
  <c r="AH16" i="101"/>
  <c r="AF16" i="101"/>
  <c r="AB16" i="101"/>
  <c r="Z16" i="101"/>
  <c r="AC16" i="101" s="1"/>
  <c r="W16" i="101"/>
  <c r="AP15" i="101"/>
  <c r="AO15" i="101" s="1"/>
  <c r="AN15" i="101"/>
  <c r="AM15" i="101" s="1"/>
  <c r="AL15" i="101"/>
  <c r="AJ15" i="101"/>
  <c r="AH15" i="101"/>
  <c r="AG15" i="101" s="1"/>
  <c r="AF15" i="101"/>
  <c r="AB15" i="101"/>
  <c r="Z15" i="101"/>
  <c r="AC15" i="101" s="1"/>
  <c r="W15" i="101"/>
  <c r="AP14" i="101"/>
  <c r="AO14" i="101"/>
  <c r="AN14" i="101"/>
  <c r="AM14" i="101"/>
  <c r="AL14" i="101"/>
  <c r="AK14" i="101"/>
  <c r="AJ14" i="101"/>
  <c r="AI14" i="101"/>
  <c r="AH14" i="101"/>
  <c r="AF14" i="101"/>
  <c r="AB14" i="101"/>
  <c r="Z14" i="101"/>
  <c r="AC14" i="101" s="1"/>
  <c r="W14" i="101"/>
  <c r="AP13" i="101"/>
  <c r="AO13" i="101" s="1"/>
  <c r="AN13" i="101"/>
  <c r="AM13" i="101" s="1"/>
  <c r="AL13" i="101"/>
  <c r="AK13" i="101" s="1"/>
  <c r="AJ13" i="101"/>
  <c r="AI13" i="101" s="1"/>
  <c r="AH13" i="101"/>
  <c r="AF13" i="101"/>
  <c r="AB13" i="101"/>
  <c r="Z13" i="101"/>
  <c r="AC13" i="101" s="1"/>
  <c r="W13" i="101"/>
  <c r="AP12" i="101"/>
  <c r="AO12" i="101"/>
  <c r="AN12" i="101"/>
  <c r="AM12" i="101"/>
  <c r="AL12" i="101"/>
  <c r="AK12" i="101"/>
  <c r="AJ12" i="101"/>
  <c r="AI12" i="101"/>
  <c r="AH12" i="101"/>
  <c r="AF12" i="101"/>
  <c r="AB12" i="101"/>
  <c r="Z12" i="101"/>
  <c r="AC12" i="101" s="1"/>
  <c r="W12" i="101"/>
  <c r="AP11" i="101"/>
  <c r="AO11" i="101" s="1"/>
  <c r="AN11" i="101"/>
  <c r="AM11" i="101" s="1"/>
  <c r="AL11" i="101"/>
  <c r="AK11" i="101" s="1"/>
  <c r="AJ11" i="101"/>
  <c r="AI11" i="101" s="1"/>
  <c r="AH11" i="101"/>
  <c r="AF11" i="101"/>
  <c r="AB11" i="101"/>
  <c r="Z11" i="101"/>
  <c r="AC11" i="101" s="1"/>
  <c r="W11" i="101"/>
  <c r="AP10" i="101"/>
  <c r="AO10" i="101"/>
  <c r="AN10" i="101"/>
  <c r="AM10" i="101"/>
  <c r="AL10" i="101"/>
  <c r="AK10" i="101"/>
  <c r="AJ10" i="101"/>
  <c r="AI10" i="101"/>
  <c r="AH10" i="101"/>
  <c r="AF10" i="101"/>
  <c r="AB10" i="101"/>
  <c r="Z10" i="101"/>
  <c r="AC10" i="101" s="1"/>
  <c r="W10" i="101"/>
  <c r="AP9" i="101"/>
  <c r="AO9" i="101" s="1"/>
  <c r="AN9" i="101"/>
  <c r="AM9" i="101" s="1"/>
  <c r="AL9" i="101"/>
  <c r="AK9" i="101" s="1"/>
  <c r="AJ9" i="101"/>
  <c r="AI9" i="101" s="1"/>
  <c r="AH9" i="101"/>
  <c r="AF9" i="101"/>
  <c r="AB9" i="101"/>
  <c r="Z9" i="101"/>
  <c r="AC9" i="101" s="1"/>
  <c r="W9" i="101"/>
  <c r="AP8" i="101"/>
  <c r="AO8" i="101"/>
  <c r="AN8" i="101"/>
  <c r="AM8" i="101"/>
  <c r="AL8" i="101"/>
  <c r="AK8" i="101"/>
  <c r="AJ8" i="101"/>
  <c r="AI8" i="101"/>
  <c r="AH8" i="101"/>
  <c r="AF8" i="101"/>
  <c r="AB8" i="101"/>
  <c r="Z8" i="101"/>
  <c r="AC8" i="101" s="1"/>
  <c r="W8" i="101"/>
  <c r="AP7" i="101"/>
  <c r="AO7" i="101" s="1"/>
  <c r="AN7" i="101"/>
  <c r="AM7" i="101" s="1"/>
  <c r="AL7" i="101"/>
  <c r="AK7" i="101" s="1"/>
  <c r="AJ7" i="101"/>
  <c r="AI7" i="101" s="1"/>
  <c r="AH7" i="101"/>
  <c r="AF7" i="101"/>
  <c r="AB7" i="101"/>
  <c r="Z7" i="101"/>
  <c r="AC7" i="101" s="1"/>
  <c r="W7" i="101"/>
  <c r="AP17" i="100" l="1"/>
  <c r="AO17" i="100" s="1"/>
  <c r="AN17" i="100"/>
  <c r="AM17" i="100" s="1"/>
  <c r="AL17" i="100"/>
  <c r="AK17" i="100" s="1"/>
  <c r="AJ17" i="100"/>
  <c r="AI17" i="100" s="1"/>
  <c r="AH17" i="100"/>
  <c r="AF17" i="100"/>
  <c r="AD13" i="99"/>
  <c r="C311" i="100"/>
  <c r="C310" i="100"/>
  <c r="C309" i="100"/>
  <c r="C308" i="100"/>
  <c r="C307" i="100"/>
  <c r="C306" i="100"/>
  <c r="C305" i="100"/>
  <c r="C304" i="100"/>
  <c r="C303" i="100"/>
  <c r="C302" i="100"/>
  <c r="C301" i="100"/>
  <c r="C300" i="100"/>
  <c r="AP19" i="100"/>
  <c r="AO19" i="100" s="1"/>
  <c r="AN19" i="100"/>
  <c r="AM19" i="100" s="1"/>
  <c r="AL19" i="100"/>
  <c r="AK19" i="100" s="1"/>
  <c r="AJ19" i="100"/>
  <c r="AI19" i="100" s="1"/>
  <c r="AH19" i="100"/>
  <c r="AF19" i="100"/>
  <c r="AP18" i="100"/>
  <c r="AO18" i="100" s="1"/>
  <c r="AN18" i="100"/>
  <c r="AM18" i="100" s="1"/>
  <c r="AL18" i="100"/>
  <c r="AK18" i="100" s="1"/>
  <c r="AJ18" i="100"/>
  <c r="AI18" i="100" s="1"/>
  <c r="AH18" i="100"/>
  <c r="AF18" i="100"/>
  <c r="AP16" i="100"/>
  <c r="AO16" i="100" s="1"/>
  <c r="AN16" i="100"/>
  <c r="AM16" i="100" s="1"/>
  <c r="AL16" i="100"/>
  <c r="AK16" i="100" s="1"/>
  <c r="AJ16" i="100"/>
  <c r="AI16" i="100" s="1"/>
  <c r="AH16" i="100"/>
  <c r="AF16" i="100"/>
  <c r="AP15" i="100"/>
  <c r="AO15" i="100" s="1"/>
  <c r="AN15" i="100"/>
  <c r="AM15" i="100" s="1"/>
  <c r="AL15" i="100"/>
  <c r="AJ15" i="100"/>
  <c r="AH15" i="100"/>
  <c r="AG15" i="100" s="1"/>
  <c r="AF15" i="100"/>
  <c r="AP14" i="100"/>
  <c r="AO14" i="100" s="1"/>
  <c r="AN14" i="100"/>
  <c r="AM14" i="100" s="1"/>
  <c r="AL14" i="100"/>
  <c r="AK14" i="100" s="1"/>
  <c r="AJ14" i="100"/>
  <c r="AI14" i="100" s="1"/>
  <c r="AH14" i="100"/>
  <c r="AF14" i="100"/>
  <c r="AP13" i="100"/>
  <c r="AO13" i="100" s="1"/>
  <c r="AN13" i="100"/>
  <c r="AM13" i="100" s="1"/>
  <c r="AL13" i="100"/>
  <c r="AK13" i="100" s="1"/>
  <c r="AJ13" i="100"/>
  <c r="AI13" i="100" s="1"/>
  <c r="AH13" i="100"/>
  <c r="AF13" i="100"/>
  <c r="AP12" i="100"/>
  <c r="AO12" i="100" s="1"/>
  <c r="AN12" i="100"/>
  <c r="AM12" i="100" s="1"/>
  <c r="AL12" i="100"/>
  <c r="AK12" i="100" s="1"/>
  <c r="AJ12" i="100"/>
  <c r="AI12" i="100" s="1"/>
  <c r="AH12" i="100"/>
  <c r="AF12" i="100"/>
  <c r="AP11" i="100"/>
  <c r="AO11" i="100" s="1"/>
  <c r="AN11" i="100"/>
  <c r="AM11" i="100" s="1"/>
  <c r="AL11" i="100"/>
  <c r="AK11" i="100" s="1"/>
  <c r="AJ11" i="100"/>
  <c r="AI11" i="100" s="1"/>
  <c r="AH11" i="100"/>
  <c r="AF11" i="100"/>
  <c r="AP10" i="100"/>
  <c r="AO10" i="100" s="1"/>
  <c r="AN10" i="100"/>
  <c r="AM10" i="100" s="1"/>
  <c r="AL10" i="100"/>
  <c r="AK10" i="100" s="1"/>
  <c r="AJ10" i="100"/>
  <c r="AI10" i="100" s="1"/>
  <c r="AH10" i="100"/>
  <c r="AF10" i="100"/>
  <c r="AP9" i="100"/>
  <c r="AO9" i="100" s="1"/>
  <c r="AN9" i="100"/>
  <c r="AM9" i="100" s="1"/>
  <c r="AL9" i="100"/>
  <c r="AK9" i="100" s="1"/>
  <c r="AJ9" i="100"/>
  <c r="AI9" i="100" s="1"/>
  <c r="AH9" i="100"/>
  <c r="AF9" i="100"/>
  <c r="AP8" i="100"/>
  <c r="AO8" i="100" s="1"/>
  <c r="AN8" i="100"/>
  <c r="AM8" i="100" s="1"/>
  <c r="AL8" i="100"/>
  <c r="AK8" i="100" s="1"/>
  <c r="AJ8" i="100"/>
  <c r="AI8" i="100" s="1"/>
  <c r="AH8" i="100"/>
  <c r="AF8" i="100"/>
  <c r="AP7" i="100"/>
  <c r="AO7" i="100" s="1"/>
  <c r="AN7" i="100"/>
  <c r="AM7" i="100" s="1"/>
  <c r="AL7" i="100"/>
  <c r="AK7" i="100" s="1"/>
  <c r="AJ7" i="100"/>
  <c r="AI7" i="100" s="1"/>
  <c r="AH7" i="100"/>
  <c r="AF7" i="100"/>
  <c r="K88" i="7"/>
  <c r="M93" i="7" l="1"/>
  <c r="M95" i="7"/>
  <c r="M92" i="7"/>
  <c r="M89" i="7"/>
  <c r="AI4" i="16"/>
  <c r="AH4" i="16"/>
  <c r="F21" i="8"/>
  <c r="A1" i="101" l="1"/>
  <c r="A1" i="100"/>
  <c r="Z8" i="99"/>
  <c r="AB8" i="99"/>
  <c r="AC8" i="99"/>
  <c r="Z9" i="99"/>
  <c r="AB9" i="99"/>
  <c r="AC9" i="99" s="1"/>
  <c r="Z10" i="99"/>
  <c r="AB10" i="99"/>
  <c r="AC10" i="99" s="1"/>
  <c r="Z11" i="99"/>
  <c r="AB11" i="99"/>
  <c r="AC11" i="99"/>
  <c r="Z12" i="99"/>
  <c r="AB12" i="99"/>
  <c r="AC12" i="99" s="1"/>
  <c r="Z13" i="99"/>
  <c r="AB13" i="99"/>
  <c r="AC13" i="99"/>
  <c r="Z14" i="99"/>
  <c r="AB14" i="99"/>
  <c r="AC14" i="99" s="1"/>
  <c r="Z15" i="99"/>
  <c r="AB15" i="99"/>
  <c r="AC15" i="99"/>
  <c r="Z16" i="99"/>
  <c r="AB16" i="99"/>
  <c r="AC16" i="99" s="1"/>
  <c r="Z17" i="99"/>
  <c r="AB17" i="99"/>
  <c r="AC17" i="99"/>
  <c r="Z18" i="99"/>
  <c r="AB18" i="99"/>
  <c r="AC18" i="99" s="1"/>
  <c r="W8" i="99"/>
  <c r="W9" i="99"/>
  <c r="W10" i="99"/>
  <c r="W11" i="99"/>
  <c r="W12" i="99"/>
  <c r="W13" i="99"/>
  <c r="W14" i="99"/>
  <c r="W15" i="99"/>
  <c r="W16" i="99"/>
  <c r="W17" i="99"/>
  <c r="W18" i="99"/>
  <c r="B31" i="103" l="1"/>
  <c r="F30" i="103" s="1"/>
  <c r="B312" i="103"/>
  <c r="B25" i="103"/>
  <c r="F27" i="103" s="1"/>
  <c r="B23" i="103"/>
  <c r="F24" i="103" s="1"/>
  <c r="B29" i="103"/>
  <c r="F33" i="103" s="1"/>
  <c r="B311" i="103"/>
  <c r="B300" i="103"/>
  <c r="B302" i="103"/>
  <c r="B304" i="103"/>
  <c r="B306" i="103"/>
  <c r="B308" i="103"/>
  <c r="B310" i="103"/>
  <c r="B301" i="103"/>
  <c r="B303" i="103"/>
  <c r="B305" i="103"/>
  <c r="B307" i="103"/>
  <c r="B309" i="103"/>
  <c r="B312" i="100"/>
  <c r="B300" i="100"/>
  <c r="B302" i="100"/>
  <c r="B304" i="100"/>
  <c r="B306" i="100"/>
  <c r="B310" i="100"/>
  <c r="B301" i="100"/>
  <c r="B303" i="100"/>
  <c r="B305" i="100"/>
  <c r="B307" i="100"/>
  <c r="B309" i="100"/>
  <c r="B311" i="100"/>
  <c r="B308" i="100"/>
  <c r="B312" i="101"/>
  <c r="B300" i="101"/>
  <c r="B302" i="101"/>
  <c r="B304" i="101"/>
  <c r="B306" i="101"/>
  <c r="B308" i="101"/>
  <c r="B310" i="101"/>
  <c r="B301" i="101"/>
  <c r="B303" i="101"/>
  <c r="B305" i="101"/>
  <c r="B307" i="101"/>
  <c r="B309" i="101"/>
  <c r="B311" i="101"/>
  <c r="AF13" i="99"/>
  <c r="AH13" i="99"/>
  <c r="AJ13" i="99"/>
  <c r="AI13" i="99" s="1"/>
  <c r="AL13" i="99"/>
  <c r="AK13" i="99" s="1"/>
  <c r="AN13" i="99"/>
  <c r="AM13" i="99" s="1"/>
  <c r="AP13" i="99"/>
  <c r="AO13" i="99" s="1"/>
  <c r="AH37" i="16" l="1"/>
  <c r="AH8" i="16"/>
  <c r="AH7" i="16"/>
  <c r="AH12" i="16"/>
  <c r="AH22" i="16"/>
  <c r="AH26" i="16"/>
  <c r="AH27" i="16"/>
  <c r="AH25" i="16"/>
  <c r="AH30" i="16"/>
  <c r="AH31" i="16"/>
  <c r="AH44" i="16"/>
  <c r="AH47" i="16"/>
  <c r="AH52" i="16"/>
  <c r="AH55" i="16"/>
  <c r="AH59" i="16"/>
  <c r="AH63" i="16"/>
  <c r="AH67" i="16"/>
  <c r="AH71" i="16"/>
  <c r="AH74" i="16"/>
  <c r="AH78" i="16"/>
  <c r="AH82" i="16"/>
  <c r="AH86" i="16"/>
  <c r="AH90" i="16"/>
  <c r="AH94" i="16"/>
  <c r="AH98" i="16"/>
  <c r="AH102" i="16"/>
  <c r="AH106" i="16"/>
  <c r="AH110" i="16"/>
  <c r="AH113" i="16"/>
  <c r="AH11" i="16"/>
  <c r="AH21" i="16"/>
  <c r="AH14" i="16"/>
  <c r="AH18" i="16"/>
  <c r="AH28" i="16"/>
  <c r="AH24" i="16"/>
  <c r="AH40" i="16"/>
  <c r="AH43" i="16"/>
  <c r="AH48" i="16"/>
  <c r="AH51" i="16"/>
  <c r="AH54" i="16"/>
  <c r="AH58" i="16"/>
  <c r="AH62" i="16"/>
  <c r="AH66" i="16"/>
  <c r="AH70" i="16"/>
  <c r="AH34" i="16"/>
  <c r="AH77" i="16"/>
  <c r="AH81" i="16"/>
  <c r="AH85" i="16"/>
  <c r="AH89" i="16"/>
  <c r="AH93" i="16"/>
  <c r="AH97" i="16"/>
  <c r="AH101" i="16"/>
  <c r="AH105" i="16"/>
  <c r="AH109" i="16"/>
  <c r="AH112" i="16"/>
  <c r="AH10" i="16"/>
  <c r="AH15" i="16"/>
  <c r="AH20" i="16"/>
  <c r="AH17" i="16"/>
  <c r="AH23" i="16"/>
  <c r="AH33" i="16"/>
  <c r="AH38" i="16"/>
  <c r="AH42" i="16"/>
  <c r="AH45" i="16"/>
  <c r="AH50" i="16"/>
  <c r="AH53" i="16"/>
  <c r="AH57" i="16"/>
  <c r="AH61" i="16"/>
  <c r="AH65" i="16"/>
  <c r="AH69" i="16"/>
  <c r="AH73" i="16"/>
  <c r="AH76" i="16"/>
  <c r="AH80" i="16"/>
  <c r="AH84" i="16"/>
  <c r="AH88" i="16"/>
  <c r="AH92" i="16"/>
  <c r="AH96" i="16"/>
  <c r="AH100" i="16"/>
  <c r="AH104" i="16"/>
  <c r="AH108" i="16"/>
  <c r="AH39" i="16"/>
  <c r="AH9" i="16"/>
  <c r="AH13" i="16"/>
  <c r="AH19" i="16"/>
  <c r="AH16" i="16"/>
  <c r="AH29" i="16"/>
  <c r="AH32" i="16"/>
  <c r="AH36" i="16"/>
  <c r="AH41" i="16"/>
  <c r="AH35" i="16"/>
  <c r="AH49" i="16"/>
  <c r="AH46" i="16"/>
  <c r="AH56" i="16"/>
  <c r="AH60" i="16"/>
  <c r="AH64" i="16"/>
  <c r="AH68" i="16"/>
  <c r="AH72" i="16"/>
  <c r="AH75" i="16"/>
  <c r="AH79" i="16"/>
  <c r="AH83" i="16"/>
  <c r="AH87" i="16"/>
  <c r="AH91" i="16"/>
  <c r="AH95" i="16"/>
  <c r="AH99" i="16"/>
  <c r="AH103" i="16"/>
  <c r="AH107" i="16"/>
  <c r="AH111" i="16"/>
  <c r="AH114" i="16"/>
  <c r="E19" i="8"/>
  <c r="AP18" i="99"/>
  <c r="AO18" i="99" s="1"/>
  <c r="AN18" i="99"/>
  <c r="AM18" i="99" s="1"/>
  <c r="AL18" i="99"/>
  <c r="AK18" i="99" s="1"/>
  <c r="AJ18" i="99"/>
  <c r="AI18" i="99" s="1"/>
  <c r="AH18" i="99"/>
  <c r="AF18" i="99"/>
  <c r="AP17" i="99"/>
  <c r="AO17" i="99" s="1"/>
  <c r="AN17" i="99"/>
  <c r="AM17" i="99" s="1"/>
  <c r="AL17" i="99"/>
  <c r="AK17" i="99" s="1"/>
  <c r="AJ17" i="99"/>
  <c r="AI17" i="99" s="1"/>
  <c r="AH17" i="99"/>
  <c r="AF17" i="99"/>
  <c r="AP16" i="99"/>
  <c r="AO16" i="99" s="1"/>
  <c r="AN16" i="99"/>
  <c r="AM16" i="99" s="1"/>
  <c r="AL16" i="99"/>
  <c r="AJ16" i="99"/>
  <c r="AH16" i="99"/>
  <c r="AG16" i="99" s="1"/>
  <c r="AF16" i="99"/>
  <c r="AP15" i="99"/>
  <c r="AO15" i="99" s="1"/>
  <c r="AN15" i="99"/>
  <c r="AM15" i="99" s="1"/>
  <c r="AL15" i="99"/>
  <c r="AK15" i="99" s="1"/>
  <c r="AJ15" i="99"/>
  <c r="AI15" i="99" s="1"/>
  <c r="AH15" i="99"/>
  <c r="AF15" i="99"/>
  <c r="AP14" i="99"/>
  <c r="AO14" i="99" s="1"/>
  <c r="AN14" i="99"/>
  <c r="AM14" i="99" s="1"/>
  <c r="AL14" i="99"/>
  <c r="AK14" i="99" s="1"/>
  <c r="AJ14" i="99"/>
  <c r="AI14" i="99" s="1"/>
  <c r="AH14" i="99"/>
  <c r="AF14" i="99"/>
  <c r="AP12" i="99"/>
  <c r="AO12" i="99" s="1"/>
  <c r="AN12" i="99"/>
  <c r="AM12" i="99" s="1"/>
  <c r="AL12" i="99"/>
  <c r="AK12" i="99" s="1"/>
  <c r="AJ12" i="99"/>
  <c r="AI12" i="99" s="1"/>
  <c r="AH12" i="99"/>
  <c r="AF12" i="99"/>
  <c r="AP11" i="99"/>
  <c r="AO11" i="99"/>
  <c r="AN11" i="99"/>
  <c r="AM11" i="99"/>
  <c r="AL11" i="99"/>
  <c r="AK11" i="99"/>
  <c r="AJ11" i="99"/>
  <c r="AI11" i="99"/>
  <c r="AH11" i="99"/>
  <c r="AF11" i="99"/>
  <c r="AP10" i="99"/>
  <c r="AO10" i="99" s="1"/>
  <c r="AN10" i="99"/>
  <c r="AM10" i="99" s="1"/>
  <c r="AL10" i="99"/>
  <c r="AK10" i="99" s="1"/>
  <c r="AJ10" i="99"/>
  <c r="AI10" i="99" s="1"/>
  <c r="AH10" i="99"/>
  <c r="AF10" i="99"/>
  <c r="AP9" i="99"/>
  <c r="AO9" i="99" s="1"/>
  <c r="AN9" i="99"/>
  <c r="AM9" i="99" s="1"/>
  <c r="AL9" i="99"/>
  <c r="AK9" i="99" s="1"/>
  <c r="AJ9" i="99"/>
  <c r="AI9" i="99" s="1"/>
  <c r="AH9" i="99"/>
  <c r="AF9" i="99"/>
  <c r="AP8" i="99"/>
  <c r="AO8" i="99" s="1"/>
  <c r="AN8" i="99"/>
  <c r="AM8" i="99" s="1"/>
  <c r="AL8" i="99"/>
  <c r="AK8" i="99" s="1"/>
  <c r="AJ8" i="99"/>
  <c r="AI8" i="99" s="1"/>
  <c r="AH8" i="99"/>
  <c r="AF8" i="99"/>
  <c r="AP7" i="99"/>
  <c r="AO7" i="99" s="1"/>
  <c r="AN7" i="99"/>
  <c r="AM7" i="99" s="1"/>
  <c r="AL7" i="99"/>
  <c r="AK7" i="99" s="1"/>
  <c r="AJ7" i="99"/>
  <c r="AI7" i="99" s="1"/>
  <c r="AH7" i="99"/>
  <c r="AF7" i="99"/>
  <c r="AB7" i="99"/>
  <c r="Z7" i="99"/>
  <c r="W7" i="99"/>
  <c r="BQ114" i="16" l="1"/>
  <c r="BQ107" i="16"/>
  <c r="BQ111" i="16"/>
  <c r="BQ103" i="16"/>
  <c r="BQ95" i="16"/>
  <c r="BQ87" i="16"/>
  <c r="BQ79" i="16"/>
  <c r="BQ72" i="16"/>
  <c r="BQ64" i="16"/>
  <c r="BQ56" i="16"/>
  <c r="BQ49" i="16"/>
  <c r="BQ41" i="16"/>
  <c r="BQ32" i="16"/>
  <c r="BQ16" i="16"/>
  <c r="BQ13" i="16"/>
  <c r="BQ39" i="16"/>
  <c r="BQ104" i="16"/>
  <c r="BQ96" i="16"/>
  <c r="BQ88" i="16"/>
  <c r="BQ80" i="16"/>
  <c r="BQ73" i="16"/>
  <c r="BQ65" i="16"/>
  <c r="BQ57" i="16"/>
  <c r="BQ50" i="16"/>
  <c r="BQ42" i="16"/>
  <c r="BQ33" i="16"/>
  <c r="BQ17" i="16"/>
  <c r="BQ15" i="16"/>
  <c r="BQ112" i="16"/>
  <c r="BQ105" i="16"/>
  <c r="BQ97" i="16"/>
  <c r="BQ89" i="16"/>
  <c r="BQ81" i="16"/>
  <c r="BQ34" i="16"/>
  <c r="BQ66" i="16"/>
  <c r="BQ58" i="16"/>
  <c r="BQ51" i="16"/>
  <c r="BQ43" i="16"/>
  <c r="BQ24" i="16"/>
  <c r="BQ18" i="16"/>
  <c r="BQ21" i="16"/>
  <c r="BQ113" i="16"/>
  <c r="BQ106" i="16"/>
  <c r="BQ98" i="16"/>
  <c r="BQ90" i="16"/>
  <c r="BQ82" i="16"/>
  <c r="BQ74" i="16"/>
  <c r="BQ67" i="16"/>
  <c r="BQ59" i="16"/>
  <c r="BQ52" i="16"/>
  <c r="BQ44" i="16"/>
  <c r="BQ30" i="16"/>
  <c r="BQ27" i="16"/>
  <c r="BQ22" i="16"/>
  <c r="BQ7" i="16"/>
  <c r="BQ37" i="16"/>
  <c r="BQ99" i="16"/>
  <c r="BQ91" i="16"/>
  <c r="BQ83" i="16"/>
  <c r="BQ75" i="16"/>
  <c r="BQ68" i="16"/>
  <c r="BQ60" i="16"/>
  <c r="BQ46" i="16"/>
  <c r="BQ35" i="16"/>
  <c r="BQ36" i="16"/>
  <c r="BQ29" i="16"/>
  <c r="BQ19" i="16"/>
  <c r="BQ9" i="16"/>
  <c r="BQ108" i="16"/>
  <c r="BQ100" i="16"/>
  <c r="BQ92" i="16"/>
  <c r="BQ84" i="16"/>
  <c r="BQ76" i="16"/>
  <c r="BQ69" i="16"/>
  <c r="BQ61" i="16"/>
  <c r="BQ53" i="16"/>
  <c r="BQ45" i="16"/>
  <c r="BQ38" i="16"/>
  <c r="BQ23" i="16"/>
  <c r="BQ20" i="16"/>
  <c r="BQ10" i="16"/>
  <c r="BQ109" i="16"/>
  <c r="BQ101" i="16"/>
  <c r="BQ93" i="16"/>
  <c r="BQ85" i="16"/>
  <c r="BQ77" i="16"/>
  <c r="BQ70" i="16"/>
  <c r="BQ62" i="16"/>
  <c r="BQ54" i="16"/>
  <c r="BQ48" i="16"/>
  <c r="BQ40" i="16"/>
  <c r="BQ28" i="16"/>
  <c r="BQ14" i="16"/>
  <c r="BQ11" i="16"/>
  <c r="BQ110" i="16"/>
  <c r="BQ102" i="16"/>
  <c r="BQ94" i="16"/>
  <c r="BQ86" i="16"/>
  <c r="BQ78" i="16"/>
  <c r="BQ71" i="16"/>
  <c r="BQ63" i="16"/>
  <c r="BQ55" i="16"/>
  <c r="BQ47" i="16"/>
  <c r="BQ31" i="16"/>
  <c r="BQ25" i="16"/>
  <c r="BQ26" i="16"/>
  <c r="BQ12" i="16"/>
  <c r="BQ8" i="16"/>
  <c r="BQ6" i="16"/>
  <c r="AC7" i="99"/>
  <c r="C309" i="98"/>
  <c r="C308" i="98"/>
  <c r="C307" i="98"/>
  <c r="C306" i="98"/>
  <c r="C305" i="98"/>
  <c r="C304" i="98"/>
  <c r="C303" i="98"/>
  <c r="C302" i="98"/>
  <c r="C301" i="98"/>
  <c r="C300" i="98"/>
  <c r="AP16" i="98"/>
  <c r="AO16" i="98" s="1"/>
  <c r="AN16" i="98"/>
  <c r="AM16" i="98" s="1"/>
  <c r="AL16" i="98"/>
  <c r="AK16" i="98" s="1"/>
  <c r="AJ16" i="98"/>
  <c r="AI16" i="98" s="1"/>
  <c r="AH16" i="98"/>
  <c r="AF16" i="98"/>
  <c r="AB16" i="98"/>
  <c r="Z16" i="98"/>
  <c r="W16" i="98"/>
  <c r="AP15" i="98"/>
  <c r="AO15" i="98" s="1"/>
  <c r="AN15" i="98"/>
  <c r="AM15" i="98" s="1"/>
  <c r="AL15" i="98"/>
  <c r="AK15" i="98" s="1"/>
  <c r="AJ15" i="98"/>
  <c r="AI15" i="98" s="1"/>
  <c r="AH15" i="98"/>
  <c r="AF15" i="98"/>
  <c r="AB15" i="98"/>
  <c r="Z15" i="98"/>
  <c r="AC15" i="98" s="1"/>
  <c r="W15" i="98"/>
  <c r="AP14" i="98"/>
  <c r="AO14" i="98" s="1"/>
  <c r="AN14" i="98"/>
  <c r="AM14" i="98" s="1"/>
  <c r="AL14" i="98"/>
  <c r="AJ14" i="98"/>
  <c r="AH14" i="98"/>
  <c r="AG14" i="98" s="1"/>
  <c r="AF14" i="98"/>
  <c r="AB14" i="98"/>
  <c r="Z14" i="98"/>
  <c r="W14" i="98"/>
  <c r="AP13" i="98"/>
  <c r="AO13" i="98" s="1"/>
  <c r="AN13" i="98"/>
  <c r="AM13" i="98" s="1"/>
  <c r="AL13" i="98"/>
  <c r="AK13" i="98" s="1"/>
  <c r="AJ13" i="98"/>
  <c r="AI13" i="98" s="1"/>
  <c r="AH13" i="98"/>
  <c r="AF13" i="98"/>
  <c r="AB13" i="98"/>
  <c r="Z13" i="98"/>
  <c r="AC13" i="98" s="1"/>
  <c r="W13" i="98"/>
  <c r="AP12" i="98"/>
  <c r="AO12" i="98" s="1"/>
  <c r="AN12" i="98"/>
  <c r="AM12" i="98" s="1"/>
  <c r="AL12" i="98"/>
  <c r="AK12" i="98" s="1"/>
  <c r="AJ12" i="98"/>
  <c r="AI12" i="98" s="1"/>
  <c r="AH12" i="98"/>
  <c r="AF12" i="98"/>
  <c r="AB12" i="98"/>
  <c r="Z12" i="98"/>
  <c r="W12" i="98"/>
  <c r="AP11" i="98"/>
  <c r="AO11" i="98" s="1"/>
  <c r="AN11" i="98"/>
  <c r="AM11" i="98" s="1"/>
  <c r="AL11" i="98"/>
  <c r="AK11" i="98" s="1"/>
  <c r="AJ11" i="98"/>
  <c r="AI11" i="98" s="1"/>
  <c r="AH11" i="98"/>
  <c r="AF11" i="98"/>
  <c r="AB11" i="98"/>
  <c r="Z11" i="98"/>
  <c r="W11" i="98"/>
  <c r="AP10" i="98"/>
  <c r="AO10" i="98" s="1"/>
  <c r="AN10" i="98"/>
  <c r="AM10" i="98" s="1"/>
  <c r="AL10" i="98"/>
  <c r="AK10" i="98" s="1"/>
  <c r="AJ10" i="98"/>
  <c r="AI10" i="98" s="1"/>
  <c r="AH10" i="98"/>
  <c r="AF10" i="98"/>
  <c r="AB10" i="98"/>
  <c r="Z10" i="98"/>
  <c r="W10" i="98"/>
  <c r="AP9" i="98"/>
  <c r="AO9" i="98" s="1"/>
  <c r="AN9" i="98"/>
  <c r="AM9" i="98" s="1"/>
  <c r="AL9" i="98"/>
  <c r="AK9" i="98" s="1"/>
  <c r="AJ9" i="98"/>
  <c r="AI9" i="98" s="1"/>
  <c r="AH9" i="98"/>
  <c r="AF9" i="98"/>
  <c r="AB9" i="98"/>
  <c r="Z9" i="98"/>
  <c r="W9" i="98"/>
  <c r="AP8" i="98"/>
  <c r="AO8" i="98" s="1"/>
  <c r="AN8" i="98"/>
  <c r="AM8" i="98" s="1"/>
  <c r="AL8" i="98"/>
  <c r="AK8" i="98" s="1"/>
  <c r="AJ8" i="98"/>
  <c r="AI8" i="98" s="1"/>
  <c r="AH8" i="98"/>
  <c r="AF8" i="98"/>
  <c r="AB8" i="98"/>
  <c r="Z8" i="98"/>
  <c r="W8" i="98"/>
  <c r="AP7" i="98"/>
  <c r="AO7" i="98" s="1"/>
  <c r="AN7" i="98"/>
  <c r="AM7" i="98" s="1"/>
  <c r="AL7" i="98"/>
  <c r="AK7" i="98" s="1"/>
  <c r="AJ7" i="98"/>
  <c r="AI7" i="98" s="1"/>
  <c r="AH7" i="98"/>
  <c r="AF7" i="98"/>
  <c r="AB7" i="98"/>
  <c r="Z7" i="98"/>
  <c r="W7" i="98"/>
  <c r="AC7" i="98" l="1"/>
  <c r="AC9" i="98"/>
  <c r="AC11" i="98"/>
  <c r="AC8" i="98"/>
  <c r="AC10" i="98"/>
  <c r="AC12" i="98"/>
  <c r="AC14" i="98"/>
  <c r="AC16" i="98"/>
  <c r="C312" i="97"/>
  <c r="C311" i="97"/>
  <c r="C310" i="97"/>
  <c r="C309" i="97"/>
  <c r="C308" i="97"/>
  <c r="C307" i="97"/>
  <c r="C306" i="97"/>
  <c r="C305" i="97"/>
  <c r="C304" i="97"/>
  <c r="C303" i="97"/>
  <c r="C302" i="97"/>
  <c r="C301" i="97"/>
  <c r="C300" i="97"/>
  <c r="AP19" i="97"/>
  <c r="AO19" i="97" s="1"/>
  <c r="AN19" i="97"/>
  <c r="AM19" i="97" s="1"/>
  <c r="AL19" i="97"/>
  <c r="AK19" i="97" s="1"/>
  <c r="AJ19" i="97"/>
  <c r="AI19" i="97" s="1"/>
  <c r="AH19" i="97"/>
  <c r="AF19" i="97"/>
  <c r="AB19" i="97"/>
  <c r="Z19" i="97"/>
  <c r="W19" i="97"/>
  <c r="AP18" i="97"/>
  <c r="AO18" i="97" s="1"/>
  <c r="AN18" i="97"/>
  <c r="AM18" i="97" s="1"/>
  <c r="AL18" i="97"/>
  <c r="AK18" i="97" s="1"/>
  <c r="AJ18" i="97"/>
  <c r="AI18" i="97" s="1"/>
  <c r="AH18" i="97"/>
  <c r="AF18" i="97"/>
  <c r="AB18" i="97"/>
  <c r="Z18" i="97"/>
  <c r="AC18" i="97" s="1"/>
  <c r="W18" i="97"/>
  <c r="AP17" i="97"/>
  <c r="AO17" i="97" s="1"/>
  <c r="AN17" i="97"/>
  <c r="AM17" i="97" s="1"/>
  <c r="AL17" i="97"/>
  <c r="AK17" i="97" s="1"/>
  <c r="AJ17" i="97"/>
  <c r="AI17" i="97" s="1"/>
  <c r="AH17" i="97"/>
  <c r="AF17" i="97"/>
  <c r="AB17" i="97"/>
  <c r="Z17" i="97"/>
  <c r="W17" i="97"/>
  <c r="AP16" i="97"/>
  <c r="AO16" i="97" s="1"/>
  <c r="AN16" i="97"/>
  <c r="AM16" i="97" s="1"/>
  <c r="AL16" i="97"/>
  <c r="AK16" i="97" s="1"/>
  <c r="AJ16" i="97"/>
  <c r="AI16" i="97" s="1"/>
  <c r="AH16" i="97"/>
  <c r="AF16" i="97"/>
  <c r="AB16" i="97"/>
  <c r="Z16" i="97"/>
  <c r="AC16" i="97" s="1"/>
  <c r="W16" i="97"/>
  <c r="AP15" i="97"/>
  <c r="AO15" i="97" s="1"/>
  <c r="AN15" i="97"/>
  <c r="AM15" i="97" s="1"/>
  <c r="AL15" i="97"/>
  <c r="AK15" i="97" s="1"/>
  <c r="AJ15" i="97"/>
  <c r="AI15" i="97" s="1"/>
  <c r="AH15" i="97"/>
  <c r="AF15" i="97"/>
  <c r="AB15" i="97"/>
  <c r="Z15" i="97"/>
  <c r="W15" i="97"/>
  <c r="AP14" i="97"/>
  <c r="AO14" i="97" s="1"/>
  <c r="AN14" i="97"/>
  <c r="AM14" i="97" s="1"/>
  <c r="AL14" i="97"/>
  <c r="AK14" i="97" s="1"/>
  <c r="AJ14" i="97"/>
  <c r="AI14" i="97" s="1"/>
  <c r="AH14" i="97"/>
  <c r="AF14" i="97"/>
  <c r="AB14" i="97"/>
  <c r="Z14" i="97"/>
  <c r="W14" i="97"/>
  <c r="AP13" i="97"/>
  <c r="AO13" i="97" s="1"/>
  <c r="AN13" i="97"/>
  <c r="AM13" i="97" s="1"/>
  <c r="AL13" i="97"/>
  <c r="AK13" i="97" s="1"/>
  <c r="AJ13" i="97"/>
  <c r="AI13" i="97" s="1"/>
  <c r="AH13" i="97"/>
  <c r="AF13" i="97"/>
  <c r="AB13" i="97"/>
  <c r="Z13" i="97"/>
  <c r="W13" i="97"/>
  <c r="AP12" i="97"/>
  <c r="AO12" i="97" s="1"/>
  <c r="AN12" i="97"/>
  <c r="AM12" i="97" s="1"/>
  <c r="AL12" i="97"/>
  <c r="AK12" i="97" s="1"/>
  <c r="AJ12" i="97"/>
  <c r="AI12" i="97" s="1"/>
  <c r="AH12" i="97"/>
  <c r="AF12" i="97"/>
  <c r="AB12" i="97"/>
  <c r="Z12" i="97"/>
  <c r="W12" i="97"/>
  <c r="AP11" i="97"/>
  <c r="AO11" i="97" s="1"/>
  <c r="AN11" i="97"/>
  <c r="AM11" i="97" s="1"/>
  <c r="AL11" i="97"/>
  <c r="AK11" i="97" s="1"/>
  <c r="AJ11" i="97"/>
  <c r="AI11" i="97" s="1"/>
  <c r="AH11" i="97"/>
  <c r="AF11" i="97"/>
  <c r="AB11" i="97"/>
  <c r="Z11" i="97"/>
  <c r="W11" i="97"/>
  <c r="AP10" i="97"/>
  <c r="AO10" i="97" s="1"/>
  <c r="AN10" i="97"/>
  <c r="AM10" i="97" s="1"/>
  <c r="AL10" i="97"/>
  <c r="AK10" i="97" s="1"/>
  <c r="AJ10" i="97"/>
  <c r="AI10" i="97" s="1"/>
  <c r="AH10" i="97"/>
  <c r="AF10" i="97"/>
  <c r="AB10" i="97"/>
  <c r="Z10" i="97"/>
  <c r="W10" i="97"/>
  <c r="AP9" i="97"/>
  <c r="AO9" i="97" s="1"/>
  <c r="AN9" i="97"/>
  <c r="AM9" i="97" s="1"/>
  <c r="AL9" i="97"/>
  <c r="AK9" i="97" s="1"/>
  <c r="AJ9" i="97"/>
  <c r="AI9" i="97" s="1"/>
  <c r="AH9" i="97"/>
  <c r="AF9" i="97"/>
  <c r="AB9" i="97"/>
  <c r="Z9" i="97"/>
  <c r="W9" i="97"/>
  <c r="AP8" i="97"/>
  <c r="AO8" i="97" s="1"/>
  <c r="AN8" i="97"/>
  <c r="AM8" i="97" s="1"/>
  <c r="AL8" i="97"/>
  <c r="AK8" i="97" s="1"/>
  <c r="AJ8" i="97"/>
  <c r="AI8" i="97" s="1"/>
  <c r="AH8" i="97"/>
  <c r="AF8" i="97"/>
  <c r="AB8" i="97"/>
  <c r="Z8" i="97"/>
  <c r="W8" i="97"/>
  <c r="AP7" i="97"/>
  <c r="AO7" i="97" s="1"/>
  <c r="AN7" i="97"/>
  <c r="AM7" i="97" s="1"/>
  <c r="AL7" i="97"/>
  <c r="AK7" i="97" s="1"/>
  <c r="AJ7" i="97"/>
  <c r="AI7" i="97" s="1"/>
  <c r="AH7" i="97"/>
  <c r="AF7" i="97"/>
  <c r="AB7" i="97"/>
  <c r="Z7" i="97"/>
  <c r="W7" i="97"/>
  <c r="AC8" i="97" l="1"/>
  <c r="AC10" i="97"/>
  <c r="AC12" i="97"/>
  <c r="AC14" i="97"/>
  <c r="AC7" i="97"/>
  <c r="AC9" i="97"/>
  <c r="AC11" i="97"/>
  <c r="AC13" i="97"/>
  <c r="AC15" i="97"/>
  <c r="AC17" i="97"/>
  <c r="AC19" i="97"/>
  <c r="AG4" i="16"/>
  <c r="M69" i="7"/>
  <c r="M71" i="7"/>
  <c r="AF4" i="16" l="1"/>
  <c r="M66" i="7"/>
  <c r="M68" i="7"/>
  <c r="J76" i="7"/>
  <c r="I77" i="7"/>
  <c r="Z7" i="87" l="1"/>
  <c r="F14" i="8" l="1"/>
  <c r="C56" i="7"/>
  <c r="K12" i="7" l="1"/>
  <c r="K10" i="7"/>
  <c r="K16" i="7"/>
  <c r="K18" i="7"/>
  <c r="AE4" i="16" l="1"/>
  <c r="M57" i="7"/>
  <c r="M59" i="7"/>
  <c r="K86" i="7" l="1"/>
  <c r="K112" i="7" l="1"/>
  <c r="M115" i="7"/>
  <c r="K115" i="7"/>
  <c r="K106" i="7"/>
  <c r="I103" i="7"/>
  <c r="K103" i="7"/>
  <c r="K101" i="7"/>
  <c r="I101" i="7"/>
  <c r="K97" i="7" l="1"/>
  <c r="K100" i="7"/>
  <c r="M107" i="7"/>
  <c r="M109" i="7"/>
  <c r="I80" i="7"/>
  <c r="K36" i="7"/>
  <c r="K34" i="7"/>
  <c r="AA4" i="16"/>
  <c r="Z4" i="16"/>
  <c r="C306" i="93" l="1"/>
  <c r="AH14" i="93"/>
  <c r="AH13" i="93"/>
  <c r="AH12" i="93"/>
  <c r="AH11" i="93"/>
  <c r="AH10" i="93"/>
  <c r="AH9" i="93"/>
  <c r="AH8" i="93"/>
  <c r="AH7" i="93"/>
  <c r="C311" i="96"/>
  <c r="C310" i="96"/>
  <c r="C309" i="96"/>
  <c r="C308" i="96"/>
  <c r="C307" i="96"/>
  <c r="C306" i="96"/>
  <c r="C305" i="96"/>
  <c r="C304" i="96"/>
  <c r="C303" i="96"/>
  <c r="C302" i="96"/>
  <c r="C301" i="96"/>
  <c r="C300" i="96"/>
  <c r="AP18" i="96"/>
  <c r="AO18" i="96" s="1"/>
  <c r="AN18" i="96"/>
  <c r="AM18" i="96" s="1"/>
  <c r="AL18" i="96"/>
  <c r="AK18" i="96" s="1"/>
  <c r="AJ18" i="96"/>
  <c r="AI18" i="96" s="1"/>
  <c r="AH18" i="96"/>
  <c r="AF18" i="96"/>
  <c r="AB18" i="96"/>
  <c r="Z18" i="96"/>
  <c r="AC18" i="96" s="1"/>
  <c r="W18" i="96"/>
  <c r="AP17" i="96"/>
  <c r="AO17" i="96" s="1"/>
  <c r="AN17" i="96"/>
  <c r="AM17" i="96" s="1"/>
  <c r="AL17" i="96"/>
  <c r="AK17" i="96" s="1"/>
  <c r="AJ17" i="96"/>
  <c r="AI17" i="96" s="1"/>
  <c r="AH17" i="96"/>
  <c r="AF17" i="96"/>
  <c r="AB17" i="96"/>
  <c r="Z17" i="96"/>
  <c r="W17" i="96"/>
  <c r="AP16" i="96"/>
  <c r="AO16" i="96" s="1"/>
  <c r="AN16" i="96"/>
  <c r="AM16" i="96" s="1"/>
  <c r="AL16" i="96"/>
  <c r="AK16" i="96" s="1"/>
  <c r="AJ16" i="96"/>
  <c r="AI16" i="96" s="1"/>
  <c r="AH16" i="96"/>
  <c r="AF16" i="96"/>
  <c r="AB16" i="96"/>
  <c r="Z16" i="96"/>
  <c r="AC16" i="96" s="1"/>
  <c r="W16" i="96"/>
  <c r="AP15" i="96"/>
  <c r="AO15" i="96" s="1"/>
  <c r="AN15" i="96"/>
  <c r="AM15" i="96" s="1"/>
  <c r="AL15" i="96"/>
  <c r="AK15" i="96" s="1"/>
  <c r="AJ15" i="96"/>
  <c r="AI15" i="96" s="1"/>
  <c r="AH15" i="96"/>
  <c r="AF15" i="96"/>
  <c r="AB15" i="96"/>
  <c r="Z15" i="96"/>
  <c r="W15" i="96"/>
  <c r="AP14" i="96"/>
  <c r="AO14" i="96" s="1"/>
  <c r="AN14" i="96"/>
  <c r="AM14" i="96" s="1"/>
  <c r="AL14" i="96"/>
  <c r="AK14" i="96" s="1"/>
  <c r="AJ14" i="96"/>
  <c r="AI14" i="96" s="1"/>
  <c r="AH14" i="96"/>
  <c r="AF14" i="96"/>
  <c r="AB14" i="96"/>
  <c r="Z14" i="96"/>
  <c r="AC14" i="96" s="1"/>
  <c r="W14" i="96"/>
  <c r="AP13" i="96"/>
  <c r="AO13" i="96" s="1"/>
  <c r="AN13" i="96"/>
  <c r="AM13" i="96" s="1"/>
  <c r="AL13" i="96"/>
  <c r="AK13" i="96" s="1"/>
  <c r="AJ13" i="96"/>
  <c r="AI13" i="96" s="1"/>
  <c r="AH13" i="96"/>
  <c r="AF13" i="96"/>
  <c r="AB13" i="96"/>
  <c r="Z13" i="96"/>
  <c r="W13" i="96"/>
  <c r="AP12" i="96"/>
  <c r="AO12" i="96" s="1"/>
  <c r="AN12" i="96"/>
  <c r="AM12" i="96" s="1"/>
  <c r="AL12" i="96"/>
  <c r="AK12" i="96" s="1"/>
  <c r="AJ12" i="96"/>
  <c r="AI12" i="96" s="1"/>
  <c r="AH12" i="96"/>
  <c r="AF12" i="96"/>
  <c r="AB12" i="96"/>
  <c r="Z12" i="96"/>
  <c r="AC12" i="96" s="1"/>
  <c r="W12" i="96"/>
  <c r="AP11" i="96"/>
  <c r="AO11" i="96" s="1"/>
  <c r="AN11" i="96"/>
  <c r="AM11" i="96" s="1"/>
  <c r="AL11" i="96"/>
  <c r="AK11" i="96" s="1"/>
  <c r="AJ11" i="96"/>
  <c r="AI11" i="96" s="1"/>
  <c r="AH11" i="96"/>
  <c r="AF11" i="96"/>
  <c r="AB11" i="96"/>
  <c r="Z11" i="96"/>
  <c r="W11" i="96"/>
  <c r="AP10" i="96"/>
  <c r="AO10" i="96" s="1"/>
  <c r="AN10" i="96"/>
  <c r="AM10" i="96" s="1"/>
  <c r="AL10" i="96"/>
  <c r="AK10" i="96" s="1"/>
  <c r="AJ10" i="96"/>
  <c r="AI10" i="96" s="1"/>
  <c r="AH10" i="96"/>
  <c r="AF10" i="96"/>
  <c r="AB10" i="96"/>
  <c r="Z10" i="96"/>
  <c r="AC10" i="96" s="1"/>
  <c r="W10" i="96"/>
  <c r="AP9" i="96"/>
  <c r="AO9" i="96" s="1"/>
  <c r="AN9" i="96"/>
  <c r="AM9" i="96" s="1"/>
  <c r="AL9" i="96"/>
  <c r="AK9" i="96" s="1"/>
  <c r="AJ9" i="96"/>
  <c r="AI9" i="96" s="1"/>
  <c r="AH9" i="96"/>
  <c r="AF9" i="96"/>
  <c r="AB9" i="96"/>
  <c r="Z9" i="96"/>
  <c r="W9" i="96"/>
  <c r="AP8" i="96"/>
  <c r="AO8" i="96" s="1"/>
  <c r="AN8" i="96"/>
  <c r="AM8" i="96" s="1"/>
  <c r="AL8" i="96"/>
  <c r="AK8" i="96" s="1"/>
  <c r="AJ8" i="96"/>
  <c r="AI8" i="96" s="1"/>
  <c r="AH8" i="96"/>
  <c r="AF8" i="96"/>
  <c r="AB8" i="96"/>
  <c r="Z8" i="96"/>
  <c r="AC8" i="96" s="1"/>
  <c r="W8" i="96"/>
  <c r="AP7" i="96"/>
  <c r="AO7" i="96" s="1"/>
  <c r="AN7" i="96"/>
  <c r="AM7" i="96" s="1"/>
  <c r="AL7" i="96"/>
  <c r="AK7" i="96" s="1"/>
  <c r="AJ7" i="96"/>
  <c r="AI7" i="96" s="1"/>
  <c r="AH7" i="96"/>
  <c r="AF7" i="96"/>
  <c r="AB7" i="96"/>
  <c r="Z7" i="96"/>
  <c r="W7" i="96"/>
  <c r="C307" i="94"/>
  <c r="C306" i="94"/>
  <c r="C305" i="94"/>
  <c r="C304" i="94"/>
  <c r="C303" i="94"/>
  <c r="C302" i="94"/>
  <c r="C301" i="94"/>
  <c r="C300" i="94"/>
  <c r="AP14" i="94"/>
  <c r="AO14" i="94" s="1"/>
  <c r="AN14" i="94"/>
  <c r="AM14" i="94" s="1"/>
  <c r="AL14" i="94"/>
  <c r="AK14" i="94" s="1"/>
  <c r="AJ14" i="94"/>
  <c r="AI14" i="94" s="1"/>
  <c r="AH14" i="94"/>
  <c r="AF14" i="94"/>
  <c r="AB14" i="94"/>
  <c r="Z14" i="94"/>
  <c r="W14" i="94"/>
  <c r="AP13" i="94"/>
  <c r="AO13" i="94" s="1"/>
  <c r="AN13" i="94"/>
  <c r="AM13" i="94" s="1"/>
  <c r="AL13" i="94"/>
  <c r="AK13" i="94" s="1"/>
  <c r="AJ13" i="94"/>
  <c r="AI13" i="94" s="1"/>
  <c r="AH13" i="94"/>
  <c r="AF13" i="94"/>
  <c r="AB13" i="94"/>
  <c r="Z13" i="94"/>
  <c r="W13" i="94"/>
  <c r="AP12" i="94"/>
  <c r="AO12" i="94" s="1"/>
  <c r="AN12" i="94"/>
  <c r="AM12" i="94" s="1"/>
  <c r="AL12" i="94"/>
  <c r="AK12" i="94" s="1"/>
  <c r="AJ12" i="94"/>
  <c r="AI12" i="94" s="1"/>
  <c r="AH12" i="94"/>
  <c r="AF12" i="94"/>
  <c r="AB12" i="94"/>
  <c r="Z12" i="94"/>
  <c r="W12" i="94"/>
  <c r="AP11" i="94"/>
  <c r="AO11" i="94" s="1"/>
  <c r="AN11" i="94"/>
  <c r="AM11" i="94" s="1"/>
  <c r="AL11" i="94"/>
  <c r="AK11" i="94" s="1"/>
  <c r="AJ11" i="94"/>
  <c r="AI11" i="94" s="1"/>
  <c r="AH11" i="94"/>
  <c r="AF11" i="94"/>
  <c r="AB11" i="94"/>
  <c r="Z11" i="94"/>
  <c r="W11" i="94"/>
  <c r="AP10" i="94"/>
  <c r="AO10" i="94" s="1"/>
  <c r="AN10" i="94"/>
  <c r="AM10" i="94" s="1"/>
  <c r="AL10" i="94"/>
  <c r="AK10" i="94" s="1"/>
  <c r="AJ10" i="94"/>
  <c r="AI10" i="94" s="1"/>
  <c r="AH10" i="94"/>
  <c r="AF10" i="94"/>
  <c r="AB10" i="94"/>
  <c r="Z10" i="94"/>
  <c r="W10" i="94"/>
  <c r="AP9" i="94"/>
  <c r="AO9" i="94" s="1"/>
  <c r="AN9" i="94"/>
  <c r="AM9" i="94" s="1"/>
  <c r="AL9" i="94"/>
  <c r="AK9" i="94" s="1"/>
  <c r="AJ9" i="94"/>
  <c r="AI9" i="94" s="1"/>
  <c r="AH9" i="94"/>
  <c r="AF9" i="94"/>
  <c r="AB9" i="94"/>
  <c r="Z9" i="94"/>
  <c r="W9" i="94"/>
  <c r="AP8" i="94"/>
  <c r="AO8" i="94" s="1"/>
  <c r="AN8" i="94"/>
  <c r="AM8" i="94" s="1"/>
  <c r="AL8" i="94"/>
  <c r="AK8" i="94" s="1"/>
  <c r="AJ8" i="94"/>
  <c r="AI8" i="94" s="1"/>
  <c r="AH8" i="94"/>
  <c r="AF8" i="94"/>
  <c r="AB8" i="94"/>
  <c r="Z8" i="94"/>
  <c r="W8" i="94"/>
  <c r="AP7" i="94"/>
  <c r="AO7" i="94" s="1"/>
  <c r="AN7" i="94"/>
  <c r="AM7" i="94" s="1"/>
  <c r="AL7" i="94"/>
  <c r="AK7" i="94" s="1"/>
  <c r="AJ7" i="94"/>
  <c r="AI7" i="94" s="1"/>
  <c r="AH7" i="94"/>
  <c r="AF7" i="94"/>
  <c r="AB7" i="94"/>
  <c r="Z7" i="94"/>
  <c r="W7" i="94"/>
  <c r="C307" i="93"/>
  <c r="C305" i="93"/>
  <c r="C304" i="93"/>
  <c r="C303" i="93"/>
  <c r="C302" i="93"/>
  <c r="C301" i="93"/>
  <c r="C300" i="93"/>
  <c r="AP14" i="93"/>
  <c r="AO14" i="93" s="1"/>
  <c r="AN14" i="93"/>
  <c r="AM14" i="93" s="1"/>
  <c r="AL14" i="93"/>
  <c r="AK14" i="93" s="1"/>
  <c r="AJ14" i="93"/>
  <c r="AI14" i="93" s="1"/>
  <c r="AF14" i="93"/>
  <c r="AB14" i="93"/>
  <c r="Z14" i="93"/>
  <c r="AC14" i="93" s="1"/>
  <c r="W14" i="93"/>
  <c r="AP13" i="93"/>
  <c r="AO13" i="93" s="1"/>
  <c r="AN13" i="93"/>
  <c r="AM13" i="93" s="1"/>
  <c r="AL13" i="93"/>
  <c r="AK13" i="93" s="1"/>
  <c r="AJ13" i="93"/>
  <c r="AI13" i="93" s="1"/>
  <c r="AF13" i="93"/>
  <c r="AB13" i="93"/>
  <c r="Z13" i="93"/>
  <c r="W13" i="93"/>
  <c r="AP12" i="93"/>
  <c r="AO12" i="93" s="1"/>
  <c r="AN12" i="93"/>
  <c r="AM12" i="93" s="1"/>
  <c r="AL12" i="93"/>
  <c r="AK12" i="93" s="1"/>
  <c r="AJ12" i="93"/>
  <c r="AI12" i="93" s="1"/>
  <c r="AF12" i="93"/>
  <c r="AB12" i="93"/>
  <c r="Z12" i="93"/>
  <c r="W12" i="93"/>
  <c r="AP11" i="93"/>
  <c r="AO11" i="93" s="1"/>
  <c r="AN11" i="93"/>
  <c r="AM11" i="93" s="1"/>
  <c r="AL11" i="93"/>
  <c r="AK11" i="93" s="1"/>
  <c r="AJ11" i="93"/>
  <c r="AI11" i="93" s="1"/>
  <c r="AF11" i="93"/>
  <c r="AB11" i="93"/>
  <c r="Z11" i="93"/>
  <c r="W11" i="93"/>
  <c r="AP10" i="93"/>
  <c r="AO10" i="93" s="1"/>
  <c r="AN10" i="93"/>
  <c r="AM10" i="93" s="1"/>
  <c r="AL10" i="93"/>
  <c r="AK10" i="93" s="1"/>
  <c r="AJ10" i="93"/>
  <c r="AI10" i="93" s="1"/>
  <c r="AF10" i="93"/>
  <c r="AB10" i="93"/>
  <c r="Z10" i="93"/>
  <c r="W10" i="93"/>
  <c r="AP9" i="93"/>
  <c r="AO9" i="93" s="1"/>
  <c r="AN9" i="93"/>
  <c r="AM9" i="93" s="1"/>
  <c r="AL9" i="93"/>
  <c r="AK9" i="93" s="1"/>
  <c r="AJ9" i="93"/>
  <c r="AI9" i="93" s="1"/>
  <c r="AF9" i="93"/>
  <c r="AB9" i="93"/>
  <c r="Z9" i="93"/>
  <c r="W9" i="93"/>
  <c r="AP8" i="93"/>
  <c r="AO8" i="93" s="1"/>
  <c r="AN8" i="93"/>
  <c r="AM8" i="93" s="1"/>
  <c r="AL8" i="93"/>
  <c r="AK8" i="93" s="1"/>
  <c r="AJ8" i="93"/>
  <c r="AI8" i="93" s="1"/>
  <c r="AF8" i="93"/>
  <c r="AB8" i="93"/>
  <c r="Z8" i="93"/>
  <c r="W8" i="93"/>
  <c r="AP7" i="93"/>
  <c r="AO7" i="93" s="1"/>
  <c r="AN7" i="93"/>
  <c r="AM7" i="93" s="1"/>
  <c r="AL7" i="93"/>
  <c r="AK7" i="93" s="1"/>
  <c r="AJ7" i="93"/>
  <c r="AI7" i="93" s="1"/>
  <c r="AF7" i="93"/>
  <c r="AB7" i="93"/>
  <c r="Z7" i="93"/>
  <c r="W7" i="93"/>
  <c r="W16" i="92"/>
  <c r="Z16" i="92"/>
  <c r="AB16" i="92"/>
  <c r="AC16" i="92" s="1"/>
  <c r="AF16" i="92"/>
  <c r="AH16" i="92"/>
  <c r="AJ16" i="92"/>
  <c r="AI16" i="92" s="1"/>
  <c r="AL16" i="92"/>
  <c r="AK16" i="92" s="1"/>
  <c r="AN16" i="92"/>
  <c r="AM16" i="92" s="1"/>
  <c r="AP16" i="92"/>
  <c r="AO16" i="92" s="1"/>
  <c r="C309" i="92"/>
  <c r="C308" i="92"/>
  <c r="C307" i="92"/>
  <c r="C306" i="92"/>
  <c r="C305" i="92"/>
  <c r="C304" i="92"/>
  <c r="C303" i="92"/>
  <c r="C302" i="92"/>
  <c r="C301" i="92"/>
  <c r="C300" i="92"/>
  <c r="AP15" i="92"/>
  <c r="AO15" i="92" s="1"/>
  <c r="AN15" i="92"/>
  <c r="AM15" i="92" s="1"/>
  <c r="AL15" i="92"/>
  <c r="AJ15" i="92"/>
  <c r="AH15" i="92"/>
  <c r="AF15" i="92"/>
  <c r="AB15" i="92"/>
  <c r="Z15" i="92"/>
  <c r="W15" i="92"/>
  <c r="AP14" i="92"/>
  <c r="AO14" i="92"/>
  <c r="AN14" i="92"/>
  <c r="AM14" i="92"/>
  <c r="AL14" i="92"/>
  <c r="AK14" i="92"/>
  <c r="AJ14" i="92"/>
  <c r="AI14" i="92"/>
  <c r="AH14" i="92"/>
  <c r="AF14" i="92"/>
  <c r="AB14" i="92"/>
  <c r="Z14" i="92"/>
  <c r="W14" i="92"/>
  <c r="AP13" i="92"/>
  <c r="AO13" i="92" s="1"/>
  <c r="AN13" i="92"/>
  <c r="AM13" i="92" s="1"/>
  <c r="AL13" i="92"/>
  <c r="AK13" i="92" s="1"/>
  <c r="AJ13" i="92"/>
  <c r="AI13" i="92" s="1"/>
  <c r="AH13" i="92"/>
  <c r="AF13" i="92"/>
  <c r="AB13" i="92"/>
  <c r="Z13" i="92"/>
  <c r="AC13" i="92" s="1"/>
  <c r="W13" i="92"/>
  <c r="AP12" i="92"/>
  <c r="AO12" i="92" s="1"/>
  <c r="AN12" i="92"/>
  <c r="AM12" i="92" s="1"/>
  <c r="AL12" i="92"/>
  <c r="AK12" i="92" s="1"/>
  <c r="AJ12" i="92"/>
  <c r="AI12" i="92" s="1"/>
  <c r="AH12" i="92"/>
  <c r="AF12" i="92"/>
  <c r="AB12" i="92"/>
  <c r="Z12" i="92"/>
  <c r="W12" i="92"/>
  <c r="AP11" i="92"/>
  <c r="AO11" i="92" s="1"/>
  <c r="AN11" i="92"/>
  <c r="AM11" i="92" s="1"/>
  <c r="AL11" i="92"/>
  <c r="AK11" i="92" s="1"/>
  <c r="AJ11" i="92"/>
  <c r="AI11" i="92" s="1"/>
  <c r="AH11" i="92"/>
  <c r="AF11" i="92"/>
  <c r="AB11" i="92"/>
  <c r="Z11" i="92"/>
  <c r="AC11" i="92" s="1"/>
  <c r="W11" i="92"/>
  <c r="AP10" i="92"/>
  <c r="AO10" i="92" s="1"/>
  <c r="AN10" i="92"/>
  <c r="AM10" i="92" s="1"/>
  <c r="AL10" i="92"/>
  <c r="AK10" i="92" s="1"/>
  <c r="AJ10" i="92"/>
  <c r="AI10" i="92" s="1"/>
  <c r="AH10" i="92"/>
  <c r="AF10" i="92"/>
  <c r="AB10" i="92"/>
  <c r="Z10" i="92"/>
  <c r="W10" i="92"/>
  <c r="AP9" i="92"/>
  <c r="AO9" i="92" s="1"/>
  <c r="AN9" i="92"/>
  <c r="AM9" i="92" s="1"/>
  <c r="AL9" i="92"/>
  <c r="AK9" i="92" s="1"/>
  <c r="AJ9" i="92"/>
  <c r="AI9" i="92" s="1"/>
  <c r="AH9" i="92"/>
  <c r="AF9" i="92"/>
  <c r="AB9" i="92"/>
  <c r="Z9" i="92"/>
  <c r="AC9" i="92" s="1"/>
  <c r="W9" i="92"/>
  <c r="AP8" i="92"/>
  <c r="AO8" i="92" s="1"/>
  <c r="AN8" i="92"/>
  <c r="AM8" i="92" s="1"/>
  <c r="AL8" i="92"/>
  <c r="AK8" i="92" s="1"/>
  <c r="AJ8" i="92"/>
  <c r="AI8" i="92" s="1"/>
  <c r="AH8" i="92"/>
  <c r="AF8" i="92"/>
  <c r="AB8" i="92"/>
  <c r="Z8" i="92"/>
  <c r="W8" i="92"/>
  <c r="AP7" i="92"/>
  <c r="AO7" i="92" s="1"/>
  <c r="AN7" i="92"/>
  <c r="AM7" i="92" s="1"/>
  <c r="AL7" i="92"/>
  <c r="AK7" i="92" s="1"/>
  <c r="AJ7" i="92"/>
  <c r="AI7" i="92" s="1"/>
  <c r="AH7" i="92"/>
  <c r="AF7" i="92"/>
  <c r="AB7" i="92"/>
  <c r="Z7" i="92"/>
  <c r="AC7" i="92" s="1"/>
  <c r="W7" i="92"/>
  <c r="AC14" i="92" l="1"/>
  <c r="AC12" i="93"/>
  <c r="AC8" i="93"/>
  <c r="AC10" i="93"/>
  <c r="AC7" i="96"/>
  <c r="AC9" i="96"/>
  <c r="AC11" i="96"/>
  <c r="AC13" i="96"/>
  <c r="AC15" i="96"/>
  <c r="AC17" i="96"/>
  <c r="AC7" i="94"/>
  <c r="AC9" i="94"/>
  <c r="AC11" i="94"/>
  <c r="AC13" i="94"/>
  <c r="AC8" i="94"/>
  <c r="AC10" i="94"/>
  <c r="AC12" i="94"/>
  <c r="AC14" i="94"/>
  <c r="AC7" i="93"/>
  <c r="AC9" i="93"/>
  <c r="AC11" i="93"/>
  <c r="AC13" i="93"/>
  <c r="AC8" i="92"/>
  <c r="AC10" i="92"/>
  <c r="AC12" i="92"/>
  <c r="AC15" i="92"/>
  <c r="J25" i="7"/>
  <c r="H24" i="7"/>
  <c r="K15" i="7"/>
  <c r="K13" i="7"/>
  <c r="J9" i="7"/>
  <c r="N8" i="7"/>
  <c r="H8" i="7"/>
  <c r="M21" i="7"/>
  <c r="M23" i="7"/>
  <c r="A46" i="7" l="1"/>
  <c r="A48" i="7"/>
  <c r="M51" i="7"/>
  <c r="M40" i="7"/>
  <c r="M34" i="7"/>
  <c r="M42" i="7"/>
  <c r="M36" i="7"/>
  <c r="M29" i="7"/>
  <c r="M31" i="7"/>
  <c r="V24" i="16"/>
  <c r="AM24" i="16"/>
  <c r="V30" i="16"/>
  <c r="AM30" i="16"/>
  <c r="V38" i="16"/>
  <c r="AM38" i="16"/>
  <c r="AF14" i="82"/>
  <c r="AH14" i="82"/>
  <c r="AJ14" i="82"/>
  <c r="AI14" i="82" s="1"/>
  <c r="AL14" i="82"/>
  <c r="AK14" i="82" s="1"/>
  <c r="AN14" i="82"/>
  <c r="AM14" i="82" s="1"/>
  <c r="AP14" i="82"/>
  <c r="AO14" i="82" s="1"/>
  <c r="AF15" i="82"/>
  <c r="AH15" i="82"/>
  <c r="AJ15" i="82"/>
  <c r="AI15" i="82" s="1"/>
  <c r="AL15" i="82"/>
  <c r="AK15" i="82" s="1"/>
  <c r="AN15" i="82"/>
  <c r="AM15" i="82" s="1"/>
  <c r="AP15" i="82"/>
  <c r="AO15" i="82" s="1"/>
  <c r="AB15" i="82"/>
  <c r="Z15" i="82"/>
  <c r="W15" i="82"/>
  <c r="AB14" i="82"/>
  <c r="Z14" i="82"/>
  <c r="AC14" i="82" s="1"/>
  <c r="W14" i="82"/>
  <c r="AB13" i="82"/>
  <c r="Z13" i="82"/>
  <c r="W13" i="82"/>
  <c r="AB12" i="82"/>
  <c r="Z12" i="82"/>
  <c r="AC12" i="82" s="1"/>
  <c r="W12" i="82"/>
  <c r="AB11" i="82"/>
  <c r="Z11" i="82"/>
  <c r="W11" i="82"/>
  <c r="AB10" i="82"/>
  <c r="Z10" i="82"/>
  <c r="AC10" i="82" s="1"/>
  <c r="W10" i="82"/>
  <c r="AB9" i="82"/>
  <c r="Z9" i="82"/>
  <c r="W9" i="82"/>
  <c r="AB8" i="82"/>
  <c r="Z8" i="82"/>
  <c r="AC8" i="82" s="1"/>
  <c r="W8" i="82"/>
  <c r="AB7" i="82"/>
  <c r="Z7" i="82"/>
  <c r="W7" i="82"/>
  <c r="C308" i="82"/>
  <c r="AC15" i="82" l="1"/>
  <c r="AC7" i="82"/>
  <c r="AC9" i="82"/>
  <c r="AC11" i="82"/>
  <c r="AC13" i="82"/>
  <c r="F26" i="8" l="1"/>
  <c r="B312" i="104" l="1"/>
  <c r="B301" i="104"/>
  <c r="B303" i="104"/>
  <c r="B305" i="104"/>
  <c r="B307" i="104"/>
  <c r="B309" i="104"/>
  <c r="B311" i="104"/>
  <c r="B300" i="104"/>
  <c r="AI9" i="16" s="1"/>
  <c r="B302" i="104"/>
  <c r="B304" i="104"/>
  <c r="B306" i="104"/>
  <c r="B308" i="104"/>
  <c r="B310" i="104"/>
  <c r="E13" i="8"/>
  <c r="AI37" i="16" l="1"/>
  <c r="AI8" i="16"/>
  <c r="AI10" i="16"/>
  <c r="AI7" i="16"/>
  <c r="AI13" i="16"/>
  <c r="AI15" i="16"/>
  <c r="AI19" i="16"/>
  <c r="AI27" i="16"/>
  <c r="AI23" i="16"/>
  <c r="AI33" i="16"/>
  <c r="AI40" i="16"/>
  <c r="AI43" i="16"/>
  <c r="AI46" i="16"/>
  <c r="AI39" i="16"/>
  <c r="AI53" i="16"/>
  <c r="AI57" i="16"/>
  <c r="AI61" i="16"/>
  <c r="AI65" i="16"/>
  <c r="AI69" i="16"/>
  <c r="AI73" i="16"/>
  <c r="AI77" i="16"/>
  <c r="AI81" i="16"/>
  <c r="AI85" i="16"/>
  <c r="AI89" i="16"/>
  <c r="AI93" i="16"/>
  <c r="AI97" i="16"/>
  <c r="AI101" i="16"/>
  <c r="AI105" i="16"/>
  <c r="AI109" i="16"/>
  <c r="AI113" i="16"/>
  <c r="AI12" i="16"/>
  <c r="AI17" i="16"/>
  <c r="AI20" i="16"/>
  <c r="AI29" i="16"/>
  <c r="AI28" i="16"/>
  <c r="AI31" i="16"/>
  <c r="AI41" i="16"/>
  <c r="AI44" i="16"/>
  <c r="AI48" i="16"/>
  <c r="AI50" i="16"/>
  <c r="AI54" i="16"/>
  <c r="AI58" i="16"/>
  <c r="AI62" i="16"/>
  <c r="AI66" i="16"/>
  <c r="AI70" i="16"/>
  <c r="AI74" i="16"/>
  <c r="AI78" i="16"/>
  <c r="AI82" i="16"/>
  <c r="AI86" i="16"/>
  <c r="AI90" i="16"/>
  <c r="AI94" i="16"/>
  <c r="AI98" i="16"/>
  <c r="AI102" i="16"/>
  <c r="AI106" i="16"/>
  <c r="AI110" i="16"/>
  <c r="AI114" i="16"/>
  <c r="AI14" i="16"/>
  <c r="AI21" i="16"/>
  <c r="AI16" i="16"/>
  <c r="AI25" i="16"/>
  <c r="AI30" i="16"/>
  <c r="AI36" i="16"/>
  <c r="AI34" i="16"/>
  <c r="AI35" i="16"/>
  <c r="AI47" i="16"/>
  <c r="AI51" i="16"/>
  <c r="AI55" i="16"/>
  <c r="AI59" i="16"/>
  <c r="AI63" i="16"/>
  <c r="AI67" i="16"/>
  <c r="AI71" i="16"/>
  <c r="AI75" i="16"/>
  <c r="AI83" i="16"/>
  <c r="AI87" i="16"/>
  <c r="AI91" i="16"/>
  <c r="AI95" i="16"/>
  <c r="AI103" i="16"/>
  <c r="AI107" i="16"/>
  <c r="AI18" i="16"/>
  <c r="AI26" i="16"/>
  <c r="AI32" i="16"/>
  <c r="AI42" i="16"/>
  <c r="AI49" i="16"/>
  <c r="AI79" i="16"/>
  <c r="AI99" i="16"/>
  <c r="AI111" i="16"/>
  <c r="AI11" i="16"/>
  <c r="AI22" i="16"/>
  <c r="AI24" i="16"/>
  <c r="AI38" i="16"/>
  <c r="AI45" i="16"/>
  <c r="AI52" i="16"/>
  <c r="AI56" i="16"/>
  <c r="AI64" i="16"/>
  <c r="AI72" i="16"/>
  <c r="AI80" i="16"/>
  <c r="AI88" i="16"/>
  <c r="AI96" i="16"/>
  <c r="AI104" i="16"/>
  <c r="AI112" i="16"/>
  <c r="AI60" i="16"/>
  <c r="AI68" i="16"/>
  <c r="AI76" i="16"/>
  <c r="AI84" i="16"/>
  <c r="AI92" i="16"/>
  <c r="AI100" i="16"/>
  <c r="AI108" i="16"/>
  <c r="F23" i="8"/>
  <c r="A1" i="102" s="1"/>
  <c r="BR100" i="16" l="1"/>
  <c r="BR68" i="16"/>
  <c r="BR96" i="16"/>
  <c r="BR64" i="16"/>
  <c r="BR38" i="16"/>
  <c r="BR111" i="16"/>
  <c r="BR42" i="16"/>
  <c r="BR107" i="16"/>
  <c r="BR87" i="16"/>
  <c r="BR75" i="16"/>
  <c r="BR59" i="16"/>
  <c r="BR36" i="16"/>
  <c r="BR25" i="16"/>
  <c r="BR114" i="16"/>
  <c r="BR98" i="16"/>
  <c r="BR82" i="16"/>
  <c r="BR66" i="16"/>
  <c r="BR50" i="16"/>
  <c r="BR29" i="16"/>
  <c r="BR84" i="16"/>
  <c r="BR112" i="16"/>
  <c r="BR80" i="16"/>
  <c r="BR52" i="16"/>
  <c r="BR22" i="16"/>
  <c r="BR79" i="16"/>
  <c r="BR26" i="16"/>
  <c r="BR95" i="16"/>
  <c r="BR67" i="16"/>
  <c r="BR51" i="16"/>
  <c r="BR35" i="16"/>
  <c r="BR21" i="16"/>
  <c r="BR106" i="16"/>
  <c r="BR90" i="16"/>
  <c r="BR74" i="16"/>
  <c r="BR58" i="16"/>
  <c r="BR44" i="16"/>
  <c r="BR31" i="16"/>
  <c r="BR17" i="16"/>
  <c r="BR113" i="16"/>
  <c r="BR105" i="16"/>
  <c r="BR97" i="16"/>
  <c r="BR89" i="16"/>
  <c r="BR81" i="16"/>
  <c r="BR73" i="16"/>
  <c r="BR65" i="16"/>
  <c r="BR57" i="16"/>
  <c r="BR39" i="16"/>
  <c r="BR43" i="16"/>
  <c r="BR33" i="16"/>
  <c r="BR27" i="16"/>
  <c r="BR15" i="16"/>
  <c r="BR7" i="16"/>
  <c r="BR9" i="16"/>
  <c r="BR8" i="16"/>
  <c r="BR108" i="16"/>
  <c r="BR92" i="16"/>
  <c r="BR76" i="16"/>
  <c r="BR60" i="16"/>
  <c r="BR104" i="16"/>
  <c r="BR88" i="16"/>
  <c r="BR72" i="16"/>
  <c r="BR56" i="16"/>
  <c r="BR45" i="16"/>
  <c r="BR24" i="16"/>
  <c r="BR11" i="16"/>
  <c r="BR99" i="16"/>
  <c r="BR49" i="16"/>
  <c r="BR32" i="16"/>
  <c r="BR18" i="16"/>
  <c r="BR103" i="16"/>
  <c r="BR91" i="16"/>
  <c r="BR83" i="16"/>
  <c r="BR71" i="16"/>
  <c r="BR63" i="16"/>
  <c r="BR55" i="16"/>
  <c r="BR47" i="16"/>
  <c r="BR34" i="16"/>
  <c r="BR30" i="16"/>
  <c r="BR16" i="16"/>
  <c r="BR14" i="16"/>
  <c r="BR110" i="16"/>
  <c r="BR102" i="16"/>
  <c r="BR94" i="16"/>
  <c r="BR86" i="16"/>
  <c r="BR78" i="16"/>
  <c r="BR70" i="16"/>
  <c r="BR62" i="16"/>
  <c r="BR54" i="16"/>
  <c r="BR48" i="16"/>
  <c r="BR41" i="16"/>
  <c r="BR28" i="16"/>
  <c r="BR20" i="16"/>
  <c r="BR12" i="16"/>
  <c r="BR109" i="16"/>
  <c r="BR101" i="16"/>
  <c r="BR93" i="16"/>
  <c r="BR85" i="16"/>
  <c r="BR77" i="16"/>
  <c r="BR69" i="16"/>
  <c r="BR61" i="16"/>
  <c r="BR53" i="16"/>
  <c r="BR46" i="16"/>
  <c r="BR40" i="16"/>
  <c r="BR23" i="16"/>
  <c r="BR19" i="16"/>
  <c r="BR13" i="16"/>
  <c r="BR10" i="16"/>
  <c r="BR37" i="16"/>
  <c r="BR6" i="16"/>
  <c r="B300" i="102"/>
  <c r="B302" i="102"/>
  <c r="B304" i="102"/>
  <c r="B301" i="102"/>
  <c r="B303" i="102"/>
  <c r="B305" i="102"/>
  <c r="E18" i="8"/>
  <c r="F18" i="8"/>
  <c r="A1" i="98" l="1"/>
  <c r="E17" i="8"/>
  <c r="F17" i="8"/>
  <c r="A1" i="97" l="1"/>
  <c r="B300" i="98"/>
  <c r="B302" i="98"/>
  <c r="B304" i="98"/>
  <c r="B306" i="98"/>
  <c r="B308" i="98"/>
  <c r="B301" i="98"/>
  <c r="B303" i="98"/>
  <c r="B305" i="98"/>
  <c r="B307" i="98"/>
  <c r="B309" i="98"/>
  <c r="AM18" i="16"/>
  <c r="W17" i="87"/>
  <c r="Z17" i="87"/>
  <c r="AB17" i="87"/>
  <c r="AC17" i="87" s="1"/>
  <c r="AF17" i="87"/>
  <c r="AH17" i="87"/>
  <c r="AJ17" i="87"/>
  <c r="AI17" i="87" s="1"/>
  <c r="AL17" i="87"/>
  <c r="AK17" i="87" s="1"/>
  <c r="AN17" i="87"/>
  <c r="AM17" i="87" s="1"/>
  <c r="AP17" i="87"/>
  <c r="AO17" i="87" s="1"/>
  <c r="W18" i="87"/>
  <c r="Z18" i="87"/>
  <c r="AB18" i="87"/>
  <c r="AC18" i="87" s="1"/>
  <c r="AF18" i="87"/>
  <c r="AH18" i="87"/>
  <c r="AJ18" i="87"/>
  <c r="AI18" i="87" s="1"/>
  <c r="AL18" i="87"/>
  <c r="AK18" i="87" s="1"/>
  <c r="AN18" i="87"/>
  <c r="AM18" i="87" s="1"/>
  <c r="AP18" i="87"/>
  <c r="AO18" i="87" s="1"/>
  <c r="W19" i="87"/>
  <c r="Z19" i="87"/>
  <c r="AB19" i="87"/>
  <c r="AC19" i="87" s="1"/>
  <c r="AF19" i="87"/>
  <c r="AH19" i="87"/>
  <c r="AJ19" i="87"/>
  <c r="AI19" i="87" s="1"/>
  <c r="AL19" i="87"/>
  <c r="AK19" i="87" s="1"/>
  <c r="AN19" i="87"/>
  <c r="AM19" i="87" s="1"/>
  <c r="AP19" i="87"/>
  <c r="AO19" i="87" s="1"/>
  <c r="C300" i="87"/>
  <c r="C301" i="87"/>
  <c r="C302" i="87"/>
  <c r="C303" i="87"/>
  <c r="C304" i="87"/>
  <c r="C305" i="87"/>
  <c r="C306" i="87"/>
  <c r="C307" i="87"/>
  <c r="C308" i="87"/>
  <c r="C309" i="87"/>
  <c r="C310" i="87"/>
  <c r="C311" i="87"/>
  <c r="C312" i="87"/>
  <c r="AP16" i="87"/>
  <c r="AO16" i="87" s="1"/>
  <c r="AN16" i="87"/>
  <c r="AM16" i="87" s="1"/>
  <c r="AL16" i="87"/>
  <c r="AK16" i="87" s="1"/>
  <c r="AJ16" i="87"/>
  <c r="AI16" i="87" s="1"/>
  <c r="AH16" i="87"/>
  <c r="AF16" i="87"/>
  <c r="AB16" i="87"/>
  <c r="Z16" i="87"/>
  <c r="AC16" i="87" s="1"/>
  <c r="W16" i="87"/>
  <c r="AP15" i="87"/>
  <c r="AO15" i="87" s="1"/>
  <c r="AN15" i="87"/>
  <c r="AM15" i="87" s="1"/>
  <c r="AL15" i="87"/>
  <c r="AK15" i="87" s="1"/>
  <c r="AJ15" i="87"/>
  <c r="AI15" i="87" s="1"/>
  <c r="AH15" i="87"/>
  <c r="AF15" i="87"/>
  <c r="AB15" i="87"/>
  <c r="Z15" i="87"/>
  <c r="AC15" i="87" s="1"/>
  <c r="W15" i="87"/>
  <c r="AP14" i="87"/>
  <c r="AO14" i="87" s="1"/>
  <c r="AN14" i="87"/>
  <c r="AM14" i="87" s="1"/>
  <c r="AL14" i="87"/>
  <c r="AK14" i="87" s="1"/>
  <c r="AJ14" i="87"/>
  <c r="AI14" i="87" s="1"/>
  <c r="AH14" i="87"/>
  <c r="AF14" i="87"/>
  <c r="AB14" i="87"/>
  <c r="Z14" i="87"/>
  <c r="AC14" i="87" s="1"/>
  <c r="W14" i="87"/>
  <c r="AP13" i="87"/>
  <c r="AO13" i="87" s="1"/>
  <c r="AN13" i="87"/>
  <c r="AM13" i="87" s="1"/>
  <c r="AL13" i="87"/>
  <c r="AK13" i="87" s="1"/>
  <c r="AJ13" i="87"/>
  <c r="AI13" i="87" s="1"/>
  <c r="AH13" i="87"/>
  <c r="AF13" i="87"/>
  <c r="AB13" i="87"/>
  <c r="Z13" i="87"/>
  <c r="AC13" i="87" s="1"/>
  <c r="W13" i="87"/>
  <c r="AP12" i="87"/>
  <c r="AO12" i="87" s="1"/>
  <c r="AN12" i="87"/>
  <c r="AM12" i="87" s="1"/>
  <c r="AL12" i="87"/>
  <c r="AK12" i="87" s="1"/>
  <c r="AJ12" i="87"/>
  <c r="AI12" i="87" s="1"/>
  <c r="AH12" i="87"/>
  <c r="AF12" i="87"/>
  <c r="AB12" i="87"/>
  <c r="Z12" i="87"/>
  <c r="AC12" i="87" s="1"/>
  <c r="W12" i="87"/>
  <c r="AP11" i="87"/>
  <c r="AO11" i="87" s="1"/>
  <c r="AN11" i="87"/>
  <c r="AM11" i="87" s="1"/>
  <c r="AL11" i="87"/>
  <c r="AK11" i="87" s="1"/>
  <c r="AJ11" i="87"/>
  <c r="AI11" i="87" s="1"/>
  <c r="AH11" i="87"/>
  <c r="AF11" i="87"/>
  <c r="AB11" i="87"/>
  <c r="Z11" i="87"/>
  <c r="AC11" i="87" s="1"/>
  <c r="W11" i="87"/>
  <c r="AP10" i="87"/>
  <c r="AO10" i="87" s="1"/>
  <c r="AN10" i="87"/>
  <c r="AM10" i="87" s="1"/>
  <c r="AL10" i="87"/>
  <c r="AK10" i="87" s="1"/>
  <c r="AJ10" i="87"/>
  <c r="AI10" i="87" s="1"/>
  <c r="AH10" i="87"/>
  <c r="AF10" i="87"/>
  <c r="AB10" i="87"/>
  <c r="Z10" i="87"/>
  <c r="AC10" i="87" s="1"/>
  <c r="W10" i="87"/>
  <c r="AP9" i="87"/>
  <c r="AO9" i="87" s="1"/>
  <c r="AN9" i="87"/>
  <c r="AM9" i="87" s="1"/>
  <c r="AL9" i="87"/>
  <c r="AK9" i="87" s="1"/>
  <c r="AJ9" i="87"/>
  <c r="AI9" i="87" s="1"/>
  <c r="AH9" i="87"/>
  <c r="AF9" i="87"/>
  <c r="AB9" i="87"/>
  <c r="Z9" i="87"/>
  <c r="AC9" i="87" s="1"/>
  <c r="W9" i="87"/>
  <c r="AP8" i="87"/>
  <c r="AO8" i="87" s="1"/>
  <c r="AN8" i="87"/>
  <c r="AM8" i="87" s="1"/>
  <c r="AL8" i="87"/>
  <c r="AK8" i="87" s="1"/>
  <c r="AJ8" i="87"/>
  <c r="AI8" i="87" s="1"/>
  <c r="AH8" i="87"/>
  <c r="AF8" i="87"/>
  <c r="AB8" i="87"/>
  <c r="Z8" i="87"/>
  <c r="AC8" i="87" s="1"/>
  <c r="W8" i="87"/>
  <c r="AP7" i="87"/>
  <c r="AO7" i="87" s="1"/>
  <c r="AN7" i="87"/>
  <c r="AM7" i="87" s="1"/>
  <c r="AL7" i="87"/>
  <c r="AK7" i="87" s="1"/>
  <c r="AJ7" i="87"/>
  <c r="AI7" i="87" s="1"/>
  <c r="AH7" i="87"/>
  <c r="AF7" i="87"/>
  <c r="AB7" i="87"/>
  <c r="AC7" i="87"/>
  <c r="W7" i="87"/>
  <c r="E15" i="8"/>
  <c r="AG37" i="16" l="1"/>
  <c r="AG8" i="16"/>
  <c r="AG10" i="16"/>
  <c r="AG15" i="16"/>
  <c r="AG14" i="16"/>
  <c r="AG16" i="16"/>
  <c r="AG22" i="16"/>
  <c r="AG20" i="16"/>
  <c r="AG17" i="16"/>
  <c r="AG18" i="16"/>
  <c r="AG28" i="16"/>
  <c r="AG25" i="16"/>
  <c r="AG30" i="16"/>
  <c r="AG38" i="16"/>
  <c r="AG33" i="16"/>
  <c r="AG41" i="16"/>
  <c r="AG31" i="16"/>
  <c r="AG44" i="16"/>
  <c r="AG48" i="16"/>
  <c r="AG49" i="16"/>
  <c r="AG50" i="16"/>
  <c r="AG52" i="16"/>
  <c r="AG53" i="16"/>
  <c r="AG55" i="16"/>
  <c r="AG57" i="16"/>
  <c r="AG59" i="16"/>
  <c r="AG61" i="16"/>
  <c r="AG63" i="16"/>
  <c r="AG65" i="16"/>
  <c r="AG67" i="16"/>
  <c r="AG69" i="16"/>
  <c r="AG71" i="16"/>
  <c r="AG73" i="16"/>
  <c r="AG74" i="16"/>
  <c r="AG76" i="16"/>
  <c r="AG78" i="16"/>
  <c r="AG80" i="16"/>
  <c r="AG82" i="16"/>
  <c r="AG84" i="16"/>
  <c r="AG86" i="16"/>
  <c r="AG88" i="16"/>
  <c r="AG90" i="16"/>
  <c r="AG92" i="16"/>
  <c r="AG94" i="16"/>
  <c r="AG96" i="16"/>
  <c r="AG98" i="16"/>
  <c r="AG100" i="16"/>
  <c r="AG102" i="16"/>
  <c r="AG104" i="16"/>
  <c r="AG106" i="16"/>
  <c r="AG108" i="16"/>
  <c r="AG110" i="16"/>
  <c r="AG39" i="16"/>
  <c r="AG113" i="16"/>
  <c r="AG7" i="16"/>
  <c r="AG9" i="16"/>
  <c r="AG11" i="16"/>
  <c r="AG12" i="16"/>
  <c r="AG26" i="16"/>
  <c r="AG21" i="16"/>
  <c r="AG19" i="16"/>
  <c r="AG13" i="16"/>
  <c r="AG27" i="16"/>
  <c r="AG29" i="16"/>
  <c r="AG24" i="16"/>
  <c r="AG23" i="16"/>
  <c r="AG36" i="16"/>
  <c r="AG32" i="16"/>
  <c r="AG40" i="16"/>
  <c r="AG42" i="16"/>
  <c r="AG43" i="16"/>
  <c r="AG45" i="16"/>
  <c r="AG47" i="16"/>
  <c r="AG35" i="16"/>
  <c r="AG51" i="16"/>
  <c r="AG46" i="16"/>
  <c r="AG54" i="16"/>
  <c r="AG56" i="16"/>
  <c r="AG58" i="16"/>
  <c r="AG60" i="16"/>
  <c r="AG62" i="16"/>
  <c r="AG64" i="16"/>
  <c r="AG66" i="16"/>
  <c r="AG68" i="16"/>
  <c r="AG70" i="16"/>
  <c r="AG72" i="16"/>
  <c r="AG34" i="16"/>
  <c r="AG75" i="16"/>
  <c r="AG77" i="16"/>
  <c r="AG79" i="16"/>
  <c r="AG81" i="16"/>
  <c r="AG83" i="16"/>
  <c r="AG85" i="16"/>
  <c r="AG87" i="16"/>
  <c r="AG89" i="16"/>
  <c r="AG91" i="16"/>
  <c r="AG93" i="16"/>
  <c r="AG95" i="16"/>
  <c r="AG97" i="16"/>
  <c r="AG99" i="16"/>
  <c r="AG101" i="16"/>
  <c r="AG103" i="16"/>
  <c r="AG105" i="16"/>
  <c r="AG107" i="16"/>
  <c r="AG109" i="16"/>
  <c r="AG111" i="16"/>
  <c r="AG112" i="16"/>
  <c r="AG114" i="16"/>
  <c r="B312" i="97"/>
  <c r="B301" i="97"/>
  <c r="B303" i="97"/>
  <c r="B305" i="97"/>
  <c r="B307" i="97"/>
  <c r="B309" i="97"/>
  <c r="B311" i="97"/>
  <c r="B300" i="97"/>
  <c r="B302" i="97"/>
  <c r="B304" i="97"/>
  <c r="B306" i="97"/>
  <c r="B308" i="97"/>
  <c r="B310" i="97"/>
  <c r="F15" i="8"/>
  <c r="A1" i="87" s="1"/>
  <c r="AF37" i="16" l="1"/>
  <c r="BP112" i="16"/>
  <c r="BP105" i="16"/>
  <c r="BP97" i="16"/>
  <c r="BP89" i="16"/>
  <c r="BP81" i="16"/>
  <c r="BP70" i="16"/>
  <c r="BP62" i="16"/>
  <c r="BP54" i="16"/>
  <c r="BP47" i="16"/>
  <c r="BP40" i="16"/>
  <c r="BP27" i="16"/>
  <c r="BP19" i="16"/>
  <c r="BP11" i="16"/>
  <c r="BP39" i="16"/>
  <c r="BP100" i="16"/>
  <c r="BP92" i="16"/>
  <c r="BP80" i="16"/>
  <c r="BP73" i="16"/>
  <c r="BP69" i="16"/>
  <c r="BP65" i="16"/>
  <c r="BP61" i="16"/>
  <c r="BP57" i="16"/>
  <c r="BP53" i="16"/>
  <c r="BP50" i="16"/>
  <c r="BP48" i="16"/>
  <c r="BP31" i="16"/>
  <c r="BP33" i="16"/>
  <c r="BP30" i="16"/>
  <c r="BP28" i="16"/>
  <c r="BP17" i="16"/>
  <c r="BP22" i="16"/>
  <c r="BP14" i="16"/>
  <c r="BP10" i="16"/>
  <c r="BP109" i="16"/>
  <c r="BP101" i="16"/>
  <c r="BP93" i="16"/>
  <c r="BP85" i="16"/>
  <c r="BP77" i="16"/>
  <c r="BP34" i="16"/>
  <c r="BP66" i="16"/>
  <c r="BP58" i="16"/>
  <c r="BP51" i="16"/>
  <c r="BP43" i="16"/>
  <c r="BP36" i="16"/>
  <c r="BP24" i="16"/>
  <c r="BP26" i="16"/>
  <c r="BP7" i="16"/>
  <c r="BP37" i="16"/>
  <c r="BP108" i="16"/>
  <c r="BP104" i="16"/>
  <c r="BP96" i="16"/>
  <c r="BP88" i="16"/>
  <c r="BP84" i="16"/>
  <c r="BP76" i="16"/>
  <c r="BP114" i="16"/>
  <c r="BP111" i="16"/>
  <c r="BP107" i="16"/>
  <c r="BP103" i="16"/>
  <c r="BP99" i="16"/>
  <c r="BP95" i="16"/>
  <c r="BP91" i="16"/>
  <c r="BP87" i="16"/>
  <c r="BP83" i="16"/>
  <c r="BP79" i="16"/>
  <c r="BP75" i="16"/>
  <c r="BP72" i="16"/>
  <c r="BP68" i="16"/>
  <c r="BP64" i="16"/>
  <c r="BP60" i="16"/>
  <c r="BP56" i="16"/>
  <c r="BP46" i="16"/>
  <c r="BP35" i="16"/>
  <c r="BP45" i="16"/>
  <c r="BP42" i="16"/>
  <c r="BP32" i="16"/>
  <c r="BP23" i="16"/>
  <c r="BP29" i="16"/>
  <c r="BP13" i="16"/>
  <c r="BP21" i="16"/>
  <c r="BP12" i="16"/>
  <c r="BP9" i="16"/>
  <c r="BP113" i="16"/>
  <c r="BP110" i="16"/>
  <c r="BP106" i="16"/>
  <c r="BP102" i="16"/>
  <c r="BP98" i="16"/>
  <c r="BP94" i="16"/>
  <c r="BP90" i="16"/>
  <c r="BP86" i="16"/>
  <c r="BP82" i="16"/>
  <c r="BP78" i="16"/>
  <c r="BP74" i="16"/>
  <c r="BP71" i="16"/>
  <c r="BP67" i="16"/>
  <c r="BP63" i="16"/>
  <c r="BP59" i="16"/>
  <c r="BP55" i="16"/>
  <c r="BP52" i="16"/>
  <c r="BP49" i="16"/>
  <c r="BP44" i="16"/>
  <c r="BP41" i="16"/>
  <c r="BP38" i="16"/>
  <c r="BP25" i="16"/>
  <c r="BP18" i="16"/>
  <c r="BP20" i="16"/>
  <c r="BP16" i="16"/>
  <c r="BP15" i="16"/>
  <c r="BP8" i="16"/>
  <c r="BP6" i="16"/>
  <c r="AF9" i="16"/>
  <c r="AF10" i="16"/>
  <c r="AF12" i="16"/>
  <c r="AF16" i="16"/>
  <c r="AF26" i="16"/>
  <c r="AF20" i="16"/>
  <c r="AF29" i="16"/>
  <c r="AF22" i="16"/>
  <c r="AF13" i="16"/>
  <c r="AF24" i="16"/>
  <c r="AF30" i="16"/>
  <c r="AF38" i="16"/>
  <c r="AF25" i="16"/>
  <c r="AF41" i="16"/>
  <c r="AF33" i="16"/>
  <c r="AF43" i="16"/>
  <c r="AF31" i="16"/>
  <c r="AF47" i="16"/>
  <c r="AF50" i="16"/>
  <c r="AF52" i="16"/>
  <c r="AF53" i="16"/>
  <c r="AF55" i="16"/>
  <c r="AF57" i="16"/>
  <c r="AF59" i="16"/>
  <c r="AF61" i="16"/>
  <c r="AF63" i="16"/>
  <c r="AF65" i="16"/>
  <c r="AF67" i="16"/>
  <c r="AF69" i="16"/>
  <c r="AF71" i="16"/>
  <c r="AF73" i="16"/>
  <c r="AF48" i="16"/>
  <c r="AF75" i="16"/>
  <c r="AF77" i="16"/>
  <c r="AF79" i="16"/>
  <c r="AF81" i="16"/>
  <c r="AF83" i="16"/>
  <c r="AF85" i="16"/>
  <c r="AF87" i="16"/>
  <c r="AF89" i="16"/>
  <c r="AF91" i="16"/>
  <c r="AF93" i="16"/>
  <c r="AF95" i="16"/>
  <c r="AF49" i="16"/>
  <c r="AF98" i="16"/>
  <c r="AF100" i="16"/>
  <c r="AF102" i="16"/>
  <c r="AF104" i="16"/>
  <c r="AF106" i="16"/>
  <c r="AF108" i="16"/>
  <c r="AF110" i="16"/>
  <c r="AF39" i="16"/>
  <c r="AF113" i="16"/>
  <c r="AF7" i="16"/>
  <c r="AF8" i="16"/>
  <c r="AF11" i="16"/>
  <c r="AF15" i="16"/>
  <c r="AF14" i="16"/>
  <c r="AF19" i="16"/>
  <c r="AF27" i="16"/>
  <c r="AF21" i="16"/>
  <c r="AF18" i="16"/>
  <c r="AF17" i="16"/>
  <c r="AF23" i="16"/>
  <c r="AF36" i="16"/>
  <c r="AF28" i="16"/>
  <c r="AF40" i="16"/>
  <c r="AF32" i="16"/>
  <c r="AF42" i="16"/>
  <c r="AF44" i="16"/>
  <c r="AF45" i="16"/>
  <c r="AF35" i="16"/>
  <c r="AF51" i="16"/>
  <c r="AF46" i="16"/>
  <c r="AF54" i="16"/>
  <c r="AF56" i="16"/>
  <c r="AF58" i="16"/>
  <c r="AF60" i="16"/>
  <c r="AF62" i="16"/>
  <c r="AF64" i="16"/>
  <c r="AF66" i="16"/>
  <c r="AF68" i="16"/>
  <c r="AF70" i="16"/>
  <c r="AF72" i="16"/>
  <c r="AF34" i="16"/>
  <c r="AF74" i="16"/>
  <c r="AF76" i="16"/>
  <c r="AF78" i="16"/>
  <c r="AF80" i="16"/>
  <c r="AF82" i="16"/>
  <c r="AF84" i="16"/>
  <c r="AF86" i="16"/>
  <c r="AF88" i="16"/>
  <c r="AF90" i="16"/>
  <c r="AF92" i="16"/>
  <c r="AF94" i="16"/>
  <c r="AF96" i="16"/>
  <c r="AF97" i="16"/>
  <c r="AF99" i="16"/>
  <c r="AF101" i="16"/>
  <c r="AF103" i="16"/>
  <c r="AF105" i="16"/>
  <c r="AF107" i="16"/>
  <c r="AF109" i="16"/>
  <c r="AF111" i="16"/>
  <c r="AF112" i="16"/>
  <c r="AF114" i="16"/>
  <c r="B309" i="87"/>
  <c r="B310" i="87"/>
  <c r="B312" i="87"/>
  <c r="B311" i="87"/>
  <c r="B301" i="87"/>
  <c r="B303" i="87"/>
  <c r="B305" i="87"/>
  <c r="B300" i="87"/>
  <c r="B302" i="87"/>
  <c r="B304" i="87"/>
  <c r="B306" i="87"/>
  <c r="B308" i="87"/>
  <c r="B307" i="87"/>
  <c r="AE37" i="16" l="1"/>
  <c r="BO112" i="16"/>
  <c r="BO109" i="16"/>
  <c r="BO101" i="16"/>
  <c r="BO94" i="16"/>
  <c r="BO86" i="16"/>
  <c r="BO82" i="16"/>
  <c r="BO78" i="16"/>
  <c r="BO74" i="16"/>
  <c r="BO72" i="16"/>
  <c r="BO68" i="16"/>
  <c r="BO64" i="16"/>
  <c r="BO60" i="16"/>
  <c r="BO56" i="16"/>
  <c r="BO46" i="16"/>
  <c r="BO35" i="16"/>
  <c r="BO44" i="16"/>
  <c r="BO32" i="16"/>
  <c r="BO28" i="16"/>
  <c r="BO23" i="16"/>
  <c r="BO18" i="16"/>
  <c r="BO27" i="16"/>
  <c r="BO14" i="16"/>
  <c r="BO11" i="16"/>
  <c r="BO7" i="16"/>
  <c r="BO37" i="16"/>
  <c r="BO39" i="16"/>
  <c r="BO108" i="16"/>
  <c r="BO104" i="16"/>
  <c r="BO100" i="16"/>
  <c r="BO49" i="16"/>
  <c r="BO93" i="16"/>
  <c r="BO89" i="16"/>
  <c r="BO85" i="16"/>
  <c r="BO81" i="16"/>
  <c r="BO77" i="16"/>
  <c r="BO48" i="16"/>
  <c r="BO71" i="16"/>
  <c r="BO67" i="16"/>
  <c r="BO63" i="16"/>
  <c r="BO59" i="16"/>
  <c r="BO55" i="16"/>
  <c r="BO52" i="16"/>
  <c r="BO47" i="16"/>
  <c r="BO43" i="16"/>
  <c r="BO41" i="16"/>
  <c r="BO38" i="16"/>
  <c r="BO24" i="16"/>
  <c r="BO22" i="16"/>
  <c r="BO20" i="16"/>
  <c r="BO16" i="16"/>
  <c r="BO10" i="16"/>
  <c r="BO105" i="16"/>
  <c r="BO97" i="16"/>
  <c r="BO90" i="16"/>
  <c r="BO114" i="16"/>
  <c r="BO111" i="16"/>
  <c r="BO107" i="16"/>
  <c r="BO103" i="16"/>
  <c r="BO99" i="16"/>
  <c r="BO96" i="16"/>
  <c r="BO92" i="16"/>
  <c r="BO88" i="16"/>
  <c r="BO84" i="16"/>
  <c r="BO80" i="16"/>
  <c r="BO76" i="16"/>
  <c r="BO34" i="16"/>
  <c r="BO70" i="16"/>
  <c r="BO66" i="16"/>
  <c r="BO62" i="16"/>
  <c r="BO58" i="16"/>
  <c r="BO54" i="16"/>
  <c r="BO51" i="16"/>
  <c r="BO45" i="16"/>
  <c r="BO42" i="16"/>
  <c r="BO40" i="16"/>
  <c r="BO36" i="16"/>
  <c r="BO17" i="16"/>
  <c r="BO21" i="16"/>
  <c r="BO19" i="16"/>
  <c r="BO15" i="16"/>
  <c r="BO8" i="16"/>
  <c r="BO113" i="16"/>
  <c r="BO110" i="16"/>
  <c r="BO106" i="16"/>
  <c r="BO102" i="16"/>
  <c r="BO98" i="16"/>
  <c r="BO95" i="16"/>
  <c r="BO91" i="16"/>
  <c r="BO87" i="16"/>
  <c r="BO83" i="16"/>
  <c r="BO79" i="16"/>
  <c r="BO75" i="16"/>
  <c r="BO73" i="16"/>
  <c r="BO69" i="16"/>
  <c r="BO65" i="16"/>
  <c r="BO61" i="16"/>
  <c r="BO57" i="16"/>
  <c r="BO53" i="16"/>
  <c r="BO50" i="16"/>
  <c r="BO31" i="16"/>
  <c r="BO33" i="16"/>
  <c r="BO25" i="16"/>
  <c r="BO30" i="16"/>
  <c r="BO13" i="16"/>
  <c r="BO29" i="16"/>
  <c r="BO26" i="16"/>
  <c r="BO12" i="16"/>
  <c r="BO9" i="16"/>
  <c r="BO6" i="16"/>
  <c r="AE8" i="16"/>
  <c r="AE10" i="16"/>
  <c r="AE11" i="16"/>
  <c r="AE16" i="16"/>
  <c r="AE20" i="16"/>
  <c r="AE17" i="16"/>
  <c r="AE26" i="16"/>
  <c r="AE18" i="16"/>
  <c r="AE27" i="16"/>
  <c r="AE22" i="16"/>
  <c r="AE38" i="16"/>
  <c r="AE29" i="16"/>
  <c r="AE42" i="16"/>
  <c r="AE41" i="16"/>
  <c r="AE23" i="16"/>
  <c r="AE45" i="16"/>
  <c r="AE31" i="16"/>
  <c r="AE50" i="16"/>
  <c r="AE52" i="16"/>
  <c r="AE53" i="16"/>
  <c r="AE55" i="16"/>
  <c r="AE57" i="16"/>
  <c r="AE59" i="16"/>
  <c r="AE61" i="16"/>
  <c r="AE63" i="16"/>
  <c r="AE65" i="16"/>
  <c r="AE67" i="16"/>
  <c r="AE69" i="16"/>
  <c r="AE71" i="16"/>
  <c r="AE73" i="16"/>
  <c r="AE48" i="16"/>
  <c r="AE75" i="16"/>
  <c r="AE77" i="16"/>
  <c r="AE79" i="16"/>
  <c r="AE81" i="16"/>
  <c r="AE83" i="16"/>
  <c r="AE85" i="16"/>
  <c r="AE32" i="16"/>
  <c r="AE88" i="16"/>
  <c r="AE90" i="16"/>
  <c r="AE92" i="16"/>
  <c r="AE94" i="16"/>
  <c r="AE96" i="16"/>
  <c r="AE97" i="16"/>
  <c r="AE99" i="16"/>
  <c r="AE101" i="16"/>
  <c r="AE103" i="16"/>
  <c r="AE105" i="16"/>
  <c r="AE107" i="16"/>
  <c r="AE109" i="16"/>
  <c r="AE111" i="16"/>
  <c r="AE112" i="16"/>
  <c r="AE113" i="16"/>
  <c r="AE7" i="16"/>
  <c r="AE9" i="16"/>
  <c r="AE15" i="16"/>
  <c r="AE12" i="16"/>
  <c r="AE19" i="16"/>
  <c r="AE13" i="16"/>
  <c r="AE14" i="16"/>
  <c r="AE24" i="16"/>
  <c r="AE30" i="16"/>
  <c r="AE21" i="16"/>
  <c r="AE36" i="16"/>
  <c r="AE28" i="16"/>
  <c r="AE43" i="16"/>
  <c r="AE44" i="16"/>
  <c r="AE25" i="16"/>
  <c r="AE40" i="16"/>
  <c r="AE47" i="16"/>
  <c r="AE35" i="16"/>
  <c r="AE51" i="16"/>
  <c r="AE46" i="16"/>
  <c r="AE54" i="16"/>
  <c r="AE56" i="16"/>
  <c r="AE58" i="16"/>
  <c r="AE60" i="16"/>
  <c r="AE62" i="16"/>
  <c r="AE64" i="16"/>
  <c r="AE66" i="16"/>
  <c r="AE68" i="16"/>
  <c r="AE70" i="16"/>
  <c r="AE72" i="16"/>
  <c r="AE34" i="16"/>
  <c r="AE74" i="16"/>
  <c r="AE76" i="16"/>
  <c r="AE78" i="16"/>
  <c r="AE80" i="16"/>
  <c r="AE82" i="16"/>
  <c r="AE84" i="16"/>
  <c r="AE86" i="16"/>
  <c r="AE87" i="16"/>
  <c r="AE89" i="16"/>
  <c r="AE91" i="16"/>
  <c r="AE93" i="16"/>
  <c r="AE95" i="16"/>
  <c r="AE49" i="16"/>
  <c r="AE98" i="16"/>
  <c r="AE100" i="16"/>
  <c r="AE102" i="16"/>
  <c r="AE104" i="16"/>
  <c r="AE106" i="16"/>
  <c r="AE108" i="16"/>
  <c r="AE110" i="16"/>
  <c r="AE39" i="16"/>
  <c r="AE33" i="16"/>
  <c r="AE114" i="16"/>
  <c r="F19" i="8"/>
  <c r="A1" i="99" s="1"/>
  <c r="B119" i="99" s="1"/>
  <c r="C127" i="99" s="1"/>
  <c r="BN33" i="16" l="1"/>
  <c r="BN110" i="16"/>
  <c r="BN102" i="16"/>
  <c r="BN95" i="16"/>
  <c r="BN87" i="16"/>
  <c r="BN84" i="16"/>
  <c r="BN34" i="16"/>
  <c r="BN106" i="16"/>
  <c r="BN98" i="16"/>
  <c r="BN91" i="16"/>
  <c r="BN80" i="16"/>
  <c r="BN76" i="16"/>
  <c r="BN70" i="16"/>
  <c r="BN66" i="16"/>
  <c r="BN62" i="16"/>
  <c r="BN58" i="16"/>
  <c r="BN54" i="16"/>
  <c r="BN51" i="16"/>
  <c r="BN47" i="16"/>
  <c r="BN25" i="16"/>
  <c r="BN43" i="16"/>
  <c r="BN36" i="16"/>
  <c r="BN30" i="16"/>
  <c r="BN14" i="16"/>
  <c r="BN19" i="16"/>
  <c r="BN15" i="16"/>
  <c r="BN7" i="16"/>
  <c r="BN37" i="16"/>
  <c r="BN112" i="16"/>
  <c r="BN109" i="16"/>
  <c r="BN105" i="16"/>
  <c r="BN101" i="16"/>
  <c r="BN97" i="16"/>
  <c r="BN94" i="16"/>
  <c r="BN90" i="16"/>
  <c r="BN32" i="16"/>
  <c r="BN83" i="16"/>
  <c r="BN79" i="16"/>
  <c r="BN75" i="16"/>
  <c r="BN73" i="16"/>
  <c r="BN69" i="16"/>
  <c r="BN65" i="16"/>
  <c r="BN61" i="16"/>
  <c r="BN57" i="16"/>
  <c r="BN53" i="16"/>
  <c r="BN50" i="16"/>
  <c r="BN45" i="16"/>
  <c r="BN41" i="16"/>
  <c r="BN29" i="16"/>
  <c r="BN22" i="16"/>
  <c r="BN18" i="16"/>
  <c r="BN17" i="16"/>
  <c r="BN16" i="16"/>
  <c r="BN10" i="16"/>
  <c r="BN114" i="16"/>
  <c r="BN39" i="16"/>
  <c r="BN108" i="16"/>
  <c r="BN104" i="16"/>
  <c r="BN100" i="16"/>
  <c r="BN49" i="16"/>
  <c r="BN93" i="16"/>
  <c r="BN89" i="16"/>
  <c r="BN86" i="16"/>
  <c r="BN82" i="16"/>
  <c r="BN78" i="16"/>
  <c r="BN74" i="16"/>
  <c r="BN72" i="16"/>
  <c r="BN68" i="16"/>
  <c r="BN64" i="16"/>
  <c r="BN60" i="16"/>
  <c r="BN56" i="16"/>
  <c r="BN46" i="16"/>
  <c r="BN35" i="16"/>
  <c r="BN40" i="16"/>
  <c r="BN44" i="16"/>
  <c r="BN28" i="16"/>
  <c r="BN21" i="16"/>
  <c r="BN24" i="16"/>
  <c r="BN13" i="16"/>
  <c r="BN12" i="16"/>
  <c r="BN9" i="16"/>
  <c r="BN113" i="16"/>
  <c r="BN111" i="16"/>
  <c r="BN107" i="16"/>
  <c r="BN103" i="16"/>
  <c r="BN99" i="16"/>
  <c r="BN96" i="16"/>
  <c r="BN92" i="16"/>
  <c r="BN88" i="16"/>
  <c r="BN85" i="16"/>
  <c r="BN81" i="16"/>
  <c r="BN77" i="16"/>
  <c r="BN48" i="16"/>
  <c r="BN71" i="16"/>
  <c r="BN67" i="16"/>
  <c r="BN63" i="16"/>
  <c r="BN59" i="16"/>
  <c r="BN55" i="16"/>
  <c r="BN52" i="16"/>
  <c r="BN31" i="16"/>
  <c r="BN23" i="16"/>
  <c r="BN42" i="16"/>
  <c r="BN38" i="16"/>
  <c r="BN27" i="16"/>
  <c r="BN26" i="16"/>
  <c r="BN20" i="16"/>
  <c r="BN11" i="16"/>
  <c r="BN8" i="16"/>
  <c r="BN6" i="16"/>
  <c r="B142" i="99"/>
  <c r="C141" i="99" s="1"/>
  <c r="J139" i="99" s="1"/>
  <c r="B138" i="99"/>
  <c r="C144" i="99" s="1"/>
  <c r="J148" i="99" s="1"/>
  <c r="B125" i="99"/>
  <c r="C129" i="99" s="1"/>
  <c r="J128" i="99" s="1"/>
  <c r="B121" i="99"/>
  <c r="C120" i="99" s="1"/>
  <c r="B108" i="99"/>
  <c r="C112" i="99" s="1"/>
  <c r="J111" i="99" s="1"/>
  <c r="B104" i="99"/>
  <c r="C110" i="99" s="1"/>
  <c r="J114" i="99" s="1"/>
  <c r="B140" i="99"/>
  <c r="C146" i="99" s="1"/>
  <c r="J145" i="99" s="1"/>
  <c r="B136" i="99"/>
  <c r="C137" i="99" s="1"/>
  <c r="J142" i="99" s="1"/>
  <c r="B123" i="99"/>
  <c r="C124" i="99" s="1"/>
  <c r="J122" i="99" s="1"/>
  <c r="B106" i="99"/>
  <c r="C107" i="99" s="1"/>
  <c r="J108" i="99" s="1"/>
  <c r="B102" i="99"/>
  <c r="C103" i="99" s="1"/>
  <c r="J105" i="99" s="1"/>
  <c r="Q115" i="16"/>
  <c r="S3" i="16"/>
  <c r="J131" i="99" l="1"/>
  <c r="J125" i="99"/>
  <c r="B302" i="99"/>
  <c r="B301" i="99"/>
  <c r="B304" i="99"/>
  <c r="B300" i="99"/>
  <c r="B303" i="99"/>
  <c r="AD4" i="16"/>
  <c r="AC4" i="16"/>
  <c r="B307" i="99" l="1"/>
  <c r="B311" i="99"/>
  <c r="B305" i="99"/>
  <c r="B308" i="99"/>
  <c r="B310" i="99"/>
  <c r="B309" i="99"/>
  <c r="B306" i="99"/>
  <c r="F13" i="8"/>
  <c r="A1" i="96" s="1"/>
  <c r="B311" i="96" l="1"/>
  <c r="B301" i="96"/>
  <c r="B303" i="96"/>
  <c r="B305" i="96"/>
  <c r="B307" i="96"/>
  <c r="B309" i="96"/>
  <c r="B300" i="96"/>
  <c r="AD37" i="16" s="1"/>
  <c r="B302" i="96"/>
  <c r="B304" i="96"/>
  <c r="B306" i="96"/>
  <c r="B308" i="96"/>
  <c r="B310" i="96"/>
  <c r="C300" i="82"/>
  <c r="C301" i="82"/>
  <c r="C302" i="82"/>
  <c r="C303" i="82"/>
  <c r="C304" i="82"/>
  <c r="C305" i="82"/>
  <c r="C306" i="82"/>
  <c r="C307" i="82"/>
  <c r="AD13" i="16" l="1"/>
  <c r="AD15" i="16"/>
  <c r="AD39" i="16"/>
  <c r="AD10" i="16"/>
  <c r="AD9" i="16"/>
  <c r="AD58" i="16"/>
  <c r="AD49" i="16"/>
  <c r="AD29" i="16"/>
  <c r="AD42" i="16"/>
  <c r="AD47" i="16"/>
  <c r="AD27" i="16"/>
  <c r="AD23" i="16"/>
  <c r="AD25" i="16"/>
  <c r="AD43" i="16"/>
  <c r="AD31" i="16"/>
  <c r="AD34" i="16"/>
  <c r="AD20" i="16"/>
  <c r="AD40" i="16"/>
  <c r="AD41" i="16"/>
  <c r="AD21" i="16"/>
  <c r="AD22" i="16"/>
  <c r="AD86" i="16"/>
  <c r="AD53" i="16"/>
  <c r="AD56" i="16"/>
  <c r="AD59" i="16"/>
  <c r="AD63" i="16"/>
  <c r="AD65" i="16"/>
  <c r="AD67" i="16"/>
  <c r="AD69" i="16"/>
  <c r="AD71" i="16"/>
  <c r="AD73" i="16"/>
  <c r="AD17" i="16"/>
  <c r="AD18" i="16"/>
  <c r="AD8" i="16"/>
  <c r="AD7" i="16"/>
  <c r="AD96" i="16"/>
  <c r="AD11" i="16"/>
  <c r="AD48" i="16"/>
  <c r="AD28" i="16"/>
  <c r="AD36" i="16"/>
  <c r="AD16" i="16"/>
  <c r="AD55" i="16"/>
  <c r="AD14" i="16"/>
  <c r="AD33" i="16"/>
  <c r="AD32" i="16"/>
  <c r="AD35" i="16"/>
  <c r="AD46" i="16"/>
  <c r="AD51" i="16"/>
  <c r="AD74" i="16"/>
  <c r="AD76" i="16"/>
  <c r="AD19" i="16"/>
  <c r="AD61" i="16"/>
  <c r="AD62" i="16"/>
  <c r="AD52" i="16"/>
  <c r="AD54" i="16"/>
  <c r="AD57" i="16"/>
  <c r="AD60" i="16"/>
  <c r="AD64" i="16"/>
  <c r="AD66" i="16"/>
  <c r="AD68" i="16"/>
  <c r="AD70" i="16"/>
  <c r="AD72" i="16"/>
  <c r="AD75" i="16"/>
  <c r="AD77" i="16"/>
  <c r="AD79" i="16"/>
  <c r="AD81" i="16"/>
  <c r="AD83" i="16"/>
  <c r="AD85" i="16"/>
  <c r="AD88" i="16"/>
  <c r="AD90" i="16"/>
  <c r="AD92" i="16"/>
  <c r="AD94" i="16"/>
  <c r="AD97" i="16"/>
  <c r="AD99" i="16"/>
  <c r="AD101" i="16"/>
  <c r="AD103" i="16"/>
  <c r="AD104" i="16"/>
  <c r="AD106" i="16"/>
  <c r="AD108" i="16"/>
  <c r="AD110" i="16"/>
  <c r="AD26" i="16"/>
  <c r="AD112" i="16"/>
  <c r="AD30" i="16"/>
  <c r="AD113" i="16"/>
  <c r="AD114" i="16"/>
  <c r="AD78" i="16"/>
  <c r="AD80" i="16"/>
  <c r="AD82" i="16"/>
  <c r="AD84" i="16"/>
  <c r="AD87" i="16"/>
  <c r="AD89" i="16"/>
  <c r="AD91" i="16"/>
  <c r="AD93" i="16"/>
  <c r="AD95" i="16"/>
  <c r="AD98" i="16"/>
  <c r="AD100" i="16"/>
  <c r="AD102" i="16"/>
  <c r="AD50" i="16"/>
  <c r="AD105" i="16"/>
  <c r="AD107" i="16"/>
  <c r="AD109" i="16"/>
  <c r="AD111" i="16"/>
  <c r="AD45" i="16"/>
  <c r="AD24" i="16"/>
  <c r="AD38" i="16"/>
  <c r="AD44" i="16"/>
  <c r="AD12" i="16"/>
  <c r="BM44" i="16" l="1"/>
  <c r="BM111" i="16"/>
  <c r="BM107" i="16"/>
  <c r="BM50" i="16"/>
  <c r="BM100" i="16"/>
  <c r="BM95" i="16"/>
  <c r="BM91" i="16"/>
  <c r="BM87" i="16"/>
  <c r="BM82" i="16"/>
  <c r="BM78" i="16"/>
  <c r="BM113" i="16"/>
  <c r="BM112" i="16"/>
  <c r="BM110" i="16"/>
  <c r="BM106" i="16"/>
  <c r="BM103" i="16"/>
  <c r="BM99" i="16"/>
  <c r="BM94" i="16"/>
  <c r="BM90" i="16"/>
  <c r="BM85" i="16"/>
  <c r="BM81" i="16"/>
  <c r="BM77" i="16"/>
  <c r="BM72" i="16"/>
  <c r="BM68" i="16"/>
  <c r="BM64" i="16"/>
  <c r="BM57" i="16"/>
  <c r="BM52" i="16"/>
  <c r="BM61" i="16"/>
  <c r="BM76" i="16"/>
  <c r="BM51" i="16"/>
  <c r="BM35" i="16"/>
  <c r="BM33" i="16"/>
  <c r="BM55" i="16"/>
  <c r="BM36" i="16"/>
  <c r="BM48" i="16"/>
  <c r="BM96" i="16"/>
  <c r="BM8" i="16"/>
  <c r="BM17" i="16"/>
  <c r="BM71" i="16"/>
  <c r="BM67" i="16"/>
  <c r="BM63" i="16"/>
  <c r="BM56" i="16"/>
  <c r="BM86" i="16"/>
  <c r="BM21" i="16"/>
  <c r="BM40" i="16"/>
  <c r="BM34" i="16"/>
  <c r="BM43" i="16"/>
  <c r="BM23" i="16"/>
  <c r="BM47" i="16"/>
  <c r="BM29" i="16"/>
  <c r="BM58" i="16"/>
  <c r="BM10" i="16"/>
  <c r="BM15" i="16"/>
  <c r="BM24" i="16"/>
  <c r="BM12" i="16"/>
  <c r="BM38" i="16"/>
  <c r="BM45" i="16"/>
  <c r="BM109" i="16"/>
  <c r="BM105" i="16"/>
  <c r="BM102" i="16"/>
  <c r="BM98" i="16"/>
  <c r="BM93" i="16"/>
  <c r="BM89" i="16"/>
  <c r="BM84" i="16"/>
  <c r="BM80" i="16"/>
  <c r="BM114" i="16"/>
  <c r="BM30" i="16"/>
  <c r="BM26" i="16"/>
  <c r="BM108" i="16"/>
  <c r="BM104" i="16"/>
  <c r="BM101" i="16"/>
  <c r="BM97" i="16"/>
  <c r="BM92" i="16"/>
  <c r="BM88" i="16"/>
  <c r="BM83" i="16"/>
  <c r="BM79" i="16"/>
  <c r="BM75" i="16"/>
  <c r="BM70" i="16"/>
  <c r="BM66" i="16"/>
  <c r="BM60" i="16"/>
  <c r="BM54" i="16"/>
  <c r="BM62" i="16"/>
  <c r="BM19" i="16"/>
  <c r="BM74" i="16"/>
  <c r="BM46" i="16"/>
  <c r="BM32" i="16"/>
  <c r="BM14" i="16"/>
  <c r="BM16" i="16"/>
  <c r="BM28" i="16"/>
  <c r="BM11" i="16"/>
  <c r="BM7" i="16"/>
  <c r="BM37" i="16"/>
  <c r="BM18" i="16"/>
  <c r="BM73" i="16"/>
  <c r="BM69" i="16"/>
  <c r="BM65" i="16"/>
  <c r="BM59" i="16"/>
  <c r="BM53" i="16"/>
  <c r="BM22" i="16"/>
  <c r="BM41" i="16"/>
  <c r="BM20" i="16"/>
  <c r="BM31" i="16"/>
  <c r="BM25" i="16"/>
  <c r="BM27" i="16"/>
  <c r="BM42" i="16"/>
  <c r="BM49" i="16"/>
  <c r="BM9" i="16"/>
  <c r="BM39" i="16"/>
  <c r="BM13" i="16"/>
  <c r="BM6" i="16"/>
  <c r="AI6" i="16"/>
  <c r="BD37" i="16" s="1"/>
  <c r="AH6" i="16"/>
  <c r="BC37" i="16" s="1"/>
  <c r="AG6" i="16"/>
  <c r="BB37" i="16" s="1"/>
  <c r="AF6" i="16"/>
  <c r="BA37" i="16" s="1"/>
  <c r="AE6" i="16"/>
  <c r="AZ37" i="16" s="1"/>
  <c r="AD6" i="16"/>
  <c r="AY37" i="16" s="1"/>
  <c r="AC6" i="16"/>
  <c r="AB6" i="16"/>
  <c r="AA6" i="16"/>
  <c r="Z6" i="16"/>
  <c r="AZ38" i="16" l="1"/>
  <c r="AZ24" i="16"/>
  <c r="AZ30" i="16"/>
  <c r="AZ18" i="16"/>
  <c r="AZ39" i="16"/>
  <c r="AZ15" i="16"/>
  <c r="BB38" i="16"/>
  <c r="BB24" i="16"/>
  <c r="BB30" i="16"/>
  <c r="BB18" i="16"/>
  <c r="BB15" i="16"/>
  <c r="BB39" i="16"/>
  <c r="AY18" i="16"/>
  <c r="AY30" i="16"/>
  <c r="AY38" i="16"/>
  <c r="AY24" i="16"/>
  <c r="AY39" i="16"/>
  <c r="AY96" i="16"/>
  <c r="AY12" i="16"/>
  <c r="AY15" i="16"/>
  <c r="AY17" i="16"/>
  <c r="AY27" i="16"/>
  <c r="AY11" i="16"/>
  <c r="AY48" i="16"/>
  <c r="AY31" i="16"/>
  <c r="AY42" i="16"/>
  <c r="AY13" i="16"/>
  <c r="AY10" i="16"/>
  <c r="AY8" i="16"/>
  <c r="AY58" i="16"/>
  <c r="AY29" i="16"/>
  <c r="AY9" i="16"/>
  <c r="AY49" i="16"/>
  <c r="AY36" i="16"/>
  <c r="BA24" i="16"/>
  <c r="BA30" i="16"/>
  <c r="BA38" i="16"/>
  <c r="BA18" i="16"/>
  <c r="BA39" i="16"/>
  <c r="BA15" i="16"/>
  <c r="BC24" i="16"/>
  <c r="BC30" i="16"/>
  <c r="BC38" i="16"/>
  <c r="BC18" i="16"/>
  <c r="BC39" i="16"/>
  <c r="BC15" i="16"/>
  <c r="BD38" i="16"/>
  <c r="BD24" i="16"/>
  <c r="BD30" i="16"/>
  <c r="BD18" i="16"/>
  <c r="BD39" i="16"/>
  <c r="BD15" i="16"/>
  <c r="V76" i="16"/>
  <c r="AZ76" i="16"/>
  <c r="BB76" i="16"/>
  <c r="BD76" i="16"/>
  <c r="AM76" i="16"/>
  <c r="AY76" i="16"/>
  <c r="BA76" i="16"/>
  <c r="BC76" i="16"/>
  <c r="V46" i="16"/>
  <c r="AY46" i="16"/>
  <c r="AZ46" i="16"/>
  <c r="BA46" i="16"/>
  <c r="BC46" i="16"/>
  <c r="BD46" i="16"/>
  <c r="AM46" i="16"/>
  <c r="BB46" i="16"/>
  <c r="AM39" i="16" l="1"/>
  <c r="AM13" i="16"/>
  <c r="AM12" i="16"/>
  <c r="AM96" i="16"/>
  <c r="AM10" i="16"/>
  <c r="AM15" i="16"/>
  <c r="AM8" i="16"/>
  <c r="AM17" i="16"/>
  <c r="AM27" i="16"/>
  <c r="AM29" i="16"/>
  <c r="AM11" i="16"/>
  <c r="AM58" i="16"/>
  <c r="AM9" i="16"/>
  <c r="AM36" i="16"/>
  <c r="AM31" i="16"/>
  <c r="AM48" i="16"/>
  <c r="AM49" i="16"/>
  <c r="AM41" i="16"/>
  <c r="AM7" i="16"/>
  <c r="AM55" i="16"/>
  <c r="AM20" i="16"/>
  <c r="AM42" i="16"/>
  <c r="AM47" i="16"/>
  <c r="AM28" i="16"/>
  <c r="AM32" i="16"/>
  <c r="AM33" i="16"/>
  <c r="AM61" i="16"/>
  <c r="AM16" i="16"/>
  <c r="AM51" i="16"/>
  <c r="AM21" i="16"/>
  <c r="AM52" i="16"/>
  <c r="AM53" i="16"/>
  <c r="AM54" i="16"/>
  <c r="AM56" i="16"/>
  <c r="AM57" i="16"/>
  <c r="AM59" i="16"/>
  <c r="AM60" i="16"/>
  <c r="AM62" i="16"/>
  <c r="AM19" i="16"/>
  <c r="AM63" i="16"/>
  <c r="AM64" i="16"/>
  <c r="AM65" i="16"/>
  <c r="AM66" i="16"/>
  <c r="AM67" i="16"/>
  <c r="AM68" i="16"/>
  <c r="AM69" i="16"/>
  <c r="AM70" i="16"/>
  <c r="AM71" i="16"/>
  <c r="AM72" i="16"/>
  <c r="AM73" i="16"/>
  <c r="AM34" i="16"/>
  <c r="AM74" i="16"/>
  <c r="AM75" i="16"/>
  <c r="AM77" i="16"/>
  <c r="AM35" i="16"/>
  <c r="AM78" i="16"/>
  <c r="AM22" i="16"/>
  <c r="AM79" i="16"/>
  <c r="AM80" i="16"/>
  <c r="AM81" i="16"/>
  <c r="AM82" i="16"/>
  <c r="AM83" i="16"/>
  <c r="AM84" i="16"/>
  <c r="AM85" i="16"/>
  <c r="AM86" i="16"/>
  <c r="AM40" i="16"/>
  <c r="AM87" i="16"/>
  <c r="AM88" i="16"/>
  <c r="AM89" i="16"/>
  <c r="AM90" i="16"/>
  <c r="AM43" i="16"/>
  <c r="AM91" i="16"/>
  <c r="AM14" i="16"/>
  <c r="AM92" i="16"/>
  <c r="AM93" i="16"/>
  <c r="AM94" i="16"/>
  <c r="AM95" i="16"/>
  <c r="AM97" i="16"/>
  <c r="AM25" i="16"/>
  <c r="AM98" i="16"/>
  <c r="AM99" i="16"/>
  <c r="AM100" i="16"/>
  <c r="AM101" i="16"/>
  <c r="AM102" i="16"/>
  <c r="AM103" i="16"/>
  <c r="AM50" i="16"/>
  <c r="AM104" i="16"/>
  <c r="AM105" i="16"/>
  <c r="AM106" i="16"/>
  <c r="AM107" i="16"/>
  <c r="AM108" i="16"/>
  <c r="AM109" i="16"/>
  <c r="AM110" i="16"/>
  <c r="AM111" i="16"/>
  <c r="AM23" i="16"/>
  <c r="AM26" i="16"/>
  <c r="AM45" i="16"/>
  <c r="AM112" i="16"/>
  <c r="AM113" i="16"/>
  <c r="AM44" i="16"/>
  <c r="AM114" i="16"/>
  <c r="V58" i="16" l="1"/>
  <c r="AZ58" i="16"/>
  <c r="BA58" i="16"/>
  <c r="BB58" i="16"/>
  <c r="BC58" i="16"/>
  <c r="BD58" i="16"/>
  <c r="AB4" i="16"/>
  <c r="J215" i="84" l="1"/>
  <c r="J212" i="84"/>
  <c r="G131" i="84"/>
  <c r="B110" i="84"/>
  <c r="G109" i="84"/>
  <c r="AP11" i="84"/>
  <c r="AN11" i="84"/>
  <c r="AL11" i="84"/>
  <c r="AJ11" i="84"/>
  <c r="AH11" i="84"/>
  <c r="AF11" i="84"/>
  <c r="T11" i="84"/>
  <c r="S11" i="84"/>
  <c r="R11" i="84"/>
  <c r="Q11" i="84"/>
  <c r="P11" i="84"/>
  <c r="O11" i="84"/>
  <c r="N11" i="84"/>
  <c r="H11" i="84"/>
  <c r="P10" i="84"/>
  <c r="O10" i="84"/>
  <c r="N10" i="84"/>
  <c r="H10" i="84"/>
  <c r="P9" i="84"/>
  <c r="O9" i="84"/>
  <c r="N9" i="84"/>
  <c r="H9" i="84"/>
  <c r="P8" i="84"/>
  <c r="O8" i="84"/>
  <c r="N8" i="84"/>
  <c r="H8" i="84"/>
  <c r="P7" i="84"/>
  <c r="O7" i="84"/>
  <c r="N7" i="84"/>
  <c r="H7" i="84"/>
  <c r="R6" i="84"/>
  <c r="I10" i="84" s="1"/>
  <c r="C208" i="84"/>
  <c r="E208" i="84" s="1"/>
  <c r="C198" i="84"/>
  <c r="E198" i="84" s="1"/>
  <c r="B130" i="84"/>
  <c r="C130" i="84" s="1"/>
  <c r="B120" i="84"/>
  <c r="C120" i="84" s="1"/>
  <c r="B104" i="84"/>
  <c r="C104" i="84" s="1"/>
  <c r="P46" i="84"/>
  <c r="O46" i="84"/>
  <c r="N46" i="84"/>
  <c r="H46" i="84"/>
  <c r="Q46" i="84" s="1"/>
  <c r="P45" i="84"/>
  <c r="O45" i="84"/>
  <c r="N45" i="84"/>
  <c r="H45" i="84"/>
  <c r="Q45" i="84" s="1"/>
  <c r="AP44" i="84"/>
  <c r="AO44" i="84"/>
  <c r="AN44" i="84"/>
  <c r="AM44" i="84"/>
  <c r="AL44" i="84"/>
  <c r="AK44" i="84"/>
  <c r="AJ44" i="84"/>
  <c r="AI44" i="84"/>
  <c r="AH44" i="84"/>
  <c r="AG44" i="84"/>
  <c r="AF44" i="84"/>
  <c r="AE44" i="84"/>
  <c r="AD44" i="84" s="1"/>
  <c r="P44" i="84"/>
  <c r="O44" i="84"/>
  <c r="N44" i="84"/>
  <c r="H44" i="84"/>
  <c r="Q44" i="84" s="1"/>
  <c r="AP43" i="84"/>
  <c r="AO43" i="84"/>
  <c r="AN43" i="84"/>
  <c r="AM43" i="84"/>
  <c r="AL43" i="84"/>
  <c r="AK43" i="84"/>
  <c r="AJ43" i="84"/>
  <c r="AI43" i="84"/>
  <c r="AH43" i="84"/>
  <c r="AG43" i="84"/>
  <c r="AF43" i="84"/>
  <c r="AE43" i="84"/>
  <c r="AD43" i="84" s="1"/>
  <c r="P43" i="84"/>
  <c r="O43" i="84"/>
  <c r="N43" i="84"/>
  <c r="H43" i="84"/>
  <c r="Q43" i="84" s="1"/>
  <c r="AP42" i="84"/>
  <c r="AO42" i="84" s="1"/>
  <c r="AN42" i="84"/>
  <c r="AM42" i="84" s="1"/>
  <c r="AL42" i="84"/>
  <c r="AK42" i="84" s="1"/>
  <c r="AJ42" i="84"/>
  <c r="AI42" i="84" s="1"/>
  <c r="AH42" i="84"/>
  <c r="AG42" i="84" s="1"/>
  <c r="AF42" i="84"/>
  <c r="AE42" i="84" s="1"/>
  <c r="P42" i="84"/>
  <c r="O42" i="84"/>
  <c r="N42" i="84"/>
  <c r="H42" i="84"/>
  <c r="Q42" i="84" s="1"/>
  <c r="AP41" i="84"/>
  <c r="AO41" i="84" s="1"/>
  <c r="AN41" i="84"/>
  <c r="AM41" i="84" s="1"/>
  <c r="AL41" i="84"/>
  <c r="AK41" i="84" s="1"/>
  <c r="AJ41" i="84"/>
  <c r="AI41" i="84" s="1"/>
  <c r="AH41" i="84"/>
  <c r="AG41" i="84" s="1"/>
  <c r="AF41" i="84"/>
  <c r="AE41" i="84" s="1"/>
  <c r="R41" i="84"/>
  <c r="AP40" i="84"/>
  <c r="AO40" i="84" s="1"/>
  <c r="AN40" i="84"/>
  <c r="AM40" i="84" s="1"/>
  <c r="AL40" i="84"/>
  <c r="AK40" i="84" s="1"/>
  <c r="AJ40" i="84"/>
  <c r="AI40" i="84" s="1"/>
  <c r="AH40" i="84"/>
  <c r="AG40" i="84" s="1"/>
  <c r="AF40" i="84"/>
  <c r="AE40" i="84" s="1"/>
  <c r="AP39" i="84"/>
  <c r="AO39" i="84" s="1"/>
  <c r="AN39" i="84"/>
  <c r="AM39" i="84" s="1"/>
  <c r="AL39" i="84"/>
  <c r="AK39" i="84" s="1"/>
  <c r="AJ39" i="84"/>
  <c r="AI39" i="84" s="1"/>
  <c r="AH39" i="84"/>
  <c r="AG39" i="84" s="1"/>
  <c r="AF39" i="84"/>
  <c r="AE39" i="84" s="1"/>
  <c r="P39" i="84"/>
  <c r="O39" i="84"/>
  <c r="N39" i="84"/>
  <c r="H39" i="84"/>
  <c r="Q39" i="84" s="1"/>
  <c r="AP38" i="84"/>
  <c r="AO38" i="84" s="1"/>
  <c r="AN38" i="84"/>
  <c r="AM38" i="84" s="1"/>
  <c r="AL38" i="84"/>
  <c r="AK38" i="84" s="1"/>
  <c r="AJ38" i="84"/>
  <c r="AI38" i="84" s="1"/>
  <c r="AH38" i="84"/>
  <c r="AG38" i="84" s="1"/>
  <c r="AF38" i="84"/>
  <c r="AE38" i="84" s="1"/>
  <c r="P38" i="84"/>
  <c r="O38" i="84"/>
  <c r="N38" i="84"/>
  <c r="H38" i="84"/>
  <c r="Q38" i="84" s="1"/>
  <c r="AP37" i="84"/>
  <c r="AO37" i="84" s="1"/>
  <c r="AN37" i="84"/>
  <c r="AM37" i="84" s="1"/>
  <c r="AL37" i="84"/>
  <c r="AK37" i="84" s="1"/>
  <c r="AJ37" i="84"/>
  <c r="AI37" i="84" s="1"/>
  <c r="AH37" i="84"/>
  <c r="AG37" i="84" s="1"/>
  <c r="AF37" i="84"/>
  <c r="AE37" i="84" s="1"/>
  <c r="P37" i="84"/>
  <c r="O37" i="84"/>
  <c r="N37" i="84"/>
  <c r="H37" i="84"/>
  <c r="Q37" i="84" s="1"/>
  <c r="AP36" i="84"/>
  <c r="AO36" i="84" s="1"/>
  <c r="AN36" i="84"/>
  <c r="AM36" i="84" s="1"/>
  <c r="AL36" i="84"/>
  <c r="AK36" i="84" s="1"/>
  <c r="AJ36" i="84"/>
  <c r="AI36" i="84" s="1"/>
  <c r="AH36" i="84"/>
  <c r="AG36" i="84" s="1"/>
  <c r="AF36" i="84"/>
  <c r="AE36" i="84" s="1"/>
  <c r="P36" i="84"/>
  <c r="O36" i="84"/>
  <c r="N36" i="84"/>
  <c r="H36" i="84"/>
  <c r="Q36" i="84" s="1"/>
  <c r="AP35" i="84"/>
  <c r="AO35" i="84" s="1"/>
  <c r="AN35" i="84"/>
  <c r="AM35" i="84" s="1"/>
  <c r="AL35" i="84"/>
  <c r="AK35" i="84" s="1"/>
  <c r="AJ35" i="84"/>
  <c r="AI35" i="84" s="1"/>
  <c r="AH35" i="84"/>
  <c r="AG35" i="84" s="1"/>
  <c r="AF35" i="84"/>
  <c r="AE35" i="84" s="1"/>
  <c r="P35" i="84"/>
  <c r="O35" i="84"/>
  <c r="N35" i="84"/>
  <c r="H35" i="84"/>
  <c r="Q35" i="84" s="1"/>
  <c r="AP34" i="84"/>
  <c r="AO34" i="84" s="1"/>
  <c r="AN34" i="84"/>
  <c r="AM34" i="84" s="1"/>
  <c r="AL34" i="84"/>
  <c r="AK34" i="84" s="1"/>
  <c r="AJ34" i="84"/>
  <c r="AI34" i="84" s="1"/>
  <c r="AH34" i="84"/>
  <c r="AG34" i="84" s="1"/>
  <c r="AF34" i="84"/>
  <c r="AE34" i="84" s="1"/>
  <c r="R34" i="84"/>
  <c r="I38" i="84" s="1"/>
  <c r="AP33" i="84"/>
  <c r="AO33" i="84" s="1"/>
  <c r="AN33" i="84"/>
  <c r="AM33" i="84" s="1"/>
  <c r="AL33" i="84"/>
  <c r="AK33" i="84" s="1"/>
  <c r="AJ33" i="84"/>
  <c r="AI33" i="84" s="1"/>
  <c r="AH33" i="84"/>
  <c r="AG33" i="84" s="1"/>
  <c r="AF33" i="84"/>
  <c r="AE33" i="84" s="1"/>
  <c r="AP32" i="84"/>
  <c r="AO32" i="84"/>
  <c r="AN32" i="84"/>
  <c r="AM32" i="84"/>
  <c r="AL32" i="84"/>
  <c r="AK32" i="84"/>
  <c r="AJ32" i="84"/>
  <c r="AI32" i="84"/>
  <c r="AH32" i="84"/>
  <c r="AG32" i="84"/>
  <c r="AF32" i="84"/>
  <c r="AE32" i="84"/>
  <c r="AD32" i="84" s="1"/>
  <c r="P32" i="84"/>
  <c r="O32" i="84"/>
  <c r="N32" i="84"/>
  <c r="H32" i="84"/>
  <c r="Q32" i="84" s="1"/>
  <c r="AP31" i="84"/>
  <c r="AO31" i="84"/>
  <c r="AN31" i="84"/>
  <c r="AM31" i="84"/>
  <c r="AL31" i="84"/>
  <c r="AK31" i="84"/>
  <c r="AJ31" i="84"/>
  <c r="AI31" i="84"/>
  <c r="AH31" i="84"/>
  <c r="AG31" i="84"/>
  <c r="AF31" i="84"/>
  <c r="AE31" i="84"/>
  <c r="AD31" i="84" s="1"/>
  <c r="P31" i="84"/>
  <c r="O31" i="84"/>
  <c r="N31" i="84"/>
  <c r="H31" i="84"/>
  <c r="Q31" i="84" s="1"/>
  <c r="AP30" i="84"/>
  <c r="AO30" i="84"/>
  <c r="AN30" i="84"/>
  <c r="AM30" i="84"/>
  <c r="AL30" i="84"/>
  <c r="AK30" i="84"/>
  <c r="AJ30" i="84"/>
  <c r="AI30" i="84"/>
  <c r="AH30" i="84"/>
  <c r="AG30" i="84"/>
  <c r="AF30" i="84"/>
  <c r="AE30" i="84"/>
  <c r="AD30" i="84" s="1"/>
  <c r="P30" i="84"/>
  <c r="O30" i="84"/>
  <c r="N30" i="84"/>
  <c r="H30" i="84"/>
  <c r="Q30" i="84" s="1"/>
  <c r="AP29" i="84"/>
  <c r="AO29" i="84"/>
  <c r="AN29" i="84"/>
  <c r="AM29" i="84"/>
  <c r="AL29" i="84"/>
  <c r="AK29" i="84"/>
  <c r="AJ29" i="84"/>
  <c r="AI29" i="84"/>
  <c r="AH29" i="84"/>
  <c r="AG29" i="84"/>
  <c r="AF29" i="84"/>
  <c r="AE29" i="84"/>
  <c r="AD29" i="84" s="1"/>
  <c r="P29" i="84"/>
  <c r="O29" i="84"/>
  <c r="N29" i="84"/>
  <c r="H29" i="84"/>
  <c r="Q29" i="84" s="1"/>
  <c r="AP28" i="84"/>
  <c r="AO28" i="84"/>
  <c r="AN28" i="84"/>
  <c r="AM28" i="84"/>
  <c r="AL28" i="84"/>
  <c r="AK28" i="84"/>
  <c r="AJ28" i="84"/>
  <c r="AI28" i="84"/>
  <c r="AH28" i="84"/>
  <c r="AG28" i="84"/>
  <c r="AF28" i="84"/>
  <c r="AE28" i="84"/>
  <c r="P28" i="84"/>
  <c r="O28" i="84"/>
  <c r="N28" i="84"/>
  <c r="H28" i="84"/>
  <c r="Q28" i="84" s="1"/>
  <c r="AP27" i="84"/>
  <c r="AO27" i="84"/>
  <c r="AN27" i="84"/>
  <c r="AM27" i="84"/>
  <c r="AL27" i="84"/>
  <c r="AK27" i="84"/>
  <c r="AJ27" i="84"/>
  <c r="AI27" i="84"/>
  <c r="AH27" i="84"/>
  <c r="AG27" i="84"/>
  <c r="AF27" i="84"/>
  <c r="AE27" i="84"/>
  <c r="R27" i="84"/>
  <c r="I32" i="84" s="1"/>
  <c r="AP26" i="84"/>
  <c r="AO26" i="84" s="1"/>
  <c r="AN26" i="84"/>
  <c r="AM26" i="84" s="1"/>
  <c r="AL26" i="84"/>
  <c r="AK26" i="84" s="1"/>
  <c r="AJ26" i="84"/>
  <c r="AI26" i="84" s="1"/>
  <c r="AH26" i="84"/>
  <c r="AG26" i="84" s="1"/>
  <c r="AF26" i="84"/>
  <c r="AE26" i="84" s="1"/>
  <c r="AP25" i="84"/>
  <c r="AO25" i="84" s="1"/>
  <c r="AN25" i="84"/>
  <c r="AM25" i="84" s="1"/>
  <c r="AL25" i="84"/>
  <c r="AK25" i="84" s="1"/>
  <c r="AJ25" i="84"/>
  <c r="AI25" i="84" s="1"/>
  <c r="AH25" i="84"/>
  <c r="AG25" i="84" s="1"/>
  <c r="AF25" i="84"/>
  <c r="AE25" i="84" s="1"/>
  <c r="P25" i="84"/>
  <c r="O25" i="84"/>
  <c r="N25" i="84"/>
  <c r="H25" i="84"/>
  <c r="Q25" i="84" s="1"/>
  <c r="AP24" i="84"/>
  <c r="AO24" i="84" s="1"/>
  <c r="AN24" i="84"/>
  <c r="AM24" i="84" s="1"/>
  <c r="AL24" i="84"/>
  <c r="AK24" i="84" s="1"/>
  <c r="AJ24" i="84"/>
  <c r="AI24" i="84" s="1"/>
  <c r="AH24" i="84"/>
  <c r="AG24" i="84" s="1"/>
  <c r="AF24" i="84"/>
  <c r="AE24" i="84" s="1"/>
  <c r="P24" i="84"/>
  <c r="O24" i="84"/>
  <c r="N24" i="84"/>
  <c r="H24" i="84"/>
  <c r="Q24" i="84" s="1"/>
  <c r="AP23" i="84"/>
  <c r="AO23" i="84" s="1"/>
  <c r="AN23" i="84"/>
  <c r="AM23" i="84" s="1"/>
  <c r="AL23" i="84"/>
  <c r="AK23" i="84" s="1"/>
  <c r="AJ23" i="84"/>
  <c r="AI23" i="84" s="1"/>
  <c r="AH23" i="84"/>
  <c r="AG23" i="84" s="1"/>
  <c r="AF23" i="84"/>
  <c r="AE23" i="84" s="1"/>
  <c r="P23" i="84"/>
  <c r="O23" i="84"/>
  <c r="N23" i="84"/>
  <c r="H23" i="84"/>
  <c r="Q23" i="84" s="1"/>
  <c r="AP22" i="84"/>
  <c r="AO22" i="84" s="1"/>
  <c r="AN22" i="84"/>
  <c r="AM22" i="84" s="1"/>
  <c r="AL22" i="84"/>
  <c r="AK22" i="84" s="1"/>
  <c r="AJ22" i="84"/>
  <c r="AI22" i="84" s="1"/>
  <c r="AH22" i="84"/>
  <c r="AG22" i="84" s="1"/>
  <c r="AF22" i="84"/>
  <c r="AE22" i="84" s="1"/>
  <c r="P22" i="84"/>
  <c r="O22" i="84"/>
  <c r="N22" i="84"/>
  <c r="H22" i="84"/>
  <c r="Q22" i="84" s="1"/>
  <c r="AP21" i="84"/>
  <c r="AO21" i="84" s="1"/>
  <c r="AN21" i="84"/>
  <c r="AM21" i="84" s="1"/>
  <c r="AL21" i="84"/>
  <c r="AK21" i="84" s="1"/>
  <c r="AJ21" i="84"/>
  <c r="AI21" i="84" s="1"/>
  <c r="AH21" i="84"/>
  <c r="AG21" i="84" s="1"/>
  <c r="AF21" i="84"/>
  <c r="AE21" i="84" s="1"/>
  <c r="P21" i="84"/>
  <c r="O21" i="84"/>
  <c r="N21" i="84"/>
  <c r="H21" i="84"/>
  <c r="Q21" i="84" s="1"/>
  <c r="AP20" i="84"/>
  <c r="AO20" i="84" s="1"/>
  <c r="AN20" i="84"/>
  <c r="AM20" i="84" s="1"/>
  <c r="AL20" i="84"/>
  <c r="AK20" i="84" s="1"/>
  <c r="AJ20" i="84"/>
  <c r="AI20" i="84" s="1"/>
  <c r="AH20" i="84"/>
  <c r="AG20" i="84" s="1"/>
  <c r="AF20" i="84"/>
  <c r="AE20" i="84" s="1"/>
  <c r="R20" i="84"/>
  <c r="I24" i="84" s="1"/>
  <c r="AP19" i="84"/>
  <c r="AO19" i="84" s="1"/>
  <c r="AN19" i="84"/>
  <c r="AM19" i="84" s="1"/>
  <c r="AL19" i="84"/>
  <c r="AK19" i="84" s="1"/>
  <c r="AJ19" i="84"/>
  <c r="AI19" i="84" s="1"/>
  <c r="AH19" i="84"/>
  <c r="AG19" i="84" s="1"/>
  <c r="AF19" i="84"/>
  <c r="AE19" i="84" s="1"/>
  <c r="AP18" i="84"/>
  <c r="AO18" i="84" s="1"/>
  <c r="AN18" i="84"/>
  <c r="AM18" i="84" s="1"/>
  <c r="AL18" i="84"/>
  <c r="AK18" i="84" s="1"/>
  <c r="AJ18" i="84"/>
  <c r="AI18" i="84" s="1"/>
  <c r="AH18" i="84"/>
  <c r="AG18" i="84" s="1"/>
  <c r="AF18" i="84"/>
  <c r="AE18" i="84" s="1"/>
  <c r="P18" i="84"/>
  <c r="O18" i="84"/>
  <c r="N18" i="84"/>
  <c r="H18" i="84"/>
  <c r="Q18" i="84" s="1"/>
  <c r="AP17" i="84"/>
  <c r="AO17" i="84" s="1"/>
  <c r="AN17" i="84"/>
  <c r="AM17" i="84" s="1"/>
  <c r="AL17" i="84"/>
  <c r="AK17" i="84" s="1"/>
  <c r="AJ17" i="84"/>
  <c r="AI17" i="84" s="1"/>
  <c r="AH17" i="84"/>
  <c r="AG17" i="84" s="1"/>
  <c r="AF17" i="84"/>
  <c r="AE17" i="84" s="1"/>
  <c r="P17" i="84"/>
  <c r="O17" i="84"/>
  <c r="N17" i="84"/>
  <c r="H17" i="84"/>
  <c r="Q17" i="84" s="1"/>
  <c r="AP16" i="84"/>
  <c r="AO16" i="84" s="1"/>
  <c r="AN16" i="84"/>
  <c r="AM16" i="84" s="1"/>
  <c r="AL16" i="84"/>
  <c r="AK16" i="84" s="1"/>
  <c r="AJ16" i="84"/>
  <c r="AI16" i="84" s="1"/>
  <c r="AH16" i="84"/>
  <c r="AG16" i="84" s="1"/>
  <c r="AF16" i="84"/>
  <c r="AE16" i="84" s="1"/>
  <c r="P16" i="84"/>
  <c r="O16" i="84"/>
  <c r="N16" i="84"/>
  <c r="H16" i="84"/>
  <c r="Q16" i="84" s="1"/>
  <c r="AP15" i="84"/>
  <c r="AO15" i="84" s="1"/>
  <c r="AN15" i="84"/>
  <c r="AM15" i="84" s="1"/>
  <c r="AL15" i="84"/>
  <c r="AK15" i="84" s="1"/>
  <c r="AJ15" i="84"/>
  <c r="AI15" i="84" s="1"/>
  <c r="AH15" i="84"/>
  <c r="AG15" i="84" s="1"/>
  <c r="AF15" i="84"/>
  <c r="AE15" i="84" s="1"/>
  <c r="P15" i="84"/>
  <c r="O15" i="84"/>
  <c r="N15" i="84"/>
  <c r="H15" i="84"/>
  <c r="Q15" i="84" s="1"/>
  <c r="AP14" i="84"/>
  <c r="AO14" i="84" s="1"/>
  <c r="AN14" i="84"/>
  <c r="AM14" i="84" s="1"/>
  <c r="AL14" i="84"/>
  <c r="AK14" i="84" s="1"/>
  <c r="AJ14" i="84"/>
  <c r="AI14" i="84" s="1"/>
  <c r="AH14" i="84"/>
  <c r="AG14" i="84" s="1"/>
  <c r="AF14" i="84"/>
  <c r="AE14" i="84" s="1"/>
  <c r="P14" i="84"/>
  <c r="O14" i="84"/>
  <c r="N14" i="84"/>
  <c r="H14" i="84"/>
  <c r="Q14" i="84" s="1"/>
  <c r="AP13" i="84"/>
  <c r="AO13" i="84" s="1"/>
  <c r="AN13" i="84"/>
  <c r="AM13" i="84" s="1"/>
  <c r="AL13" i="84"/>
  <c r="AK13" i="84" s="1"/>
  <c r="AJ13" i="84"/>
  <c r="AI13" i="84" s="1"/>
  <c r="AH13" i="84"/>
  <c r="AG13" i="84" s="1"/>
  <c r="AF13" i="84"/>
  <c r="AE13" i="84" s="1"/>
  <c r="R13" i="84"/>
  <c r="AP12" i="84"/>
  <c r="AO11" i="84" s="1"/>
  <c r="AN12" i="84"/>
  <c r="AM11" i="84" s="1"/>
  <c r="AL12" i="84"/>
  <c r="AK11" i="84" s="1"/>
  <c r="AJ12" i="84"/>
  <c r="AI11" i="84" s="1"/>
  <c r="AH12" i="84"/>
  <c r="AG11" i="84" s="1"/>
  <c r="AF12" i="84"/>
  <c r="AE11" i="84" s="1"/>
  <c r="AP10" i="84"/>
  <c r="AO10" i="84" s="1"/>
  <c r="AN10" i="84"/>
  <c r="AM10" i="84" s="1"/>
  <c r="AL10" i="84"/>
  <c r="AK10" i="84" s="1"/>
  <c r="AJ10" i="84"/>
  <c r="AI10" i="84" s="1"/>
  <c r="AH10" i="84"/>
  <c r="AG10" i="84" s="1"/>
  <c r="AF10" i="84"/>
  <c r="AE10" i="84" s="1"/>
  <c r="Q10" i="84"/>
  <c r="AP9" i="84"/>
  <c r="AO9" i="84" s="1"/>
  <c r="AN9" i="84"/>
  <c r="AM9" i="84" s="1"/>
  <c r="AL9" i="84"/>
  <c r="AK9" i="84" s="1"/>
  <c r="AJ9" i="84"/>
  <c r="AI9" i="84" s="1"/>
  <c r="AH9" i="84"/>
  <c r="AG9" i="84" s="1"/>
  <c r="AF9" i="84"/>
  <c r="AE9" i="84" s="1"/>
  <c r="Q9" i="84"/>
  <c r="AP8" i="84"/>
  <c r="AO8" i="84" s="1"/>
  <c r="AN8" i="84"/>
  <c r="AM8" i="84" s="1"/>
  <c r="AL8" i="84"/>
  <c r="AK8" i="84" s="1"/>
  <c r="AJ8" i="84"/>
  <c r="AI8" i="84" s="1"/>
  <c r="AH8" i="84"/>
  <c r="AG8" i="84" s="1"/>
  <c r="AF8" i="84"/>
  <c r="AE8" i="84" s="1"/>
  <c r="Q8" i="84"/>
  <c r="AP7" i="84"/>
  <c r="AO7" i="84" s="1"/>
  <c r="AN7" i="84"/>
  <c r="AM7" i="84" s="1"/>
  <c r="AL7" i="84"/>
  <c r="AK7" i="84" s="1"/>
  <c r="AJ7" i="84"/>
  <c r="AI7" i="84" s="1"/>
  <c r="AH7" i="84"/>
  <c r="AG7" i="84" s="1"/>
  <c r="AF7" i="84"/>
  <c r="AE7" i="84" s="1"/>
  <c r="Q7" i="84"/>
  <c r="AF8" i="82"/>
  <c r="AH8" i="82"/>
  <c r="AJ8" i="82"/>
  <c r="AI8" i="82" s="1"/>
  <c r="AL8" i="82"/>
  <c r="AK8" i="82" s="1"/>
  <c r="AN8" i="82"/>
  <c r="AM8" i="82" s="1"/>
  <c r="AP8" i="82"/>
  <c r="AO8" i="82" s="1"/>
  <c r="AF9" i="82"/>
  <c r="AH9" i="82"/>
  <c r="AJ9" i="82"/>
  <c r="AI9" i="82" s="1"/>
  <c r="AL9" i="82"/>
  <c r="AK9" i="82" s="1"/>
  <c r="AN9" i="82"/>
  <c r="AM9" i="82" s="1"/>
  <c r="AP9" i="82"/>
  <c r="AO9" i="82" s="1"/>
  <c r="AF10" i="82"/>
  <c r="AH10" i="82"/>
  <c r="AJ10" i="82"/>
  <c r="AI10" i="82" s="1"/>
  <c r="AL10" i="82"/>
  <c r="AK10" i="82" s="1"/>
  <c r="AN10" i="82"/>
  <c r="AM10" i="82" s="1"/>
  <c r="AP10" i="82"/>
  <c r="AO10" i="82" s="1"/>
  <c r="AF11" i="82"/>
  <c r="AH11" i="82"/>
  <c r="AJ11" i="82"/>
  <c r="AI11" i="82" s="1"/>
  <c r="AL11" i="82"/>
  <c r="AK11" i="82" s="1"/>
  <c r="AN11" i="82"/>
  <c r="AM11" i="82" s="1"/>
  <c r="AP11" i="82"/>
  <c r="AO11" i="82" s="1"/>
  <c r="AF12" i="82"/>
  <c r="AH12" i="82"/>
  <c r="AJ12" i="82"/>
  <c r="AI12" i="82" s="1"/>
  <c r="AL12" i="82"/>
  <c r="AK12" i="82" s="1"/>
  <c r="AN12" i="82"/>
  <c r="AM12" i="82" s="1"/>
  <c r="AP12" i="82"/>
  <c r="AO12" i="82" s="1"/>
  <c r="AF13" i="82"/>
  <c r="AH13" i="82"/>
  <c r="AJ13" i="82"/>
  <c r="AI13" i="82" s="1"/>
  <c r="AL13" i="82"/>
  <c r="AK13" i="82" s="1"/>
  <c r="AN13" i="82"/>
  <c r="AM13" i="82" s="1"/>
  <c r="AP13" i="82"/>
  <c r="AO13" i="82" s="1"/>
  <c r="AP7" i="82"/>
  <c r="AO7" i="82" s="1"/>
  <c r="AN7" i="82"/>
  <c r="AM7" i="82" s="1"/>
  <c r="AL7" i="82"/>
  <c r="AK7" i="82" s="1"/>
  <c r="AJ7" i="82"/>
  <c r="AI7" i="82" s="1"/>
  <c r="AH7" i="82"/>
  <c r="AF7" i="82"/>
  <c r="AD28" i="84" l="1"/>
  <c r="AD27" i="84"/>
  <c r="AD23" i="84"/>
  <c r="AD41" i="84"/>
  <c r="AD42" i="84"/>
  <c r="AD8" i="84"/>
  <c r="AD9" i="84"/>
  <c r="AD20" i="84"/>
  <c r="AD40" i="84"/>
  <c r="AD7" i="84"/>
  <c r="AD13" i="84"/>
  <c r="AD14" i="84"/>
  <c r="AD15" i="84"/>
  <c r="AD16" i="84"/>
  <c r="AD17" i="84"/>
  <c r="AD18" i="84"/>
  <c r="AD33" i="84"/>
  <c r="L8" i="84"/>
  <c r="AD10" i="84"/>
  <c r="AD19" i="84"/>
  <c r="AD21" i="84"/>
  <c r="AD22" i="84"/>
  <c r="AD26" i="84"/>
  <c r="I25" i="84"/>
  <c r="I35" i="84"/>
  <c r="I37" i="84"/>
  <c r="I39" i="84"/>
  <c r="L11" i="84"/>
  <c r="L9" i="84"/>
  <c r="L10" i="84"/>
  <c r="AE12" i="84"/>
  <c r="AG12" i="84"/>
  <c r="AI12" i="84"/>
  <c r="AK12" i="84"/>
  <c r="AM12" i="84"/>
  <c r="AO12" i="84"/>
  <c r="I21" i="84"/>
  <c r="I23" i="84"/>
  <c r="AD34" i="84"/>
  <c r="AD35" i="84"/>
  <c r="AD36" i="84"/>
  <c r="AD37" i="84"/>
  <c r="AD38" i="84"/>
  <c r="AD39" i="84"/>
  <c r="I22" i="84"/>
  <c r="I36" i="84"/>
  <c r="C165" i="84"/>
  <c r="C161" i="84"/>
  <c r="I7" i="84"/>
  <c r="J8" i="84"/>
  <c r="T8" i="84" s="1"/>
  <c r="I9" i="84"/>
  <c r="J10" i="84"/>
  <c r="I11" i="84"/>
  <c r="J7" i="84"/>
  <c r="T7" i="84" s="1"/>
  <c r="L7" i="84"/>
  <c r="I8" i="84"/>
  <c r="J9" i="84"/>
  <c r="J11" i="84"/>
  <c r="T9" i="84"/>
  <c r="I18" i="84"/>
  <c r="I17" i="84"/>
  <c r="I16" i="84"/>
  <c r="I15" i="84"/>
  <c r="I14" i="84"/>
  <c r="J14" i="84"/>
  <c r="J15" i="84"/>
  <c r="T15" i="84" s="1"/>
  <c r="J16" i="84"/>
  <c r="J17" i="84"/>
  <c r="T17" i="84" s="1"/>
  <c r="J18" i="84"/>
  <c r="AD24" i="84"/>
  <c r="AD25" i="84"/>
  <c r="T10" i="84"/>
  <c r="L14" i="84"/>
  <c r="L15" i="84"/>
  <c r="L16" i="84"/>
  <c r="L17" i="84"/>
  <c r="L18" i="84"/>
  <c r="L21" i="84"/>
  <c r="J21" i="84"/>
  <c r="T21" i="84" s="1"/>
  <c r="L22" i="84"/>
  <c r="J22" i="84"/>
  <c r="T22" i="84" s="1"/>
  <c r="L23" i="84"/>
  <c r="J23" i="84"/>
  <c r="T23" i="84" s="1"/>
  <c r="L28" i="84"/>
  <c r="J28" i="84"/>
  <c r="T28" i="84" s="1"/>
  <c r="L29" i="84"/>
  <c r="J29" i="84"/>
  <c r="T29" i="84" s="1"/>
  <c r="L30" i="84"/>
  <c r="J30" i="84"/>
  <c r="T30" i="84" s="1"/>
  <c r="L31" i="84"/>
  <c r="J31" i="84"/>
  <c r="T31" i="84" s="1"/>
  <c r="L32" i="84"/>
  <c r="J32" i="84"/>
  <c r="T32" i="84" s="1"/>
  <c r="K32" i="84" s="1"/>
  <c r="I45" i="84"/>
  <c r="I46" i="84"/>
  <c r="I44" i="84"/>
  <c r="I43" i="84"/>
  <c r="I42" i="84"/>
  <c r="J24" i="84"/>
  <c r="T24" i="84" s="1"/>
  <c r="L24" i="84"/>
  <c r="J25" i="84"/>
  <c r="T25" i="84" s="1"/>
  <c r="K25" i="84" s="1"/>
  <c r="R25" i="84" s="1"/>
  <c r="L25" i="84"/>
  <c r="I28" i="84"/>
  <c r="I29" i="84"/>
  <c r="I30" i="84"/>
  <c r="I31" i="84"/>
  <c r="L35" i="84"/>
  <c r="J35" i="84"/>
  <c r="T35" i="84" s="1"/>
  <c r="L36" i="84"/>
  <c r="J36" i="84"/>
  <c r="T36" i="84" s="1"/>
  <c r="L37" i="84"/>
  <c r="J37" i="84"/>
  <c r="T37" i="84" s="1"/>
  <c r="L38" i="84"/>
  <c r="J38" i="84"/>
  <c r="T38" i="84" s="1"/>
  <c r="L39" i="84"/>
  <c r="J39" i="84"/>
  <c r="J45" i="84"/>
  <c r="T45" i="84" s="1"/>
  <c r="L42" i="84"/>
  <c r="J42" i="84"/>
  <c r="T42" i="84" s="1"/>
  <c r="L43" i="84"/>
  <c r="J43" i="84"/>
  <c r="T43" i="84" s="1"/>
  <c r="L44" i="84"/>
  <c r="J44" i="84"/>
  <c r="T44" i="84" s="1"/>
  <c r="L45" i="84"/>
  <c r="L46" i="84"/>
  <c r="J46" i="84"/>
  <c r="T46" i="84" s="1"/>
  <c r="E9" i="8"/>
  <c r="E5" i="8"/>
  <c r="F5" i="8"/>
  <c r="E8" i="8"/>
  <c r="E6" i="8"/>
  <c r="F6" i="8"/>
  <c r="E10" i="8"/>
  <c r="F10" i="8"/>
  <c r="M53" i="7"/>
  <c r="A1" i="82" l="1"/>
  <c r="B308" i="82" s="1"/>
  <c r="A1" i="92"/>
  <c r="A1" i="84"/>
  <c r="T39" i="84"/>
  <c r="K39" i="84" s="1"/>
  <c r="R39" i="84" s="1"/>
  <c r="K44" i="84"/>
  <c r="AD12" i="84"/>
  <c r="AD11" i="84"/>
  <c r="K11" i="84"/>
  <c r="K7" i="84"/>
  <c r="K10" i="84"/>
  <c r="K8" i="84"/>
  <c r="K9" i="84"/>
  <c r="B118" i="84"/>
  <c r="B116" i="84"/>
  <c r="B114" i="84"/>
  <c r="B112" i="84"/>
  <c r="K24" i="84"/>
  <c r="R24" i="84" s="1"/>
  <c r="K31" i="84"/>
  <c r="K29" i="84"/>
  <c r="K23" i="84"/>
  <c r="K21" i="84"/>
  <c r="K30" i="84"/>
  <c r="K28" i="84"/>
  <c r="K22" i="84"/>
  <c r="K43" i="84"/>
  <c r="K42" i="84"/>
  <c r="R42" i="84" s="1"/>
  <c r="K46" i="84"/>
  <c r="R46" i="84" s="1"/>
  <c r="R44" i="84"/>
  <c r="K37" i="84"/>
  <c r="R37" i="84" s="1"/>
  <c r="K36" i="84"/>
  <c r="R36" i="84" s="1"/>
  <c r="K35" i="84"/>
  <c r="R35" i="84" s="1"/>
  <c r="R32" i="84"/>
  <c r="R31" i="84"/>
  <c r="R30" i="84"/>
  <c r="R29" i="84"/>
  <c r="R28" i="84"/>
  <c r="R23" i="84"/>
  <c r="R22" i="84"/>
  <c r="R21" i="84"/>
  <c r="R10" i="84"/>
  <c r="R9" i="84"/>
  <c r="R8" i="84"/>
  <c r="R7" i="84"/>
  <c r="R43" i="84"/>
  <c r="K45" i="84"/>
  <c r="K38" i="84"/>
  <c r="R38" i="84" s="1"/>
  <c r="R45" i="84"/>
  <c r="T18" i="84"/>
  <c r="T16" i="84"/>
  <c r="K16" i="84" s="1"/>
  <c r="R16" i="84" s="1"/>
  <c r="T14" i="84"/>
  <c r="B132" i="84"/>
  <c r="C132" i="84" s="1"/>
  <c r="B128" i="84"/>
  <c r="C210" i="84"/>
  <c r="E210" i="84" s="1"/>
  <c r="C206" i="84"/>
  <c r="E222" i="84" s="1"/>
  <c r="C204" i="84"/>
  <c r="E205" i="84" s="1"/>
  <c r="G207" i="84" s="1"/>
  <c r="J208" i="84" s="1"/>
  <c r="C202" i="84"/>
  <c r="E220" i="84" s="1"/>
  <c r="C200" i="84"/>
  <c r="E201" i="84" s="1"/>
  <c r="G211" i="84" s="1"/>
  <c r="C196" i="84"/>
  <c r="E196" i="84" s="1"/>
  <c r="B126" i="84"/>
  <c r="B124" i="84"/>
  <c r="B122" i="84"/>
  <c r="J117" i="84"/>
  <c r="B108" i="84"/>
  <c r="C107" i="84" s="1"/>
  <c r="E140" i="84" s="1"/>
  <c r="G148" i="84" s="1"/>
  <c r="J152" i="84" s="1"/>
  <c r="B106" i="84"/>
  <c r="C159" i="84" s="1"/>
  <c r="B102" i="84"/>
  <c r="C102" i="84" s="1"/>
  <c r="B308" i="92" l="1"/>
  <c r="B309" i="92"/>
  <c r="B301" i="92"/>
  <c r="B303" i="92"/>
  <c r="B305" i="92"/>
  <c r="B307" i="92"/>
  <c r="B300" i="92"/>
  <c r="B302" i="92"/>
  <c r="B304" i="92"/>
  <c r="B306" i="92"/>
  <c r="B300" i="82"/>
  <c r="B302" i="82"/>
  <c r="B304" i="82"/>
  <c r="B306" i="82"/>
  <c r="B301" i="82"/>
  <c r="B303" i="82"/>
  <c r="B305" i="82"/>
  <c r="B307" i="82"/>
  <c r="M8" i="84"/>
  <c r="C123" i="84"/>
  <c r="C114" i="84"/>
  <c r="C115" i="84"/>
  <c r="C127" i="84"/>
  <c r="E146" i="84" s="1"/>
  <c r="G150" i="84" s="1"/>
  <c r="J149" i="84" s="1"/>
  <c r="C118" i="84"/>
  <c r="C119" i="84"/>
  <c r="M10" i="84"/>
  <c r="C167" i="84"/>
  <c r="C111" i="84"/>
  <c r="C169" i="84"/>
  <c r="C163" i="84"/>
  <c r="C116" i="84"/>
  <c r="M11" i="84"/>
  <c r="M7" i="84"/>
  <c r="M9" i="84"/>
  <c r="M38" i="84"/>
  <c r="S38" i="84" s="1"/>
  <c r="S10" i="84"/>
  <c r="M35" i="84"/>
  <c r="S35" i="84" s="1"/>
  <c r="M39" i="84"/>
  <c r="S39" i="84" s="1"/>
  <c r="M37" i="84"/>
  <c r="S37" i="84" s="1"/>
  <c r="M36" i="84"/>
  <c r="S36" i="84" s="1"/>
  <c r="M46" i="84"/>
  <c r="S46" i="84" s="1"/>
  <c r="C157" i="84"/>
  <c r="E157" i="84" s="1"/>
  <c r="C103" i="84"/>
  <c r="E105" i="84" s="1"/>
  <c r="J135" i="84" s="1"/>
  <c r="B300" i="84"/>
  <c r="E209" i="84"/>
  <c r="G213" i="84" s="1"/>
  <c r="E224" i="84"/>
  <c r="G224" i="84" s="1"/>
  <c r="K14" i="84"/>
  <c r="R14" i="84" s="1"/>
  <c r="K18" i="84"/>
  <c r="R18" i="84" s="1"/>
  <c r="M43" i="84"/>
  <c r="S43" i="84" s="1"/>
  <c r="S8" i="84"/>
  <c r="M21" i="84"/>
  <c r="S21" i="84" s="1"/>
  <c r="M23" i="84"/>
  <c r="S23" i="84" s="1"/>
  <c r="M29" i="84"/>
  <c r="S29" i="84" s="1"/>
  <c r="M31" i="84"/>
  <c r="S31" i="84" s="1"/>
  <c r="M44" i="84"/>
  <c r="S44" i="84" s="1"/>
  <c r="K15" i="84"/>
  <c r="R15" i="84" s="1"/>
  <c r="M25" i="84"/>
  <c r="S25" i="84" s="1"/>
  <c r="E159" i="84"/>
  <c r="E161" i="84"/>
  <c r="E165" i="84"/>
  <c r="E218" i="84"/>
  <c r="G218" i="84" s="1"/>
  <c r="E197" i="84"/>
  <c r="G199" i="84" s="1"/>
  <c r="J203" i="84" s="1"/>
  <c r="G220" i="84"/>
  <c r="G222" i="84"/>
  <c r="E163" i="84"/>
  <c r="C131" i="84"/>
  <c r="E129" i="84" s="1"/>
  <c r="C171" i="84"/>
  <c r="E171" i="84" s="1"/>
  <c r="M45" i="84"/>
  <c r="S45" i="84" s="1"/>
  <c r="S7" i="84"/>
  <c r="S9" i="84"/>
  <c r="M22" i="84"/>
  <c r="S22" i="84" s="1"/>
  <c r="M28" i="84"/>
  <c r="S28" i="84" s="1"/>
  <c r="M30" i="84"/>
  <c r="S30" i="84" s="1"/>
  <c r="M32" i="84"/>
  <c r="S32" i="84" s="1"/>
  <c r="M42" i="84"/>
  <c r="S42" i="84" s="1"/>
  <c r="K17" i="84"/>
  <c r="R17" i="84" s="1"/>
  <c r="M24" i="84"/>
  <c r="S24" i="84" s="1"/>
  <c r="AZ48" i="16"/>
  <c r="BB48" i="16"/>
  <c r="BC48" i="16"/>
  <c r="AZ49" i="16"/>
  <c r="BB49" i="16"/>
  <c r="BC49" i="16"/>
  <c r="AZ17" i="16"/>
  <c r="BB17" i="16"/>
  <c r="BC17" i="16"/>
  <c r="AZ10" i="16"/>
  <c r="BB10" i="16"/>
  <c r="BC10" i="16"/>
  <c r="AZ36" i="16"/>
  <c r="BB36" i="16"/>
  <c r="BC36" i="16"/>
  <c r="AZ27" i="16"/>
  <c r="BB27" i="16"/>
  <c r="BC27" i="16"/>
  <c r="AZ12" i="16"/>
  <c r="BB12" i="16"/>
  <c r="BC12" i="16"/>
  <c r="AZ42" i="16"/>
  <c r="BB42" i="16"/>
  <c r="BC42" i="16"/>
  <c r="AZ29" i="16"/>
  <c r="BB29" i="16"/>
  <c r="BC29" i="16"/>
  <c r="AZ31" i="16"/>
  <c r="BB31" i="16"/>
  <c r="BC31" i="16"/>
  <c r="AZ9" i="16"/>
  <c r="BB9" i="16"/>
  <c r="BC9" i="16"/>
  <c r="AZ13" i="16"/>
  <c r="BB13" i="16"/>
  <c r="BC13" i="16"/>
  <c r="AZ96" i="16"/>
  <c r="BB96" i="16"/>
  <c r="BC96" i="16"/>
  <c r="AZ11" i="16"/>
  <c r="BB11" i="16"/>
  <c r="BC11" i="16"/>
  <c r="Z37" i="16" l="1"/>
  <c r="AA37" i="16"/>
  <c r="AV37" i="16" s="1"/>
  <c r="AA17" i="16"/>
  <c r="AA18" i="16"/>
  <c r="AA8" i="16"/>
  <c r="AA7" i="16"/>
  <c r="AA96" i="16"/>
  <c r="AA11" i="16"/>
  <c r="AA48" i="16"/>
  <c r="AA28" i="16"/>
  <c r="AA36" i="16"/>
  <c r="AA16" i="16"/>
  <c r="AA55" i="16"/>
  <c r="AA14" i="16"/>
  <c r="AA33" i="16"/>
  <c r="AA32" i="16"/>
  <c r="AA35" i="16"/>
  <c r="AA46" i="16"/>
  <c r="AA51" i="16"/>
  <c r="AA74" i="16"/>
  <c r="AA76" i="16"/>
  <c r="AA19" i="16"/>
  <c r="AA61" i="16"/>
  <c r="AA62" i="16"/>
  <c r="AA52" i="16"/>
  <c r="AA54" i="16"/>
  <c r="AA57" i="16"/>
  <c r="AA60" i="16"/>
  <c r="AA64" i="16"/>
  <c r="AA66" i="16"/>
  <c r="AA68" i="16"/>
  <c r="AA70" i="16"/>
  <c r="AA72" i="16"/>
  <c r="AA75" i="16"/>
  <c r="AA78" i="16"/>
  <c r="AA80" i="16"/>
  <c r="AA82" i="16"/>
  <c r="AA84" i="16"/>
  <c r="AA87" i="16"/>
  <c r="AA89" i="16"/>
  <c r="AA91" i="16"/>
  <c r="AA93" i="16"/>
  <c r="AA95" i="16"/>
  <c r="AA98" i="16"/>
  <c r="AA100" i="16"/>
  <c r="AA101" i="16"/>
  <c r="AA103" i="16"/>
  <c r="AA104" i="16"/>
  <c r="AA106" i="16"/>
  <c r="AA108" i="16"/>
  <c r="AA110" i="16"/>
  <c r="AA26" i="16"/>
  <c r="AA112" i="16"/>
  <c r="AA30" i="16"/>
  <c r="AA113" i="16"/>
  <c r="AA114" i="16"/>
  <c r="AA13" i="16"/>
  <c r="AA15" i="16"/>
  <c r="AA39" i="16"/>
  <c r="AA10" i="16"/>
  <c r="AA9" i="16"/>
  <c r="AA58" i="16"/>
  <c r="AA49" i="16"/>
  <c r="AA29" i="16"/>
  <c r="AA42" i="16"/>
  <c r="AA47" i="16"/>
  <c r="AA27" i="16"/>
  <c r="AA23" i="16"/>
  <c r="AA25" i="16"/>
  <c r="AA43" i="16"/>
  <c r="AA31" i="16"/>
  <c r="AA34" i="16"/>
  <c r="AA20" i="16"/>
  <c r="AA40" i="16"/>
  <c r="AA41" i="16"/>
  <c r="AA21" i="16"/>
  <c r="AA22" i="16"/>
  <c r="AA86" i="16"/>
  <c r="AA53" i="16"/>
  <c r="AA56" i="16"/>
  <c r="AA59" i="16"/>
  <c r="AA63" i="16"/>
  <c r="AA65" i="16"/>
  <c r="AA67" i="16"/>
  <c r="AA69" i="16"/>
  <c r="AA71" i="16"/>
  <c r="AA73" i="16"/>
  <c r="AA77" i="16"/>
  <c r="AA79" i="16"/>
  <c r="AA81" i="16"/>
  <c r="AA83" i="16"/>
  <c r="AA85" i="16"/>
  <c r="AA88" i="16"/>
  <c r="AA90" i="16"/>
  <c r="AA92" i="16"/>
  <c r="AA94" i="16"/>
  <c r="AA97" i="16"/>
  <c r="AA99" i="16"/>
  <c r="AA12" i="16"/>
  <c r="AA102" i="16"/>
  <c r="AA50" i="16"/>
  <c r="AA105" i="16"/>
  <c r="AA107" i="16"/>
  <c r="AA109" i="16"/>
  <c r="AA111" i="16"/>
  <c r="AA45" i="16"/>
  <c r="AA24" i="16"/>
  <c r="AA38" i="16"/>
  <c r="AA44" i="16"/>
  <c r="Z17" i="16"/>
  <c r="Z18" i="16"/>
  <c r="Z8" i="16"/>
  <c r="Z7" i="16"/>
  <c r="Z96" i="16"/>
  <c r="AU96" i="16" s="1"/>
  <c r="Z11" i="16"/>
  <c r="Z48" i="16"/>
  <c r="Z28" i="16"/>
  <c r="Z36" i="16"/>
  <c r="AU36" i="16" s="1"/>
  <c r="Z16" i="16"/>
  <c r="Z55" i="16"/>
  <c r="Z14" i="16"/>
  <c r="Z33" i="16"/>
  <c r="Z32" i="16"/>
  <c r="Z35" i="16"/>
  <c r="Z46" i="16"/>
  <c r="Z51" i="16"/>
  <c r="Z74" i="16"/>
  <c r="Z76" i="16"/>
  <c r="Z19" i="16"/>
  <c r="Z61" i="16"/>
  <c r="Z62" i="16"/>
  <c r="Z52" i="16"/>
  <c r="Z54" i="16"/>
  <c r="Z57" i="16"/>
  <c r="Z60" i="16"/>
  <c r="Z64" i="16"/>
  <c r="Z66" i="16"/>
  <c r="Z68" i="16"/>
  <c r="Z70" i="16"/>
  <c r="Z72" i="16"/>
  <c r="Z75" i="16"/>
  <c r="Z78" i="16"/>
  <c r="Z80" i="16"/>
  <c r="Z82" i="16"/>
  <c r="Z85" i="16"/>
  <c r="Z88" i="16"/>
  <c r="Z90" i="16"/>
  <c r="Z92" i="16"/>
  <c r="Z94" i="16"/>
  <c r="Z97" i="16"/>
  <c r="Z99" i="16"/>
  <c r="Z101" i="16"/>
  <c r="Z103" i="16"/>
  <c r="Z104" i="16"/>
  <c r="Z106" i="16"/>
  <c r="Z108" i="16"/>
  <c r="Z110" i="16"/>
  <c r="Z111" i="16"/>
  <c r="Z45" i="16"/>
  <c r="Z24" i="16"/>
  <c r="Z38" i="16"/>
  <c r="Z44" i="16"/>
  <c r="Z13" i="16"/>
  <c r="Z15" i="16"/>
  <c r="Z39" i="16"/>
  <c r="Z10" i="16"/>
  <c r="Z9" i="16"/>
  <c r="Z58" i="16"/>
  <c r="Z49" i="16"/>
  <c r="Z29" i="16"/>
  <c r="Z42" i="16"/>
  <c r="Z47" i="16"/>
  <c r="Z27" i="16"/>
  <c r="Z23" i="16"/>
  <c r="Z25" i="16"/>
  <c r="Z43" i="16"/>
  <c r="Z31" i="16"/>
  <c r="Z34" i="16"/>
  <c r="Z20" i="16"/>
  <c r="Z40" i="16"/>
  <c r="Z41" i="16"/>
  <c r="Z21" i="16"/>
  <c r="Z22" i="16"/>
  <c r="Z86" i="16"/>
  <c r="Z53" i="16"/>
  <c r="Z56" i="16"/>
  <c r="Z59" i="16"/>
  <c r="Z63" i="16"/>
  <c r="Z65" i="16"/>
  <c r="Z67" i="16"/>
  <c r="Z69" i="16"/>
  <c r="Z71" i="16"/>
  <c r="Z73" i="16"/>
  <c r="Z77" i="16"/>
  <c r="Z79" i="16"/>
  <c r="Z81" i="16"/>
  <c r="Z83" i="16"/>
  <c r="Z84" i="16"/>
  <c r="Z87" i="16"/>
  <c r="Z89" i="16"/>
  <c r="Z91" i="16"/>
  <c r="Z93" i="16"/>
  <c r="Z95" i="16"/>
  <c r="Z98" i="16"/>
  <c r="Z100" i="16"/>
  <c r="Z102" i="16"/>
  <c r="Z50" i="16"/>
  <c r="Z105" i="16"/>
  <c r="Z107" i="16"/>
  <c r="Z109" i="16"/>
  <c r="Z26" i="16"/>
  <c r="Z112" i="16"/>
  <c r="Z30" i="16"/>
  <c r="Z113" i="16"/>
  <c r="Z114" i="16"/>
  <c r="Z12" i="16"/>
  <c r="AU9" i="16"/>
  <c r="AU49" i="16"/>
  <c r="AU13" i="16"/>
  <c r="AU11" i="16"/>
  <c r="AU42" i="16"/>
  <c r="AU17" i="16"/>
  <c r="G133" i="84"/>
  <c r="J132" i="84" s="1"/>
  <c r="E121" i="84"/>
  <c r="E144" i="84"/>
  <c r="G145" i="84" s="1"/>
  <c r="J146" i="84" s="1"/>
  <c r="M17" i="84"/>
  <c r="S17" i="84" s="1"/>
  <c r="G226" i="84"/>
  <c r="I226" i="84" s="1"/>
  <c r="G219" i="84"/>
  <c r="J224" i="84" s="1"/>
  <c r="M15" i="84"/>
  <c r="S15" i="84" s="1"/>
  <c r="M14" i="84"/>
  <c r="S14" i="84" s="1"/>
  <c r="E167" i="84"/>
  <c r="E183" i="84" s="1"/>
  <c r="G183" i="84" s="1"/>
  <c r="E179" i="84"/>
  <c r="G179" i="84" s="1"/>
  <c r="E158" i="84"/>
  <c r="G172" i="84" s="1"/>
  <c r="J176" i="84" s="1"/>
  <c r="G228" i="84"/>
  <c r="I228" i="84" s="1"/>
  <c r="G223" i="84"/>
  <c r="J221" i="84" s="1"/>
  <c r="E181" i="84"/>
  <c r="G181" i="84" s="1"/>
  <c r="E162" i="84"/>
  <c r="G160" i="84" s="1"/>
  <c r="J164" i="84" s="1"/>
  <c r="M18" i="84"/>
  <c r="S18" i="84" s="1"/>
  <c r="E169" i="84"/>
  <c r="M16" i="84"/>
  <c r="S16" i="84" s="1"/>
  <c r="V47" i="16"/>
  <c r="AU37" i="16" l="1"/>
  <c r="BI114" i="16"/>
  <c r="BJ44" i="16"/>
  <c r="BI26" i="16"/>
  <c r="BI100" i="16"/>
  <c r="BI95" i="16"/>
  <c r="BI12" i="16"/>
  <c r="BI113" i="16"/>
  <c r="BI112" i="16"/>
  <c r="BI109" i="16"/>
  <c r="BI105" i="16"/>
  <c r="BI102" i="16"/>
  <c r="BI98" i="16"/>
  <c r="BI93" i="16"/>
  <c r="BI89" i="16"/>
  <c r="BI84" i="16"/>
  <c r="BI81" i="16"/>
  <c r="BI77" i="16"/>
  <c r="BI71" i="16"/>
  <c r="BI67" i="16"/>
  <c r="BI63" i="16"/>
  <c r="BI56" i="16"/>
  <c r="BI86" i="16"/>
  <c r="BI21" i="16"/>
  <c r="BI40" i="16"/>
  <c r="BI34" i="16"/>
  <c r="BI43" i="16"/>
  <c r="BI23" i="16"/>
  <c r="BI47" i="16"/>
  <c r="BI29" i="16"/>
  <c r="BI58" i="16"/>
  <c r="BI10" i="16"/>
  <c r="BI15" i="16"/>
  <c r="BI44" i="16"/>
  <c r="BI24" i="16"/>
  <c r="BI111" i="16"/>
  <c r="BI108" i="16"/>
  <c r="BI104" i="16"/>
  <c r="BI101" i="16"/>
  <c r="BI97" i="16"/>
  <c r="BI92" i="16"/>
  <c r="BI88" i="16"/>
  <c r="BI82" i="16"/>
  <c r="BI78" i="16"/>
  <c r="BI72" i="16"/>
  <c r="BI68" i="16"/>
  <c r="BI64" i="16"/>
  <c r="BI57" i="16"/>
  <c r="BI52" i="16"/>
  <c r="BI61" i="16"/>
  <c r="BI76" i="16"/>
  <c r="BI51" i="16"/>
  <c r="BI35" i="16"/>
  <c r="BI33" i="16"/>
  <c r="BI55" i="16"/>
  <c r="BI36" i="16"/>
  <c r="BI48" i="16"/>
  <c r="BI96" i="16"/>
  <c r="BI17" i="16"/>
  <c r="AV38" i="16"/>
  <c r="BJ38" i="16"/>
  <c r="BJ45" i="16"/>
  <c r="BJ109" i="16"/>
  <c r="BJ105" i="16"/>
  <c r="BJ102" i="16"/>
  <c r="BJ99" i="16"/>
  <c r="BJ94" i="16"/>
  <c r="BJ90" i="16"/>
  <c r="BJ85" i="16"/>
  <c r="BJ81" i="16"/>
  <c r="BJ77" i="16"/>
  <c r="BJ71" i="16"/>
  <c r="BJ67" i="16"/>
  <c r="BJ63" i="16"/>
  <c r="BJ56" i="16"/>
  <c r="BJ86" i="16"/>
  <c r="BJ21" i="16"/>
  <c r="BJ40" i="16"/>
  <c r="BJ34" i="16"/>
  <c r="BJ43" i="16"/>
  <c r="BJ23" i="16"/>
  <c r="BJ47" i="16"/>
  <c r="AV29" i="16"/>
  <c r="BJ29" i="16"/>
  <c r="AV58" i="16"/>
  <c r="BJ58" i="16"/>
  <c r="AV10" i="16"/>
  <c r="BJ10" i="16"/>
  <c r="AV15" i="16"/>
  <c r="BJ15" i="16"/>
  <c r="BJ114" i="16"/>
  <c r="AV30" i="16"/>
  <c r="BJ30" i="16"/>
  <c r="BJ26" i="16"/>
  <c r="BJ108" i="16"/>
  <c r="BJ104" i="16"/>
  <c r="BJ101" i="16"/>
  <c r="BJ98" i="16"/>
  <c r="BJ93" i="16"/>
  <c r="BJ89" i="16"/>
  <c r="BJ84" i="16"/>
  <c r="BJ80" i="16"/>
  <c r="BJ75" i="16"/>
  <c r="BJ70" i="16"/>
  <c r="BJ66" i="16"/>
  <c r="BJ60" i="16"/>
  <c r="BJ54" i="16"/>
  <c r="BJ62" i="16"/>
  <c r="BJ19" i="16"/>
  <c r="BJ74" i="16"/>
  <c r="AV46" i="16"/>
  <c r="BJ46" i="16"/>
  <c r="BJ32" i="16"/>
  <c r="BJ14" i="16"/>
  <c r="BJ16" i="16"/>
  <c r="BJ28" i="16"/>
  <c r="AV11" i="16"/>
  <c r="BJ11" i="16"/>
  <c r="BJ7" i="16"/>
  <c r="BJ37" i="16"/>
  <c r="AV18" i="16"/>
  <c r="BJ18" i="16"/>
  <c r="BI30" i="16"/>
  <c r="BI107" i="16"/>
  <c r="BI50" i="16"/>
  <c r="BI91" i="16"/>
  <c r="BI87" i="16"/>
  <c r="BI83" i="16"/>
  <c r="BI79" i="16"/>
  <c r="BI73" i="16"/>
  <c r="BI69" i="16"/>
  <c r="BI65" i="16"/>
  <c r="BI59" i="16"/>
  <c r="BI53" i="16"/>
  <c r="BI22" i="16"/>
  <c r="BI41" i="16"/>
  <c r="BI20" i="16"/>
  <c r="BI31" i="16"/>
  <c r="BI25" i="16"/>
  <c r="BI27" i="16"/>
  <c r="BI42" i="16"/>
  <c r="BI49" i="16"/>
  <c r="BI9" i="16"/>
  <c r="BI39" i="16"/>
  <c r="BI13" i="16"/>
  <c r="BI38" i="16"/>
  <c r="BI45" i="16"/>
  <c r="BI110" i="16"/>
  <c r="BI106" i="16"/>
  <c r="BI103" i="16"/>
  <c r="BI99" i="16"/>
  <c r="BI94" i="16"/>
  <c r="BI90" i="16"/>
  <c r="BI85" i="16"/>
  <c r="BI80" i="16"/>
  <c r="BI75" i="16"/>
  <c r="BI70" i="16"/>
  <c r="BI66" i="16"/>
  <c r="BI60" i="16"/>
  <c r="BI54" i="16"/>
  <c r="BI62" i="16"/>
  <c r="BI19" i="16"/>
  <c r="BI74" i="16"/>
  <c r="BI46" i="16"/>
  <c r="BI32" i="16"/>
  <c r="BI14" i="16"/>
  <c r="BI16" i="16"/>
  <c r="BI28" i="16"/>
  <c r="BI11" i="16"/>
  <c r="BI7" i="16"/>
  <c r="BI8" i="16"/>
  <c r="BI37" i="16"/>
  <c r="BI18" i="16"/>
  <c r="AV24" i="16"/>
  <c r="BJ24" i="16"/>
  <c r="BJ111" i="16"/>
  <c r="BJ107" i="16"/>
  <c r="BJ50" i="16"/>
  <c r="AV12" i="16"/>
  <c r="BJ12" i="16"/>
  <c r="BJ97" i="16"/>
  <c r="BJ92" i="16"/>
  <c r="BJ88" i="16"/>
  <c r="BJ83" i="16"/>
  <c r="BJ79" i="16"/>
  <c r="BJ73" i="16"/>
  <c r="BJ69" i="16"/>
  <c r="BJ65" i="16"/>
  <c r="BJ59" i="16"/>
  <c r="BJ53" i="16"/>
  <c r="BJ22" i="16"/>
  <c r="BJ41" i="16"/>
  <c r="BJ20" i="16"/>
  <c r="AV31" i="16"/>
  <c r="BJ31" i="16"/>
  <c r="BJ25" i="16"/>
  <c r="AV27" i="16"/>
  <c r="BJ27" i="16"/>
  <c r="AV42" i="16"/>
  <c r="BJ42" i="16"/>
  <c r="AV49" i="16"/>
  <c r="BJ49" i="16"/>
  <c r="AV9" i="16"/>
  <c r="BJ9" i="16"/>
  <c r="AV39" i="16"/>
  <c r="BJ39" i="16"/>
  <c r="AV13" i="16"/>
  <c r="BJ13" i="16"/>
  <c r="BJ113" i="16"/>
  <c r="BJ112" i="16"/>
  <c r="BJ110" i="16"/>
  <c r="BJ106" i="16"/>
  <c r="BJ103" i="16"/>
  <c r="BJ100" i="16"/>
  <c r="BJ95" i="16"/>
  <c r="BJ91" i="16"/>
  <c r="BJ87" i="16"/>
  <c r="BJ82" i="16"/>
  <c r="BJ78" i="16"/>
  <c r="BJ72" i="16"/>
  <c r="BJ68" i="16"/>
  <c r="BJ64" i="16"/>
  <c r="BJ57" i="16"/>
  <c r="BJ52" i="16"/>
  <c r="BJ61" i="16"/>
  <c r="AV76" i="16"/>
  <c r="BJ76" i="16"/>
  <c r="BJ51" i="16"/>
  <c r="BJ35" i="16"/>
  <c r="BJ33" i="16"/>
  <c r="BJ55" i="16"/>
  <c r="AV36" i="16"/>
  <c r="BJ36" i="16"/>
  <c r="AV48" i="16"/>
  <c r="BJ48" i="16"/>
  <c r="AV96" i="16"/>
  <c r="BJ96" i="16"/>
  <c r="BJ8" i="16"/>
  <c r="AV17" i="16"/>
  <c r="BJ17" i="16"/>
  <c r="BI6" i="16"/>
  <c r="BJ6" i="16"/>
  <c r="AU29" i="16"/>
  <c r="AU58" i="16"/>
  <c r="AU10" i="16"/>
  <c r="AU15" i="16"/>
  <c r="AU48" i="16"/>
  <c r="AU31" i="16"/>
  <c r="AU27" i="16"/>
  <c r="AU39" i="16"/>
  <c r="AU8" i="16"/>
  <c r="AU24" i="16"/>
  <c r="AU38" i="16"/>
  <c r="AU30" i="16"/>
  <c r="AU12" i="16"/>
  <c r="AU18" i="16"/>
  <c r="AU46" i="16"/>
  <c r="AU76" i="16"/>
  <c r="E166" i="84"/>
  <c r="G168" i="84" s="1"/>
  <c r="J169" i="84" s="1"/>
  <c r="E142" i="84"/>
  <c r="G141" i="84" s="1"/>
  <c r="J143" i="84" s="1"/>
  <c r="E113" i="84"/>
  <c r="G125" i="84"/>
  <c r="J126" i="84" s="1"/>
  <c r="E170" i="84"/>
  <c r="G174" i="84" s="1"/>
  <c r="J173" i="84" s="1"/>
  <c r="E185" i="84"/>
  <c r="G185" i="84" s="1"/>
  <c r="G184" i="84" s="1"/>
  <c r="I184" i="84" s="1"/>
  <c r="G187" i="84"/>
  <c r="I187" i="84" s="1"/>
  <c r="G180" i="84"/>
  <c r="I180" i="84" s="1"/>
  <c r="J230" i="84"/>
  <c r="J227" i="84"/>
  <c r="B309" i="84"/>
  <c r="B308" i="84" l="1"/>
  <c r="B311" i="84"/>
  <c r="B303" i="84"/>
  <c r="B307" i="84"/>
  <c r="B304" i="84"/>
  <c r="B301" i="84"/>
  <c r="B305" i="84"/>
  <c r="B302" i="84"/>
  <c r="B306" i="84"/>
  <c r="G189" i="84"/>
  <c r="I189" i="84" s="1"/>
  <c r="I188" i="84" s="1"/>
  <c r="J182" i="84"/>
  <c r="J185" i="84"/>
  <c r="I182" i="84"/>
  <c r="J188" i="84" l="1"/>
  <c r="B314" i="84" s="1"/>
  <c r="J191" i="84"/>
  <c r="B317" i="84"/>
  <c r="B315" i="84" l="1"/>
  <c r="B310" i="84"/>
  <c r="B313" i="84"/>
  <c r="B316" i="84"/>
  <c r="B312" i="84"/>
  <c r="V97" i="16" l="1"/>
  <c r="V73" i="16"/>
  <c r="V91" i="16"/>
  <c r="BC8" i="16" l="1"/>
  <c r="V68" i="16"/>
  <c r="V90" i="16" l="1"/>
  <c r="V65" i="16" l="1"/>
  <c r="V64" i="16" l="1"/>
  <c r="V100" i="16"/>
  <c r="V11" i="16" l="1"/>
  <c r="V110" i="16"/>
  <c r="G125" i="69"/>
  <c r="G109" i="69"/>
  <c r="G113" i="69"/>
  <c r="G121" i="69"/>
  <c r="C317" i="69" l="1"/>
  <c r="C316" i="69"/>
  <c r="C315" i="69"/>
  <c r="C314" i="69"/>
  <c r="C313" i="69"/>
  <c r="C312" i="69"/>
  <c r="C311" i="69"/>
  <c r="C310" i="69"/>
  <c r="C309" i="69"/>
  <c r="C308" i="69"/>
  <c r="C307" i="69"/>
  <c r="C306" i="69"/>
  <c r="C305" i="69"/>
  <c r="C304" i="69"/>
  <c r="C303" i="69"/>
  <c r="C302" i="69"/>
  <c r="C301" i="69"/>
  <c r="C300" i="69"/>
  <c r="C208" i="69"/>
  <c r="E208" i="69" s="1"/>
  <c r="E198" i="69"/>
  <c r="C198" i="69"/>
  <c r="B130" i="69"/>
  <c r="C130" i="69" s="1"/>
  <c r="I125" i="69"/>
  <c r="B120" i="69"/>
  <c r="C120" i="69" s="1"/>
  <c r="C114" i="69"/>
  <c r="B114" i="69"/>
  <c r="I109" i="69"/>
  <c r="J126" i="69" s="1"/>
  <c r="B104" i="69"/>
  <c r="C104" i="69" s="1"/>
  <c r="Q46" i="69"/>
  <c r="P46" i="69"/>
  <c r="O46" i="69"/>
  <c r="N46" i="69"/>
  <c r="H46" i="69"/>
  <c r="P45" i="69"/>
  <c r="O45" i="69"/>
  <c r="N45" i="69"/>
  <c r="H45" i="69"/>
  <c r="Q45" i="69" s="1"/>
  <c r="AP44" i="69"/>
  <c r="AO44" i="69"/>
  <c r="AN44" i="69"/>
  <c r="AM44" i="69"/>
  <c r="AL44" i="69"/>
  <c r="AK44" i="69"/>
  <c r="AJ44" i="69"/>
  <c r="AI44" i="69"/>
  <c r="AH44" i="69"/>
  <c r="AG44" i="69"/>
  <c r="AF44" i="69"/>
  <c r="AE44" i="69"/>
  <c r="AD44" i="69" s="1"/>
  <c r="P44" i="69"/>
  <c r="O44" i="69"/>
  <c r="N44" i="69"/>
  <c r="H44" i="69"/>
  <c r="Q44" i="69" s="1"/>
  <c r="AP43" i="69"/>
  <c r="AO43" i="69"/>
  <c r="AN43" i="69"/>
  <c r="AM43" i="69"/>
  <c r="AL43" i="69"/>
  <c r="AK43" i="69"/>
  <c r="AJ43" i="69"/>
  <c r="AI43" i="69"/>
  <c r="AH43" i="69"/>
  <c r="AG43" i="69"/>
  <c r="AF43" i="69"/>
  <c r="AE43" i="69"/>
  <c r="P43" i="69"/>
  <c r="O43" i="69"/>
  <c r="N43" i="69"/>
  <c r="H43" i="69"/>
  <c r="Q43" i="69" s="1"/>
  <c r="AP42" i="69"/>
  <c r="AO42" i="69"/>
  <c r="AN42" i="69"/>
  <c r="AM42" i="69"/>
  <c r="AL42" i="69"/>
  <c r="AK42" i="69"/>
  <c r="AJ42" i="69"/>
  <c r="AI42" i="69"/>
  <c r="AH42" i="69"/>
  <c r="AG42" i="69"/>
  <c r="AF42" i="69"/>
  <c r="AE42" i="69"/>
  <c r="P42" i="69"/>
  <c r="O42" i="69"/>
  <c r="N42" i="69"/>
  <c r="H42" i="69"/>
  <c r="Q42" i="69" s="1"/>
  <c r="AP41" i="69"/>
  <c r="AO41" i="69"/>
  <c r="AN41" i="69"/>
  <c r="AM41" i="69"/>
  <c r="AL41" i="69"/>
  <c r="AK41" i="69"/>
  <c r="AJ41" i="69"/>
  <c r="AI41" i="69"/>
  <c r="AH41" i="69"/>
  <c r="AG41" i="69"/>
  <c r="AF41" i="69"/>
  <c r="AE41" i="69"/>
  <c r="AD41" i="69" s="1"/>
  <c r="R41" i="69"/>
  <c r="I46" i="69" s="1"/>
  <c r="AP40" i="69"/>
  <c r="AO40" i="69"/>
  <c r="AN40" i="69"/>
  <c r="AM40" i="69"/>
  <c r="AL40" i="69"/>
  <c r="AK40" i="69"/>
  <c r="AJ40" i="69"/>
  <c r="AI40" i="69"/>
  <c r="AH40" i="69"/>
  <c r="AG40" i="69"/>
  <c r="AF40" i="69"/>
  <c r="AE40" i="69"/>
  <c r="AD40" i="69" s="1"/>
  <c r="AP39" i="69"/>
  <c r="AO39" i="69" s="1"/>
  <c r="AN39" i="69"/>
  <c r="AM39" i="69" s="1"/>
  <c r="AL39" i="69"/>
  <c r="AK39" i="69" s="1"/>
  <c r="AJ39" i="69"/>
  <c r="AI39" i="69" s="1"/>
  <c r="AH39" i="69"/>
  <c r="AG39" i="69" s="1"/>
  <c r="AF39" i="69"/>
  <c r="AE39" i="69" s="1"/>
  <c r="Q39" i="69"/>
  <c r="P39" i="69"/>
  <c r="O39" i="69"/>
  <c r="N39" i="69"/>
  <c r="I39" i="69"/>
  <c r="H39" i="69"/>
  <c r="AP38" i="69"/>
  <c r="AO38" i="69" s="1"/>
  <c r="AN38" i="69"/>
  <c r="AM38" i="69" s="1"/>
  <c r="AL38" i="69"/>
  <c r="AK38" i="69" s="1"/>
  <c r="AJ38" i="69"/>
  <c r="AI38" i="69" s="1"/>
  <c r="AH38" i="69"/>
  <c r="AG38" i="69" s="1"/>
  <c r="AF38" i="69"/>
  <c r="AE38" i="69" s="1"/>
  <c r="Q38" i="69"/>
  <c r="P38" i="69"/>
  <c r="O38" i="69"/>
  <c r="N38" i="69"/>
  <c r="I38" i="69"/>
  <c r="H38" i="69"/>
  <c r="AP37" i="69"/>
  <c r="AO37" i="69" s="1"/>
  <c r="AN37" i="69"/>
  <c r="AM37" i="69" s="1"/>
  <c r="AL37" i="69"/>
  <c r="AK37" i="69" s="1"/>
  <c r="AJ37" i="69"/>
  <c r="AI37" i="69" s="1"/>
  <c r="AH37" i="69"/>
  <c r="AG37" i="69" s="1"/>
  <c r="AF37" i="69"/>
  <c r="AE37" i="69" s="1"/>
  <c r="Q37" i="69"/>
  <c r="P37" i="69"/>
  <c r="O37" i="69"/>
  <c r="N37" i="69"/>
  <c r="I37" i="69"/>
  <c r="H37" i="69"/>
  <c r="AP36" i="69"/>
  <c r="AO36" i="69" s="1"/>
  <c r="AN36" i="69"/>
  <c r="AM36" i="69" s="1"/>
  <c r="AL36" i="69"/>
  <c r="AK36" i="69" s="1"/>
  <c r="AJ36" i="69"/>
  <c r="AI36" i="69" s="1"/>
  <c r="AH36" i="69"/>
  <c r="AG36" i="69" s="1"/>
  <c r="AF36" i="69"/>
  <c r="AE36" i="69" s="1"/>
  <c r="Q36" i="69"/>
  <c r="P36" i="69"/>
  <c r="O36" i="69"/>
  <c r="N36" i="69"/>
  <c r="I36" i="69"/>
  <c r="H36" i="69"/>
  <c r="AP35" i="69"/>
  <c r="AO35" i="69" s="1"/>
  <c r="AN35" i="69"/>
  <c r="AM35" i="69" s="1"/>
  <c r="AL35" i="69"/>
  <c r="AK35" i="69" s="1"/>
  <c r="AJ35" i="69"/>
  <c r="AI35" i="69" s="1"/>
  <c r="AH35" i="69"/>
  <c r="AG35" i="69" s="1"/>
  <c r="AF35" i="69"/>
  <c r="AE35" i="69" s="1"/>
  <c r="Q35" i="69"/>
  <c r="P35" i="69"/>
  <c r="O35" i="69"/>
  <c r="N35" i="69"/>
  <c r="I35" i="69"/>
  <c r="H35" i="69"/>
  <c r="AP34" i="69"/>
  <c r="AO34" i="69" s="1"/>
  <c r="AN34" i="69"/>
  <c r="AM34" i="69" s="1"/>
  <c r="AL34" i="69"/>
  <c r="AK34" i="69" s="1"/>
  <c r="AJ34" i="69"/>
  <c r="AI34" i="69" s="1"/>
  <c r="AH34" i="69"/>
  <c r="AG34" i="69" s="1"/>
  <c r="AF34" i="69"/>
  <c r="AE34" i="69" s="1"/>
  <c r="R34" i="69"/>
  <c r="AP33" i="69"/>
  <c r="AO33" i="69" s="1"/>
  <c r="AN33" i="69"/>
  <c r="AM33" i="69" s="1"/>
  <c r="AL33" i="69"/>
  <c r="AK33" i="69" s="1"/>
  <c r="AJ33" i="69"/>
  <c r="AI33" i="69" s="1"/>
  <c r="AH33" i="69"/>
  <c r="AG33" i="69" s="1"/>
  <c r="AF33" i="69"/>
  <c r="AE33" i="69" s="1"/>
  <c r="AP32" i="69"/>
  <c r="AO32" i="69"/>
  <c r="AN32" i="69"/>
  <c r="AM32" i="69"/>
  <c r="AL32" i="69"/>
  <c r="AK32" i="69"/>
  <c r="AJ32" i="69"/>
  <c r="AI32" i="69"/>
  <c r="AH32" i="69"/>
  <c r="AG32" i="69"/>
  <c r="AF32" i="69"/>
  <c r="AE32" i="69"/>
  <c r="P32" i="69"/>
  <c r="O32" i="69"/>
  <c r="N32" i="69"/>
  <c r="H32" i="69"/>
  <c r="Q32" i="69" s="1"/>
  <c r="AP31" i="69"/>
  <c r="AO31" i="69"/>
  <c r="AN31" i="69"/>
  <c r="AM31" i="69"/>
  <c r="AL31" i="69"/>
  <c r="AK31" i="69"/>
  <c r="AJ31" i="69"/>
  <c r="AI31" i="69"/>
  <c r="AH31" i="69"/>
  <c r="AG31" i="69"/>
  <c r="AF31" i="69"/>
  <c r="AE31" i="69"/>
  <c r="AD31" i="69" s="1"/>
  <c r="P31" i="69"/>
  <c r="O31" i="69"/>
  <c r="N31" i="69"/>
  <c r="H31" i="69"/>
  <c r="Q31" i="69" s="1"/>
  <c r="AP30" i="69"/>
  <c r="AO30" i="69"/>
  <c r="AN30" i="69"/>
  <c r="AM30" i="69"/>
  <c r="AL30" i="69"/>
  <c r="AK30" i="69"/>
  <c r="AJ30" i="69"/>
  <c r="AI30" i="69"/>
  <c r="AH30" i="69"/>
  <c r="AG30" i="69"/>
  <c r="AF30" i="69"/>
  <c r="AE30" i="69"/>
  <c r="P30" i="69"/>
  <c r="O30" i="69"/>
  <c r="N30" i="69"/>
  <c r="H30" i="69"/>
  <c r="Q30" i="69" s="1"/>
  <c r="AP29" i="69"/>
  <c r="AO29" i="69"/>
  <c r="AN29" i="69"/>
  <c r="AM29" i="69"/>
  <c r="AL29" i="69"/>
  <c r="AK29" i="69"/>
  <c r="AJ29" i="69"/>
  <c r="AI29" i="69"/>
  <c r="AH29" i="69"/>
  <c r="AG29" i="69"/>
  <c r="AF29" i="69"/>
  <c r="AE29" i="69"/>
  <c r="AD29" i="69" s="1"/>
  <c r="P29" i="69"/>
  <c r="O29" i="69"/>
  <c r="N29" i="69"/>
  <c r="H29" i="69"/>
  <c r="Q29" i="69" s="1"/>
  <c r="AP28" i="69"/>
  <c r="AO28" i="69"/>
  <c r="AN28" i="69"/>
  <c r="AM28" i="69"/>
  <c r="AL28" i="69"/>
  <c r="AK28" i="69"/>
  <c r="AJ28" i="69"/>
  <c r="AI28" i="69"/>
  <c r="AH28" i="69"/>
  <c r="AG28" i="69"/>
  <c r="AF28" i="69"/>
  <c r="AE28" i="69"/>
  <c r="P28" i="69"/>
  <c r="O28" i="69"/>
  <c r="N28" i="69"/>
  <c r="H28" i="69"/>
  <c r="Q28" i="69" s="1"/>
  <c r="AP27" i="69"/>
  <c r="AO27" i="69"/>
  <c r="AN27" i="69"/>
  <c r="AM27" i="69"/>
  <c r="AL27" i="69"/>
  <c r="AK27" i="69"/>
  <c r="AJ27" i="69"/>
  <c r="AI27" i="69"/>
  <c r="AH27" i="69"/>
  <c r="AG27" i="69"/>
  <c r="AF27" i="69"/>
  <c r="AE27" i="69"/>
  <c r="R27" i="69"/>
  <c r="AP26" i="69"/>
  <c r="AO26" i="69"/>
  <c r="AN26" i="69"/>
  <c r="AM26" i="69"/>
  <c r="AL26" i="69"/>
  <c r="AK26" i="69"/>
  <c r="AJ26" i="69"/>
  <c r="AI26" i="69"/>
  <c r="AH26" i="69"/>
  <c r="AG26" i="69"/>
  <c r="AF26" i="69"/>
  <c r="AE26" i="69"/>
  <c r="AD26" i="69" s="1"/>
  <c r="AP25" i="69"/>
  <c r="AO25" i="69" s="1"/>
  <c r="AN25" i="69"/>
  <c r="AM25" i="69" s="1"/>
  <c r="AL25" i="69"/>
  <c r="AK25" i="69" s="1"/>
  <c r="AJ25" i="69"/>
  <c r="AI25" i="69" s="1"/>
  <c r="AH25" i="69"/>
  <c r="AG25" i="69" s="1"/>
  <c r="AF25" i="69"/>
  <c r="AE25" i="69" s="1"/>
  <c r="Q25" i="69"/>
  <c r="P25" i="69"/>
  <c r="O25" i="69"/>
  <c r="N25" i="69"/>
  <c r="I25" i="69"/>
  <c r="H25" i="69"/>
  <c r="AP24" i="69"/>
  <c r="AO24" i="69" s="1"/>
  <c r="AN24" i="69"/>
  <c r="AM24" i="69" s="1"/>
  <c r="AL24" i="69"/>
  <c r="AK24" i="69" s="1"/>
  <c r="AJ24" i="69"/>
  <c r="AI24" i="69" s="1"/>
  <c r="AH24" i="69"/>
  <c r="AG24" i="69" s="1"/>
  <c r="AF24" i="69"/>
  <c r="AE24" i="69" s="1"/>
  <c r="Q24" i="69"/>
  <c r="P24" i="69"/>
  <c r="O24" i="69"/>
  <c r="N24" i="69"/>
  <c r="I24" i="69"/>
  <c r="H24" i="69"/>
  <c r="AP23" i="69"/>
  <c r="AO23" i="69" s="1"/>
  <c r="AN23" i="69"/>
  <c r="AM23" i="69" s="1"/>
  <c r="AL23" i="69"/>
  <c r="AK23" i="69" s="1"/>
  <c r="AJ23" i="69"/>
  <c r="AI23" i="69" s="1"/>
  <c r="AH23" i="69"/>
  <c r="AG23" i="69" s="1"/>
  <c r="AF23" i="69"/>
  <c r="AE23" i="69" s="1"/>
  <c r="Q23" i="69"/>
  <c r="P23" i="69"/>
  <c r="O23" i="69"/>
  <c r="N23" i="69"/>
  <c r="I23" i="69"/>
  <c r="H23" i="69"/>
  <c r="AP22" i="69"/>
  <c r="AO22" i="69" s="1"/>
  <c r="AN22" i="69"/>
  <c r="AM22" i="69" s="1"/>
  <c r="AL22" i="69"/>
  <c r="AK22" i="69" s="1"/>
  <c r="AJ22" i="69"/>
  <c r="AI22" i="69" s="1"/>
  <c r="AH22" i="69"/>
  <c r="AG22" i="69" s="1"/>
  <c r="AF22" i="69"/>
  <c r="AE22" i="69" s="1"/>
  <c r="Q22" i="69"/>
  <c r="P22" i="69"/>
  <c r="O22" i="69"/>
  <c r="N22" i="69"/>
  <c r="I22" i="69"/>
  <c r="H22" i="69"/>
  <c r="AP21" i="69"/>
  <c r="AO21" i="69" s="1"/>
  <c r="AN21" i="69"/>
  <c r="AM21" i="69" s="1"/>
  <c r="AL21" i="69"/>
  <c r="AK21" i="69" s="1"/>
  <c r="AJ21" i="69"/>
  <c r="AI21" i="69" s="1"/>
  <c r="AH21" i="69"/>
  <c r="AG21" i="69" s="1"/>
  <c r="AF21" i="69"/>
  <c r="AE21" i="69" s="1"/>
  <c r="Q21" i="69"/>
  <c r="P21" i="69"/>
  <c r="O21" i="69"/>
  <c r="N21" i="69"/>
  <c r="I21" i="69"/>
  <c r="H21" i="69"/>
  <c r="AP20" i="69"/>
  <c r="AO20" i="69" s="1"/>
  <c r="AN20" i="69"/>
  <c r="AM20" i="69" s="1"/>
  <c r="AL20" i="69"/>
  <c r="AK20" i="69" s="1"/>
  <c r="AJ20" i="69"/>
  <c r="AI20" i="69" s="1"/>
  <c r="AH20" i="69"/>
  <c r="AG20" i="69" s="1"/>
  <c r="AF20" i="69"/>
  <c r="AE20" i="69" s="1"/>
  <c r="R20" i="69"/>
  <c r="AP19" i="69"/>
  <c r="AO19" i="69" s="1"/>
  <c r="AN19" i="69"/>
  <c r="AM19" i="69" s="1"/>
  <c r="AL19" i="69"/>
  <c r="AK19" i="69" s="1"/>
  <c r="AJ19" i="69"/>
  <c r="AI19" i="69" s="1"/>
  <c r="AH19" i="69"/>
  <c r="AG19" i="69" s="1"/>
  <c r="AF19" i="69"/>
  <c r="AE19" i="69" s="1"/>
  <c r="AP18" i="69"/>
  <c r="AO18" i="69"/>
  <c r="AN18" i="69"/>
  <c r="AM18" i="69"/>
  <c r="AL18" i="69"/>
  <c r="AK18" i="69"/>
  <c r="AJ18" i="69"/>
  <c r="AI18" i="69"/>
  <c r="AH18" i="69"/>
  <c r="AG18" i="69"/>
  <c r="AF18" i="69"/>
  <c r="AE18" i="69"/>
  <c r="P18" i="69"/>
  <c r="O18" i="69"/>
  <c r="N18" i="69"/>
  <c r="H18" i="69"/>
  <c r="Q18" i="69" s="1"/>
  <c r="AP17" i="69"/>
  <c r="AO17" i="69"/>
  <c r="AN17" i="69"/>
  <c r="AM17" i="69"/>
  <c r="AL17" i="69"/>
  <c r="AK17" i="69"/>
  <c r="AJ17" i="69"/>
  <c r="AI17" i="69"/>
  <c r="AH17" i="69"/>
  <c r="AG17" i="69"/>
  <c r="AF17" i="69"/>
  <c r="AE17" i="69"/>
  <c r="P17" i="69"/>
  <c r="O17" i="69"/>
  <c r="N17" i="69"/>
  <c r="H17" i="69"/>
  <c r="Q17" i="69" s="1"/>
  <c r="AP16" i="69"/>
  <c r="AO16" i="69"/>
  <c r="AN16" i="69"/>
  <c r="AM16" i="69"/>
  <c r="AL16" i="69"/>
  <c r="AK16" i="69"/>
  <c r="AJ16" i="69"/>
  <c r="AI16" i="69"/>
  <c r="AH16" i="69"/>
  <c r="AG16" i="69"/>
  <c r="AF16" i="69"/>
  <c r="AE16" i="69"/>
  <c r="P16" i="69"/>
  <c r="O16" i="69"/>
  <c r="N16" i="69"/>
  <c r="H16" i="69"/>
  <c r="Q16" i="69" s="1"/>
  <c r="AP15" i="69"/>
  <c r="AO15" i="69"/>
  <c r="AN15" i="69"/>
  <c r="AM15" i="69"/>
  <c r="AL15" i="69"/>
  <c r="AK15" i="69"/>
  <c r="AJ15" i="69"/>
  <c r="AI15" i="69"/>
  <c r="AH15" i="69"/>
  <c r="AG15" i="69"/>
  <c r="AF15" i="69"/>
  <c r="AE15" i="69"/>
  <c r="P15" i="69"/>
  <c r="O15" i="69"/>
  <c r="N15" i="69"/>
  <c r="H15" i="69"/>
  <c r="Q15" i="69" s="1"/>
  <c r="AP14" i="69"/>
  <c r="AO14" i="69"/>
  <c r="AN14" i="69"/>
  <c r="AM14" i="69"/>
  <c r="AL14" i="69"/>
  <c r="AK14" i="69"/>
  <c r="AJ14" i="69"/>
  <c r="AI14" i="69"/>
  <c r="AH14" i="69"/>
  <c r="AG14" i="69"/>
  <c r="AF14" i="69"/>
  <c r="AE14" i="69"/>
  <c r="P14" i="69"/>
  <c r="O14" i="69"/>
  <c r="N14" i="69"/>
  <c r="H14" i="69"/>
  <c r="Q14" i="69" s="1"/>
  <c r="AP13" i="69"/>
  <c r="AO13" i="69"/>
  <c r="AN13" i="69"/>
  <c r="AM13" i="69"/>
  <c r="AL13" i="69"/>
  <c r="AK13" i="69"/>
  <c r="AJ13" i="69"/>
  <c r="AI13" i="69"/>
  <c r="AH13" i="69"/>
  <c r="AG13" i="69"/>
  <c r="AF13" i="69"/>
  <c r="AE13" i="69"/>
  <c r="R13" i="69"/>
  <c r="AP12" i="69"/>
  <c r="AO12" i="69"/>
  <c r="AN12" i="69"/>
  <c r="AM12" i="69"/>
  <c r="AL12" i="69"/>
  <c r="AK12" i="69"/>
  <c r="AJ12" i="69"/>
  <c r="AI12" i="69"/>
  <c r="AH12" i="69"/>
  <c r="AG12" i="69"/>
  <c r="AF12" i="69"/>
  <c r="AE12" i="69"/>
  <c r="AD12" i="69" s="1"/>
  <c r="AP11" i="69"/>
  <c r="AO11" i="69" s="1"/>
  <c r="AN11" i="69"/>
  <c r="AM11" i="69" s="1"/>
  <c r="AL11" i="69"/>
  <c r="AK11" i="69" s="1"/>
  <c r="AJ11" i="69"/>
  <c r="AI11" i="69" s="1"/>
  <c r="AH11" i="69"/>
  <c r="AG11" i="69" s="1"/>
  <c r="AF11" i="69"/>
  <c r="AE11" i="69" s="1"/>
  <c r="Q11" i="69"/>
  <c r="P11" i="69"/>
  <c r="O11" i="69"/>
  <c r="N11" i="69"/>
  <c r="H11" i="69"/>
  <c r="AP10" i="69"/>
  <c r="AO10" i="69" s="1"/>
  <c r="AN10" i="69"/>
  <c r="AM10" i="69" s="1"/>
  <c r="AL10" i="69"/>
  <c r="AK10" i="69" s="1"/>
  <c r="AJ10" i="69"/>
  <c r="AI10" i="69" s="1"/>
  <c r="AH10" i="69"/>
  <c r="AG10" i="69" s="1"/>
  <c r="AF10" i="69"/>
  <c r="AE10" i="69" s="1"/>
  <c r="Q10" i="69"/>
  <c r="P10" i="69"/>
  <c r="O10" i="69"/>
  <c r="N10" i="69"/>
  <c r="H10" i="69"/>
  <c r="AP9" i="69"/>
  <c r="AO9" i="69" s="1"/>
  <c r="AN9" i="69"/>
  <c r="AM9" i="69" s="1"/>
  <c r="AL9" i="69"/>
  <c r="AK9" i="69" s="1"/>
  <c r="AJ9" i="69"/>
  <c r="AI9" i="69" s="1"/>
  <c r="AH9" i="69"/>
  <c r="AG9" i="69" s="1"/>
  <c r="AF9" i="69"/>
  <c r="AE9" i="69" s="1"/>
  <c r="Q9" i="69"/>
  <c r="P9" i="69"/>
  <c r="O9" i="69"/>
  <c r="N9" i="69"/>
  <c r="H9" i="69"/>
  <c r="AP8" i="69"/>
  <c r="AO8" i="69" s="1"/>
  <c r="AN8" i="69"/>
  <c r="AM8" i="69" s="1"/>
  <c r="AL8" i="69"/>
  <c r="AK8" i="69" s="1"/>
  <c r="AJ8" i="69"/>
  <c r="AI8" i="69" s="1"/>
  <c r="AH8" i="69"/>
  <c r="AG8" i="69" s="1"/>
  <c r="AF8" i="69"/>
  <c r="AE8" i="69" s="1"/>
  <c r="Q8" i="69"/>
  <c r="P8" i="69"/>
  <c r="O8" i="69"/>
  <c r="N8" i="69"/>
  <c r="H8" i="69"/>
  <c r="AP7" i="69"/>
  <c r="AO7" i="69" s="1"/>
  <c r="AN7" i="69"/>
  <c r="AM7" i="69" s="1"/>
  <c r="AL7" i="69"/>
  <c r="AK7" i="69" s="1"/>
  <c r="AJ7" i="69"/>
  <c r="AI7" i="69" s="1"/>
  <c r="AH7" i="69"/>
  <c r="AG7" i="69" s="1"/>
  <c r="AF7" i="69"/>
  <c r="AE7" i="69" s="1"/>
  <c r="Q7" i="69"/>
  <c r="P7" i="69"/>
  <c r="O7" i="69"/>
  <c r="N7" i="69"/>
  <c r="H7" i="69"/>
  <c r="R6" i="69"/>
  <c r="I9" i="69" s="1"/>
  <c r="AD42" i="69" l="1"/>
  <c r="AD17" i="69"/>
  <c r="AD13" i="69"/>
  <c r="AD32" i="69"/>
  <c r="AD43" i="69"/>
  <c r="AD14" i="69"/>
  <c r="AD15" i="69"/>
  <c r="AD16" i="69"/>
  <c r="AD18" i="69"/>
  <c r="AD28" i="69"/>
  <c r="AD30" i="69"/>
  <c r="AD27" i="69"/>
  <c r="AD25" i="69"/>
  <c r="AD20" i="69"/>
  <c r="AD21" i="69"/>
  <c r="AD22" i="69"/>
  <c r="AD23" i="69"/>
  <c r="AD33" i="69"/>
  <c r="AD8" i="69"/>
  <c r="AD10" i="69"/>
  <c r="AD24" i="69"/>
  <c r="AD34" i="69"/>
  <c r="L14" i="69"/>
  <c r="J14" i="69"/>
  <c r="L15" i="69"/>
  <c r="J15" i="69"/>
  <c r="L16" i="69"/>
  <c r="J16" i="69"/>
  <c r="L17" i="69"/>
  <c r="J17" i="69"/>
  <c r="L18" i="69"/>
  <c r="J18" i="69"/>
  <c r="AD19" i="69"/>
  <c r="AD7" i="69"/>
  <c r="AD9" i="69"/>
  <c r="AD11" i="69"/>
  <c r="I10" i="69"/>
  <c r="I11" i="69"/>
  <c r="J7" i="69"/>
  <c r="T7" i="69" s="1"/>
  <c r="L7" i="69"/>
  <c r="J8" i="69"/>
  <c r="T8" i="69" s="1"/>
  <c r="L8" i="69"/>
  <c r="J9" i="69"/>
  <c r="T9" i="69" s="1"/>
  <c r="L9" i="69"/>
  <c r="J10" i="69"/>
  <c r="T10" i="69" s="1"/>
  <c r="L10" i="69"/>
  <c r="J11" i="69"/>
  <c r="T11" i="69" s="1"/>
  <c r="K11" i="69" s="1"/>
  <c r="R11" i="69" s="1"/>
  <c r="L11" i="69"/>
  <c r="I14" i="69"/>
  <c r="I15" i="69"/>
  <c r="I16" i="69"/>
  <c r="I17" i="69"/>
  <c r="I18" i="69"/>
  <c r="J21" i="69"/>
  <c r="T21" i="69" s="1"/>
  <c r="L21" i="69"/>
  <c r="J22" i="69"/>
  <c r="T22" i="69" s="1"/>
  <c r="L22" i="69"/>
  <c r="J23" i="69"/>
  <c r="T23" i="69" s="1"/>
  <c r="L23" i="69"/>
  <c r="J24" i="69"/>
  <c r="T24" i="69" s="1"/>
  <c r="L24" i="69"/>
  <c r="I32" i="69"/>
  <c r="I31" i="69"/>
  <c r="I30" i="69"/>
  <c r="I29" i="69"/>
  <c r="I28" i="69"/>
  <c r="J28" i="69"/>
  <c r="T28" i="69" s="1"/>
  <c r="J29" i="69"/>
  <c r="J30" i="69"/>
  <c r="T30" i="69" s="1"/>
  <c r="J31" i="69"/>
  <c r="J32" i="69"/>
  <c r="T32" i="69" s="1"/>
  <c r="AD35" i="69"/>
  <c r="AD36" i="69"/>
  <c r="AD37" i="69"/>
  <c r="AD38" i="69"/>
  <c r="AD39" i="69"/>
  <c r="I7" i="69"/>
  <c r="I8" i="69"/>
  <c r="L25" i="69"/>
  <c r="J25" i="69"/>
  <c r="T25" i="69" s="1"/>
  <c r="K25" i="69" s="1"/>
  <c r="L28" i="69"/>
  <c r="L29" i="69"/>
  <c r="L30" i="69"/>
  <c r="L31" i="69"/>
  <c r="L32" i="69"/>
  <c r="L42" i="69"/>
  <c r="J42" i="69"/>
  <c r="T42" i="69" s="1"/>
  <c r="L43" i="69"/>
  <c r="J43" i="69"/>
  <c r="T43" i="69" s="1"/>
  <c r="L44" i="69"/>
  <c r="J44" i="69"/>
  <c r="T44" i="69" s="1"/>
  <c r="L45" i="69"/>
  <c r="J45" i="69"/>
  <c r="T45" i="69" s="1"/>
  <c r="J35" i="69"/>
  <c r="T35" i="69" s="1"/>
  <c r="L35" i="69"/>
  <c r="J36" i="69"/>
  <c r="T36" i="69" s="1"/>
  <c r="L36" i="69"/>
  <c r="J37" i="69"/>
  <c r="T37" i="69" s="1"/>
  <c r="L37" i="69"/>
  <c r="J38" i="69"/>
  <c r="T38" i="69" s="1"/>
  <c r="L38" i="69"/>
  <c r="J39" i="69"/>
  <c r="T39" i="69" s="1"/>
  <c r="K39" i="69" s="1"/>
  <c r="R39" i="69" s="1"/>
  <c r="L39" i="69"/>
  <c r="I42" i="69"/>
  <c r="I43" i="69"/>
  <c r="I44" i="69"/>
  <c r="I45" i="69"/>
  <c r="J46" i="69"/>
  <c r="T46" i="69" s="1"/>
  <c r="K46" i="69" s="1"/>
  <c r="R46" i="69" s="1"/>
  <c r="L46" i="69"/>
  <c r="J117" i="69"/>
  <c r="BB8" i="16"/>
  <c r="K38" i="69" l="1"/>
  <c r="R38" i="69" s="1"/>
  <c r="K37" i="69"/>
  <c r="R37" i="69" s="1"/>
  <c r="K36" i="69"/>
  <c r="R36" i="69" s="1"/>
  <c r="K35" i="69"/>
  <c r="R35" i="69" s="1"/>
  <c r="K24" i="69"/>
  <c r="R24" i="69" s="1"/>
  <c r="K23" i="69"/>
  <c r="R23" i="69" s="1"/>
  <c r="K22" i="69"/>
  <c r="R22" i="69" s="1"/>
  <c r="K21" i="69"/>
  <c r="R21" i="69" s="1"/>
  <c r="K45" i="69"/>
  <c r="K44" i="69"/>
  <c r="K43" i="69"/>
  <c r="K42" i="69"/>
  <c r="K10" i="69"/>
  <c r="R10" i="69" s="1"/>
  <c r="K9" i="69"/>
  <c r="R9" i="69" s="1"/>
  <c r="K8" i="69"/>
  <c r="R8" i="69" s="1"/>
  <c r="K7" i="69"/>
  <c r="R7" i="69" s="1"/>
  <c r="R45" i="69"/>
  <c r="R44" i="69"/>
  <c r="R43" i="69"/>
  <c r="R42" i="69"/>
  <c r="R25" i="69"/>
  <c r="T18" i="69"/>
  <c r="T17" i="69"/>
  <c r="T16" i="69"/>
  <c r="T15" i="69"/>
  <c r="T14" i="69"/>
  <c r="K14" i="69" s="1"/>
  <c r="R14" i="69" s="1"/>
  <c r="B301" i="69"/>
  <c r="B300" i="69"/>
  <c r="C210" i="69"/>
  <c r="E210" i="69" s="1"/>
  <c r="C202" i="69"/>
  <c r="C200" i="69"/>
  <c r="E200" i="69" s="1"/>
  <c r="C196" i="69"/>
  <c r="E196" i="69" s="1"/>
  <c r="C206" i="69"/>
  <c r="C204" i="69"/>
  <c r="E204" i="69" s="1"/>
  <c r="B132" i="69"/>
  <c r="C132" i="69" s="1"/>
  <c r="B128" i="69"/>
  <c r="B124" i="69"/>
  <c r="B122" i="69"/>
  <c r="C122" i="69" s="1"/>
  <c r="B118" i="69"/>
  <c r="C118" i="69" s="1"/>
  <c r="B108" i="69"/>
  <c r="B106" i="69"/>
  <c r="C106" i="69" s="1"/>
  <c r="B102" i="69"/>
  <c r="C102" i="69" s="1"/>
  <c r="B126" i="69"/>
  <c r="C126" i="69" s="1"/>
  <c r="B116" i="69"/>
  <c r="C116" i="69" s="1"/>
  <c r="B112" i="69"/>
  <c r="B110" i="69"/>
  <c r="C110" i="69" s="1"/>
  <c r="T31" i="69"/>
  <c r="T29" i="69"/>
  <c r="K29" i="69" s="1"/>
  <c r="R29" i="69" s="1"/>
  <c r="P115" i="16"/>
  <c r="V82" i="16"/>
  <c r="V59" i="16"/>
  <c r="K31" i="69" l="1"/>
  <c r="R31" i="69" s="1"/>
  <c r="C112" i="69"/>
  <c r="C165" i="69"/>
  <c r="E165" i="69" s="1"/>
  <c r="C119" i="69"/>
  <c r="C124" i="69"/>
  <c r="C171" i="69"/>
  <c r="E171" i="69" s="1"/>
  <c r="C131" i="69"/>
  <c r="E206" i="69"/>
  <c r="E209" i="69"/>
  <c r="E224" i="69"/>
  <c r="G224" i="69" s="1"/>
  <c r="K15" i="69"/>
  <c r="R15" i="69" s="1"/>
  <c r="M14" i="69" s="1"/>
  <c r="S14" i="69" s="1"/>
  <c r="K17" i="69"/>
  <c r="R17" i="69" s="1"/>
  <c r="S42" i="69"/>
  <c r="M42" i="69"/>
  <c r="S44" i="69"/>
  <c r="M44" i="69"/>
  <c r="S7" i="69"/>
  <c r="M7" i="69"/>
  <c r="M9" i="69"/>
  <c r="S9" i="69" s="1"/>
  <c r="M11" i="69"/>
  <c r="S11" i="69" s="1"/>
  <c r="K28" i="69"/>
  <c r="R28" i="69" s="1"/>
  <c r="K32" i="69"/>
  <c r="R32" i="69" s="1"/>
  <c r="M21" i="69"/>
  <c r="S21" i="69" s="1"/>
  <c r="M23" i="69"/>
  <c r="S23" i="69" s="1"/>
  <c r="M35" i="69"/>
  <c r="S35" i="69" s="1"/>
  <c r="M37" i="69"/>
  <c r="S37" i="69" s="1"/>
  <c r="M39" i="69"/>
  <c r="S39" i="69" s="1"/>
  <c r="M46" i="69"/>
  <c r="S46" i="69" s="1"/>
  <c r="C161" i="69"/>
  <c r="C111" i="69"/>
  <c r="E111" i="69" s="1"/>
  <c r="C115" i="69"/>
  <c r="C163" i="69"/>
  <c r="E163" i="69" s="1"/>
  <c r="C157" i="69"/>
  <c r="E157" i="69" s="1"/>
  <c r="C103" i="69"/>
  <c r="C108" i="69"/>
  <c r="C159" i="69" s="1"/>
  <c r="E159" i="69" s="1"/>
  <c r="C167" i="69"/>
  <c r="E167" i="69" s="1"/>
  <c r="C123" i="69"/>
  <c r="E123" i="69" s="1"/>
  <c r="C128" i="69"/>
  <c r="C169" i="69" s="1"/>
  <c r="E169" i="69" s="1"/>
  <c r="E222" i="69"/>
  <c r="G222" i="69" s="1"/>
  <c r="E205" i="69"/>
  <c r="G205" i="69" s="1"/>
  <c r="E197" i="69"/>
  <c r="E218" i="69"/>
  <c r="G218" i="69" s="1"/>
  <c r="E202" i="69"/>
  <c r="E201" i="69" s="1"/>
  <c r="G201" i="69" s="1"/>
  <c r="K16" i="69"/>
  <c r="R16" i="69" s="1"/>
  <c r="K18" i="69"/>
  <c r="R18" i="69" s="1"/>
  <c r="M25" i="69"/>
  <c r="S25" i="69" s="1"/>
  <c r="S43" i="69"/>
  <c r="M43" i="69"/>
  <c r="S45" i="69"/>
  <c r="M45" i="69"/>
  <c r="S8" i="69"/>
  <c r="M8" i="69"/>
  <c r="S10" i="69"/>
  <c r="M10" i="69"/>
  <c r="K30" i="69"/>
  <c r="R30" i="69" s="1"/>
  <c r="M22" i="69"/>
  <c r="S22" i="69" s="1"/>
  <c r="M24" i="69"/>
  <c r="S24" i="69" s="1"/>
  <c r="M36" i="69"/>
  <c r="S36" i="69" s="1"/>
  <c r="M38" i="69"/>
  <c r="S38" i="69" s="1"/>
  <c r="AH8" i="53"/>
  <c r="AH9" i="53"/>
  <c r="AH10" i="53"/>
  <c r="AH11" i="53"/>
  <c r="AH12" i="53"/>
  <c r="AH13" i="53"/>
  <c r="AH14" i="53"/>
  <c r="AH15" i="53"/>
  <c r="AH16" i="53"/>
  <c r="AH17" i="53"/>
  <c r="AH18" i="53"/>
  <c r="AH19" i="53"/>
  <c r="AH20" i="53"/>
  <c r="AH21" i="53"/>
  <c r="AH22" i="53"/>
  <c r="AH23" i="53"/>
  <c r="AH24" i="53"/>
  <c r="AH25" i="53"/>
  <c r="AH26" i="53"/>
  <c r="AH27" i="53"/>
  <c r="AH28" i="53"/>
  <c r="AH29" i="53"/>
  <c r="AH30" i="53"/>
  <c r="AH31" i="53"/>
  <c r="AH7" i="53"/>
  <c r="AH8" i="50"/>
  <c r="AH9" i="50"/>
  <c r="AH10" i="50"/>
  <c r="AH11" i="50"/>
  <c r="AH12" i="50"/>
  <c r="AH13" i="50"/>
  <c r="AH14" i="50"/>
  <c r="AH15" i="50"/>
  <c r="AH16" i="50"/>
  <c r="AH17" i="50"/>
  <c r="AH18" i="50"/>
  <c r="AH19" i="50"/>
  <c r="AH7" i="50"/>
  <c r="E185" i="69" l="1"/>
  <c r="G185" i="69" s="1"/>
  <c r="E170" i="69"/>
  <c r="M18" i="69"/>
  <c r="S18" i="69" s="1"/>
  <c r="G197" i="69"/>
  <c r="G228" i="69"/>
  <c r="I228" i="69" s="1"/>
  <c r="G223" i="69"/>
  <c r="E179" i="69"/>
  <c r="G179" i="69" s="1"/>
  <c r="E158" i="69"/>
  <c r="E115" i="69"/>
  <c r="E161" i="69"/>
  <c r="S28" i="69"/>
  <c r="M28" i="69"/>
  <c r="M17" i="69"/>
  <c r="S17" i="69" s="1"/>
  <c r="E220" i="69"/>
  <c r="G220" i="69" s="1"/>
  <c r="E119" i="69"/>
  <c r="C107" i="69"/>
  <c r="E107" i="69" s="1"/>
  <c r="C127" i="69"/>
  <c r="E127" i="69" s="1"/>
  <c r="M29" i="69"/>
  <c r="S29" i="69" s="1"/>
  <c r="M30" i="69"/>
  <c r="S30" i="69" s="1"/>
  <c r="M16" i="69"/>
  <c r="S16" i="69" s="1"/>
  <c r="G226" i="69"/>
  <c r="I226" i="69" s="1"/>
  <c r="G219" i="69"/>
  <c r="I219" i="69" s="1"/>
  <c r="E103" i="69"/>
  <c r="E142" i="69"/>
  <c r="G141" i="69" s="1"/>
  <c r="E113" i="69"/>
  <c r="S32" i="69"/>
  <c r="M32" i="69"/>
  <c r="S15" i="69"/>
  <c r="M15" i="69"/>
  <c r="G209" i="69"/>
  <c r="G213" i="69" s="1"/>
  <c r="E131" i="69"/>
  <c r="E183" i="69"/>
  <c r="G183" i="69" s="1"/>
  <c r="E166" i="69"/>
  <c r="G166" i="69" s="1"/>
  <c r="S31" i="69"/>
  <c r="M31" i="69"/>
  <c r="I60" i="53"/>
  <c r="I59" i="53"/>
  <c r="I58" i="53"/>
  <c r="I57" i="53"/>
  <c r="I56" i="53"/>
  <c r="I53" i="53"/>
  <c r="I52" i="53"/>
  <c r="I51" i="53"/>
  <c r="I50" i="53"/>
  <c r="I49" i="53"/>
  <c r="I46" i="53"/>
  <c r="I45" i="53"/>
  <c r="I44" i="53"/>
  <c r="I43" i="53"/>
  <c r="I42" i="53"/>
  <c r="I39" i="53"/>
  <c r="I38" i="53"/>
  <c r="I37" i="53"/>
  <c r="I36" i="53"/>
  <c r="I35" i="53"/>
  <c r="I32" i="53"/>
  <c r="I31" i="53"/>
  <c r="I30" i="53"/>
  <c r="I29" i="53"/>
  <c r="I28" i="53"/>
  <c r="I25" i="53"/>
  <c r="I24" i="53"/>
  <c r="I23" i="53"/>
  <c r="I22" i="53"/>
  <c r="I21" i="53"/>
  <c r="I18" i="53"/>
  <c r="I17" i="53"/>
  <c r="I16" i="53"/>
  <c r="I15" i="53"/>
  <c r="I14" i="53"/>
  <c r="I11" i="53"/>
  <c r="I10" i="53"/>
  <c r="I9" i="53"/>
  <c r="I8" i="53"/>
  <c r="I7" i="53"/>
  <c r="C312" i="50"/>
  <c r="C311" i="50"/>
  <c r="C310" i="50"/>
  <c r="C309" i="50"/>
  <c r="C308" i="50"/>
  <c r="C307" i="50"/>
  <c r="C306" i="50"/>
  <c r="C305" i="50"/>
  <c r="C304" i="50"/>
  <c r="C303" i="50"/>
  <c r="C302" i="50"/>
  <c r="C301" i="50"/>
  <c r="C300" i="50"/>
  <c r="AA19" i="50"/>
  <c r="Y19" i="50"/>
  <c r="W19" i="50"/>
  <c r="AA18" i="50"/>
  <c r="Y18" i="50"/>
  <c r="W18" i="50"/>
  <c r="AA17" i="50"/>
  <c r="Y17" i="50"/>
  <c r="W17" i="50"/>
  <c r="AA16" i="50"/>
  <c r="Y16" i="50"/>
  <c r="AB16" i="50" s="1"/>
  <c r="W16" i="50"/>
  <c r="AA15" i="50"/>
  <c r="Y15" i="50"/>
  <c r="W15" i="50"/>
  <c r="AA14" i="50"/>
  <c r="Y14" i="50"/>
  <c r="W14" i="50"/>
  <c r="AA13" i="50"/>
  <c r="Y13" i="50"/>
  <c r="W13" i="50"/>
  <c r="AA12" i="50"/>
  <c r="Y12" i="50"/>
  <c r="W12" i="50"/>
  <c r="AA11" i="50"/>
  <c r="Y11" i="50"/>
  <c r="W11" i="50"/>
  <c r="AA10" i="50"/>
  <c r="Y10" i="50"/>
  <c r="W10" i="50"/>
  <c r="AA9" i="50"/>
  <c r="Y9" i="50"/>
  <c r="W9" i="50"/>
  <c r="AA8" i="50"/>
  <c r="Y8" i="50"/>
  <c r="W8" i="50"/>
  <c r="AA7" i="50"/>
  <c r="Y7" i="50"/>
  <c r="W7" i="50"/>
  <c r="AF20" i="53"/>
  <c r="AE20" i="53" s="1"/>
  <c r="AG20" i="53"/>
  <c r="AJ20" i="53"/>
  <c r="AI20" i="53" s="1"/>
  <c r="AL20" i="53"/>
  <c r="AK20" i="53" s="1"/>
  <c r="AN20" i="53"/>
  <c r="AM20" i="53" s="1"/>
  <c r="AP20" i="53"/>
  <c r="AO20" i="53" s="1"/>
  <c r="AE21" i="53"/>
  <c r="AF21" i="53"/>
  <c r="AG21" i="53"/>
  <c r="AI21" i="53"/>
  <c r="AJ21" i="53"/>
  <c r="AK21" i="53"/>
  <c r="AL21" i="53"/>
  <c r="AM21" i="53"/>
  <c r="AN21" i="53"/>
  <c r="AO21" i="53"/>
  <c r="AP21" i="53"/>
  <c r="AF22" i="53"/>
  <c r="AE22" i="53" s="1"/>
  <c r="AG22" i="53"/>
  <c r="AJ22" i="53"/>
  <c r="AI22" i="53" s="1"/>
  <c r="AL22" i="53"/>
  <c r="AK22" i="53" s="1"/>
  <c r="AN22" i="53"/>
  <c r="AM22" i="53" s="1"/>
  <c r="AP22" i="53"/>
  <c r="AO22" i="53" s="1"/>
  <c r="AE23" i="53"/>
  <c r="AF23" i="53"/>
  <c r="AG23" i="53"/>
  <c r="AI23" i="53"/>
  <c r="AJ23" i="53"/>
  <c r="AK23" i="53"/>
  <c r="AL23" i="53"/>
  <c r="AM23" i="53"/>
  <c r="AN23" i="53"/>
  <c r="AO23" i="53"/>
  <c r="AP23" i="53"/>
  <c r="AF24" i="53"/>
  <c r="AE24" i="53" s="1"/>
  <c r="AG24" i="53"/>
  <c r="AJ24" i="53"/>
  <c r="AI24" i="53" s="1"/>
  <c r="AL24" i="53"/>
  <c r="AK24" i="53" s="1"/>
  <c r="AN24" i="53"/>
  <c r="AM24" i="53" s="1"/>
  <c r="AP24" i="53"/>
  <c r="AO24" i="53" s="1"/>
  <c r="AE25" i="53"/>
  <c r="AF25" i="53"/>
  <c r="AG25" i="53"/>
  <c r="AI25" i="53"/>
  <c r="AJ25" i="53"/>
  <c r="AK25" i="53"/>
  <c r="AL25" i="53"/>
  <c r="AM25" i="53"/>
  <c r="AN25" i="53"/>
  <c r="AO25" i="53"/>
  <c r="AP25" i="53"/>
  <c r="AF26" i="53"/>
  <c r="AE26" i="53" s="1"/>
  <c r="AG26" i="53"/>
  <c r="AJ26" i="53"/>
  <c r="AI26" i="53" s="1"/>
  <c r="AL26" i="53"/>
  <c r="AK26" i="53" s="1"/>
  <c r="AN26" i="53"/>
  <c r="AM26" i="53" s="1"/>
  <c r="AP26" i="53"/>
  <c r="AO26" i="53" s="1"/>
  <c r="AE27" i="53"/>
  <c r="AF27" i="53"/>
  <c r="AG27" i="53"/>
  <c r="AI27" i="53"/>
  <c r="AJ27" i="53"/>
  <c r="AK27" i="53"/>
  <c r="AL27" i="53"/>
  <c r="AM27" i="53"/>
  <c r="AN27" i="53"/>
  <c r="AO27" i="53"/>
  <c r="AP27" i="53"/>
  <c r="AF28" i="53"/>
  <c r="AE28" i="53" s="1"/>
  <c r="AG28" i="53"/>
  <c r="AJ28" i="53"/>
  <c r="AI28" i="53" s="1"/>
  <c r="AL28" i="53"/>
  <c r="AK28" i="53" s="1"/>
  <c r="AN28" i="53"/>
  <c r="AM28" i="53" s="1"/>
  <c r="AP28" i="53"/>
  <c r="AO28" i="53" s="1"/>
  <c r="AE29" i="53"/>
  <c r="AF29" i="53"/>
  <c r="AG29" i="53"/>
  <c r="AI29" i="53"/>
  <c r="AJ29" i="53"/>
  <c r="AK29" i="53"/>
  <c r="AL29" i="53"/>
  <c r="AM29" i="53"/>
  <c r="AN29" i="53"/>
  <c r="AO29" i="53"/>
  <c r="AP29" i="53"/>
  <c r="AF30" i="53"/>
  <c r="AE30" i="53" s="1"/>
  <c r="AG30" i="53"/>
  <c r="AJ30" i="53"/>
  <c r="AI30" i="53" s="1"/>
  <c r="AL30" i="53"/>
  <c r="AK30" i="53" s="1"/>
  <c r="AN30" i="53"/>
  <c r="AM30" i="53" s="1"/>
  <c r="AP30" i="53"/>
  <c r="AO30" i="53" s="1"/>
  <c r="AE31" i="53"/>
  <c r="AF31" i="53"/>
  <c r="AG31" i="53"/>
  <c r="AI31" i="53"/>
  <c r="AJ31" i="53"/>
  <c r="AK31" i="53"/>
  <c r="AL31" i="53"/>
  <c r="AM31" i="53"/>
  <c r="AN31" i="53"/>
  <c r="AO31" i="53"/>
  <c r="AP31" i="53"/>
  <c r="AP19" i="53"/>
  <c r="AO19" i="53" s="1"/>
  <c r="AN19" i="53"/>
  <c r="AM19" i="53" s="1"/>
  <c r="AL19" i="53"/>
  <c r="AK19" i="53" s="1"/>
  <c r="AJ19" i="53"/>
  <c r="AI19" i="53" s="1"/>
  <c r="AG19" i="53"/>
  <c r="AF19" i="53"/>
  <c r="AE19" i="53" s="1"/>
  <c r="AP18" i="53"/>
  <c r="AO18" i="53"/>
  <c r="AN18" i="53"/>
  <c r="AM18" i="53"/>
  <c r="AL18" i="53"/>
  <c r="AK18" i="53"/>
  <c r="AJ18" i="53"/>
  <c r="AI18" i="53"/>
  <c r="AG18" i="53"/>
  <c r="AF18" i="53"/>
  <c r="AE18" i="53"/>
  <c r="AP17" i="53"/>
  <c r="AO17" i="53" s="1"/>
  <c r="AN17" i="53"/>
  <c r="AM17" i="53" s="1"/>
  <c r="AL17" i="53"/>
  <c r="AK17" i="53" s="1"/>
  <c r="AJ17" i="53"/>
  <c r="AI17" i="53" s="1"/>
  <c r="AG17" i="53"/>
  <c r="AF17" i="53"/>
  <c r="AE17" i="53" s="1"/>
  <c r="AP16" i="53"/>
  <c r="AO16" i="53"/>
  <c r="AN16" i="53"/>
  <c r="AM16" i="53"/>
  <c r="AL16" i="53"/>
  <c r="AK16" i="53"/>
  <c r="AJ16" i="53"/>
  <c r="AI16" i="53"/>
  <c r="AG16" i="53"/>
  <c r="AF16" i="53"/>
  <c r="AE16" i="53"/>
  <c r="AP15" i="53"/>
  <c r="AO15" i="53" s="1"/>
  <c r="AN15" i="53"/>
  <c r="AM15" i="53" s="1"/>
  <c r="AL15" i="53"/>
  <c r="AK15" i="53" s="1"/>
  <c r="AJ15" i="53"/>
  <c r="AI15" i="53" s="1"/>
  <c r="AG15" i="53"/>
  <c r="AF15" i="53"/>
  <c r="AE15" i="53" s="1"/>
  <c r="AP14" i="53"/>
  <c r="AO14" i="53"/>
  <c r="AN14" i="53"/>
  <c r="AM14" i="53"/>
  <c r="AL14" i="53"/>
  <c r="AK14" i="53"/>
  <c r="AJ14" i="53"/>
  <c r="AI14" i="53"/>
  <c r="AG14" i="53"/>
  <c r="AF14" i="53"/>
  <c r="AE14" i="53"/>
  <c r="AP13" i="53"/>
  <c r="AO13" i="53" s="1"/>
  <c r="AN13" i="53"/>
  <c r="AM13" i="53" s="1"/>
  <c r="AL13" i="53"/>
  <c r="AK13" i="53" s="1"/>
  <c r="AJ13" i="53"/>
  <c r="AI13" i="53" s="1"/>
  <c r="AG13" i="53"/>
  <c r="AF13" i="53"/>
  <c r="AE13" i="53" s="1"/>
  <c r="AP12" i="53"/>
  <c r="AO12" i="53"/>
  <c r="AN12" i="53"/>
  <c r="AM12" i="53"/>
  <c r="AL12" i="53"/>
  <c r="AK12" i="53"/>
  <c r="AJ12" i="53"/>
  <c r="AI12" i="53"/>
  <c r="AG12" i="53"/>
  <c r="AF12" i="53"/>
  <c r="AE12" i="53"/>
  <c r="AP11" i="53"/>
  <c r="AO11" i="53" s="1"/>
  <c r="AN11" i="53"/>
  <c r="AM11" i="53" s="1"/>
  <c r="AL11" i="53"/>
  <c r="AK11" i="53" s="1"/>
  <c r="AJ11" i="53"/>
  <c r="AI11" i="53" s="1"/>
  <c r="AG11" i="53"/>
  <c r="AF11" i="53"/>
  <c r="AE11" i="53" s="1"/>
  <c r="AP10" i="53"/>
  <c r="AO10" i="53"/>
  <c r="AN10" i="53"/>
  <c r="AM10" i="53"/>
  <c r="AL10" i="53"/>
  <c r="AK10" i="53"/>
  <c r="AJ10" i="53"/>
  <c r="AI10" i="53"/>
  <c r="AG10" i="53"/>
  <c r="AF10" i="53"/>
  <c r="AE10" i="53"/>
  <c r="AP9" i="53"/>
  <c r="AO9" i="53" s="1"/>
  <c r="AN9" i="53"/>
  <c r="AM9" i="53" s="1"/>
  <c r="AL9" i="53"/>
  <c r="AK9" i="53" s="1"/>
  <c r="AJ9" i="53"/>
  <c r="AI9" i="53" s="1"/>
  <c r="AG9" i="53"/>
  <c r="AF9" i="53"/>
  <c r="AE9" i="53" s="1"/>
  <c r="AP8" i="53"/>
  <c r="AO8" i="53"/>
  <c r="AN8" i="53"/>
  <c r="AM8" i="53"/>
  <c r="AL8" i="53"/>
  <c r="AK8" i="53"/>
  <c r="AJ8" i="53"/>
  <c r="AI8" i="53"/>
  <c r="AG8" i="53"/>
  <c r="AF8" i="53"/>
  <c r="AE8" i="53"/>
  <c r="AP7" i="53"/>
  <c r="AO7" i="53" s="1"/>
  <c r="AN7" i="53"/>
  <c r="AM7" i="53" s="1"/>
  <c r="AL7" i="53"/>
  <c r="AK7" i="53" s="1"/>
  <c r="AJ7" i="53"/>
  <c r="AI7" i="53" s="1"/>
  <c r="AG7" i="53"/>
  <c r="AF7" i="53"/>
  <c r="AE7" i="53" s="1"/>
  <c r="AP19" i="50"/>
  <c r="AO19" i="50" s="1"/>
  <c r="AN19" i="50"/>
  <c r="AM19" i="50" s="1"/>
  <c r="AL19" i="50"/>
  <c r="AK19" i="50" s="1"/>
  <c r="AJ19" i="50"/>
  <c r="AI19" i="50" s="1"/>
  <c r="AG19" i="50"/>
  <c r="AF19" i="50"/>
  <c r="AE19" i="50" s="1"/>
  <c r="AP18" i="50"/>
  <c r="AO18" i="50"/>
  <c r="AN18" i="50"/>
  <c r="AM18" i="50"/>
  <c r="AL18" i="50"/>
  <c r="AK18" i="50"/>
  <c r="AJ18" i="50"/>
  <c r="AI18" i="50" s="1"/>
  <c r="AG18" i="50"/>
  <c r="AF18" i="50"/>
  <c r="AE18" i="50" s="1"/>
  <c r="AP17" i="50"/>
  <c r="AO17" i="50" s="1"/>
  <c r="AN17" i="50"/>
  <c r="AM17" i="50" s="1"/>
  <c r="AL17" i="50"/>
  <c r="AK17" i="50" s="1"/>
  <c r="AJ17" i="50"/>
  <c r="AI17" i="50" s="1"/>
  <c r="AG17" i="50"/>
  <c r="AF17" i="50"/>
  <c r="AE17" i="50" s="1"/>
  <c r="AP16" i="50"/>
  <c r="AO16" i="50"/>
  <c r="AN16" i="50"/>
  <c r="AM16" i="50"/>
  <c r="AL16" i="50"/>
  <c r="AK16" i="50"/>
  <c r="AJ16" i="50"/>
  <c r="AI16" i="50"/>
  <c r="AG16" i="50"/>
  <c r="AF16" i="50"/>
  <c r="AE16" i="50"/>
  <c r="AP15" i="50"/>
  <c r="AO15" i="50" s="1"/>
  <c r="AN15" i="50"/>
  <c r="AM15" i="50" s="1"/>
  <c r="AL15" i="50"/>
  <c r="AK15" i="50" s="1"/>
  <c r="AJ15" i="50"/>
  <c r="AI15" i="50" s="1"/>
  <c r="AG15" i="50"/>
  <c r="AF15" i="50"/>
  <c r="AE15" i="50" s="1"/>
  <c r="AP14" i="50"/>
  <c r="AO14" i="50"/>
  <c r="AN14" i="50"/>
  <c r="AM14" i="50"/>
  <c r="AL14" i="50"/>
  <c r="AK14" i="50"/>
  <c r="AJ14" i="50"/>
  <c r="AI14" i="50"/>
  <c r="AG14" i="50"/>
  <c r="AF14" i="50"/>
  <c r="AE14" i="50"/>
  <c r="AP13" i="50"/>
  <c r="AO13" i="50" s="1"/>
  <c r="AN13" i="50"/>
  <c r="AM13" i="50" s="1"/>
  <c r="AL13" i="50"/>
  <c r="AK13" i="50" s="1"/>
  <c r="AJ13" i="50"/>
  <c r="AI13" i="50" s="1"/>
  <c r="AG13" i="50"/>
  <c r="AF13" i="50"/>
  <c r="AE13" i="50" s="1"/>
  <c r="AP12" i="50"/>
  <c r="AO12" i="50"/>
  <c r="AN12" i="50"/>
  <c r="AM12" i="50"/>
  <c r="AL12" i="50"/>
  <c r="AK12" i="50"/>
  <c r="AJ12" i="50"/>
  <c r="AI12" i="50"/>
  <c r="AG12" i="50"/>
  <c r="AF12" i="50"/>
  <c r="AE12" i="50"/>
  <c r="AP11" i="50"/>
  <c r="AO11" i="50" s="1"/>
  <c r="AN11" i="50"/>
  <c r="AM11" i="50" s="1"/>
  <c r="AL11" i="50"/>
  <c r="AK11" i="50" s="1"/>
  <c r="AJ11" i="50"/>
  <c r="AI11" i="50" s="1"/>
  <c r="AG11" i="50"/>
  <c r="AF11" i="50"/>
  <c r="AE11" i="50" s="1"/>
  <c r="AP10" i="50"/>
  <c r="AO10" i="50"/>
  <c r="AN10" i="50"/>
  <c r="AM10" i="50"/>
  <c r="AL10" i="50"/>
  <c r="AK10" i="50"/>
  <c r="AJ10" i="50"/>
  <c r="AI10" i="50"/>
  <c r="AG10" i="50"/>
  <c r="AF10" i="50"/>
  <c r="AE10" i="50"/>
  <c r="AP9" i="50"/>
  <c r="AO9" i="50" s="1"/>
  <c r="AN9" i="50"/>
  <c r="AM9" i="50" s="1"/>
  <c r="AL9" i="50"/>
  <c r="AK9" i="50" s="1"/>
  <c r="AJ9" i="50"/>
  <c r="AI9" i="50" s="1"/>
  <c r="AG9" i="50"/>
  <c r="AF9" i="50"/>
  <c r="AE9" i="50" s="1"/>
  <c r="AP8" i="50"/>
  <c r="AO8" i="50"/>
  <c r="AN8" i="50"/>
  <c r="AM8" i="50"/>
  <c r="AL8" i="50"/>
  <c r="AK8" i="50"/>
  <c r="AJ8" i="50"/>
  <c r="AI8" i="50"/>
  <c r="AG8" i="50"/>
  <c r="AF8" i="50"/>
  <c r="AE8" i="50"/>
  <c r="AP7" i="50"/>
  <c r="AO7" i="50" s="1"/>
  <c r="AN7" i="50"/>
  <c r="AM7" i="50" s="1"/>
  <c r="AL7" i="50"/>
  <c r="AK7" i="50" s="1"/>
  <c r="AJ7" i="50"/>
  <c r="AI7" i="50" s="1"/>
  <c r="AG7" i="50"/>
  <c r="AF7" i="50"/>
  <c r="AE7" i="50" s="1"/>
  <c r="G184" i="69" l="1"/>
  <c r="I184" i="69" s="1"/>
  <c r="G189" i="69"/>
  <c r="I189" i="69" s="1"/>
  <c r="G207" i="69"/>
  <c r="G170" i="69"/>
  <c r="G168" i="69" s="1"/>
  <c r="G174" i="69"/>
  <c r="E140" i="69"/>
  <c r="G148" i="69" s="1"/>
  <c r="I148" i="69" s="1"/>
  <c r="E105" i="69"/>
  <c r="G105" i="69" s="1"/>
  <c r="J230" i="69"/>
  <c r="J227" i="69"/>
  <c r="E146" i="69"/>
  <c r="G150" i="69" s="1"/>
  <c r="I150" i="69" s="1"/>
  <c r="E129" i="69"/>
  <c r="E144" i="69"/>
  <c r="G145" i="69" s="1"/>
  <c r="I145" i="69" s="1"/>
  <c r="E121" i="69"/>
  <c r="E181" i="69"/>
  <c r="G181" i="69" s="1"/>
  <c r="G180" i="69" s="1"/>
  <c r="I180" i="69" s="1"/>
  <c r="E162" i="69"/>
  <c r="G162" i="69" s="1"/>
  <c r="I223" i="69"/>
  <c r="J224" i="69" s="1"/>
  <c r="G211" i="69"/>
  <c r="I211" i="69" s="1"/>
  <c r="G199" i="69"/>
  <c r="I199" i="69" s="1"/>
  <c r="AD12" i="50"/>
  <c r="AD16" i="50"/>
  <c r="AD8" i="53"/>
  <c r="AD12" i="53"/>
  <c r="AD16" i="53"/>
  <c r="AD10" i="50"/>
  <c r="AD10" i="53"/>
  <c r="AD14" i="53"/>
  <c r="AD18" i="53"/>
  <c r="AD14" i="50"/>
  <c r="AD19" i="50"/>
  <c r="AD7" i="53"/>
  <c r="AD9" i="53"/>
  <c r="AD11" i="53"/>
  <c r="AD13" i="53"/>
  <c r="AD15" i="53"/>
  <c r="AD17" i="53"/>
  <c r="AD19" i="53"/>
  <c r="AD9" i="50"/>
  <c r="AD11" i="50"/>
  <c r="AD13" i="50"/>
  <c r="AD15" i="50"/>
  <c r="AD17" i="50"/>
  <c r="AD31" i="53"/>
  <c r="AD29" i="53"/>
  <c r="AD27" i="53"/>
  <c r="AD25" i="53"/>
  <c r="AD23" i="53"/>
  <c r="AD21" i="53"/>
  <c r="AB19" i="50"/>
  <c r="AB17" i="50"/>
  <c r="AB12" i="50"/>
  <c r="AB14" i="50"/>
  <c r="AB15" i="50"/>
  <c r="AB8" i="50"/>
  <c r="AB10" i="50"/>
  <c r="AB7" i="50"/>
  <c r="AB9" i="50"/>
  <c r="AB11" i="50"/>
  <c r="AB13" i="50"/>
  <c r="AB18" i="50"/>
  <c r="AD8" i="50"/>
  <c r="AD18" i="50"/>
  <c r="AD7" i="50"/>
  <c r="AD30" i="53"/>
  <c r="AD28" i="53"/>
  <c r="AD26" i="53"/>
  <c r="AD24" i="53"/>
  <c r="AD22" i="53"/>
  <c r="AD20" i="53"/>
  <c r="J185" i="69" l="1"/>
  <c r="I182" i="69"/>
  <c r="J182" i="69"/>
  <c r="G158" i="69"/>
  <c r="G131" i="69"/>
  <c r="I131" i="69" s="1"/>
  <c r="G187" i="69"/>
  <c r="I187" i="69" s="1"/>
  <c r="J221" i="69"/>
  <c r="I141" i="69"/>
  <c r="G133" i="69"/>
  <c r="G129" i="69"/>
  <c r="J152" i="69"/>
  <c r="J149" i="69"/>
  <c r="I207" i="69"/>
  <c r="J203" i="69" s="1"/>
  <c r="I213" i="69"/>
  <c r="J215" i="69" s="1"/>
  <c r="J208" i="69" l="1"/>
  <c r="J143" i="69"/>
  <c r="J146" i="69"/>
  <c r="G172" i="69"/>
  <c r="G160" i="69"/>
  <c r="I133" i="69"/>
  <c r="J135" i="69" s="1"/>
  <c r="J188" i="69"/>
  <c r="J191" i="69"/>
  <c r="I188" i="69"/>
  <c r="J212" i="69"/>
  <c r="I172" i="69" l="1"/>
  <c r="I174" i="69"/>
  <c r="I160" i="69"/>
  <c r="I168" i="69"/>
  <c r="J132" i="69"/>
  <c r="B306" i="69" l="1"/>
  <c r="B304" i="69"/>
  <c r="B302" i="69"/>
  <c r="B307" i="69"/>
  <c r="B305" i="69"/>
  <c r="B303" i="69"/>
  <c r="J169" i="69"/>
  <c r="J164" i="69"/>
  <c r="B316" i="69" s="1"/>
  <c r="J173" i="69"/>
  <c r="J176" i="69"/>
  <c r="B311" i="69" l="1"/>
  <c r="B315" i="69"/>
  <c r="B310" i="69"/>
  <c r="B314" i="69"/>
  <c r="B309" i="69"/>
  <c r="B313" i="69"/>
  <c r="B317" i="69"/>
  <c r="B308" i="69"/>
  <c r="B312" i="69"/>
  <c r="BD48" i="16" l="1"/>
  <c r="BD17" i="16"/>
  <c r="BD36" i="16"/>
  <c r="BD27" i="16"/>
  <c r="BD12" i="16"/>
  <c r="BD49" i="16"/>
  <c r="BD10" i="16"/>
  <c r="BD42" i="16"/>
  <c r="BD29" i="16"/>
  <c r="BD31" i="16"/>
  <c r="BD9" i="16"/>
  <c r="BD13" i="16"/>
  <c r="BD96" i="16"/>
  <c r="BD11" i="16"/>
  <c r="BD8" i="16"/>
  <c r="V9" i="16" l="1"/>
  <c r="AE1" i="16" l="1"/>
  <c r="F9" i="8" l="1"/>
  <c r="A1" i="94" s="1"/>
  <c r="F8" i="8"/>
  <c r="A1" i="93" s="1"/>
  <c r="B306" i="93" l="1"/>
  <c r="B300" i="93"/>
  <c r="B302" i="93"/>
  <c r="B304" i="93"/>
  <c r="B307" i="93"/>
  <c r="B301" i="93"/>
  <c r="B303" i="93"/>
  <c r="B305" i="93"/>
  <c r="B300" i="94"/>
  <c r="B302" i="94"/>
  <c r="B304" i="94"/>
  <c r="B306" i="94"/>
  <c r="B301" i="94"/>
  <c r="B303" i="94"/>
  <c r="B305" i="94"/>
  <c r="B307" i="94"/>
  <c r="AZ8" i="16"/>
  <c r="V7" i="16"/>
  <c r="AB37" i="16" l="1"/>
  <c r="AC37" i="16"/>
  <c r="AX37" i="16" s="1"/>
  <c r="AB17" i="16"/>
  <c r="AB18" i="16"/>
  <c r="AB8" i="16"/>
  <c r="AB7" i="16"/>
  <c r="AB96" i="16"/>
  <c r="AB11" i="16"/>
  <c r="AB48" i="16"/>
  <c r="AB28" i="16"/>
  <c r="AB36" i="16"/>
  <c r="AB16" i="16"/>
  <c r="AB55" i="16"/>
  <c r="AB14" i="16"/>
  <c r="AB13" i="16"/>
  <c r="AB15" i="16"/>
  <c r="AB39" i="16"/>
  <c r="AB10" i="16"/>
  <c r="AB9" i="16"/>
  <c r="AB58" i="16"/>
  <c r="AB49" i="16"/>
  <c r="AB29" i="16"/>
  <c r="AB42" i="16"/>
  <c r="AB47" i="16"/>
  <c r="AB27" i="16"/>
  <c r="AB23" i="16"/>
  <c r="AB25" i="16"/>
  <c r="AB43" i="16"/>
  <c r="AB31" i="16"/>
  <c r="AB34" i="16"/>
  <c r="AB20" i="16"/>
  <c r="AB40" i="16"/>
  <c r="AB41" i="16"/>
  <c r="AB21" i="16"/>
  <c r="AB22" i="16"/>
  <c r="AB86" i="16"/>
  <c r="AB53" i="16"/>
  <c r="AB56" i="16"/>
  <c r="AB59" i="16"/>
  <c r="AB63" i="16"/>
  <c r="AB65" i="16"/>
  <c r="AB67" i="16"/>
  <c r="AB69" i="16"/>
  <c r="AB71" i="16"/>
  <c r="AB73" i="16"/>
  <c r="AB77" i="16"/>
  <c r="AB79" i="16"/>
  <c r="AB81" i="16"/>
  <c r="AB83" i="16"/>
  <c r="AB85" i="16"/>
  <c r="AB88" i="16"/>
  <c r="AB90" i="16"/>
  <c r="AB92" i="16"/>
  <c r="AB94" i="16"/>
  <c r="AB97" i="16"/>
  <c r="AB99" i="16"/>
  <c r="AB101" i="16"/>
  <c r="AB103" i="16"/>
  <c r="AB104" i="16"/>
  <c r="AB106" i="16"/>
  <c r="AB108" i="16"/>
  <c r="AB110" i="16"/>
  <c r="AB26" i="16"/>
  <c r="AB112" i="16"/>
  <c r="AB30" i="16"/>
  <c r="AB113" i="16"/>
  <c r="AB114" i="16"/>
  <c r="AB33" i="16"/>
  <c r="AB32" i="16"/>
  <c r="AB35" i="16"/>
  <c r="AB46" i="16"/>
  <c r="AB51" i="16"/>
  <c r="AB74" i="16"/>
  <c r="AB76" i="16"/>
  <c r="AB19" i="16"/>
  <c r="AB61" i="16"/>
  <c r="AB62" i="16"/>
  <c r="AB52" i="16"/>
  <c r="AB54" i="16"/>
  <c r="AB57" i="16"/>
  <c r="AB60" i="16"/>
  <c r="AB64" i="16"/>
  <c r="AB66" i="16"/>
  <c r="AB68" i="16"/>
  <c r="AB70" i="16"/>
  <c r="AB72" i="16"/>
  <c r="AB75" i="16"/>
  <c r="AB78" i="16"/>
  <c r="AB80" i="16"/>
  <c r="AB82" i="16"/>
  <c r="AB84" i="16"/>
  <c r="AB87" i="16"/>
  <c r="AB89" i="16"/>
  <c r="AB91" i="16"/>
  <c r="AB93" i="16"/>
  <c r="AB95" i="16"/>
  <c r="AB98" i="16"/>
  <c r="AB100" i="16"/>
  <c r="AB102" i="16"/>
  <c r="AB50" i="16"/>
  <c r="AB105" i="16"/>
  <c r="AB107" i="16"/>
  <c r="AB109" i="16"/>
  <c r="AB111" i="16"/>
  <c r="AB45" i="16"/>
  <c r="AB24" i="16"/>
  <c r="AB38" i="16"/>
  <c r="AB44" i="16"/>
  <c r="AB12" i="16"/>
  <c r="AC17" i="16"/>
  <c r="AC18" i="16"/>
  <c r="AC8" i="16"/>
  <c r="AC7" i="16"/>
  <c r="AC96" i="16"/>
  <c r="AC11" i="16"/>
  <c r="AC48" i="16"/>
  <c r="AC28" i="16"/>
  <c r="AC36" i="16"/>
  <c r="AC16" i="16"/>
  <c r="AC55" i="16"/>
  <c r="AC14" i="16"/>
  <c r="AC33" i="16"/>
  <c r="AC32" i="16"/>
  <c r="AC35" i="16"/>
  <c r="AC46" i="16"/>
  <c r="AC51" i="16"/>
  <c r="AC74" i="16"/>
  <c r="AC76" i="16"/>
  <c r="AC19" i="16"/>
  <c r="AC61" i="16"/>
  <c r="AC62" i="16"/>
  <c r="AC52" i="16"/>
  <c r="AC54" i="16"/>
  <c r="AC57" i="16"/>
  <c r="AC60" i="16"/>
  <c r="AC64" i="16"/>
  <c r="AC66" i="16"/>
  <c r="AC68" i="16"/>
  <c r="AC70" i="16"/>
  <c r="AC72" i="16"/>
  <c r="AC75" i="16"/>
  <c r="AC78" i="16"/>
  <c r="AC80" i="16"/>
  <c r="AC82" i="16"/>
  <c r="AC84" i="16"/>
  <c r="AC87" i="16"/>
  <c r="AC89" i="16"/>
  <c r="AC91" i="16"/>
  <c r="AC93" i="16"/>
  <c r="AC95" i="16"/>
  <c r="AC98" i="16"/>
  <c r="AC12" i="16"/>
  <c r="AC101" i="16"/>
  <c r="AC103" i="16"/>
  <c r="AC104" i="16"/>
  <c r="AC106" i="16"/>
  <c r="AC108" i="16"/>
  <c r="AC110" i="16"/>
  <c r="AC26" i="16"/>
  <c r="AC112" i="16"/>
  <c r="AC30" i="16"/>
  <c r="AC113" i="16"/>
  <c r="AC114" i="16"/>
  <c r="AC15" i="16"/>
  <c r="AC10" i="16"/>
  <c r="AC58" i="16"/>
  <c r="AC29" i="16"/>
  <c r="AC47" i="16"/>
  <c r="AC23" i="16"/>
  <c r="AC43" i="16"/>
  <c r="AC34" i="16"/>
  <c r="AC40" i="16"/>
  <c r="AC21" i="16"/>
  <c r="AC86" i="16"/>
  <c r="AC56" i="16"/>
  <c r="AC63" i="16"/>
  <c r="AC67" i="16"/>
  <c r="AC71" i="16"/>
  <c r="AC77" i="16"/>
  <c r="AC81" i="16"/>
  <c r="AC85" i="16"/>
  <c r="AC90" i="16"/>
  <c r="AC94" i="16"/>
  <c r="AC99" i="16"/>
  <c r="AC102" i="16"/>
  <c r="AC105" i="16"/>
  <c r="AC109" i="16"/>
  <c r="AC45" i="16"/>
  <c r="AC38" i="16"/>
  <c r="AC13" i="16"/>
  <c r="AC39" i="16"/>
  <c r="AC9" i="16"/>
  <c r="AC49" i="16"/>
  <c r="AC42" i="16"/>
  <c r="AC27" i="16"/>
  <c r="AC25" i="16"/>
  <c r="AC31" i="16"/>
  <c r="AC20" i="16"/>
  <c r="AC41" i="16"/>
  <c r="AC22" i="16"/>
  <c r="AC53" i="16"/>
  <c r="AC59" i="16"/>
  <c r="AC65" i="16"/>
  <c r="AC73" i="16"/>
  <c r="AC79" i="16"/>
  <c r="AC83" i="16"/>
  <c r="AC88" i="16"/>
  <c r="AC92" i="16"/>
  <c r="AC97" i="16"/>
  <c r="AC50" i="16"/>
  <c r="AC111" i="16"/>
  <c r="AC44" i="16"/>
  <c r="AC69" i="16"/>
  <c r="AC100" i="16"/>
  <c r="AC107" i="16"/>
  <c r="AC24" i="16"/>
  <c r="AX38" i="16"/>
  <c r="AX30" i="16"/>
  <c r="AX27" i="16"/>
  <c r="AX29" i="16"/>
  <c r="AX39" i="16"/>
  <c r="AX46" i="16"/>
  <c r="AX49" i="16"/>
  <c r="AX10" i="16"/>
  <c r="AX18" i="16"/>
  <c r="AX42" i="16"/>
  <c r="BA49" i="16"/>
  <c r="BA10" i="16"/>
  <c r="BA48" i="16"/>
  <c r="BA17" i="16"/>
  <c r="BA36" i="16"/>
  <c r="BA27" i="16"/>
  <c r="BA12" i="16"/>
  <c r="BA42" i="16"/>
  <c r="BA29" i="16"/>
  <c r="BA31" i="16"/>
  <c r="BA9" i="16"/>
  <c r="BA13" i="16"/>
  <c r="BA96" i="16"/>
  <c r="BA11" i="16"/>
  <c r="BA8" i="16"/>
  <c r="AW37" i="16" l="1"/>
  <c r="AT37" i="16" s="1"/>
  <c r="R37" i="16"/>
  <c r="AK37" i="16"/>
  <c r="AN37" i="16"/>
  <c r="AJ37" i="16" s="1"/>
  <c r="BL100" i="16"/>
  <c r="BK44" i="16"/>
  <c r="AX24" i="16"/>
  <c r="BL24" i="16"/>
  <c r="BL44" i="16"/>
  <c r="BL92" i="16"/>
  <c r="BL73" i="16"/>
  <c r="BL22" i="16"/>
  <c r="BL25" i="16"/>
  <c r="AX9" i="16"/>
  <c r="BL9" i="16"/>
  <c r="AX13" i="16"/>
  <c r="BL13" i="16"/>
  <c r="BL105" i="16"/>
  <c r="BL90" i="16"/>
  <c r="BL81" i="16"/>
  <c r="BL71" i="16"/>
  <c r="BL63" i="16"/>
  <c r="BL86" i="16"/>
  <c r="BL40" i="16"/>
  <c r="BL43" i="16"/>
  <c r="BL47" i="16"/>
  <c r="AX58" i="16"/>
  <c r="BL58" i="16"/>
  <c r="AX15" i="16"/>
  <c r="BL15" i="16"/>
  <c r="BL113" i="16"/>
  <c r="BL112" i="16"/>
  <c r="BL110" i="16"/>
  <c r="BL106" i="16"/>
  <c r="BL103" i="16"/>
  <c r="AX12" i="16"/>
  <c r="BL12" i="16"/>
  <c r="BL95" i="16"/>
  <c r="BL91" i="16"/>
  <c r="BL87" i="16"/>
  <c r="BL82" i="16"/>
  <c r="BL78" i="16"/>
  <c r="BL72" i="16"/>
  <c r="BL68" i="16"/>
  <c r="BL64" i="16"/>
  <c r="BL57" i="16"/>
  <c r="BL52" i="16"/>
  <c r="BL61" i="16"/>
  <c r="AX76" i="16"/>
  <c r="BL76" i="16"/>
  <c r="BL51" i="16"/>
  <c r="BL35" i="16"/>
  <c r="BL33" i="16"/>
  <c r="BL55" i="16"/>
  <c r="AX36" i="16"/>
  <c r="BL36" i="16"/>
  <c r="AX48" i="16"/>
  <c r="BL48" i="16"/>
  <c r="AX96" i="16"/>
  <c r="BL96" i="16"/>
  <c r="BL8" i="16"/>
  <c r="AX17" i="16"/>
  <c r="BL17" i="16"/>
  <c r="S44" i="16"/>
  <c r="BK24" i="16"/>
  <c r="BK111" i="16"/>
  <c r="BK107" i="16"/>
  <c r="BK50" i="16"/>
  <c r="BK100" i="16"/>
  <c r="S100" i="16" s="1"/>
  <c r="BK95" i="16"/>
  <c r="S95" i="16" s="1"/>
  <c r="BK91" i="16"/>
  <c r="S91" i="16" s="1"/>
  <c r="BK87" i="16"/>
  <c r="S87" i="16" s="1"/>
  <c r="BK82" i="16"/>
  <c r="S82" i="16" s="1"/>
  <c r="BK78" i="16"/>
  <c r="S78" i="16" s="1"/>
  <c r="BK72" i="16"/>
  <c r="S72" i="16" s="1"/>
  <c r="BK68" i="16"/>
  <c r="S68" i="16" s="1"/>
  <c r="BK64" i="16"/>
  <c r="S64" i="16" s="1"/>
  <c r="BK57" i="16"/>
  <c r="S57" i="16" s="1"/>
  <c r="BK52" i="16"/>
  <c r="S52" i="16" s="1"/>
  <c r="BK61" i="16"/>
  <c r="S61" i="16" s="1"/>
  <c r="BK76" i="16"/>
  <c r="BK51" i="16"/>
  <c r="S51" i="16" s="1"/>
  <c r="BK35" i="16"/>
  <c r="BK33" i="16"/>
  <c r="S33" i="16" s="1"/>
  <c r="BK113" i="16"/>
  <c r="S113" i="16" s="1"/>
  <c r="BK112" i="16"/>
  <c r="S112" i="16" s="1"/>
  <c r="BK110" i="16"/>
  <c r="S110" i="16" s="1"/>
  <c r="BK106" i="16"/>
  <c r="S106" i="16" s="1"/>
  <c r="BK103" i="16"/>
  <c r="S103" i="16" s="1"/>
  <c r="BK99" i="16"/>
  <c r="BK94" i="16"/>
  <c r="BK90" i="16"/>
  <c r="S90" i="16" s="1"/>
  <c r="BK85" i="16"/>
  <c r="BK81" i="16"/>
  <c r="S81" i="16" s="1"/>
  <c r="BK77" i="16"/>
  <c r="BK71" i="16"/>
  <c r="S71" i="16" s="1"/>
  <c r="BK67" i="16"/>
  <c r="BK63" i="16"/>
  <c r="S63" i="16" s="1"/>
  <c r="BK56" i="16"/>
  <c r="BK86" i="16"/>
  <c r="S86" i="16" s="1"/>
  <c r="BK21" i="16"/>
  <c r="BK40" i="16"/>
  <c r="S40" i="16" s="1"/>
  <c r="BK34" i="16"/>
  <c r="BK43" i="16"/>
  <c r="S43" i="16" s="1"/>
  <c r="BK23" i="16"/>
  <c r="BK47" i="16"/>
  <c r="S47" i="16" s="1"/>
  <c r="BK29" i="16"/>
  <c r="BK58" i="16"/>
  <c r="S58" i="16" s="1"/>
  <c r="BK10" i="16"/>
  <c r="BK15" i="16"/>
  <c r="S15" i="16" s="1"/>
  <c r="BK14" i="16"/>
  <c r="BK16" i="16"/>
  <c r="BK28" i="16"/>
  <c r="BK11" i="16"/>
  <c r="S11" i="16" s="1"/>
  <c r="BK7" i="16"/>
  <c r="BK37" i="16"/>
  <c r="S37" i="16" s="1"/>
  <c r="BK18" i="16"/>
  <c r="BL50" i="16"/>
  <c r="BL83" i="16"/>
  <c r="BL59" i="16"/>
  <c r="BL20" i="16"/>
  <c r="BL42" i="16"/>
  <c r="BL45" i="16"/>
  <c r="BL99" i="16"/>
  <c r="BL107" i="16"/>
  <c r="BL69" i="16"/>
  <c r="BL111" i="16"/>
  <c r="BL97" i="16"/>
  <c r="BL88" i="16"/>
  <c r="BL79" i="16"/>
  <c r="BL65" i="16"/>
  <c r="BL53" i="16"/>
  <c r="BL41" i="16"/>
  <c r="AX31" i="16"/>
  <c r="BL31" i="16"/>
  <c r="BL27" i="16"/>
  <c r="BL49" i="16"/>
  <c r="BL39" i="16"/>
  <c r="BL38" i="16"/>
  <c r="BL109" i="16"/>
  <c r="BL102" i="16"/>
  <c r="BL94" i="16"/>
  <c r="BL85" i="16"/>
  <c r="BL77" i="16"/>
  <c r="BL67" i="16"/>
  <c r="BL56" i="16"/>
  <c r="BL21" i="16"/>
  <c r="BL34" i="16"/>
  <c r="BL23" i="16"/>
  <c r="BL29" i="16"/>
  <c r="BL10" i="16"/>
  <c r="BL114" i="16"/>
  <c r="BL30" i="16"/>
  <c r="BL26" i="16"/>
  <c r="BL108" i="16"/>
  <c r="BL104" i="16"/>
  <c r="BL101" i="16"/>
  <c r="BL98" i="16"/>
  <c r="BL93" i="16"/>
  <c r="BL89" i="16"/>
  <c r="BL84" i="16"/>
  <c r="BL80" i="16"/>
  <c r="BL75" i="16"/>
  <c r="BL70" i="16"/>
  <c r="BL66" i="16"/>
  <c r="BL60" i="16"/>
  <c r="BL54" i="16"/>
  <c r="BL62" i="16"/>
  <c r="BL19" i="16"/>
  <c r="BL74" i="16"/>
  <c r="BL46" i="16"/>
  <c r="BL32" i="16"/>
  <c r="BL14" i="16"/>
  <c r="BL16" i="16"/>
  <c r="BL28" i="16"/>
  <c r="AX11" i="16"/>
  <c r="BL11" i="16"/>
  <c r="BL7" i="16"/>
  <c r="BL37" i="16"/>
  <c r="BL18" i="16"/>
  <c r="BK12" i="16"/>
  <c r="S12" i="16" s="1"/>
  <c r="BK38" i="16"/>
  <c r="S38" i="16" s="1"/>
  <c r="BK45" i="16"/>
  <c r="S45" i="16" s="1"/>
  <c r="BK109" i="16"/>
  <c r="S109" i="16" s="1"/>
  <c r="BK105" i="16"/>
  <c r="S105" i="16" s="1"/>
  <c r="BK102" i="16"/>
  <c r="S102" i="16" s="1"/>
  <c r="BK98" i="16"/>
  <c r="BK93" i="16"/>
  <c r="S93" i="16" s="1"/>
  <c r="BK89" i="16"/>
  <c r="BK84" i="16"/>
  <c r="S84" i="16" s="1"/>
  <c r="BK80" i="16"/>
  <c r="BK75" i="16"/>
  <c r="S75" i="16" s="1"/>
  <c r="BK70" i="16"/>
  <c r="BK66" i="16"/>
  <c r="S66" i="16" s="1"/>
  <c r="BK60" i="16"/>
  <c r="BK54" i="16"/>
  <c r="S54" i="16" s="1"/>
  <c r="BK62" i="16"/>
  <c r="BK19" i="16"/>
  <c r="S19" i="16" s="1"/>
  <c r="BK74" i="16"/>
  <c r="BK46" i="16"/>
  <c r="S46" i="16" s="1"/>
  <c r="BK32" i="16"/>
  <c r="BK114" i="16"/>
  <c r="S114" i="16" s="1"/>
  <c r="BK30" i="16"/>
  <c r="S30" i="16" s="1"/>
  <c r="BK26" i="16"/>
  <c r="S26" i="16" s="1"/>
  <c r="BK108" i="16"/>
  <c r="S108" i="16" s="1"/>
  <c r="BK104" i="16"/>
  <c r="S104" i="16" s="1"/>
  <c r="BK101" i="16"/>
  <c r="S101" i="16" s="1"/>
  <c r="BK97" i="16"/>
  <c r="S97" i="16" s="1"/>
  <c r="BK92" i="16"/>
  <c r="S92" i="16" s="1"/>
  <c r="BK88" i="16"/>
  <c r="S88" i="16" s="1"/>
  <c r="BK83" i="16"/>
  <c r="S83" i="16" s="1"/>
  <c r="BK79" i="16"/>
  <c r="S79" i="16" s="1"/>
  <c r="BK73" i="16"/>
  <c r="S73" i="16" s="1"/>
  <c r="BK69" i="16"/>
  <c r="S69" i="16" s="1"/>
  <c r="BK65" i="16"/>
  <c r="S65" i="16" s="1"/>
  <c r="BK59" i="16"/>
  <c r="S59" i="16" s="1"/>
  <c r="BK53" i="16"/>
  <c r="BK22" i="16"/>
  <c r="S22" i="16" s="1"/>
  <c r="BK41" i="16"/>
  <c r="S41" i="16" s="1"/>
  <c r="BK20" i="16"/>
  <c r="S20" i="16" s="1"/>
  <c r="BK31" i="16"/>
  <c r="S31" i="16" s="1"/>
  <c r="BK25" i="16"/>
  <c r="S25" i="16" s="1"/>
  <c r="BK27" i="16"/>
  <c r="BK42" i="16"/>
  <c r="S42" i="16" s="1"/>
  <c r="BK49" i="16"/>
  <c r="S49" i="16" s="1"/>
  <c r="BK9" i="16"/>
  <c r="S9" i="16" s="1"/>
  <c r="BK39" i="16"/>
  <c r="BK13" i="16"/>
  <c r="S13" i="16" s="1"/>
  <c r="BK55" i="16"/>
  <c r="S55" i="16" s="1"/>
  <c r="BK36" i="16"/>
  <c r="S36" i="16" s="1"/>
  <c r="BK48" i="16"/>
  <c r="S48" i="16" s="1"/>
  <c r="BK96" i="16"/>
  <c r="S96" i="16" s="1"/>
  <c r="BK8" i="16"/>
  <c r="BK17" i="16"/>
  <c r="S17" i="16" s="1"/>
  <c r="BL6" i="16"/>
  <c r="BK6" i="16"/>
  <c r="S8" i="16"/>
  <c r="AX8" i="16"/>
  <c r="AP37" i="16"/>
  <c r="AO37" i="16"/>
  <c r="V54" i="16"/>
  <c r="V62" i="16"/>
  <c r="A37" i="16" l="1"/>
  <c r="C37" i="16"/>
  <c r="E37" i="16"/>
  <c r="I37" i="16"/>
  <c r="AG8" i="104"/>
  <c r="S39" i="16"/>
  <c r="S27" i="16"/>
  <c r="S53" i="16"/>
  <c r="S35" i="16"/>
  <c r="S76" i="16"/>
  <c r="S24" i="16"/>
  <c r="W37" i="16"/>
  <c r="T37" i="16"/>
  <c r="S16" i="16"/>
  <c r="S99" i="16"/>
  <c r="S50" i="16"/>
  <c r="S111" i="16"/>
  <c r="S32" i="16"/>
  <c r="S74" i="16"/>
  <c r="S62" i="16"/>
  <c r="S60" i="16"/>
  <c r="S70" i="16"/>
  <c r="S80" i="16"/>
  <c r="S89" i="16"/>
  <c r="S98" i="16"/>
  <c r="S18" i="16"/>
  <c r="S7" i="16"/>
  <c r="S28" i="16"/>
  <c r="S14" i="16"/>
  <c r="S10" i="16"/>
  <c r="S29" i="16"/>
  <c r="S23" i="16"/>
  <c r="S34" i="16"/>
  <c r="S21" i="16"/>
  <c r="S56" i="16"/>
  <c r="S67" i="16"/>
  <c r="S77" i="16"/>
  <c r="S85" i="16"/>
  <c r="S94" i="16"/>
  <c r="S107" i="16"/>
  <c r="V53" i="16"/>
  <c r="V50" i="16"/>
  <c r="V66" i="16"/>
  <c r="V87" i="16"/>
  <c r="V45" i="16"/>
  <c r="C306" i="53" l="1"/>
  <c r="C307" i="53"/>
  <c r="C308" i="53"/>
  <c r="C309" i="53"/>
  <c r="C310" i="53"/>
  <c r="C311" i="53"/>
  <c r="C312" i="53"/>
  <c r="C313" i="53"/>
  <c r="C314" i="53"/>
  <c r="C315" i="53"/>
  <c r="V40" i="16"/>
  <c r="V113" i="16"/>
  <c r="AV8" i="16" l="1"/>
  <c r="C305" i="53"/>
  <c r="C304" i="53"/>
  <c r="C303" i="53"/>
  <c r="C302" i="53"/>
  <c r="C301" i="53"/>
  <c r="C300" i="53"/>
  <c r="P60" i="53"/>
  <c r="O60" i="53"/>
  <c r="N60" i="53"/>
  <c r="H60" i="53"/>
  <c r="Q60" i="53" s="1"/>
  <c r="P59" i="53"/>
  <c r="O59" i="53"/>
  <c r="N59" i="53"/>
  <c r="H59" i="53"/>
  <c r="Q59" i="53" s="1"/>
  <c r="P58" i="53"/>
  <c r="O58" i="53"/>
  <c r="N58" i="53"/>
  <c r="H58" i="53"/>
  <c r="Q58" i="53" s="1"/>
  <c r="P57" i="53"/>
  <c r="O57" i="53"/>
  <c r="N57" i="53"/>
  <c r="H57" i="53"/>
  <c r="Q57" i="53" s="1"/>
  <c r="P56" i="53"/>
  <c r="O56" i="53"/>
  <c r="N56" i="53"/>
  <c r="H56" i="53"/>
  <c r="Q56" i="53" s="1"/>
  <c r="R55" i="53"/>
  <c r="P53" i="53"/>
  <c r="O53" i="53"/>
  <c r="N53" i="53"/>
  <c r="H53" i="53"/>
  <c r="Q53" i="53" s="1"/>
  <c r="P52" i="53"/>
  <c r="O52" i="53"/>
  <c r="N52" i="53"/>
  <c r="H52" i="53"/>
  <c r="Q52" i="53" s="1"/>
  <c r="P51" i="53"/>
  <c r="O51" i="53"/>
  <c r="N51" i="53"/>
  <c r="H51" i="53"/>
  <c r="Q51" i="53" s="1"/>
  <c r="P50" i="53"/>
  <c r="O50" i="53"/>
  <c r="N50" i="53"/>
  <c r="H50" i="53"/>
  <c r="Q50" i="53" s="1"/>
  <c r="P49" i="53"/>
  <c r="O49" i="53"/>
  <c r="N49" i="53"/>
  <c r="H49" i="53"/>
  <c r="Q49" i="53" s="1"/>
  <c r="R48" i="53"/>
  <c r="P46" i="53"/>
  <c r="O46" i="53"/>
  <c r="N46" i="53"/>
  <c r="H46" i="53"/>
  <c r="Q46" i="53" s="1"/>
  <c r="P45" i="53"/>
  <c r="O45" i="53"/>
  <c r="N45" i="53"/>
  <c r="H45" i="53"/>
  <c r="Q45" i="53" s="1"/>
  <c r="P44" i="53"/>
  <c r="O44" i="53"/>
  <c r="N44" i="53"/>
  <c r="H44" i="53"/>
  <c r="Q44" i="53" s="1"/>
  <c r="P43" i="53"/>
  <c r="O43" i="53"/>
  <c r="N43" i="53"/>
  <c r="H43" i="53"/>
  <c r="Q43" i="53" s="1"/>
  <c r="P42" i="53"/>
  <c r="O42" i="53"/>
  <c r="N42" i="53"/>
  <c r="H42" i="53"/>
  <c r="Q42" i="53" s="1"/>
  <c r="R41" i="53"/>
  <c r="P39" i="53"/>
  <c r="O39" i="53"/>
  <c r="N39" i="53"/>
  <c r="H39" i="53"/>
  <c r="Q39" i="53" s="1"/>
  <c r="P38" i="53"/>
  <c r="O38" i="53"/>
  <c r="N38" i="53"/>
  <c r="H38" i="53"/>
  <c r="Q38" i="53" s="1"/>
  <c r="P37" i="53"/>
  <c r="O37" i="53"/>
  <c r="N37" i="53"/>
  <c r="H37" i="53"/>
  <c r="Q37" i="53" s="1"/>
  <c r="P36" i="53"/>
  <c r="O36" i="53"/>
  <c r="N36" i="53"/>
  <c r="H36" i="53"/>
  <c r="Q36" i="53" s="1"/>
  <c r="P35" i="53"/>
  <c r="O35" i="53"/>
  <c r="N35" i="53"/>
  <c r="H35" i="53"/>
  <c r="Q35" i="53" s="1"/>
  <c r="R34" i="53"/>
  <c r="P32" i="53"/>
  <c r="O32" i="53"/>
  <c r="N32" i="53"/>
  <c r="H32" i="53"/>
  <c r="Q32" i="53" s="1"/>
  <c r="P31" i="53"/>
  <c r="O31" i="53"/>
  <c r="N31" i="53"/>
  <c r="H31" i="53"/>
  <c r="Q31" i="53" s="1"/>
  <c r="P30" i="53"/>
  <c r="O30" i="53"/>
  <c r="N30" i="53"/>
  <c r="H30" i="53"/>
  <c r="Q30" i="53" s="1"/>
  <c r="P29" i="53"/>
  <c r="O29" i="53"/>
  <c r="N29" i="53"/>
  <c r="H29" i="53"/>
  <c r="Q29" i="53" s="1"/>
  <c r="P28" i="53"/>
  <c r="O28" i="53"/>
  <c r="N28" i="53"/>
  <c r="H28" i="53"/>
  <c r="Q28" i="53" s="1"/>
  <c r="R27" i="53"/>
  <c r="P25" i="53"/>
  <c r="O25" i="53"/>
  <c r="N25" i="53"/>
  <c r="H25" i="53"/>
  <c r="Q25" i="53" s="1"/>
  <c r="P24" i="53"/>
  <c r="O24" i="53"/>
  <c r="N24" i="53"/>
  <c r="H24" i="53"/>
  <c r="Q24" i="53" s="1"/>
  <c r="P23" i="53"/>
  <c r="O23" i="53"/>
  <c r="N23" i="53"/>
  <c r="H23" i="53"/>
  <c r="Q23" i="53" s="1"/>
  <c r="P22" i="53"/>
  <c r="O22" i="53"/>
  <c r="N22" i="53"/>
  <c r="H22" i="53"/>
  <c r="Q22" i="53" s="1"/>
  <c r="P21" i="53"/>
  <c r="O21" i="53"/>
  <c r="N21" i="53"/>
  <c r="H21" i="53"/>
  <c r="Q21" i="53" s="1"/>
  <c r="R20" i="53"/>
  <c r="P18" i="53"/>
  <c r="O18" i="53"/>
  <c r="N18" i="53"/>
  <c r="H18" i="53"/>
  <c r="Q18" i="53" s="1"/>
  <c r="P17" i="53"/>
  <c r="O17" i="53"/>
  <c r="N17" i="53"/>
  <c r="H17" i="53"/>
  <c r="Q17" i="53" s="1"/>
  <c r="P16" i="53"/>
  <c r="O16" i="53"/>
  <c r="N16" i="53"/>
  <c r="H16" i="53"/>
  <c r="Q16" i="53" s="1"/>
  <c r="P15" i="53"/>
  <c r="O15" i="53"/>
  <c r="N15" i="53"/>
  <c r="H15" i="53"/>
  <c r="Q15" i="53" s="1"/>
  <c r="P14" i="53"/>
  <c r="O14" i="53"/>
  <c r="N14" i="53"/>
  <c r="H14" i="53"/>
  <c r="Q14" i="53" s="1"/>
  <c r="R13" i="53"/>
  <c r="P11" i="53"/>
  <c r="O11" i="53"/>
  <c r="N11" i="53"/>
  <c r="H11" i="53"/>
  <c r="Q11" i="53" s="1"/>
  <c r="P10" i="53"/>
  <c r="O10" i="53"/>
  <c r="N10" i="53"/>
  <c r="H10" i="53"/>
  <c r="Q10" i="53" s="1"/>
  <c r="P9" i="53"/>
  <c r="O9" i="53"/>
  <c r="N9" i="53"/>
  <c r="H9" i="53"/>
  <c r="Q9" i="53" s="1"/>
  <c r="P8" i="53"/>
  <c r="O8" i="53"/>
  <c r="N8" i="53"/>
  <c r="H8" i="53"/>
  <c r="Q8" i="53" s="1"/>
  <c r="P7" i="53"/>
  <c r="O7" i="53"/>
  <c r="N7" i="53"/>
  <c r="H7" i="53"/>
  <c r="Q7" i="53" s="1"/>
  <c r="R6" i="53"/>
  <c r="L14" i="53" l="1"/>
  <c r="J14" i="53"/>
  <c r="T14" i="53" s="1"/>
  <c r="L15" i="53"/>
  <c r="J15" i="53"/>
  <c r="T15" i="53" s="1"/>
  <c r="L16" i="53"/>
  <c r="J16" i="53"/>
  <c r="T16" i="53" s="1"/>
  <c r="L21" i="53"/>
  <c r="J21" i="53"/>
  <c r="T21" i="53" s="1"/>
  <c r="L22" i="53"/>
  <c r="J22" i="53"/>
  <c r="T22" i="53" s="1"/>
  <c r="L23" i="53"/>
  <c r="J23" i="53"/>
  <c r="T23" i="53" s="1"/>
  <c r="L24" i="53"/>
  <c r="J24" i="53"/>
  <c r="T24" i="53" s="1"/>
  <c r="L25" i="53"/>
  <c r="J25" i="53"/>
  <c r="T25" i="53" s="1"/>
  <c r="K25" i="53" s="1"/>
  <c r="J38" i="53"/>
  <c r="L35" i="53"/>
  <c r="J35" i="53"/>
  <c r="T35" i="53" s="1"/>
  <c r="J7" i="53"/>
  <c r="T7" i="53" s="1"/>
  <c r="L7" i="53"/>
  <c r="J8" i="53"/>
  <c r="T8" i="53" s="1"/>
  <c r="L8" i="53"/>
  <c r="J9" i="53"/>
  <c r="T9" i="53" s="1"/>
  <c r="L9" i="53"/>
  <c r="J10" i="53"/>
  <c r="T10" i="53" s="1"/>
  <c r="L10" i="53"/>
  <c r="J11" i="53"/>
  <c r="T11" i="53" s="1"/>
  <c r="K11" i="53" s="1"/>
  <c r="R11" i="53" s="1"/>
  <c r="L11" i="53"/>
  <c r="L17" i="53"/>
  <c r="J17" i="53"/>
  <c r="T17" i="53" s="1"/>
  <c r="L18" i="53"/>
  <c r="J18" i="53"/>
  <c r="T18" i="53" s="1"/>
  <c r="K18" i="53" s="1"/>
  <c r="L28" i="53"/>
  <c r="J28" i="53"/>
  <c r="T28" i="53" s="1"/>
  <c r="L29" i="53"/>
  <c r="J29" i="53"/>
  <c r="T29" i="53" s="1"/>
  <c r="L30" i="53"/>
  <c r="J30" i="53"/>
  <c r="T30" i="53" s="1"/>
  <c r="L31" i="53"/>
  <c r="J31" i="53"/>
  <c r="T31" i="53" s="1"/>
  <c r="L32" i="53"/>
  <c r="J32" i="53"/>
  <c r="T38" i="53"/>
  <c r="J36" i="53"/>
  <c r="T36" i="53" s="1"/>
  <c r="L37" i="53"/>
  <c r="J37" i="53"/>
  <c r="T37" i="53" s="1"/>
  <c r="L38" i="53"/>
  <c r="L43" i="53"/>
  <c r="J43" i="53"/>
  <c r="T43" i="53" s="1"/>
  <c r="L50" i="53"/>
  <c r="J50" i="53"/>
  <c r="T50" i="53" s="1"/>
  <c r="L57" i="53"/>
  <c r="J57" i="53"/>
  <c r="T57" i="53" s="1"/>
  <c r="L36" i="53"/>
  <c r="L39" i="53"/>
  <c r="J39" i="53"/>
  <c r="T39" i="53" s="1"/>
  <c r="L45" i="53"/>
  <c r="J45" i="53"/>
  <c r="T45" i="53" s="1"/>
  <c r="L52" i="53"/>
  <c r="J52" i="53"/>
  <c r="T52" i="53" s="1"/>
  <c r="L59" i="53"/>
  <c r="J59" i="53"/>
  <c r="T59" i="53" s="1"/>
  <c r="J42" i="53"/>
  <c r="T42" i="53" s="1"/>
  <c r="L42" i="53"/>
  <c r="J44" i="53"/>
  <c r="T44" i="53" s="1"/>
  <c r="L44" i="53"/>
  <c r="J46" i="53"/>
  <c r="T46" i="53" s="1"/>
  <c r="L46" i="53"/>
  <c r="J49" i="53"/>
  <c r="T49" i="53" s="1"/>
  <c r="L49" i="53"/>
  <c r="J51" i="53"/>
  <c r="T51" i="53" s="1"/>
  <c r="L51" i="53"/>
  <c r="J53" i="53"/>
  <c r="T53" i="53" s="1"/>
  <c r="L53" i="53"/>
  <c r="J56" i="53"/>
  <c r="T56" i="53" s="1"/>
  <c r="L56" i="53"/>
  <c r="J58" i="53"/>
  <c r="T58" i="53" s="1"/>
  <c r="L58" i="53"/>
  <c r="J60" i="53"/>
  <c r="T60" i="53" s="1"/>
  <c r="L60" i="53"/>
  <c r="K60" i="53" l="1"/>
  <c r="R60" i="53" s="1"/>
  <c r="K58" i="53"/>
  <c r="K49" i="53"/>
  <c r="R49" i="53" s="1"/>
  <c r="K46" i="53"/>
  <c r="R46" i="53" s="1"/>
  <c r="K37" i="53"/>
  <c r="T32" i="53"/>
  <c r="K32" i="53" s="1"/>
  <c r="R32" i="53" s="1"/>
  <c r="B104" i="53"/>
  <c r="B102" i="53"/>
  <c r="B154" i="53"/>
  <c r="B142" i="53"/>
  <c r="B112" i="53"/>
  <c r="B106" i="53"/>
  <c r="B150" i="53"/>
  <c r="B148" i="53"/>
  <c r="B144" i="53"/>
  <c r="B140" i="53"/>
  <c r="C140" i="53" s="1"/>
  <c r="B116" i="53"/>
  <c r="B114" i="53"/>
  <c r="B108" i="53"/>
  <c r="B152" i="53"/>
  <c r="B146" i="53"/>
  <c r="C146" i="53" s="1"/>
  <c r="B110" i="53"/>
  <c r="K42" i="53"/>
  <c r="R42" i="53" s="1"/>
  <c r="K56" i="53"/>
  <c r="K53" i="53"/>
  <c r="R53" i="53" s="1"/>
  <c r="K51" i="53"/>
  <c r="R51" i="53" s="1"/>
  <c r="K43" i="53"/>
  <c r="K36" i="53"/>
  <c r="K10" i="53"/>
  <c r="R10" i="53" s="1"/>
  <c r="K9" i="53"/>
  <c r="R9" i="53" s="1"/>
  <c r="K8" i="53"/>
  <c r="R8" i="53" s="1"/>
  <c r="K7" i="53"/>
  <c r="R7" i="53" s="1"/>
  <c r="K35" i="53"/>
  <c r="K44" i="53"/>
  <c r="R44" i="53" s="1"/>
  <c r="K57" i="53"/>
  <c r="K17" i="53"/>
  <c r="R17" i="53" s="1"/>
  <c r="K24" i="53"/>
  <c r="K23" i="53"/>
  <c r="R23" i="53" s="1"/>
  <c r="K22" i="53"/>
  <c r="K21" i="53"/>
  <c r="R21" i="53" s="1"/>
  <c r="K16" i="53"/>
  <c r="K15" i="53"/>
  <c r="R15" i="53" s="1"/>
  <c r="K14" i="53"/>
  <c r="R56" i="53"/>
  <c r="K59" i="53"/>
  <c r="R59" i="53" s="1"/>
  <c r="K52" i="53"/>
  <c r="R52" i="53" s="1"/>
  <c r="K45" i="53"/>
  <c r="R45" i="53" s="1"/>
  <c r="K39" i="53"/>
  <c r="R39" i="53" s="1"/>
  <c r="R57" i="53"/>
  <c r="K50" i="53"/>
  <c r="R50" i="53" s="1"/>
  <c r="R43" i="53"/>
  <c r="R37" i="53"/>
  <c r="K38" i="53"/>
  <c r="R38" i="53" s="1"/>
  <c r="K31" i="53"/>
  <c r="R31" i="53" s="1"/>
  <c r="K29" i="53"/>
  <c r="R29" i="53" s="1"/>
  <c r="R18" i="53"/>
  <c r="R36" i="53"/>
  <c r="R25" i="53"/>
  <c r="R24" i="53"/>
  <c r="R22" i="53"/>
  <c r="R16" i="53"/>
  <c r="R14" i="53"/>
  <c r="R58" i="53"/>
  <c r="R35" i="53"/>
  <c r="C110" i="53" l="1"/>
  <c r="C152" i="53"/>
  <c r="C114" i="53"/>
  <c r="C148" i="53"/>
  <c r="C102" i="53"/>
  <c r="C106" i="53"/>
  <c r="C116" i="53"/>
  <c r="C129" i="53" s="1"/>
  <c r="C142" i="53"/>
  <c r="C161" i="53" s="1"/>
  <c r="K28" i="53"/>
  <c r="R28" i="53" s="1"/>
  <c r="K30" i="53"/>
  <c r="R30" i="53" s="1"/>
  <c r="M29" i="53" s="1"/>
  <c r="S29" i="53" s="1"/>
  <c r="C108" i="53"/>
  <c r="C144" i="53"/>
  <c r="C150" i="53"/>
  <c r="C112" i="53"/>
  <c r="C127" i="53" s="1"/>
  <c r="C154" i="53"/>
  <c r="C104" i="53"/>
  <c r="C103" i="53" s="1"/>
  <c r="M31" i="53"/>
  <c r="S31" i="53" s="1"/>
  <c r="M50" i="53"/>
  <c r="S50" i="53" s="1"/>
  <c r="M49" i="53"/>
  <c r="S49" i="53" s="1"/>
  <c r="M39" i="53"/>
  <c r="S39" i="53" s="1"/>
  <c r="S52" i="53"/>
  <c r="M52" i="53"/>
  <c r="M60" i="53"/>
  <c r="S60" i="53" s="1"/>
  <c r="M32" i="53"/>
  <c r="S32" i="53" s="1"/>
  <c r="M30" i="53"/>
  <c r="M45" i="53"/>
  <c r="S45" i="53" s="1"/>
  <c r="M59" i="53"/>
  <c r="S59" i="53" s="1"/>
  <c r="M46" i="53"/>
  <c r="S46" i="53" s="1"/>
  <c r="M58" i="53"/>
  <c r="S58" i="53" s="1"/>
  <c r="M15" i="53"/>
  <c r="S15" i="53" s="1"/>
  <c r="M21" i="53"/>
  <c r="S21" i="53" s="1"/>
  <c r="M23" i="53"/>
  <c r="S23" i="53" s="1"/>
  <c r="M25" i="53"/>
  <c r="S25" i="53" s="1"/>
  <c r="M17" i="53"/>
  <c r="S17" i="53"/>
  <c r="M38" i="53"/>
  <c r="S38" i="53" s="1"/>
  <c r="M43" i="53"/>
  <c r="S43" i="53" s="1"/>
  <c r="M57" i="53"/>
  <c r="S57" i="53" s="1"/>
  <c r="M8" i="53"/>
  <c r="S8" i="53" s="1"/>
  <c r="M10" i="53"/>
  <c r="S10" i="53" s="1"/>
  <c r="M51" i="53"/>
  <c r="S51" i="53" s="1"/>
  <c r="M35" i="53"/>
  <c r="S35" i="53" s="1"/>
  <c r="M14" i="53"/>
  <c r="S14" i="53" s="1"/>
  <c r="M16" i="53"/>
  <c r="S16" i="53" s="1"/>
  <c r="M22" i="53"/>
  <c r="S22" i="53" s="1"/>
  <c r="M24" i="53"/>
  <c r="S24" i="53" s="1"/>
  <c r="M36" i="53"/>
  <c r="S36" i="53" s="1"/>
  <c r="M18" i="53"/>
  <c r="S18" i="53" s="1"/>
  <c r="M37" i="53"/>
  <c r="S37" i="53" s="1"/>
  <c r="M56" i="53"/>
  <c r="S56" i="53" s="1"/>
  <c r="M44" i="53"/>
  <c r="S44" i="53" s="1"/>
  <c r="M7" i="53"/>
  <c r="S7" i="53" s="1"/>
  <c r="M9" i="53"/>
  <c r="S9" i="53" s="1"/>
  <c r="M11" i="53"/>
  <c r="S11" i="53" s="1"/>
  <c r="S53" i="53"/>
  <c r="M53" i="53"/>
  <c r="S42" i="53"/>
  <c r="M42" i="53"/>
  <c r="C167" i="53" l="1"/>
  <c r="C165" i="53"/>
  <c r="E165" i="53" s="1"/>
  <c r="C125" i="53"/>
  <c r="E127" i="53"/>
  <c r="C123" i="53"/>
  <c r="C107" i="53"/>
  <c r="E103" i="53" s="1"/>
  <c r="E125" i="53"/>
  <c r="C111" i="53"/>
  <c r="E129" i="53"/>
  <c r="E133" i="53" s="1"/>
  <c r="E123" i="53"/>
  <c r="E131" i="53" s="1"/>
  <c r="C149" i="53"/>
  <c r="C141" i="53"/>
  <c r="C115" i="53"/>
  <c r="C153" i="53"/>
  <c r="S30" i="53"/>
  <c r="M28" i="53"/>
  <c r="S28" i="53" s="1"/>
  <c r="C145" i="53"/>
  <c r="E145" i="53" s="1"/>
  <c r="C163" i="53"/>
  <c r="E163" i="53" s="1"/>
  <c r="E111" i="53" l="1"/>
  <c r="E107" i="53"/>
  <c r="E115" i="53"/>
  <c r="E167" i="53"/>
  <c r="E153" i="53"/>
  <c r="E128" i="53"/>
  <c r="G131" i="53"/>
  <c r="E105" i="53"/>
  <c r="E119" i="53"/>
  <c r="E113" i="53"/>
  <c r="G113" i="53" s="1"/>
  <c r="E149" i="53"/>
  <c r="E124" i="53"/>
  <c r="G124" i="53" s="1"/>
  <c r="G133" i="53"/>
  <c r="H135" i="53" s="1"/>
  <c r="E141" i="53"/>
  <c r="E161" i="53"/>
  <c r="E117" i="53"/>
  <c r="G117" i="53" s="1"/>
  <c r="E171" i="53"/>
  <c r="E166" i="53"/>
  <c r="G105" i="53" l="1"/>
  <c r="H109" i="53" s="1"/>
  <c r="H132" i="53"/>
  <c r="H114" i="53"/>
  <c r="B301" i="53" s="1"/>
  <c r="E162" i="53"/>
  <c r="G162" i="53" s="1"/>
  <c r="E169" i="53"/>
  <c r="G169" i="53" s="1"/>
  <c r="E155" i="53"/>
  <c r="E143" i="53"/>
  <c r="G128" i="53"/>
  <c r="H129" i="53" s="1"/>
  <c r="B300" i="53"/>
  <c r="E157" i="53"/>
  <c r="G157" i="53" s="1"/>
  <c r="E151" i="53"/>
  <c r="G151" i="53" s="1"/>
  <c r="G119" i="53"/>
  <c r="H118" i="53" s="1"/>
  <c r="G171" i="53" l="1"/>
  <c r="H126" i="53"/>
  <c r="B302" i="53"/>
  <c r="G155" i="53"/>
  <c r="H121" i="53"/>
  <c r="G143" i="53"/>
  <c r="H173" i="53"/>
  <c r="H170" i="53"/>
  <c r="G166" i="53"/>
  <c r="H167" i="53" s="1"/>
  <c r="H164" i="53" l="1"/>
  <c r="B303" i="53"/>
  <c r="B307" i="53"/>
  <c r="H152" i="53"/>
  <c r="H147" i="53"/>
  <c r="H156" i="53"/>
  <c r="H159" i="53"/>
  <c r="B304" i="53"/>
  <c r="B306" i="53"/>
  <c r="B305" i="53"/>
  <c r="B314" i="53"/>
  <c r="B312" i="53" l="1"/>
  <c r="B315" i="53"/>
  <c r="B311" i="53"/>
  <c r="B310" i="53"/>
  <c r="B313" i="53"/>
  <c r="B309" i="53"/>
  <c r="B308" i="53"/>
  <c r="V13" i="16" l="1"/>
  <c r="V102" i="16"/>
  <c r="O115" i="16"/>
  <c r="M115" i="16"/>
  <c r="V114" i="16" l="1"/>
  <c r="N114" i="16"/>
  <c r="V108" i="16"/>
  <c r="N108" i="16"/>
  <c r="V107" i="16"/>
  <c r="N107" i="16"/>
  <c r="V98" i="16"/>
  <c r="N98" i="16"/>
  <c r="V95" i="16"/>
  <c r="N95" i="16"/>
  <c r="V43" i="16"/>
  <c r="N43" i="16"/>
  <c r="V89" i="16"/>
  <c r="N89" i="16"/>
  <c r="V81" i="16"/>
  <c r="N81" i="16"/>
  <c r="V22" i="16"/>
  <c r="N22" i="16"/>
  <c r="V78" i="16"/>
  <c r="N78" i="16"/>
  <c r="V77" i="16"/>
  <c r="N77" i="16"/>
  <c r="V75" i="16"/>
  <c r="N75" i="16"/>
  <c r="V72" i="16"/>
  <c r="N72" i="16"/>
  <c r="V63" i="16"/>
  <c r="N63" i="16"/>
  <c r="V60" i="16"/>
  <c r="N60" i="16"/>
  <c r="V57" i="16"/>
  <c r="N57" i="16"/>
  <c r="V56" i="16"/>
  <c r="N56" i="16"/>
  <c r="V51" i="16"/>
  <c r="N51" i="16"/>
  <c r="V55" i="16"/>
  <c r="N55" i="16"/>
  <c r="V52" i="16"/>
  <c r="V105" i="16"/>
  <c r="V103" i="16"/>
  <c r="V83" i="16"/>
  <c r="V26" i="16"/>
  <c r="N26" i="16"/>
  <c r="V71" i="16"/>
  <c r="N71" i="16"/>
  <c r="V69" i="16"/>
  <c r="V70" i="16"/>
  <c r="V111" i="16"/>
  <c r="V94" i="16"/>
  <c r="V16" i="16"/>
  <c r="V85" i="16"/>
  <c r="V104" i="16"/>
  <c r="V112" i="16"/>
  <c r="N112" i="16"/>
  <c r="V96" i="16"/>
  <c r="V86" i="16"/>
  <c r="N86" i="16"/>
  <c r="V39" i="16"/>
  <c r="V101" i="16"/>
  <c r="V99" i="16"/>
  <c r="V109" i="16"/>
  <c r="N109" i="16"/>
  <c r="V93" i="16"/>
  <c r="N93" i="16"/>
  <c r="V17" i="16"/>
  <c r="V80" i="16"/>
  <c r="V84" i="16"/>
  <c r="N84" i="16"/>
  <c r="V61" i="16"/>
  <c r="N61" i="16"/>
  <c r="V67" i="16"/>
  <c r="N67" i="16"/>
  <c r="V19" i="16"/>
  <c r="N19" i="16"/>
  <c r="V28" i="16"/>
  <c r="V25" i="16"/>
  <c r="N25" i="16"/>
  <c r="V21" i="16"/>
  <c r="N21" i="16"/>
  <c r="V29" i="16"/>
  <c r="N29" i="16"/>
  <c r="V33" i="16"/>
  <c r="N33" i="16"/>
  <c r="V32" i="16"/>
  <c r="N32" i="16"/>
  <c r="V27" i="16"/>
  <c r="N27" i="16"/>
  <c r="V23" i="16"/>
  <c r="N23" i="16"/>
  <c r="V74" i="16"/>
  <c r="N74" i="16"/>
  <c r="V42" i="16"/>
  <c r="N42" i="16"/>
  <c r="V12" i="16"/>
  <c r="N12" i="16"/>
  <c r="V106" i="16"/>
  <c r="V10" i="16"/>
  <c r="N10" i="16"/>
  <c r="V41" i="16"/>
  <c r="N41" i="16"/>
  <c r="V36" i="16"/>
  <c r="N36" i="16"/>
  <c r="V15" i="16"/>
  <c r="N15" i="16"/>
  <c r="V18" i="16"/>
  <c r="N18" i="16"/>
  <c r="V35" i="16"/>
  <c r="N35" i="16"/>
  <c r="V31" i="16"/>
  <c r="N31" i="16"/>
  <c r="V88" i="16"/>
  <c r="N88" i="16"/>
  <c r="V44" i="16"/>
  <c r="N44" i="16"/>
  <c r="V14" i="16"/>
  <c r="N14" i="16"/>
  <c r="V20" i="16"/>
  <c r="N20" i="16"/>
  <c r="V34" i="16"/>
  <c r="V79" i="16"/>
  <c r="N79" i="16"/>
  <c r="V92" i="16"/>
  <c r="N92" i="16"/>
  <c r="V8" i="16"/>
  <c r="N8" i="16"/>
  <c r="V49" i="16"/>
  <c r="N49" i="16"/>
  <c r="AM115" i="16"/>
  <c r="V48" i="16"/>
  <c r="N48" i="16"/>
  <c r="AM6" i="16"/>
  <c r="AV47" i="16" l="1"/>
  <c r="AV97" i="16"/>
  <c r="AV91" i="16"/>
  <c r="AV73" i="16"/>
  <c r="AX47" i="16"/>
  <c r="AX73" i="16"/>
  <c r="AX97" i="16"/>
  <c r="AX91" i="16"/>
  <c r="AZ47" i="16"/>
  <c r="AZ73" i="16"/>
  <c r="AZ97" i="16"/>
  <c r="AZ91" i="16"/>
  <c r="BB47" i="16"/>
  <c r="BB97" i="16"/>
  <c r="BB91" i="16"/>
  <c r="BB73" i="16"/>
  <c r="BD47" i="16"/>
  <c r="BD97" i="16"/>
  <c r="BD73" i="16"/>
  <c r="BD91" i="16"/>
  <c r="AU47" i="16"/>
  <c r="AU97" i="16"/>
  <c r="AU73" i="16"/>
  <c r="AU91" i="16"/>
  <c r="AY47" i="16"/>
  <c r="AY97" i="16"/>
  <c r="AY73" i="16"/>
  <c r="AY91" i="16"/>
  <c r="BA47" i="16"/>
  <c r="BA73" i="16"/>
  <c r="BA91" i="16"/>
  <c r="BA97" i="16"/>
  <c r="BC47" i="16"/>
  <c r="BC73" i="16"/>
  <c r="BC97" i="16"/>
  <c r="BC91" i="16"/>
  <c r="AY68" i="16"/>
  <c r="AY90" i="16"/>
  <c r="AY65" i="16"/>
  <c r="AY64" i="16"/>
  <c r="AY100" i="16"/>
  <c r="AY110" i="16"/>
  <c r="AY59" i="16"/>
  <c r="AY82" i="16"/>
  <c r="AY7" i="16"/>
  <c r="AV68" i="16"/>
  <c r="AV90" i="16"/>
  <c r="AV65" i="16"/>
  <c r="AV64" i="16"/>
  <c r="AV100" i="16"/>
  <c r="AV110" i="16"/>
  <c r="AV82" i="16"/>
  <c r="AV59" i="16"/>
  <c r="AV7" i="16"/>
  <c r="AX68" i="16"/>
  <c r="AX90" i="16"/>
  <c r="AX65" i="16"/>
  <c r="AX64" i="16"/>
  <c r="AX100" i="16"/>
  <c r="AX110" i="16"/>
  <c r="AX7" i="16"/>
  <c r="AX82" i="16"/>
  <c r="AX59" i="16"/>
  <c r="AZ68" i="16"/>
  <c r="AZ90" i="16"/>
  <c r="AZ65" i="16"/>
  <c r="AZ64" i="16"/>
  <c r="AZ100" i="16"/>
  <c r="AZ110" i="16"/>
  <c r="AZ59" i="16"/>
  <c r="AZ82" i="16"/>
  <c r="AZ7" i="16"/>
  <c r="BB68" i="16"/>
  <c r="BB90" i="16"/>
  <c r="BB64" i="16"/>
  <c r="BB65" i="16"/>
  <c r="BB100" i="16"/>
  <c r="BB110" i="16"/>
  <c r="BB59" i="16"/>
  <c r="BB82" i="16"/>
  <c r="BB7" i="16"/>
  <c r="BD68" i="16"/>
  <c r="BD90" i="16"/>
  <c r="BD65" i="16"/>
  <c r="BD64" i="16"/>
  <c r="BD100" i="16"/>
  <c r="BD110" i="16"/>
  <c r="BD59" i="16"/>
  <c r="BD82" i="16"/>
  <c r="BD7" i="16"/>
  <c r="AU68" i="16"/>
  <c r="AU90" i="16"/>
  <c r="AU65" i="16"/>
  <c r="AU64" i="16"/>
  <c r="AU100" i="16"/>
  <c r="AU110" i="16"/>
  <c r="AU59" i="16"/>
  <c r="AU82" i="16"/>
  <c r="AU7" i="16"/>
  <c r="BA68" i="16"/>
  <c r="BA90" i="16"/>
  <c r="BA65" i="16"/>
  <c r="BA64" i="16"/>
  <c r="BA100" i="16"/>
  <c r="BA82" i="16"/>
  <c r="BA59" i="16"/>
  <c r="BA7" i="16"/>
  <c r="BA110" i="16"/>
  <c r="BC68" i="16"/>
  <c r="BC90" i="16"/>
  <c r="BC65" i="16"/>
  <c r="BC100" i="16"/>
  <c r="BC64" i="16"/>
  <c r="BC110" i="16"/>
  <c r="BC82" i="16"/>
  <c r="BC59" i="16"/>
  <c r="BC7" i="16"/>
  <c r="AV54" i="16"/>
  <c r="AV62" i="16"/>
  <c r="AV40" i="16"/>
  <c r="AV50" i="16"/>
  <c r="AV66" i="16"/>
  <c r="AV53" i="16"/>
  <c r="AV87" i="16"/>
  <c r="AV45" i="16"/>
  <c r="AV113" i="16"/>
  <c r="AX54" i="16"/>
  <c r="AX62" i="16"/>
  <c r="AX87" i="16"/>
  <c r="AX66" i="16"/>
  <c r="AX50" i="16"/>
  <c r="AX45" i="16"/>
  <c r="AX53" i="16"/>
  <c r="AX113" i="16"/>
  <c r="AX40" i="16"/>
  <c r="AZ54" i="16"/>
  <c r="AZ62" i="16"/>
  <c r="AZ87" i="16"/>
  <c r="AZ45" i="16"/>
  <c r="AZ53" i="16"/>
  <c r="AZ66" i="16"/>
  <c r="AZ50" i="16"/>
  <c r="AZ40" i="16"/>
  <c r="AZ113" i="16"/>
  <c r="BB54" i="16"/>
  <c r="BB62" i="16"/>
  <c r="BB87" i="16"/>
  <c r="BB45" i="16"/>
  <c r="BB66" i="16"/>
  <c r="BB50" i="16"/>
  <c r="BB53" i="16"/>
  <c r="BB113" i="16"/>
  <c r="BB40" i="16"/>
  <c r="BD54" i="16"/>
  <c r="BD62" i="16"/>
  <c r="BD66" i="16"/>
  <c r="BD87" i="16"/>
  <c r="BD53" i="16"/>
  <c r="BD45" i="16"/>
  <c r="BD50" i="16"/>
  <c r="BD40" i="16"/>
  <c r="BD113" i="16"/>
  <c r="BD102" i="16"/>
  <c r="AU54" i="16"/>
  <c r="AU62" i="16"/>
  <c r="AU53" i="16"/>
  <c r="AU50" i="16"/>
  <c r="AU45" i="16"/>
  <c r="AU87" i="16"/>
  <c r="AU66" i="16"/>
  <c r="AU40" i="16"/>
  <c r="AU113" i="16"/>
  <c r="AU102" i="16"/>
  <c r="AY62" i="16"/>
  <c r="AY54" i="16"/>
  <c r="AY53" i="16"/>
  <c r="AY87" i="16"/>
  <c r="AY66" i="16"/>
  <c r="AY50" i="16"/>
  <c r="AY45" i="16"/>
  <c r="AY113" i="16"/>
  <c r="AY40" i="16"/>
  <c r="BA62" i="16"/>
  <c r="BA54" i="16"/>
  <c r="BA87" i="16"/>
  <c r="BA50" i="16"/>
  <c r="BA53" i="16"/>
  <c r="BA45" i="16"/>
  <c r="BA66" i="16"/>
  <c r="BA40" i="16"/>
  <c r="BA113" i="16"/>
  <c r="BC62" i="16"/>
  <c r="BC54" i="16"/>
  <c r="BC87" i="16"/>
  <c r="BC66" i="16"/>
  <c r="BC50" i="16"/>
  <c r="BC53" i="16"/>
  <c r="BC45" i="16"/>
  <c r="BC40" i="16"/>
  <c r="BC113" i="16"/>
  <c r="N115" i="16"/>
  <c r="AM116" i="16"/>
  <c r="L2" i="7"/>
  <c r="A1" i="69"/>
  <c r="H1" i="8"/>
  <c r="A1" i="50" l="1"/>
  <c r="A1" i="53"/>
  <c r="AU92" i="16"/>
  <c r="AU79" i="16"/>
  <c r="AU34" i="16"/>
  <c r="AU20" i="16"/>
  <c r="AU14" i="16"/>
  <c r="AU44" i="16"/>
  <c r="AU88" i="16"/>
  <c r="AU35" i="16"/>
  <c r="AU41" i="16"/>
  <c r="AU106" i="16"/>
  <c r="AU23" i="16"/>
  <c r="AU32" i="16"/>
  <c r="AU25" i="16"/>
  <c r="AU19" i="16"/>
  <c r="AU61" i="16"/>
  <c r="AU80" i="16"/>
  <c r="AU93" i="16"/>
  <c r="AU99" i="16"/>
  <c r="AU104" i="16"/>
  <c r="AU111" i="16"/>
  <c r="AU69" i="16"/>
  <c r="AU26" i="16"/>
  <c r="AU103" i="16"/>
  <c r="AU52" i="16"/>
  <c r="AU51" i="16"/>
  <c r="AU57" i="16"/>
  <c r="AU63" i="16"/>
  <c r="AU75" i="16"/>
  <c r="AU78" i="16"/>
  <c r="AU81" i="16"/>
  <c r="AU43" i="16"/>
  <c r="AU98" i="16"/>
  <c r="AU108" i="16"/>
  <c r="AU74" i="16"/>
  <c r="AU33" i="16"/>
  <c r="AU21" i="16"/>
  <c r="AU28" i="16"/>
  <c r="AU67" i="16"/>
  <c r="AU84" i="16"/>
  <c r="AU109" i="16"/>
  <c r="AU101" i="16"/>
  <c r="AU86" i="16"/>
  <c r="AU112" i="16"/>
  <c r="AU85" i="16"/>
  <c r="AU94" i="16"/>
  <c r="AU70" i="16"/>
  <c r="AU71" i="16"/>
  <c r="AU83" i="16"/>
  <c r="AU105" i="16"/>
  <c r="AU55" i="16"/>
  <c r="AU56" i="16"/>
  <c r="AU60" i="16"/>
  <c r="AU72" i="16"/>
  <c r="AU77" i="16"/>
  <c r="AU22" i="16"/>
  <c r="AU89" i="16"/>
  <c r="AU95" i="16"/>
  <c r="AU107" i="16"/>
  <c r="AU114" i="16"/>
  <c r="B312" i="50" l="1"/>
  <c r="B301" i="50"/>
  <c r="B303" i="50"/>
  <c r="B305" i="50"/>
  <c r="B307" i="50"/>
  <c r="B309" i="50"/>
  <c r="B311" i="50"/>
  <c r="B300" i="50"/>
  <c r="B302" i="50"/>
  <c r="B304" i="50"/>
  <c r="B306" i="50"/>
  <c r="B308" i="50"/>
  <c r="B310" i="50"/>
  <c r="AZ102" i="16"/>
  <c r="AZ44" i="16"/>
  <c r="AZ21" i="16"/>
  <c r="AZ67" i="16"/>
  <c r="AZ101" i="16"/>
  <c r="AZ79" i="16"/>
  <c r="AZ14" i="16"/>
  <c r="AZ106" i="16"/>
  <c r="AZ23" i="16"/>
  <c r="AZ19" i="16"/>
  <c r="AZ80" i="16"/>
  <c r="AZ99" i="16"/>
  <c r="AZ16" i="16"/>
  <c r="AZ69" i="16"/>
  <c r="AZ103" i="16"/>
  <c r="AZ51" i="16"/>
  <c r="AZ63" i="16"/>
  <c r="AZ78" i="16"/>
  <c r="AZ43" i="16"/>
  <c r="AZ108" i="16"/>
  <c r="AZ107" i="16"/>
  <c r="AZ86" i="16"/>
  <c r="AZ85" i="16"/>
  <c r="AZ70" i="16"/>
  <c r="AZ83" i="16"/>
  <c r="AZ55" i="16"/>
  <c r="AZ60" i="16"/>
  <c r="AZ77" i="16"/>
  <c r="AZ89" i="16"/>
  <c r="AZ92" i="16"/>
  <c r="AZ20" i="16"/>
  <c r="AZ88" i="16"/>
  <c r="AZ74" i="16"/>
  <c r="AZ28" i="16"/>
  <c r="AZ109" i="16"/>
  <c r="AZ34" i="16"/>
  <c r="AZ35" i="16"/>
  <c r="AZ25" i="16"/>
  <c r="AZ93" i="16"/>
  <c r="AZ104" i="16"/>
  <c r="AZ26" i="16"/>
  <c r="AZ57" i="16"/>
  <c r="AZ81" i="16"/>
  <c r="AZ112" i="16"/>
  <c r="AZ71" i="16"/>
  <c r="AZ56" i="16"/>
  <c r="AZ22" i="16"/>
  <c r="AZ33" i="16"/>
  <c r="AZ84" i="16"/>
  <c r="AZ41" i="16"/>
  <c r="AZ32" i="16"/>
  <c r="AZ61" i="16"/>
  <c r="AZ111" i="16"/>
  <c r="AZ52" i="16"/>
  <c r="AZ75" i="16"/>
  <c r="AZ98" i="16"/>
  <c r="AZ114" i="16"/>
  <c r="AZ94" i="16"/>
  <c r="AZ105" i="16"/>
  <c r="AZ72" i="16"/>
  <c r="AZ95" i="16"/>
  <c r="AY34" i="16"/>
  <c r="AY35" i="16"/>
  <c r="AY41" i="16"/>
  <c r="AY32" i="16"/>
  <c r="AY25" i="16"/>
  <c r="AY61" i="16"/>
  <c r="AY93" i="16"/>
  <c r="AY92" i="16"/>
  <c r="AY20" i="16"/>
  <c r="AY88" i="16"/>
  <c r="AY74" i="16"/>
  <c r="AY33" i="16"/>
  <c r="AY28" i="16"/>
  <c r="AY84" i="16"/>
  <c r="AY109" i="16"/>
  <c r="AY86" i="16"/>
  <c r="AY85" i="16"/>
  <c r="AY70" i="16"/>
  <c r="AY83" i="16"/>
  <c r="AY55" i="16"/>
  <c r="AY60" i="16"/>
  <c r="AY77" i="16"/>
  <c r="AY89" i="16"/>
  <c r="AY107" i="16"/>
  <c r="AY16" i="16"/>
  <c r="AY69" i="16"/>
  <c r="AY103" i="16"/>
  <c r="AY51" i="16"/>
  <c r="AY63" i="16"/>
  <c r="AY78" i="16"/>
  <c r="AY43" i="16"/>
  <c r="AY108" i="16"/>
  <c r="AY102" i="16"/>
  <c r="AY79" i="16"/>
  <c r="AY14" i="16"/>
  <c r="AY106" i="16"/>
  <c r="AY23" i="16"/>
  <c r="AY19" i="16"/>
  <c r="AY80" i="16"/>
  <c r="AY99" i="16"/>
  <c r="AY44" i="16"/>
  <c r="AY21" i="16"/>
  <c r="AY67" i="16"/>
  <c r="AY101" i="16"/>
  <c r="AY112" i="16"/>
  <c r="AY94" i="16"/>
  <c r="AY71" i="16"/>
  <c r="AY105" i="16"/>
  <c r="AY56" i="16"/>
  <c r="AY72" i="16"/>
  <c r="AY22" i="16"/>
  <c r="AY95" i="16"/>
  <c r="AY114" i="16"/>
  <c r="AY104" i="16"/>
  <c r="AY111" i="16"/>
  <c r="AY26" i="16"/>
  <c r="AY52" i="16"/>
  <c r="AY57" i="16"/>
  <c r="AY75" i="16"/>
  <c r="AY81" i="16"/>
  <c r="AY98" i="16"/>
  <c r="BB102" i="16"/>
  <c r="BB44" i="16"/>
  <c r="BB92" i="16"/>
  <c r="BB88" i="16"/>
  <c r="BB21" i="16"/>
  <c r="BB67" i="16"/>
  <c r="BB101" i="16"/>
  <c r="BB112" i="16"/>
  <c r="BB94" i="16"/>
  <c r="BB71" i="16"/>
  <c r="BB105" i="16"/>
  <c r="BB56" i="16"/>
  <c r="BB72" i="16"/>
  <c r="BB22" i="16"/>
  <c r="BB95" i="16"/>
  <c r="BB114" i="16"/>
  <c r="BB79" i="16"/>
  <c r="BB14" i="16"/>
  <c r="BB106" i="16"/>
  <c r="BB23" i="16"/>
  <c r="BB19" i="16"/>
  <c r="BB80" i="16"/>
  <c r="BB99" i="16"/>
  <c r="BB16" i="16"/>
  <c r="BB69" i="16"/>
  <c r="BB103" i="16"/>
  <c r="BB51" i="16"/>
  <c r="BB63" i="16"/>
  <c r="BB78" i="16"/>
  <c r="BB43" i="16"/>
  <c r="BB108" i="16"/>
  <c r="BB20" i="16"/>
  <c r="BB74" i="16"/>
  <c r="BB33" i="16"/>
  <c r="BB28" i="16"/>
  <c r="BB84" i="16"/>
  <c r="BB109" i="16"/>
  <c r="BB86" i="16"/>
  <c r="BB85" i="16"/>
  <c r="BB70" i="16"/>
  <c r="BB83" i="16"/>
  <c r="BB55" i="16"/>
  <c r="BB60" i="16"/>
  <c r="BB77" i="16"/>
  <c r="BB89" i="16"/>
  <c r="BB107" i="16"/>
  <c r="BB34" i="16"/>
  <c r="BB35" i="16"/>
  <c r="BB41" i="16"/>
  <c r="BB32" i="16"/>
  <c r="BB25" i="16"/>
  <c r="BB61" i="16"/>
  <c r="BB93" i="16"/>
  <c r="BB104" i="16"/>
  <c r="BB111" i="16"/>
  <c r="BB26" i="16"/>
  <c r="BB52" i="16"/>
  <c r="BB57" i="16"/>
  <c r="BB75" i="16"/>
  <c r="BB81" i="16"/>
  <c r="BB98" i="16"/>
  <c r="BA34" i="16"/>
  <c r="BA35" i="16"/>
  <c r="BA41" i="16"/>
  <c r="BA32" i="16"/>
  <c r="BA25" i="16"/>
  <c r="BA61" i="16"/>
  <c r="BA102" i="16"/>
  <c r="BA14" i="16"/>
  <c r="BA23" i="16"/>
  <c r="BA19" i="16"/>
  <c r="BA93" i="16"/>
  <c r="BA92" i="16"/>
  <c r="BA20" i="16"/>
  <c r="BA88" i="16"/>
  <c r="BA74" i="16"/>
  <c r="BA33" i="16"/>
  <c r="BA28" i="16"/>
  <c r="BA84" i="16"/>
  <c r="BA112" i="16"/>
  <c r="BA94" i="16"/>
  <c r="BA71" i="16"/>
  <c r="BA105" i="16"/>
  <c r="BA56" i="16"/>
  <c r="BA72" i="16"/>
  <c r="BA22" i="16"/>
  <c r="BA95" i="16"/>
  <c r="BA114" i="16"/>
  <c r="BA109" i="16"/>
  <c r="BA16" i="16"/>
  <c r="BA69" i="16"/>
  <c r="BA103" i="16"/>
  <c r="BA51" i="16"/>
  <c r="BA63" i="16"/>
  <c r="BA78" i="16"/>
  <c r="BA43" i="16"/>
  <c r="BA79" i="16"/>
  <c r="BA106" i="16"/>
  <c r="BA80" i="16"/>
  <c r="BA99" i="16"/>
  <c r="BA44" i="16"/>
  <c r="BA21" i="16"/>
  <c r="BA67" i="16"/>
  <c r="BA86" i="16"/>
  <c r="BA85" i="16"/>
  <c r="BA70" i="16"/>
  <c r="BA83" i="16"/>
  <c r="BA55" i="16"/>
  <c r="BA60" i="16"/>
  <c r="BA77" i="16"/>
  <c r="BA89" i="16"/>
  <c r="BA107" i="16"/>
  <c r="BA108" i="16"/>
  <c r="BA101" i="16"/>
  <c r="BA104" i="16"/>
  <c r="BA111" i="16"/>
  <c r="BA26" i="16"/>
  <c r="BA52" i="16"/>
  <c r="BA57" i="16"/>
  <c r="BA75" i="16"/>
  <c r="BA81" i="16"/>
  <c r="BA98" i="16"/>
  <c r="BC92" i="16"/>
  <c r="BC20" i="16"/>
  <c r="BC44" i="16"/>
  <c r="BC88" i="16"/>
  <c r="BC74" i="16"/>
  <c r="BC33" i="16"/>
  <c r="BC28" i="16"/>
  <c r="BC84" i="16"/>
  <c r="BC109" i="16"/>
  <c r="BC86" i="16"/>
  <c r="BC85" i="16"/>
  <c r="BC70" i="16"/>
  <c r="BC83" i="16"/>
  <c r="BC55" i="16"/>
  <c r="BC60" i="16"/>
  <c r="BC77" i="16"/>
  <c r="BC89" i="16"/>
  <c r="BC107" i="16"/>
  <c r="BC41" i="16"/>
  <c r="BC32" i="16"/>
  <c r="BC25" i="16"/>
  <c r="BC61" i="16"/>
  <c r="BC93" i="16"/>
  <c r="BC104" i="16"/>
  <c r="BC111" i="16"/>
  <c r="BC26" i="16"/>
  <c r="BC52" i="16"/>
  <c r="BC57" i="16"/>
  <c r="BC75" i="16"/>
  <c r="BC81" i="16"/>
  <c r="BC98" i="16"/>
  <c r="BC102" i="16"/>
  <c r="BC79" i="16"/>
  <c r="BC34" i="16"/>
  <c r="BC14" i="16"/>
  <c r="BC35" i="16"/>
  <c r="BC21" i="16"/>
  <c r="BC67" i="16"/>
  <c r="BC101" i="16"/>
  <c r="BC112" i="16"/>
  <c r="BC94" i="16"/>
  <c r="BC71" i="16"/>
  <c r="BC105" i="16"/>
  <c r="BC56" i="16"/>
  <c r="BC72" i="16"/>
  <c r="BC22" i="16"/>
  <c r="BC95" i="16"/>
  <c r="BC114" i="16"/>
  <c r="BC106" i="16"/>
  <c r="BC23" i="16"/>
  <c r="BC19" i="16"/>
  <c r="BC99" i="16"/>
  <c r="BC16" i="16"/>
  <c r="BC103" i="16"/>
  <c r="BC63" i="16"/>
  <c r="BC43" i="16"/>
  <c r="BC80" i="16"/>
  <c r="BC69" i="16"/>
  <c r="BC51" i="16"/>
  <c r="BC78" i="16"/>
  <c r="BC108" i="16"/>
  <c r="AW58" i="16" l="1"/>
  <c r="AT58" i="16" s="1"/>
  <c r="AW27" i="16"/>
  <c r="AT27" i="16" s="1"/>
  <c r="AW31" i="16"/>
  <c r="AT31" i="16" s="1"/>
  <c r="AW42" i="16"/>
  <c r="AT42" i="16" s="1"/>
  <c r="AW9" i="16"/>
  <c r="AT9" i="16" s="1"/>
  <c r="AK111" i="16"/>
  <c r="AW48" i="16"/>
  <c r="AT48" i="16" s="1"/>
  <c r="AW49" i="16"/>
  <c r="AT49" i="16" s="1"/>
  <c r="AW17" i="16"/>
  <c r="AT17" i="16" s="1"/>
  <c r="AK79" i="16"/>
  <c r="AK21" i="16"/>
  <c r="AW39" i="16"/>
  <c r="AT39" i="16" s="1"/>
  <c r="AW10" i="16"/>
  <c r="AT10" i="16" s="1"/>
  <c r="AW36" i="16"/>
  <c r="AT36" i="16" s="1"/>
  <c r="AW15" i="16"/>
  <c r="AT15" i="16" s="1"/>
  <c r="AK41" i="16"/>
  <c r="AW12" i="16"/>
  <c r="AT12" i="16" s="1"/>
  <c r="AW29" i="16"/>
  <c r="AT29" i="16" s="1"/>
  <c r="AK109" i="16"/>
  <c r="AK34" i="16"/>
  <c r="AK23" i="16"/>
  <c r="AK93" i="16"/>
  <c r="AK57" i="16"/>
  <c r="AK71" i="16"/>
  <c r="AW13" i="16"/>
  <c r="AT13" i="16" s="1"/>
  <c r="AK77" i="16"/>
  <c r="AW96" i="16"/>
  <c r="AT96" i="16" s="1"/>
  <c r="AW11" i="16"/>
  <c r="AT11" i="16" s="1"/>
  <c r="AW8" i="16"/>
  <c r="AT8" i="16" s="1"/>
  <c r="AK39" i="16"/>
  <c r="AK22" i="16"/>
  <c r="AK29" i="16"/>
  <c r="AK52" i="16"/>
  <c r="AK80" i="16"/>
  <c r="AK95" i="16"/>
  <c r="AK48" i="16"/>
  <c r="AK26" i="16"/>
  <c r="AK19" i="16"/>
  <c r="AK14" i="16"/>
  <c r="AK84" i="16"/>
  <c r="AK33" i="16"/>
  <c r="AK88" i="16"/>
  <c r="AK92" i="16"/>
  <c r="AK51" i="16"/>
  <c r="AK25" i="16"/>
  <c r="AK42" i="16"/>
  <c r="AK35" i="16"/>
  <c r="AK27" i="16"/>
  <c r="AK36" i="16"/>
  <c r="AK44" i="16"/>
  <c r="AK98" i="16"/>
  <c r="AK75" i="16"/>
  <c r="AK31" i="16"/>
  <c r="AK74" i="16"/>
  <c r="AK20" i="16"/>
  <c r="AK61" i="16"/>
  <c r="AK32" i="16"/>
  <c r="AK89" i="16"/>
  <c r="AK60" i="16"/>
  <c r="AK83" i="16"/>
  <c r="AK85" i="16"/>
  <c r="AK28" i="16"/>
  <c r="AK13" i="16"/>
  <c r="AK56" i="16"/>
  <c r="AK112" i="16"/>
  <c r="AK107" i="16"/>
  <c r="AK43" i="16"/>
  <c r="AK63" i="16"/>
  <c r="AK103" i="16"/>
  <c r="AK102" i="16"/>
  <c r="AK55" i="16"/>
  <c r="AK81" i="16"/>
  <c r="AK86" i="16"/>
  <c r="AK72" i="16"/>
  <c r="AK105" i="16"/>
  <c r="AK78" i="16"/>
  <c r="AK69" i="16"/>
  <c r="AK96" i="16"/>
  <c r="AK101" i="16"/>
  <c r="AK67" i="16"/>
  <c r="AX114" i="16"/>
  <c r="AX77" i="16"/>
  <c r="AX55" i="16"/>
  <c r="AX70" i="16"/>
  <c r="AX81" i="16"/>
  <c r="AX57" i="16"/>
  <c r="AX26" i="16"/>
  <c r="AX104" i="16"/>
  <c r="AX19" i="16"/>
  <c r="AX23" i="16"/>
  <c r="AX86" i="16"/>
  <c r="AX84" i="16"/>
  <c r="AX33" i="16"/>
  <c r="AX88" i="16"/>
  <c r="AX92" i="16"/>
  <c r="AX95" i="16"/>
  <c r="AX72" i="16"/>
  <c r="AX105" i="16"/>
  <c r="AX94" i="16"/>
  <c r="AX99" i="16"/>
  <c r="AX108" i="16"/>
  <c r="AX78" i="16"/>
  <c r="AX51" i="16"/>
  <c r="AX69" i="16"/>
  <c r="AX25" i="16"/>
  <c r="AX35" i="16"/>
  <c r="AX34" i="16"/>
  <c r="AX101" i="16"/>
  <c r="AX67" i="16"/>
  <c r="AX44" i="16"/>
  <c r="AX89" i="16"/>
  <c r="AX60" i="16"/>
  <c r="AX83" i="16"/>
  <c r="AX85" i="16"/>
  <c r="AX93" i="16"/>
  <c r="AX98" i="16"/>
  <c r="AX75" i="16"/>
  <c r="AX52" i="16"/>
  <c r="AX111" i="16"/>
  <c r="AX80" i="16"/>
  <c r="AX106" i="16"/>
  <c r="AX79" i="16"/>
  <c r="AX109" i="16"/>
  <c r="AX28" i="16"/>
  <c r="AX74" i="16"/>
  <c r="AX20" i="16"/>
  <c r="AX22" i="16"/>
  <c r="AX56" i="16"/>
  <c r="AX71" i="16"/>
  <c r="AX112" i="16"/>
  <c r="AX107" i="16"/>
  <c r="AX43" i="16"/>
  <c r="AX63" i="16"/>
  <c r="AX103" i="16"/>
  <c r="AX16" i="16"/>
  <c r="AX61" i="16"/>
  <c r="AX32" i="16"/>
  <c r="AX41" i="16"/>
  <c r="AX21" i="16"/>
  <c r="AX102" i="16"/>
  <c r="AX14" i="16"/>
  <c r="AF115" i="16"/>
  <c r="I17" i="8" s="1"/>
  <c r="AC115" i="16"/>
  <c r="I9" i="8" s="1"/>
  <c r="AG115" i="16"/>
  <c r="I18" i="8" s="1"/>
  <c r="AD115" i="16"/>
  <c r="AE115" i="16"/>
  <c r="AH115" i="16"/>
  <c r="I21" i="8" s="1"/>
  <c r="AK12" i="16" l="1"/>
  <c r="AK49" i="16"/>
  <c r="AK10" i="16"/>
  <c r="AK15" i="16"/>
  <c r="AN24" i="16"/>
  <c r="AW24" i="16"/>
  <c r="AT24" i="16" s="1"/>
  <c r="R24" i="16"/>
  <c r="AK24" i="16"/>
  <c r="AO24" i="16"/>
  <c r="AP24" i="16"/>
  <c r="T24" i="16"/>
  <c r="AW38" i="16"/>
  <c r="AT38" i="16" s="1"/>
  <c r="AK38" i="16"/>
  <c r="R38" i="16"/>
  <c r="AN38" i="16"/>
  <c r="AJ38" i="16" s="1"/>
  <c r="AP38" i="16"/>
  <c r="AO38" i="16"/>
  <c r="AW30" i="16"/>
  <c r="AT30" i="16" s="1"/>
  <c r="R30" i="16"/>
  <c r="AP30" i="16"/>
  <c r="AK30" i="16"/>
  <c r="AN30" i="16"/>
  <c r="AO30" i="16"/>
  <c r="AK17" i="16"/>
  <c r="AW18" i="16"/>
  <c r="AT18" i="16" s="1"/>
  <c r="AK18" i="16"/>
  <c r="AN18" i="16"/>
  <c r="I15" i="8"/>
  <c r="AO18" i="16"/>
  <c r="AP18" i="16"/>
  <c r="I13" i="8"/>
  <c r="AC116" i="16"/>
  <c r="AP8" i="16"/>
  <c r="AO8" i="16"/>
  <c r="R8" i="16"/>
  <c r="R108" i="16"/>
  <c r="A108" i="16" s="1"/>
  <c r="AO108" i="16"/>
  <c r="AP108" i="16"/>
  <c r="R104" i="16"/>
  <c r="A104" i="16" s="1"/>
  <c r="AO104" i="16"/>
  <c r="AP104" i="16"/>
  <c r="R99" i="16"/>
  <c r="A99" i="16" s="1"/>
  <c r="AP99" i="16"/>
  <c r="AO99" i="16"/>
  <c r="R94" i="16"/>
  <c r="A94" i="16" s="1"/>
  <c r="AP94" i="16"/>
  <c r="AO94" i="16"/>
  <c r="R82" i="16"/>
  <c r="A82" i="16" s="1"/>
  <c r="AP82" i="16"/>
  <c r="AO82" i="16"/>
  <c r="R77" i="16"/>
  <c r="A77" i="16" s="1"/>
  <c r="AO77" i="16"/>
  <c r="AP77" i="16"/>
  <c r="R71" i="16"/>
  <c r="A71" i="16" s="1"/>
  <c r="AO71" i="16"/>
  <c r="AP71" i="16"/>
  <c r="R65" i="16"/>
  <c r="A65" i="16" s="1"/>
  <c r="AP65" i="16"/>
  <c r="AO65" i="16"/>
  <c r="R57" i="16"/>
  <c r="A57" i="16" s="1"/>
  <c r="AP57" i="16"/>
  <c r="AO57" i="16"/>
  <c r="R87" i="16"/>
  <c r="A87" i="16" s="1"/>
  <c r="AO87" i="16"/>
  <c r="AP87" i="16"/>
  <c r="R53" i="16"/>
  <c r="A53" i="16" s="1"/>
  <c r="AP53" i="16"/>
  <c r="AO53" i="16"/>
  <c r="R93" i="16"/>
  <c r="A93" i="16" s="1"/>
  <c r="AP93" i="16"/>
  <c r="AO93" i="16"/>
  <c r="R68" i="16"/>
  <c r="A68" i="16" s="1"/>
  <c r="AP68" i="16"/>
  <c r="AO68" i="16"/>
  <c r="R91" i="16"/>
  <c r="A91" i="16" s="1"/>
  <c r="AO91" i="16"/>
  <c r="AP91" i="16"/>
  <c r="R47" i="16"/>
  <c r="AO47" i="16"/>
  <c r="AP47" i="16"/>
  <c r="R23" i="16"/>
  <c r="AG11" i="105" s="1"/>
  <c r="AP23" i="16"/>
  <c r="AO23" i="16"/>
  <c r="R34" i="16"/>
  <c r="AE7" i="106" s="1"/>
  <c r="AP34" i="16"/>
  <c r="AO34" i="16"/>
  <c r="R109" i="16"/>
  <c r="A109" i="16" s="1"/>
  <c r="AO109" i="16"/>
  <c r="AP109" i="16"/>
  <c r="R40" i="16"/>
  <c r="AG16" i="105" s="1"/>
  <c r="AO40" i="16"/>
  <c r="AP40" i="16"/>
  <c r="R12" i="16"/>
  <c r="AP12" i="16"/>
  <c r="AO12" i="16"/>
  <c r="R41" i="16"/>
  <c r="AP41" i="16"/>
  <c r="AO41" i="16"/>
  <c r="R15" i="16"/>
  <c r="AP15" i="16"/>
  <c r="AO15" i="16"/>
  <c r="R19" i="16"/>
  <c r="AE12" i="105" s="1"/>
  <c r="AP19" i="16"/>
  <c r="AO19" i="16"/>
  <c r="R10" i="16"/>
  <c r="AP10" i="16"/>
  <c r="AO10" i="16"/>
  <c r="R21" i="16"/>
  <c r="AE19" i="103" s="1"/>
  <c r="AP21" i="16"/>
  <c r="AO21" i="16"/>
  <c r="R79" i="16"/>
  <c r="A79" i="16" s="1"/>
  <c r="AO79" i="16"/>
  <c r="AP79" i="16"/>
  <c r="R17" i="16"/>
  <c r="AO17" i="16"/>
  <c r="AP17" i="16"/>
  <c r="R49" i="16"/>
  <c r="AK9" i="106" s="1"/>
  <c r="AP49" i="16"/>
  <c r="AO49" i="16"/>
  <c r="R88" i="16"/>
  <c r="A88" i="16" s="1"/>
  <c r="AO88" i="16"/>
  <c r="AP88" i="16"/>
  <c r="R111" i="16"/>
  <c r="A111" i="16" s="1"/>
  <c r="AP111" i="16"/>
  <c r="AO111" i="16"/>
  <c r="R105" i="16"/>
  <c r="A105" i="16" s="1"/>
  <c r="AO105" i="16"/>
  <c r="AP105" i="16"/>
  <c r="R101" i="16"/>
  <c r="A101" i="16" s="1"/>
  <c r="AP101" i="16"/>
  <c r="AO101" i="16"/>
  <c r="R95" i="16"/>
  <c r="A95" i="16" s="1"/>
  <c r="AP95" i="16"/>
  <c r="AO95" i="16"/>
  <c r="R83" i="16"/>
  <c r="A83" i="16" s="1"/>
  <c r="AP83" i="16"/>
  <c r="AO83" i="16"/>
  <c r="R78" i="16"/>
  <c r="A78" i="16" s="1"/>
  <c r="AO78" i="16"/>
  <c r="AP78" i="16"/>
  <c r="R72" i="16"/>
  <c r="A72" i="16" s="1"/>
  <c r="AP72" i="16"/>
  <c r="AO72" i="16"/>
  <c r="R67" i="16"/>
  <c r="A67" i="16" s="1"/>
  <c r="AP67" i="16"/>
  <c r="AO67" i="16"/>
  <c r="R59" i="16"/>
  <c r="A59" i="16" s="1"/>
  <c r="AP59" i="16"/>
  <c r="AO59" i="16"/>
  <c r="R100" i="16"/>
  <c r="A100" i="16" s="1"/>
  <c r="AO100" i="16"/>
  <c r="AP100" i="16"/>
  <c r="R64" i="16"/>
  <c r="A64" i="16" s="1"/>
  <c r="AP64" i="16"/>
  <c r="AO64" i="16"/>
  <c r="R113" i="16"/>
  <c r="AP113" i="16"/>
  <c r="AO113" i="16"/>
  <c r="R73" i="16"/>
  <c r="A73" i="16" s="1"/>
  <c r="AP73" i="16"/>
  <c r="AO73" i="16"/>
  <c r="R61" i="16"/>
  <c r="AO61" i="16"/>
  <c r="AP61" i="16"/>
  <c r="R89" i="16"/>
  <c r="A89" i="16" s="1"/>
  <c r="AP89" i="16"/>
  <c r="AO89" i="16"/>
  <c r="R9" i="16"/>
  <c r="AG8" i="105" s="1"/>
  <c r="AO9" i="16"/>
  <c r="AP9" i="16"/>
  <c r="R43" i="16"/>
  <c r="AP43" i="16"/>
  <c r="AO43" i="16"/>
  <c r="R28" i="16"/>
  <c r="AG13" i="104" s="1"/>
  <c r="AP28" i="16"/>
  <c r="AO28" i="16"/>
  <c r="R25" i="16"/>
  <c r="AO25" i="16"/>
  <c r="AP25" i="16"/>
  <c r="R92" i="16"/>
  <c r="A92" i="16" s="1"/>
  <c r="AP92" i="16"/>
  <c r="AO92" i="16"/>
  <c r="R27" i="16"/>
  <c r="AP27" i="16"/>
  <c r="AO27" i="16"/>
  <c r="R32" i="16"/>
  <c r="AO32" i="16"/>
  <c r="AP32" i="16"/>
  <c r="R46" i="16"/>
  <c r="AE15" i="103" s="1"/>
  <c r="AP46" i="16"/>
  <c r="AO46" i="16"/>
  <c r="R11" i="16"/>
  <c r="AP11" i="16"/>
  <c r="AO11" i="16"/>
  <c r="R102" i="16"/>
  <c r="A102" i="16" s="1"/>
  <c r="AP102" i="16"/>
  <c r="AO102" i="16"/>
  <c r="R96" i="16"/>
  <c r="AE7" i="105" s="1"/>
  <c r="AO96" i="16"/>
  <c r="AP96" i="16"/>
  <c r="R86" i="16"/>
  <c r="AO86" i="16"/>
  <c r="AP86" i="16"/>
  <c r="R80" i="16"/>
  <c r="A80" i="16" s="1"/>
  <c r="AP80" i="16"/>
  <c r="AO80" i="16"/>
  <c r="R13" i="16"/>
  <c r="AO13" i="16"/>
  <c r="AP13" i="16"/>
  <c r="R69" i="16"/>
  <c r="A69" i="16" s="1"/>
  <c r="AP69" i="16"/>
  <c r="AO69" i="16"/>
  <c r="R60" i="16"/>
  <c r="A60" i="16" s="1"/>
  <c r="AO60" i="16"/>
  <c r="AP60" i="16"/>
  <c r="R52" i="16"/>
  <c r="A52" i="16" s="1"/>
  <c r="AP52" i="16"/>
  <c r="AO52" i="16"/>
  <c r="R112" i="16"/>
  <c r="A112" i="16" s="1"/>
  <c r="AO112" i="16"/>
  <c r="AP112" i="16"/>
  <c r="R97" i="16"/>
  <c r="A97" i="16" s="1"/>
  <c r="AP97" i="16"/>
  <c r="AO97" i="16"/>
  <c r="R50" i="16"/>
  <c r="AO50" i="16"/>
  <c r="AP50" i="16"/>
  <c r="R45" i="16"/>
  <c r="AP45" i="16"/>
  <c r="AO45" i="16"/>
  <c r="R56" i="16"/>
  <c r="A56" i="16" s="1"/>
  <c r="AO56" i="16"/>
  <c r="AP56" i="16"/>
  <c r="R7" i="16"/>
  <c r="AP7" i="16"/>
  <c r="AO7" i="16"/>
  <c r="R62" i="16"/>
  <c r="AO62" i="16"/>
  <c r="AP62" i="16"/>
  <c r="R29" i="16"/>
  <c r="AK15" i="103" s="1"/>
  <c r="AO29" i="16"/>
  <c r="AP29" i="16"/>
  <c r="R51" i="16"/>
  <c r="AO51" i="16"/>
  <c r="AP51" i="16"/>
  <c r="R20" i="16"/>
  <c r="AO20" i="16"/>
  <c r="AP20" i="16"/>
  <c r="R33" i="16"/>
  <c r="AO33" i="16"/>
  <c r="AP33" i="16"/>
  <c r="R35" i="16"/>
  <c r="AO35" i="16"/>
  <c r="AP35" i="16"/>
  <c r="R36" i="16"/>
  <c r="AG13" i="105" s="1"/>
  <c r="AO36" i="16"/>
  <c r="AP36" i="16"/>
  <c r="R22" i="16"/>
  <c r="AG19" i="103" s="1"/>
  <c r="AO22" i="16"/>
  <c r="AP22" i="16"/>
  <c r="R39" i="16"/>
  <c r="AO39" i="16"/>
  <c r="AP39" i="16"/>
  <c r="R16" i="16"/>
  <c r="AO16" i="16"/>
  <c r="AP16" i="16"/>
  <c r="R44" i="16"/>
  <c r="AP44" i="16"/>
  <c r="AO44" i="16"/>
  <c r="R14" i="16"/>
  <c r="AP14" i="16"/>
  <c r="AO14" i="16"/>
  <c r="R48" i="16"/>
  <c r="AE9" i="106" s="1"/>
  <c r="AO48" i="16"/>
  <c r="AP48" i="16"/>
  <c r="R114" i="16"/>
  <c r="A114" i="16" s="1"/>
  <c r="AO114" i="16"/>
  <c r="AP114" i="16"/>
  <c r="R107" i="16"/>
  <c r="A107" i="16" s="1"/>
  <c r="AP107" i="16"/>
  <c r="AO107" i="16"/>
  <c r="R103" i="16"/>
  <c r="A103" i="16" s="1"/>
  <c r="AP103" i="16"/>
  <c r="AO103" i="16"/>
  <c r="R98" i="16"/>
  <c r="A98" i="16" s="1"/>
  <c r="AO98" i="16"/>
  <c r="AP98" i="16"/>
  <c r="R90" i="16"/>
  <c r="A90" i="16" s="1"/>
  <c r="AP90" i="16"/>
  <c r="AO90" i="16"/>
  <c r="R81" i="16"/>
  <c r="A81" i="16" s="1"/>
  <c r="AP81" i="16"/>
  <c r="AO81" i="16"/>
  <c r="R75" i="16"/>
  <c r="A75" i="16" s="1"/>
  <c r="AP75" i="16"/>
  <c r="AO75" i="16"/>
  <c r="R70" i="16"/>
  <c r="A70" i="16" s="1"/>
  <c r="AO70" i="16"/>
  <c r="AP70" i="16"/>
  <c r="R63" i="16"/>
  <c r="A63" i="16" s="1"/>
  <c r="AP63" i="16"/>
  <c r="AO63" i="16"/>
  <c r="R55" i="16"/>
  <c r="AP55" i="16"/>
  <c r="AO55" i="16"/>
  <c r="R66" i="16"/>
  <c r="A66" i="16" s="1"/>
  <c r="AP66" i="16"/>
  <c r="AO66" i="16"/>
  <c r="R110" i="16"/>
  <c r="A110" i="16" s="1"/>
  <c r="AO110" i="16"/>
  <c r="AP110" i="16"/>
  <c r="R54" i="16"/>
  <c r="A54" i="16" s="1"/>
  <c r="AP54" i="16"/>
  <c r="AO54" i="16"/>
  <c r="R84" i="16"/>
  <c r="A84" i="16" s="1"/>
  <c r="AP84" i="16"/>
  <c r="AO84" i="16"/>
  <c r="R85" i="16"/>
  <c r="A85" i="16" s="1"/>
  <c r="AP85" i="16"/>
  <c r="AO85" i="16"/>
  <c r="R26" i="16"/>
  <c r="AG11" i="97" s="1"/>
  <c r="AO26" i="16"/>
  <c r="AP26" i="16"/>
  <c r="R106" i="16"/>
  <c r="AP106" i="16"/>
  <c r="AO106" i="16"/>
  <c r="R42" i="16"/>
  <c r="AP42" i="16"/>
  <c r="AO42" i="16"/>
  <c r="R31" i="16"/>
  <c r="AE17" i="105" s="1"/>
  <c r="AP31" i="16"/>
  <c r="AO31" i="16"/>
  <c r="R18" i="16"/>
  <c r="R74" i="16"/>
  <c r="AO74" i="16"/>
  <c r="AP74" i="16"/>
  <c r="R58" i="16"/>
  <c r="AO58" i="16"/>
  <c r="AP58" i="16"/>
  <c r="R76" i="16"/>
  <c r="AO76" i="16"/>
  <c r="AP76" i="16"/>
  <c r="AK94" i="16"/>
  <c r="AW46" i="16"/>
  <c r="AT46" i="16" s="1"/>
  <c r="AN46" i="16"/>
  <c r="AK46" i="16"/>
  <c r="AK58" i="16"/>
  <c r="AN58" i="16"/>
  <c r="AW76" i="16"/>
  <c r="AT76" i="16" s="1"/>
  <c r="AN76" i="16"/>
  <c r="AJ76" i="16" s="1"/>
  <c r="AK76" i="16"/>
  <c r="Z115" i="16"/>
  <c r="AK114" i="16"/>
  <c r="AK99" i="16"/>
  <c r="AK104" i="16"/>
  <c r="AK108" i="16"/>
  <c r="AK8" i="16"/>
  <c r="AN47" i="16"/>
  <c r="AK47" i="16"/>
  <c r="AW47" i="16"/>
  <c r="AT47" i="16" s="1"/>
  <c r="AK100" i="16"/>
  <c r="AN100" i="16"/>
  <c r="AJ100" i="16" s="1"/>
  <c r="AW100" i="16"/>
  <c r="AT100" i="16" s="1"/>
  <c r="AN65" i="16"/>
  <c r="AJ65" i="16" s="1"/>
  <c r="AK65" i="16"/>
  <c r="AW65" i="16"/>
  <c r="AT65" i="16" s="1"/>
  <c r="AN68" i="16"/>
  <c r="AJ68" i="16" s="1"/>
  <c r="AK68" i="16"/>
  <c r="AW68" i="16"/>
  <c r="AT68" i="16" s="1"/>
  <c r="AW97" i="16"/>
  <c r="AT97" i="16" s="1"/>
  <c r="AN97" i="16"/>
  <c r="AJ97" i="16" s="1"/>
  <c r="AL97" i="16" s="1"/>
  <c r="AK97" i="16"/>
  <c r="AK64" i="16"/>
  <c r="AN64" i="16"/>
  <c r="AJ64" i="16" s="1"/>
  <c r="AW64" i="16"/>
  <c r="AT64" i="16" s="1"/>
  <c r="AN90" i="16"/>
  <c r="AJ90" i="16" s="1"/>
  <c r="AK90" i="16"/>
  <c r="AW90" i="16"/>
  <c r="AT90" i="16" s="1"/>
  <c r="AW91" i="16"/>
  <c r="AT91" i="16" s="1"/>
  <c r="AK91" i="16"/>
  <c r="AN91" i="16"/>
  <c r="AJ91" i="16" s="1"/>
  <c r="AW73" i="16"/>
  <c r="AT73" i="16" s="1"/>
  <c r="AK73" i="16"/>
  <c r="AN73" i="16"/>
  <c r="AJ73" i="16" s="1"/>
  <c r="AN110" i="16"/>
  <c r="AJ110" i="16" s="1"/>
  <c r="AW110" i="16"/>
  <c r="AT110" i="16" s="1"/>
  <c r="AK110" i="16"/>
  <c r="AN11" i="16"/>
  <c r="AK11" i="16"/>
  <c r="AK106" i="16"/>
  <c r="AK54" i="16"/>
  <c r="AN54" i="16"/>
  <c r="AJ54" i="16" s="1"/>
  <c r="AW54" i="16"/>
  <c r="AT54" i="16" s="1"/>
  <c r="AN87" i="16"/>
  <c r="AJ87" i="16" s="1"/>
  <c r="AK87" i="16"/>
  <c r="AW87" i="16"/>
  <c r="AT87" i="16" s="1"/>
  <c r="AK53" i="16"/>
  <c r="AN53" i="16"/>
  <c r="AJ53" i="16" s="1"/>
  <c r="AW53" i="16"/>
  <c r="AT53" i="16" s="1"/>
  <c r="AW82" i="16"/>
  <c r="AT82" i="16" s="1"/>
  <c r="AK82" i="16"/>
  <c r="AN82" i="16"/>
  <c r="AJ82" i="16" s="1"/>
  <c r="AK70" i="16"/>
  <c r="AN113" i="16"/>
  <c r="AJ113" i="16" s="1"/>
  <c r="AK113" i="16"/>
  <c r="AW113" i="16"/>
  <c r="AT113" i="16" s="1"/>
  <c r="AK62" i="16"/>
  <c r="AN62" i="16"/>
  <c r="AW62" i="16"/>
  <c r="AT62" i="16" s="1"/>
  <c r="AK40" i="16"/>
  <c r="AN40" i="16"/>
  <c r="AW40" i="16"/>
  <c r="AT40" i="16" s="1"/>
  <c r="AW7" i="16"/>
  <c r="AT7" i="16" s="1"/>
  <c r="AN7" i="16"/>
  <c r="AK7" i="16"/>
  <c r="AN66" i="16"/>
  <c r="AJ66" i="16" s="1"/>
  <c r="AK66" i="16"/>
  <c r="AW66" i="16"/>
  <c r="AT66" i="16" s="1"/>
  <c r="AK50" i="16"/>
  <c r="AN50" i="16"/>
  <c r="AJ50" i="16" s="1"/>
  <c r="AW50" i="16"/>
  <c r="AT50" i="16" s="1"/>
  <c r="AN45" i="16"/>
  <c r="AK45" i="16"/>
  <c r="AW45" i="16"/>
  <c r="AT45" i="16" s="1"/>
  <c r="AN9" i="16"/>
  <c r="AK9" i="16"/>
  <c r="AW59" i="16"/>
  <c r="AT59" i="16" s="1"/>
  <c r="AN59" i="16"/>
  <c r="AJ59" i="16" s="1"/>
  <c r="AK59" i="16"/>
  <c r="AE116" i="16"/>
  <c r="AG116" i="16"/>
  <c r="AF116" i="16"/>
  <c r="AH116" i="16"/>
  <c r="AD116" i="16"/>
  <c r="AG10" i="104" l="1"/>
  <c r="AI7" i="106"/>
  <c r="AE11" i="106"/>
  <c r="AE14" i="105"/>
  <c r="AE13" i="104"/>
  <c r="AD13" i="104" s="1"/>
  <c r="AE8" i="105"/>
  <c r="AD8" i="105" s="1"/>
  <c r="AG8" i="82"/>
  <c r="AG12" i="105"/>
  <c r="AD12" i="105" s="1"/>
  <c r="AG15" i="104"/>
  <c r="AK12" i="106"/>
  <c r="AE11" i="105"/>
  <c r="AD11" i="105" s="1"/>
  <c r="AE18" i="104"/>
  <c r="AI10" i="106"/>
  <c r="AE15" i="105"/>
  <c r="AG16" i="104"/>
  <c r="AI9" i="106"/>
  <c r="AD9" i="106" s="1"/>
  <c r="AG19" i="97"/>
  <c r="AG18" i="105"/>
  <c r="AE17" i="104"/>
  <c r="AI12" i="106"/>
  <c r="AG17" i="105"/>
  <c r="AD17" i="105" s="1"/>
  <c r="AG18" i="104"/>
  <c r="AK10" i="106"/>
  <c r="AG15" i="105"/>
  <c r="AE16" i="104"/>
  <c r="AD16" i="104" s="1"/>
  <c r="AI8" i="106"/>
  <c r="AE13" i="105"/>
  <c r="AD13" i="105" s="1"/>
  <c r="AI15" i="103"/>
  <c r="AD15" i="103" s="1"/>
  <c r="AE9" i="105"/>
  <c r="AG17" i="104"/>
  <c r="AK8" i="106"/>
  <c r="AG14" i="105"/>
  <c r="AE9" i="104"/>
  <c r="AK7" i="106"/>
  <c r="AD7" i="106" s="1"/>
  <c r="AG7" i="105"/>
  <c r="AD7" i="105" s="1"/>
  <c r="AE12" i="106"/>
  <c r="AE16" i="105"/>
  <c r="AD16" i="105" s="1"/>
  <c r="AE8" i="106"/>
  <c r="AG9" i="105"/>
  <c r="AE10" i="106"/>
  <c r="AE18" i="105"/>
  <c r="AD18" i="105" s="1"/>
  <c r="AE14" i="104"/>
  <c r="AI11" i="106"/>
  <c r="AE10" i="105"/>
  <c r="AG14" i="104"/>
  <c r="AK11" i="106"/>
  <c r="AG10" i="105"/>
  <c r="AG16" i="103"/>
  <c r="AG12" i="104"/>
  <c r="AG18" i="103"/>
  <c r="AG11" i="104"/>
  <c r="AE16" i="103"/>
  <c r="AE12" i="104"/>
  <c r="AD12" i="104" s="1"/>
  <c r="AG7" i="99"/>
  <c r="AG7" i="104"/>
  <c r="AE7" i="103"/>
  <c r="AE8" i="104"/>
  <c r="AD8" i="104" s="1"/>
  <c r="AE9" i="103"/>
  <c r="AE15" i="104"/>
  <c r="AD15" i="104" s="1"/>
  <c r="AE18" i="103"/>
  <c r="AD18" i="103" s="1"/>
  <c r="AE11" i="104"/>
  <c r="AD11" i="104" s="1"/>
  <c r="AG17" i="103"/>
  <c r="AG19" i="104"/>
  <c r="AE12" i="103"/>
  <c r="AE7" i="104"/>
  <c r="AD7" i="104" s="1"/>
  <c r="AD18" i="104"/>
  <c r="AG13" i="103"/>
  <c r="AG9" i="104"/>
  <c r="AD9" i="104" s="1"/>
  <c r="AE17" i="103"/>
  <c r="AE19" i="104"/>
  <c r="AE11" i="103"/>
  <c r="AE10" i="104"/>
  <c r="AD10" i="104" s="1"/>
  <c r="AI12" i="102"/>
  <c r="AG9" i="103"/>
  <c r="AD9" i="103" s="1"/>
  <c r="AG14" i="103"/>
  <c r="AK10" i="102"/>
  <c r="AE10" i="103"/>
  <c r="AI8" i="102"/>
  <c r="AG7" i="103"/>
  <c r="AD7" i="103" s="1"/>
  <c r="AK8" i="102"/>
  <c r="AG17" i="97"/>
  <c r="AK9" i="102"/>
  <c r="AK7" i="102"/>
  <c r="AE13" i="103"/>
  <c r="AD13" i="103" s="1"/>
  <c r="AD16" i="103"/>
  <c r="AE8" i="103"/>
  <c r="AI11" i="102"/>
  <c r="AI7" i="102"/>
  <c r="AG11" i="103"/>
  <c r="AG12" i="103"/>
  <c r="AK12" i="102"/>
  <c r="AE14" i="103"/>
  <c r="AD14" i="103" s="1"/>
  <c r="AI10" i="102"/>
  <c r="AG10" i="103"/>
  <c r="AI9" i="102"/>
  <c r="AD19" i="103"/>
  <c r="AG8" i="103"/>
  <c r="AK11" i="102"/>
  <c r="AG9" i="101"/>
  <c r="AG9" i="102"/>
  <c r="AG14" i="101"/>
  <c r="AE10" i="101"/>
  <c r="AE10" i="102"/>
  <c r="AG7" i="101"/>
  <c r="AG7" i="102"/>
  <c r="AE13" i="101"/>
  <c r="AG18" i="101"/>
  <c r="AE16" i="101"/>
  <c r="AE7" i="101"/>
  <c r="AE7" i="102"/>
  <c r="AE8" i="101"/>
  <c r="AE8" i="102"/>
  <c r="AE9" i="101"/>
  <c r="AE9" i="102"/>
  <c r="AG11" i="101"/>
  <c r="AG11" i="102"/>
  <c r="AE18" i="101"/>
  <c r="AD18" i="101" s="1"/>
  <c r="AG17" i="101"/>
  <c r="AE12" i="101"/>
  <c r="AE12" i="102"/>
  <c r="AG12" i="101"/>
  <c r="AG12" i="102"/>
  <c r="AG13" i="101"/>
  <c r="AG10" i="101"/>
  <c r="AG10" i="102"/>
  <c r="AE17" i="101"/>
  <c r="AD17" i="101" s="1"/>
  <c r="AE11" i="101"/>
  <c r="AD11" i="101" s="1"/>
  <c r="AE11" i="102"/>
  <c r="AG8" i="101"/>
  <c r="AG8" i="102"/>
  <c r="AD9" i="101"/>
  <c r="AG16" i="100"/>
  <c r="AG16" i="101"/>
  <c r="AE15" i="100"/>
  <c r="AE15" i="101"/>
  <c r="AI15" i="100"/>
  <c r="AI15" i="101"/>
  <c r="AG19" i="100"/>
  <c r="AG19" i="101"/>
  <c r="AK15" i="100"/>
  <c r="AK15" i="101"/>
  <c r="AE14" i="100"/>
  <c r="AE14" i="101"/>
  <c r="AE19" i="100"/>
  <c r="AD19" i="100" s="1"/>
  <c r="AE19" i="101"/>
  <c r="AD19" i="101" s="1"/>
  <c r="AG10" i="99"/>
  <c r="AG13" i="100"/>
  <c r="AI16" i="99"/>
  <c r="AE9" i="100"/>
  <c r="AE17" i="99"/>
  <c r="AE11" i="100"/>
  <c r="AE10" i="92"/>
  <c r="AE15" i="99"/>
  <c r="AE8" i="100"/>
  <c r="AE12" i="99"/>
  <c r="AG9" i="100"/>
  <c r="AG11" i="99"/>
  <c r="AG14" i="100"/>
  <c r="AE9" i="99"/>
  <c r="AE10" i="100"/>
  <c r="AG12" i="99"/>
  <c r="AG7" i="100"/>
  <c r="AE11" i="98"/>
  <c r="AE13" i="100"/>
  <c r="AE16" i="99"/>
  <c r="AG18" i="100"/>
  <c r="AE7" i="98"/>
  <c r="AE16" i="100"/>
  <c r="AE11" i="97"/>
  <c r="AD11" i="97" s="1"/>
  <c r="AG11" i="100"/>
  <c r="AE15" i="97"/>
  <c r="AE18" i="100"/>
  <c r="AD18" i="100" s="1"/>
  <c r="AG13" i="99"/>
  <c r="AG17" i="100"/>
  <c r="AE8" i="99"/>
  <c r="AE12" i="100"/>
  <c r="AG8" i="99"/>
  <c r="AG12" i="100"/>
  <c r="AG9" i="99"/>
  <c r="AG10" i="100"/>
  <c r="AE13" i="99"/>
  <c r="AE17" i="100"/>
  <c r="AG15" i="99"/>
  <c r="AG8" i="100"/>
  <c r="AE7" i="99"/>
  <c r="AE7" i="100"/>
  <c r="AE17" i="97"/>
  <c r="AE10" i="99"/>
  <c r="AE16" i="97"/>
  <c r="AE14" i="99"/>
  <c r="AD7" i="99"/>
  <c r="A106" i="16"/>
  <c r="AG17" i="99"/>
  <c r="AK14" i="98"/>
  <c r="AK16" i="99"/>
  <c r="AG16" i="97"/>
  <c r="AG14" i="99"/>
  <c r="AG16" i="98"/>
  <c r="AG18" i="99"/>
  <c r="AE9" i="98"/>
  <c r="AE11" i="99"/>
  <c r="AE16" i="98"/>
  <c r="AE18" i="99"/>
  <c r="AD18" i="99" s="1"/>
  <c r="AE14" i="97"/>
  <c r="AE15" i="98"/>
  <c r="AG18" i="97"/>
  <c r="AG9" i="98"/>
  <c r="AE10" i="97"/>
  <c r="AE8" i="98"/>
  <c r="AG14" i="97"/>
  <c r="AG15" i="98"/>
  <c r="AG15" i="97"/>
  <c r="AE14" i="98"/>
  <c r="AG12" i="82"/>
  <c r="AG7" i="98"/>
  <c r="AD7" i="98" s="1"/>
  <c r="AE7" i="97"/>
  <c r="AG8" i="98"/>
  <c r="AE19" i="97"/>
  <c r="AD19" i="97" s="1"/>
  <c r="AI14" i="98"/>
  <c r="AG9" i="97"/>
  <c r="AG12" i="98"/>
  <c r="AG13" i="97"/>
  <c r="AG13" i="98"/>
  <c r="AG12" i="97"/>
  <c r="AG10" i="98"/>
  <c r="AG8" i="97"/>
  <c r="AG11" i="98"/>
  <c r="AD11" i="98" s="1"/>
  <c r="AE9" i="97"/>
  <c r="AD9" i="97" s="1"/>
  <c r="AE12" i="98"/>
  <c r="AE13" i="97"/>
  <c r="AD13" i="97" s="1"/>
  <c r="AE13" i="98"/>
  <c r="AD16" i="98"/>
  <c r="AE12" i="97"/>
  <c r="AE10" i="98"/>
  <c r="AE7" i="82"/>
  <c r="W46" i="16"/>
  <c r="AE9" i="96"/>
  <c r="AE8" i="97"/>
  <c r="AE18" i="97"/>
  <c r="AG7" i="97"/>
  <c r="AG8" i="96"/>
  <c r="AG10" i="97"/>
  <c r="AG16" i="87"/>
  <c r="AG7" i="82"/>
  <c r="AE10" i="82"/>
  <c r="AG12" i="96"/>
  <c r="AG11" i="96"/>
  <c r="AG9" i="96"/>
  <c r="AE12" i="96"/>
  <c r="AE11" i="96"/>
  <c r="AE7" i="96"/>
  <c r="AG10" i="96"/>
  <c r="AE10" i="96"/>
  <c r="AG7" i="96"/>
  <c r="AG17" i="96"/>
  <c r="AG15" i="96"/>
  <c r="AG13" i="96"/>
  <c r="AE16" i="96"/>
  <c r="AE14" i="96"/>
  <c r="AE18" i="96"/>
  <c r="AG16" i="96"/>
  <c r="AG14" i="96"/>
  <c r="AG18" i="96"/>
  <c r="AE7" i="92"/>
  <c r="AE8" i="96"/>
  <c r="AE17" i="96"/>
  <c r="AE15" i="96"/>
  <c r="AE13" i="96"/>
  <c r="AE12" i="94"/>
  <c r="AG10" i="94"/>
  <c r="AG7" i="94"/>
  <c r="AE7" i="94"/>
  <c r="AG13" i="94"/>
  <c r="AG14" i="94"/>
  <c r="AG12" i="93"/>
  <c r="AG12" i="94"/>
  <c r="AG9" i="93"/>
  <c r="AG9" i="94"/>
  <c r="AE11" i="93"/>
  <c r="AE11" i="94"/>
  <c r="AE14" i="93"/>
  <c r="AE14" i="94"/>
  <c r="AD14" i="94" s="1"/>
  <c r="AG8" i="93"/>
  <c r="AG8" i="94"/>
  <c r="AE9" i="93"/>
  <c r="AE9" i="94"/>
  <c r="AE10" i="93"/>
  <c r="AE10" i="94"/>
  <c r="AD10" i="94" s="1"/>
  <c r="AE8" i="93"/>
  <c r="AE8" i="94"/>
  <c r="AG11" i="93"/>
  <c r="AG11" i="94"/>
  <c r="AE13" i="93"/>
  <c r="AE13" i="94"/>
  <c r="AE11" i="92"/>
  <c r="AE12" i="93"/>
  <c r="AG10" i="93"/>
  <c r="AG7" i="93"/>
  <c r="AE9" i="92"/>
  <c r="AE7" i="93"/>
  <c r="AE16" i="92"/>
  <c r="AG8" i="92"/>
  <c r="AG13" i="93"/>
  <c r="AG16" i="92"/>
  <c r="AG15" i="92"/>
  <c r="AG14" i="93"/>
  <c r="A50" i="16"/>
  <c r="AI15" i="92"/>
  <c r="AE8" i="92"/>
  <c r="AE14" i="92"/>
  <c r="AE13" i="92"/>
  <c r="AG10" i="92"/>
  <c r="AG14" i="92"/>
  <c r="AK15" i="92"/>
  <c r="AG11" i="92"/>
  <c r="AG13" i="92"/>
  <c r="AG7" i="92"/>
  <c r="AG9" i="92"/>
  <c r="AE15" i="92"/>
  <c r="AG12" i="92"/>
  <c r="AE12" i="92"/>
  <c r="AE11" i="82"/>
  <c r="A44" i="16"/>
  <c r="AG14" i="82"/>
  <c r="AE15" i="82"/>
  <c r="AE12" i="82"/>
  <c r="AE14" i="82"/>
  <c r="AG13" i="82"/>
  <c r="AG9" i="82"/>
  <c r="AE9" i="82"/>
  <c r="A30" i="16"/>
  <c r="E30" i="16"/>
  <c r="I30" i="16"/>
  <c r="T30" i="16"/>
  <c r="C30" i="16"/>
  <c r="W30" i="16"/>
  <c r="A38" i="16"/>
  <c r="I38" i="16"/>
  <c r="T38" i="16"/>
  <c r="C38" i="16"/>
  <c r="G38" i="16"/>
  <c r="W38" i="16"/>
  <c r="A24" i="16"/>
  <c r="G24" i="16"/>
  <c r="AG15" i="82"/>
  <c r="I24" i="16"/>
  <c r="C24" i="16"/>
  <c r="W24" i="16"/>
  <c r="A113" i="16"/>
  <c r="C113" i="16"/>
  <c r="E113" i="16"/>
  <c r="G113" i="16"/>
  <c r="I113" i="16"/>
  <c r="K113" i="16"/>
  <c r="AE13" i="87"/>
  <c r="AE18" i="87"/>
  <c r="A49" i="16"/>
  <c r="AG15" i="87"/>
  <c r="AE15" i="87"/>
  <c r="AE16" i="87"/>
  <c r="AE14" i="87"/>
  <c r="AE17" i="87"/>
  <c r="AG17" i="87"/>
  <c r="AG14" i="87"/>
  <c r="AE8" i="87"/>
  <c r="AG13" i="87"/>
  <c r="AG9" i="87"/>
  <c r="AE12" i="87"/>
  <c r="AE11" i="87"/>
  <c r="AG18" i="87"/>
  <c r="AE19" i="87"/>
  <c r="AG11" i="87"/>
  <c r="AG7" i="87"/>
  <c r="AE9" i="87"/>
  <c r="AG19" i="87"/>
  <c r="AE7" i="87"/>
  <c r="AG12" i="87"/>
  <c r="AG10" i="87"/>
  <c r="A43" i="16"/>
  <c r="AE10" i="87"/>
  <c r="AG8" i="87"/>
  <c r="A42" i="16"/>
  <c r="A48" i="16"/>
  <c r="A36" i="16"/>
  <c r="A7" i="16"/>
  <c r="A62" i="16"/>
  <c r="A34" i="16"/>
  <c r="A74" i="16"/>
  <c r="A51" i="16"/>
  <c r="Z116" i="16"/>
  <c r="I5" i="8"/>
  <c r="AG11" i="82"/>
  <c r="AG10" i="82"/>
  <c r="C46" i="16"/>
  <c r="T46" i="16"/>
  <c r="E46" i="16"/>
  <c r="C76" i="16"/>
  <c r="I76" i="16"/>
  <c r="G76" i="16"/>
  <c r="E76" i="16"/>
  <c r="T76" i="16"/>
  <c r="W76" i="16"/>
  <c r="W58" i="16"/>
  <c r="C58" i="16"/>
  <c r="E58" i="16"/>
  <c r="T58" i="16"/>
  <c r="AE8" i="82"/>
  <c r="AD8" i="82" s="1"/>
  <c r="AU16" i="16"/>
  <c r="AK16" i="16"/>
  <c r="AE13" i="82"/>
  <c r="T47" i="16"/>
  <c r="G47" i="16"/>
  <c r="W47" i="16"/>
  <c r="T90" i="16"/>
  <c r="T65" i="16"/>
  <c r="C73" i="16"/>
  <c r="E73" i="16"/>
  <c r="T73" i="16"/>
  <c r="I73" i="16"/>
  <c r="W73" i="16"/>
  <c r="E91" i="16"/>
  <c r="W91" i="16"/>
  <c r="T91" i="16"/>
  <c r="C91" i="16"/>
  <c r="I90" i="16"/>
  <c r="C90" i="16"/>
  <c r="K90" i="16"/>
  <c r="AL90" i="16" s="1"/>
  <c r="E90" i="16"/>
  <c r="W90" i="16"/>
  <c r="G90" i="16"/>
  <c r="T68" i="16"/>
  <c r="E65" i="16"/>
  <c r="W65" i="16"/>
  <c r="G65" i="16"/>
  <c r="C65" i="16"/>
  <c r="K65" i="16"/>
  <c r="AL65" i="16" s="1"/>
  <c r="I65" i="16"/>
  <c r="T100" i="16"/>
  <c r="W100" i="16"/>
  <c r="G100" i="16"/>
  <c r="C100" i="16"/>
  <c r="W64" i="16"/>
  <c r="C64" i="16"/>
  <c r="T64" i="16"/>
  <c r="G64" i="16"/>
  <c r="C97" i="16"/>
  <c r="T97" i="16"/>
  <c r="W97" i="16"/>
  <c r="G97" i="16"/>
  <c r="C68" i="16"/>
  <c r="G68" i="16"/>
  <c r="I68" i="16"/>
  <c r="W68" i="16"/>
  <c r="T110" i="16"/>
  <c r="E11" i="16"/>
  <c r="I11" i="16"/>
  <c r="W11" i="16"/>
  <c r="T11" i="16"/>
  <c r="C110" i="16"/>
  <c r="G110" i="16"/>
  <c r="I110" i="16"/>
  <c r="W110" i="16"/>
  <c r="W82" i="16"/>
  <c r="C45" i="16"/>
  <c r="E45" i="16"/>
  <c r="I45" i="16"/>
  <c r="T45" i="16"/>
  <c r="W45" i="16"/>
  <c r="I7" i="16"/>
  <c r="T7" i="16"/>
  <c r="C7" i="16"/>
  <c r="G7" i="16"/>
  <c r="W7" i="16"/>
  <c r="T62" i="16"/>
  <c r="E62" i="16"/>
  <c r="C62" i="16"/>
  <c r="W62" i="16"/>
  <c r="G82" i="16"/>
  <c r="K82" i="16"/>
  <c r="AL82" i="16" s="1"/>
  <c r="C82" i="16"/>
  <c r="I82" i="16"/>
  <c r="T82" i="16"/>
  <c r="E82" i="16"/>
  <c r="I53" i="16"/>
  <c r="T53" i="16"/>
  <c r="W53" i="16"/>
  <c r="C53" i="16"/>
  <c r="G53" i="16"/>
  <c r="E53" i="16"/>
  <c r="C54" i="16"/>
  <c r="T54" i="16"/>
  <c r="I54" i="16"/>
  <c r="W54" i="16"/>
  <c r="G54" i="16"/>
  <c r="K59" i="16"/>
  <c r="AL59" i="16" s="1"/>
  <c r="G59" i="16"/>
  <c r="T59" i="16"/>
  <c r="E59" i="16"/>
  <c r="C59" i="16"/>
  <c r="I59" i="16"/>
  <c r="W59" i="16"/>
  <c r="C9" i="16"/>
  <c r="G9" i="16"/>
  <c r="I9" i="16"/>
  <c r="T9" i="16"/>
  <c r="W9" i="16"/>
  <c r="T50" i="16"/>
  <c r="C50" i="16"/>
  <c r="G50" i="16"/>
  <c r="W50" i="16"/>
  <c r="E50" i="16"/>
  <c r="T66" i="16"/>
  <c r="W66" i="16"/>
  <c r="C66" i="16"/>
  <c r="E66" i="16"/>
  <c r="G66" i="16"/>
  <c r="I66" i="16"/>
  <c r="C40" i="16"/>
  <c r="T40" i="16"/>
  <c r="E40" i="16"/>
  <c r="W40" i="16"/>
  <c r="I40" i="16"/>
  <c r="W113" i="16"/>
  <c r="T113" i="16"/>
  <c r="C87" i="16"/>
  <c r="W87" i="16"/>
  <c r="E87" i="16"/>
  <c r="T87" i="16"/>
  <c r="AW102" i="16"/>
  <c r="AD15" i="105" l="1"/>
  <c r="AD9" i="105"/>
  <c r="AD11" i="106"/>
  <c r="AD10" i="105"/>
  <c r="AD14" i="104"/>
  <c r="AD10" i="106"/>
  <c r="AD8" i="106"/>
  <c r="AD12" i="106"/>
  <c r="AD17" i="104"/>
  <c r="AD14" i="105"/>
  <c r="AD10" i="82"/>
  <c r="AD12" i="103"/>
  <c r="AD17" i="103"/>
  <c r="AD11" i="103"/>
  <c r="AD19" i="104"/>
  <c r="AD7" i="101"/>
  <c r="AD14" i="101"/>
  <c r="AD16" i="101"/>
  <c r="AD13" i="101"/>
  <c r="AD16" i="99"/>
  <c r="AD17" i="99"/>
  <c r="AD17" i="97"/>
  <c r="AD11" i="102"/>
  <c r="AD11" i="100"/>
  <c r="AD16" i="100"/>
  <c r="AD13" i="100"/>
  <c r="AD14" i="100"/>
  <c r="AD7" i="102"/>
  <c r="AD8" i="103"/>
  <c r="AD10" i="103"/>
  <c r="AD9" i="100"/>
  <c r="AD15" i="100"/>
  <c r="AD12" i="101"/>
  <c r="AD8" i="101"/>
  <c r="AD10" i="102"/>
  <c r="AD12" i="102"/>
  <c r="AD9" i="102"/>
  <c r="AD8" i="102"/>
  <c r="AD10" i="101"/>
  <c r="AD7" i="100"/>
  <c r="AD17" i="100"/>
  <c r="AD10" i="92"/>
  <c r="AD10" i="99"/>
  <c r="AD15" i="101"/>
  <c r="AD8" i="100"/>
  <c r="AD18" i="97"/>
  <c r="AD15" i="99"/>
  <c r="AD15" i="97"/>
  <c r="AD12" i="82"/>
  <c r="AD10" i="97"/>
  <c r="AD7" i="97"/>
  <c r="AD11" i="99"/>
  <c r="AD9" i="82"/>
  <c r="AD8" i="96"/>
  <c r="AD16" i="97"/>
  <c r="AD16" i="87"/>
  <c r="AD11" i="82"/>
  <c r="AD7" i="82"/>
  <c r="AD10" i="98"/>
  <c r="AD12" i="100"/>
  <c r="AD10" i="100"/>
  <c r="AD8" i="99"/>
  <c r="AD9" i="99"/>
  <c r="AD12" i="99"/>
  <c r="AD12" i="97"/>
  <c r="AD9" i="98"/>
  <c r="AD13" i="96"/>
  <c r="AD17" i="96"/>
  <c r="AD9" i="96"/>
  <c r="AD8" i="97"/>
  <c r="AD13" i="98"/>
  <c r="AD12" i="98"/>
  <c r="AD14" i="99"/>
  <c r="AD14" i="98"/>
  <c r="AD14" i="97"/>
  <c r="AD8" i="98"/>
  <c r="AD15" i="98"/>
  <c r="AD14" i="82"/>
  <c r="AD13" i="82"/>
  <c r="AD15" i="87"/>
  <c r="AD15" i="96"/>
  <c r="AD10" i="96"/>
  <c r="AD12" i="96"/>
  <c r="AD15" i="82"/>
  <c r="AD7" i="92"/>
  <c r="AD11" i="92"/>
  <c r="AD8" i="92"/>
  <c r="AD13" i="93"/>
  <c r="AD13" i="94"/>
  <c r="AD12" i="94"/>
  <c r="AD11" i="96"/>
  <c r="AD9" i="92"/>
  <c r="AD13" i="92"/>
  <c r="AD10" i="93"/>
  <c r="AD7" i="96"/>
  <c r="AD14" i="92"/>
  <c r="AD10" i="87"/>
  <c r="AD12" i="92"/>
  <c r="AD12" i="93"/>
  <c r="AD18" i="96"/>
  <c r="AD16" i="96"/>
  <c r="AD14" i="96"/>
  <c r="AD11" i="93"/>
  <c r="AD9" i="93"/>
  <c r="AD7" i="94"/>
  <c r="AD8" i="94"/>
  <c r="AD9" i="94"/>
  <c r="AD14" i="93"/>
  <c r="AD8" i="93"/>
  <c r="AD7" i="93"/>
  <c r="AD11" i="94"/>
  <c r="AD16" i="92"/>
  <c r="AD15" i="92"/>
  <c r="AD13" i="87"/>
  <c r="AD7" i="87"/>
  <c r="AD18" i="87"/>
  <c r="AD14" i="87"/>
  <c r="AD8" i="87"/>
  <c r="AD12" i="87"/>
  <c r="AD9" i="87"/>
  <c r="AD11" i="87"/>
  <c r="AD17" i="87"/>
  <c r="AD19" i="87"/>
  <c r="AN13" i="16" l="1"/>
  <c r="C13" i="16"/>
  <c r="AN102" i="16"/>
  <c r="AJ102" i="16" s="1"/>
  <c r="AV102" i="16"/>
  <c r="AT102" i="16" s="1"/>
  <c r="K102" i="16" l="1"/>
  <c r="C102" i="16"/>
  <c r="AL102" i="16"/>
  <c r="T13" i="16"/>
  <c r="W13" i="16"/>
  <c r="G13" i="16"/>
  <c r="I13" i="16"/>
  <c r="T102" i="16"/>
  <c r="W102" i="16"/>
  <c r="E102" i="16"/>
  <c r="G102" i="16"/>
  <c r="I102" i="16"/>
  <c r="BD52" i="16" l="1"/>
  <c r="BD109" i="16"/>
  <c r="BD41" i="16"/>
  <c r="BD35" i="16"/>
  <c r="BD88" i="16"/>
  <c r="BD44" i="16"/>
  <c r="BD20" i="16"/>
  <c r="BD34" i="16"/>
  <c r="BD92" i="16"/>
  <c r="BD67" i="16"/>
  <c r="BD106" i="16"/>
  <c r="BD14" i="16"/>
  <c r="BD79" i="16"/>
  <c r="BD32" i="16" l="1"/>
  <c r="BD19" i="16"/>
  <c r="BD61" i="16"/>
  <c r="BD23" i="16"/>
  <c r="BD25" i="16"/>
  <c r="BD80" i="16"/>
  <c r="BD71" i="16"/>
  <c r="BD83" i="16"/>
  <c r="BD55" i="16"/>
  <c r="BD101" i="16"/>
  <c r="BD86" i="16"/>
  <c r="BD112" i="16"/>
  <c r="BD85" i="16"/>
  <c r="BD94" i="16"/>
  <c r="BD70" i="16"/>
  <c r="BD105" i="16"/>
  <c r="BD22" i="16"/>
  <c r="BD56" i="16"/>
  <c r="BD60" i="16"/>
  <c r="BD72" i="16"/>
  <c r="BD77" i="16"/>
  <c r="BD81" i="16"/>
  <c r="BD43" i="16"/>
  <c r="BD98" i="16"/>
  <c r="BD108" i="16"/>
  <c r="BD74" i="16"/>
  <c r="BD33" i="16"/>
  <c r="BD84" i="16"/>
  <c r="BD21" i="16"/>
  <c r="BD28" i="16"/>
  <c r="BD93" i="16"/>
  <c r="BD26" i="16"/>
  <c r="BD103" i="16"/>
  <c r="BD99" i="16"/>
  <c r="BD104" i="16"/>
  <c r="BD16" i="16"/>
  <c r="BD111" i="16"/>
  <c r="BD69" i="16"/>
  <c r="BD51" i="16"/>
  <c r="BD57" i="16"/>
  <c r="BD63" i="16"/>
  <c r="BD75" i="16"/>
  <c r="BD78" i="16"/>
  <c r="BD89" i="16"/>
  <c r="BD95" i="16"/>
  <c r="BD107" i="16"/>
  <c r="BD114" i="16"/>
  <c r="AI115" i="16" l="1"/>
  <c r="I24" i="8" s="1"/>
  <c r="AI116" i="16" l="1"/>
  <c r="AW103" i="16"/>
  <c r="AW109" i="16"/>
  <c r="AW74" i="16"/>
  <c r="AW106" i="16"/>
  <c r="AW79" i="16"/>
  <c r="AW23" i="16"/>
  <c r="AW35" i="16"/>
  <c r="AW88" i="16"/>
  <c r="AW44" i="16"/>
  <c r="AW20" i="16"/>
  <c r="AW34" i="16"/>
  <c r="AW92" i="16"/>
  <c r="AW22" i="16" l="1"/>
  <c r="AW108" i="16"/>
  <c r="AW98" i="16"/>
  <c r="AW43" i="16"/>
  <c r="AW81" i="16"/>
  <c r="AW77" i="16"/>
  <c r="AW72" i="16"/>
  <c r="AW60" i="16"/>
  <c r="AW56" i="16"/>
  <c r="AW55" i="16"/>
  <c r="AW83" i="16"/>
  <c r="AW71" i="16"/>
  <c r="AW52" i="16"/>
  <c r="AW69" i="16"/>
  <c r="AW111" i="16"/>
  <c r="AW16" i="16"/>
  <c r="AW104" i="16"/>
  <c r="AW99" i="16"/>
  <c r="AW84" i="16"/>
  <c r="AW67" i="16"/>
  <c r="AW33" i="16"/>
  <c r="AW28" i="16"/>
  <c r="AW21" i="16"/>
  <c r="AW114" i="16"/>
  <c r="AW107" i="16"/>
  <c r="AW95" i="16"/>
  <c r="AW89" i="16"/>
  <c r="AW78" i="16"/>
  <c r="AW75" i="16"/>
  <c r="AW63" i="16"/>
  <c r="AW57" i="16"/>
  <c r="AW51" i="16"/>
  <c r="AW26" i="16"/>
  <c r="AW93" i="16"/>
  <c r="AW105" i="16"/>
  <c r="AW70" i="16"/>
  <c r="AW94" i="16"/>
  <c r="AW85" i="16"/>
  <c r="AW112" i="16"/>
  <c r="AW86" i="16"/>
  <c r="AW101" i="16"/>
  <c r="AW80" i="16"/>
  <c r="AW61" i="16"/>
  <c r="AW19" i="16"/>
  <c r="AW32" i="16"/>
  <c r="AW14" i="16"/>
  <c r="AW25" i="16"/>
  <c r="AW41" i="16"/>
  <c r="AB115" i="16" l="1"/>
  <c r="AB116" i="16" l="1"/>
  <c r="I8" i="8"/>
  <c r="AV79" i="16"/>
  <c r="AT79" i="16" s="1"/>
  <c r="AN79" i="16"/>
  <c r="AV14" i="16"/>
  <c r="AT14" i="16" s="1"/>
  <c r="W14" i="16"/>
  <c r="AN14" i="16"/>
  <c r="AN10" i="16"/>
  <c r="AN12" i="16"/>
  <c r="AV32" i="16"/>
  <c r="AT32" i="16" s="1"/>
  <c r="AN32" i="16"/>
  <c r="AN19" i="16"/>
  <c r="AV19" i="16"/>
  <c r="AT19" i="16" s="1"/>
  <c r="AV80" i="16"/>
  <c r="AT80" i="16" s="1"/>
  <c r="AN80" i="16"/>
  <c r="AJ80" i="16" s="1"/>
  <c r="AN49" i="16"/>
  <c r="AN92" i="16"/>
  <c r="W92" i="16"/>
  <c r="AV92" i="16"/>
  <c r="AT92" i="16" s="1"/>
  <c r="AV20" i="16"/>
  <c r="AT20" i="16" s="1"/>
  <c r="AN20" i="16"/>
  <c r="AN31" i="16"/>
  <c r="AN15" i="16"/>
  <c r="AN42" i="16"/>
  <c r="AN27" i="16"/>
  <c r="AN21" i="16"/>
  <c r="AV21" i="16"/>
  <c r="AT21" i="16" s="1"/>
  <c r="AV28" i="16"/>
  <c r="AT28" i="16" s="1"/>
  <c r="AN28" i="16"/>
  <c r="AN84" i="16"/>
  <c r="AJ84" i="16" s="1"/>
  <c r="AV84" i="16"/>
  <c r="AT84" i="16" s="1"/>
  <c r="AV93" i="16"/>
  <c r="AT93" i="16" s="1"/>
  <c r="AN93" i="16"/>
  <c r="AJ93" i="16" s="1"/>
  <c r="AV26" i="16"/>
  <c r="AT26" i="16" s="1"/>
  <c r="AN26" i="16"/>
  <c r="C103" i="16"/>
  <c r="AN103" i="16"/>
  <c r="AJ103" i="16" s="1"/>
  <c r="AV103" i="16"/>
  <c r="AT103" i="16" s="1"/>
  <c r="C99" i="16"/>
  <c r="AN99" i="16"/>
  <c r="AJ99" i="16" s="1"/>
  <c r="W99" i="16"/>
  <c r="AV99" i="16"/>
  <c r="AT99" i="16" s="1"/>
  <c r="AN39" i="16"/>
  <c r="AN96" i="16"/>
  <c r="AV104" i="16"/>
  <c r="AT104" i="16" s="1"/>
  <c r="AN104" i="16"/>
  <c r="AJ104" i="16" s="1"/>
  <c r="AV16" i="16"/>
  <c r="AT16" i="16" s="1"/>
  <c r="AN16" i="16"/>
  <c r="AV111" i="16"/>
  <c r="AT111" i="16" s="1"/>
  <c r="AN111" i="16"/>
  <c r="AJ111" i="16" s="1"/>
  <c r="AV69" i="16"/>
  <c r="AT69" i="16" s="1"/>
  <c r="AN69" i="16"/>
  <c r="AJ69" i="16" s="1"/>
  <c r="AV105" i="16"/>
  <c r="AT105" i="16" s="1"/>
  <c r="AN105" i="16"/>
  <c r="AJ105" i="16" s="1"/>
  <c r="AV22" i="16"/>
  <c r="AT22" i="16" s="1"/>
  <c r="AN22" i="16"/>
  <c r="AV56" i="16"/>
  <c r="AT56" i="16" s="1"/>
  <c r="W56" i="16"/>
  <c r="AN56" i="16"/>
  <c r="AJ56" i="16" s="1"/>
  <c r="C60" i="16"/>
  <c r="AN60" i="16"/>
  <c r="AJ60" i="16" s="1"/>
  <c r="T60" i="16"/>
  <c r="AV60" i="16"/>
  <c r="AT60" i="16" s="1"/>
  <c r="AN72" i="16"/>
  <c r="AJ72" i="16" s="1"/>
  <c r="AV72" i="16"/>
  <c r="AT72" i="16" s="1"/>
  <c r="C77" i="16"/>
  <c r="AV77" i="16"/>
  <c r="AT77" i="16" s="1"/>
  <c r="AN77" i="16"/>
  <c r="AJ77" i="16" s="1"/>
  <c r="T77" i="16"/>
  <c r="C81" i="16"/>
  <c r="AV81" i="16"/>
  <c r="AT81" i="16" s="1"/>
  <c r="W81" i="16"/>
  <c r="AN81" i="16"/>
  <c r="AJ81" i="16" s="1"/>
  <c r="AV43" i="16"/>
  <c r="AT43" i="16" s="1"/>
  <c r="AN43" i="16"/>
  <c r="C98" i="16"/>
  <c r="AV98" i="16"/>
  <c r="AT98" i="16" s="1"/>
  <c r="W98" i="16"/>
  <c r="AN98" i="16"/>
  <c r="AJ98" i="16" s="1"/>
  <c r="AV108" i="16"/>
  <c r="AT108" i="16" s="1"/>
  <c r="AN108" i="16"/>
  <c r="AJ108" i="16" s="1"/>
  <c r="AN36" i="16"/>
  <c r="AV106" i="16"/>
  <c r="AT106" i="16" s="1"/>
  <c r="AN106" i="16"/>
  <c r="AJ106" i="16" s="1"/>
  <c r="AV74" i="16"/>
  <c r="AT74" i="16" s="1"/>
  <c r="AN74" i="16"/>
  <c r="AV33" i="16"/>
  <c r="AT33" i="16" s="1"/>
  <c r="AN33" i="16"/>
  <c r="C67" i="16"/>
  <c r="AV67" i="16"/>
  <c r="AT67" i="16" s="1"/>
  <c r="AN67" i="16"/>
  <c r="AJ67" i="16" s="1"/>
  <c r="AA115" i="16"/>
  <c r="AN48" i="16"/>
  <c r="AN8" i="16"/>
  <c r="AN34" i="16"/>
  <c r="AV34" i="16"/>
  <c r="AT34" i="16" s="1"/>
  <c r="AV44" i="16"/>
  <c r="AT44" i="16" s="1"/>
  <c r="AN44" i="16"/>
  <c r="AV88" i="16"/>
  <c r="AT88" i="16" s="1"/>
  <c r="AN88" i="16"/>
  <c r="AV35" i="16"/>
  <c r="AT35" i="16" s="1"/>
  <c r="AN35" i="16"/>
  <c r="AV41" i="16"/>
  <c r="AT41" i="16" s="1"/>
  <c r="AN41" i="16"/>
  <c r="AV23" i="16"/>
  <c r="AT23" i="16" s="1"/>
  <c r="AN23" i="16"/>
  <c r="AN29" i="16"/>
  <c r="T29" i="16"/>
  <c r="AV25" i="16"/>
  <c r="AT25" i="16" s="1"/>
  <c r="AN25" i="16"/>
  <c r="AV61" i="16"/>
  <c r="AT61" i="16" s="1"/>
  <c r="AN61" i="16"/>
  <c r="AJ61" i="16" s="1"/>
  <c r="W17" i="16"/>
  <c r="AN17" i="16"/>
  <c r="AN71" i="16"/>
  <c r="AJ71" i="16" s="1"/>
  <c r="AV71" i="16"/>
  <c r="AT71" i="16" s="1"/>
  <c r="AV83" i="16"/>
  <c r="AT83" i="16" s="1"/>
  <c r="AN83" i="16"/>
  <c r="AJ83" i="16" s="1"/>
  <c r="AV109" i="16"/>
  <c r="AT109" i="16" s="1"/>
  <c r="AN109" i="16"/>
  <c r="AV101" i="16"/>
  <c r="AT101" i="16" s="1"/>
  <c r="AN101" i="16"/>
  <c r="AJ101" i="16" s="1"/>
  <c r="AV86" i="16"/>
  <c r="AT86" i="16" s="1"/>
  <c r="AN86" i="16"/>
  <c r="AJ86" i="16" s="1"/>
  <c r="AV112" i="16"/>
  <c r="AT112" i="16" s="1"/>
  <c r="AN112" i="16"/>
  <c r="AJ112" i="16" s="1"/>
  <c r="AV85" i="16"/>
  <c r="AT85" i="16" s="1"/>
  <c r="AN85" i="16"/>
  <c r="AJ85" i="16" s="1"/>
  <c r="AV94" i="16"/>
  <c r="AT94" i="16" s="1"/>
  <c r="AN94" i="16"/>
  <c r="AJ94" i="16" s="1"/>
  <c r="C70" i="16"/>
  <c r="AV70" i="16"/>
  <c r="AT70" i="16" s="1"/>
  <c r="AN70" i="16"/>
  <c r="AJ70" i="16" s="1"/>
  <c r="W70" i="16"/>
  <c r="AV55" i="16"/>
  <c r="AT55" i="16" s="1"/>
  <c r="AN55" i="16"/>
  <c r="AN52" i="16"/>
  <c r="AJ52" i="16" s="1"/>
  <c r="AV52" i="16"/>
  <c r="AT52" i="16" s="1"/>
  <c r="C52" i="16"/>
  <c r="AV51" i="16"/>
  <c r="AT51" i="16" s="1"/>
  <c r="AN51" i="16"/>
  <c r="AN57" i="16"/>
  <c r="AJ57" i="16" s="1"/>
  <c r="AV57" i="16"/>
  <c r="AT57" i="16" s="1"/>
  <c r="C57" i="16"/>
  <c r="C63" i="16"/>
  <c r="AV63" i="16"/>
  <c r="AT63" i="16" s="1"/>
  <c r="AN63" i="16"/>
  <c r="AJ63" i="16" s="1"/>
  <c r="AV75" i="16"/>
  <c r="AT75" i="16" s="1"/>
  <c r="C75" i="16"/>
  <c r="AN75" i="16"/>
  <c r="AJ75" i="16" s="1"/>
  <c r="C78" i="16"/>
  <c r="AV78" i="16"/>
  <c r="AT78" i="16" s="1"/>
  <c r="AN78" i="16"/>
  <c r="AJ78" i="16" s="1"/>
  <c r="AV89" i="16"/>
  <c r="AT89" i="16" s="1"/>
  <c r="AN89" i="16"/>
  <c r="AJ89" i="16" s="1"/>
  <c r="C95" i="16"/>
  <c r="AN95" i="16"/>
  <c r="AJ95" i="16" s="1"/>
  <c r="AV95" i="16"/>
  <c r="AT95" i="16" s="1"/>
  <c r="C107" i="16"/>
  <c r="AV107" i="16"/>
  <c r="AT107" i="16" s="1"/>
  <c r="AN107" i="16"/>
  <c r="AJ107" i="16" s="1"/>
  <c r="C114" i="16"/>
  <c r="AV114" i="16"/>
  <c r="AT114" i="16" s="1"/>
  <c r="AN114" i="16"/>
  <c r="AJ114" i="16" s="1"/>
  <c r="AA116" i="16" l="1"/>
  <c r="I6" i="8"/>
  <c r="C85" i="16"/>
  <c r="C112" i="16"/>
  <c r="C106" i="16"/>
  <c r="C101" i="16"/>
  <c r="C83" i="16"/>
  <c r="C105" i="16"/>
  <c r="C71" i="16"/>
  <c r="C89" i="16"/>
  <c r="C36" i="16"/>
  <c r="C29" i="16"/>
  <c r="C27" i="16"/>
  <c r="C74" i="16"/>
  <c r="C33" i="16"/>
  <c r="C32" i="16"/>
  <c r="C42" i="16"/>
  <c r="C49" i="16"/>
  <c r="C19" i="16"/>
  <c r="C14" i="16"/>
  <c r="C51" i="16"/>
  <c r="C44" i="16"/>
  <c r="C34" i="16"/>
  <c r="C48" i="16"/>
  <c r="C16" i="16"/>
  <c r="C79" i="16"/>
  <c r="W55" i="16"/>
  <c r="T108" i="16"/>
  <c r="C108" i="16"/>
  <c r="T72" i="16"/>
  <c r="C72" i="16"/>
  <c r="C56" i="16"/>
  <c r="T111" i="16"/>
  <c r="C111" i="16"/>
  <c r="T104" i="16"/>
  <c r="C104" i="16"/>
  <c r="C26" i="16"/>
  <c r="W94" i="16"/>
  <c r="C94" i="16"/>
  <c r="C61" i="16"/>
  <c r="C43" i="16"/>
  <c r="T69" i="16"/>
  <c r="C69" i="16"/>
  <c r="C96" i="16"/>
  <c r="C28" i="16"/>
  <c r="C20" i="16"/>
  <c r="W80" i="16"/>
  <c r="C80" i="16"/>
  <c r="C10" i="16"/>
  <c r="W85" i="16"/>
  <c r="W112" i="16"/>
  <c r="T16" i="16"/>
  <c r="T39" i="16"/>
  <c r="T96" i="16"/>
  <c r="T43" i="16"/>
  <c r="T49" i="16"/>
  <c r="W27" i="16"/>
  <c r="W12" i="16"/>
  <c r="W33" i="16"/>
  <c r="W84" i="16"/>
  <c r="W15" i="16"/>
  <c r="W74" i="16"/>
  <c r="W28" i="16"/>
  <c r="W31" i="16"/>
  <c r="W79" i="16"/>
  <c r="T71" i="16"/>
  <c r="T34" i="16"/>
  <c r="K107" i="16"/>
  <c r="AL107" i="16" s="1"/>
  <c r="G107" i="16"/>
  <c r="W107" i="16"/>
  <c r="T107" i="16"/>
  <c r="I107" i="16"/>
  <c r="E107" i="16"/>
  <c r="T89" i="16"/>
  <c r="I89" i="16"/>
  <c r="G89" i="16"/>
  <c r="W89" i="16"/>
  <c r="W78" i="16"/>
  <c r="K78" i="16"/>
  <c r="AL78" i="16" s="1"/>
  <c r="G78" i="16"/>
  <c r="T78" i="16"/>
  <c r="I78" i="16"/>
  <c r="E78" i="16"/>
  <c r="T75" i="16"/>
  <c r="I75" i="16"/>
  <c r="E75" i="16"/>
  <c r="K75" i="16"/>
  <c r="AL75" i="16" s="1"/>
  <c r="G75" i="16"/>
  <c r="W75" i="16"/>
  <c r="T63" i="16"/>
  <c r="I63" i="16"/>
  <c r="E63" i="16"/>
  <c r="K63" i="16"/>
  <c r="AL63" i="16" s="1"/>
  <c r="G63" i="16"/>
  <c r="T57" i="16"/>
  <c r="I57" i="16"/>
  <c r="E57" i="16"/>
  <c r="W57" i="16"/>
  <c r="K57" i="16"/>
  <c r="AL57" i="16" s="1"/>
  <c r="G57" i="16"/>
  <c r="T51" i="16"/>
  <c r="I51" i="16"/>
  <c r="W51" i="16"/>
  <c r="G51" i="16"/>
  <c r="I55" i="16"/>
  <c r="G55" i="16"/>
  <c r="T55" i="16"/>
  <c r="I70" i="16"/>
  <c r="G70" i="16"/>
  <c r="T70" i="16"/>
  <c r="G94" i="16"/>
  <c r="I94" i="16"/>
  <c r="T94" i="16"/>
  <c r="G85" i="16"/>
  <c r="I85" i="16"/>
  <c r="T85" i="16"/>
  <c r="E112" i="16"/>
  <c r="T112" i="16"/>
  <c r="E86" i="16"/>
  <c r="T86" i="16"/>
  <c r="W86" i="16"/>
  <c r="G101" i="16"/>
  <c r="W101" i="16"/>
  <c r="T101" i="16"/>
  <c r="G109" i="16"/>
  <c r="I109" i="16"/>
  <c r="T109" i="16"/>
  <c r="G83" i="16"/>
  <c r="W83" i="16"/>
  <c r="T83" i="16"/>
  <c r="G17" i="16"/>
  <c r="T17" i="16"/>
  <c r="T61" i="16"/>
  <c r="G61" i="16"/>
  <c r="W61" i="16"/>
  <c r="I61" i="16"/>
  <c r="G25" i="16"/>
  <c r="I25" i="16"/>
  <c r="T25" i="16"/>
  <c r="T23" i="16"/>
  <c r="G23" i="16"/>
  <c r="I23" i="16"/>
  <c r="W23" i="16"/>
  <c r="G41" i="16"/>
  <c r="I41" i="16"/>
  <c r="T41" i="16"/>
  <c r="G35" i="16"/>
  <c r="I35" i="16"/>
  <c r="T35" i="16"/>
  <c r="T88" i="16"/>
  <c r="G88" i="16"/>
  <c r="I88" i="16"/>
  <c r="W88" i="16"/>
  <c r="I44" i="16"/>
  <c r="W44" i="16"/>
  <c r="T44" i="16"/>
  <c r="G44" i="16"/>
  <c r="I8" i="16"/>
  <c r="T8" i="16"/>
  <c r="G8" i="16"/>
  <c r="W8" i="16"/>
  <c r="I48" i="16"/>
  <c r="W48" i="16"/>
  <c r="T48" i="16"/>
  <c r="G48" i="16"/>
  <c r="W22" i="16"/>
  <c r="T22" i="16"/>
  <c r="I22" i="16"/>
  <c r="G22" i="16"/>
  <c r="T103" i="16"/>
  <c r="E103" i="16"/>
  <c r="W103" i="16"/>
  <c r="I103" i="16"/>
  <c r="K114" i="16"/>
  <c r="AL114" i="16" s="1"/>
  <c r="G114" i="16"/>
  <c r="I114" i="16"/>
  <c r="E114" i="16"/>
  <c r="T114" i="16"/>
  <c r="W114" i="16"/>
  <c r="K95" i="16"/>
  <c r="AL95" i="16" s="1"/>
  <c r="G95" i="16"/>
  <c r="W95" i="16"/>
  <c r="T95" i="16"/>
  <c r="I95" i="16"/>
  <c r="E95" i="16"/>
  <c r="W63" i="16"/>
  <c r="I52" i="16"/>
  <c r="T52" i="16"/>
  <c r="W52" i="16"/>
  <c r="E52" i="16"/>
  <c r="W109" i="16"/>
  <c r="I71" i="16"/>
  <c r="E71" i="16"/>
  <c r="W71" i="16"/>
  <c r="W25" i="16"/>
  <c r="I29" i="16"/>
  <c r="E29" i="16"/>
  <c r="W29" i="16"/>
  <c r="W41" i="16"/>
  <c r="W35" i="16"/>
  <c r="G34" i="16"/>
  <c r="I34" i="16"/>
  <c r="W34" i="16"/>
  <c r="I67" i="16"/>
  <c r="G67" i="16"/>
  <c r="T67" i="16"/>
  <c r="W67" i="16"/>
  <c r="I33" i="16"/>
  <c r="G33" i="16"/>
  <c r="T33" i="16"/>
  <c r="I74" i="16"/>
  <c r="G74" i="16"/>
  <c r="T74" i="16"/>
  <c r="W106" i="16"/>
  <c r="E106" i="16"/>
  <c r="T106" i="16"/>
  <c r="I106" i="16"/>
  <c r="T36" i="16"/>
  <c r="G36" i="16"/>
  <c r="I36" i="16"/>
  <c r="W36" i="16"/>
  <c r="I108" i="16"/>
  <c r="G108" i="16"/>
  <c r="K108" i="16"/>
  <c r="AL108" i="16" s="1"/>
  <c r="E108" i="16"/>
  <c r="W108" i="16"/>
  <c r="I98" i="16"/>
  <c r="G98" i="16"/>
  <c r="K98" i="16"/>
  <c r="AL98" i="16" s="1"/>
  <c r="E98" i="16"/>
  <c r="T98" i="16"/>
  <c r="I43" i="16"/>
  <c r="E43" i="16"/>
  <c r="W43" i="16"/>
  <c r="G81" i="16"/>
  <c r="K81" i="16"/>
  <c r="AL81" i="16" s="1"/>
  <c r="E81" i="16"/>
  <c r="I81" i="16"/>
  <c r="T81" i="16"/>
  <c r="I77" i="16"/>
  <c r="G77" i="16"/>
  <c r="K77" i="16"/>
  <c r="AL77" i="16" s="1"/>
  <c r="E77" i="16"/>
  <c r="W77" i="16"/>
  <c r="I72" i="16"/>
  <c r="G72" i="16"/>
  <c r="K72" i="16"/>
  <c r="AL72" i="16" s="1"/>
  <c r="E72" i="16"/>
  <c r="W72" i="16"/>
  <c r="I60" i="16"/>
  <c r="G60" i="16"/>
  <c r="K60" i="16"/>
  <c r="AL60" i="16" s="1"/>
  <c r="E60" i="16"/>
  <c r="W60" i="16"/>
  <c r="I56" i="16"/>
  <c r="G56" i="16"/>
  <c r="T56" i="16"/>
  <c r="W105" i="16"/>
  <c r="G105" i="16"/>
  <c r="I105" i="16"/>
  <c r="T105" i="16"/>
  <c r="I69" i="16"/>
  <c r="W69" i="16"/>
  <c r="E69" i="16"/>
  <c r="G111" i="16"/>
  <c r="I111" i="16"/>
  <c r="W111" i="16"/>
  <c r="I16" i="16"/>
  <c r="W16" i="16"/>
  <c r="G16" i="16"/>
  <c r="I104" i="16"/>
  <c r="W104" i="16"/>
  <c r="E104" i="16"/>
  <c r="E96" i="16"/>
  <c r="I96" i="16"/>
  <c r="W96" i="16"/>
  <c r="I39" i="16"/>
  <c r="W39" i="16"/>
  <c r="G39" i="16"/>
  <c r="G99" i="16"/>
  <c r="T99" i="16"/>
  <c r="W26" i="16"/>
  <c r="I26" i="16"/>
  <c r="T26" i="16"/>
  <c r="G26" i="16"/>
  <c r="I93" i="16"/>
  <c r="W93" i="16"/>
  <c r="T93" i="16"/>
  <c r="E93" i="16"/>
  <c r="E84" i="16"/>
  <c r="T84" i="16"/>
  <c r="G28" i="16"/>
  <c r="I28" i="16"/>
  <c r="T28" i="16"/>
  <c r="T21" i="16"/>
  <c r="E21" i="16"/>
  <c r="I21" i="16"/>
  <c r="W21" i="16"/>
  <c r="G27" i="16"/>
  <c r="I27" i="16"/>
  <c r="T27" i="16"/>
  <c r="T42" i="16"/>
  <c r="G42" i="16"/>
  <c r="I42" i="16"/>
  <c r="W42" i="16"/>
  <c r="G15" i="16"/>
  <c r="I15" i="16"/>
  <c r="T15" i="16"/>
  <c r="G31" i="16"/>
  <c r="I31" i="16"/>
  <c r="T31" i="16"/>
  <c r="T20" i="16"/>
  <c r="G20" i="16"/>
  <c r="W20" i="16"/>
  <c r="I20" i="16"/>
  <c r="G92" i="16"/>
  <c r="T92" i="16"/>
  <c r="I92" i="16"/>
  <c r="G49" i="16"/>
  <c r="I49" i="16"/>
  <c r="W49" i="16"/>
  <c r="I80" i="16"/>
  <c r="T80" i="16"/>
  <c r="E80" i="16"/>
  <c r="I19" i="16"/>
  <c r="T19" i="16"/>
  <c r="G19" i="16"/>
  <c r="W19" i="16"/>
  <c r="I32" i="16"/>
  <c r="T32" i="16"/>
  <c r="E32" i="16"/>
  <c r="W32" i="16"/>
  <c r="G12" i="16"/>
  <c r="T12" i="16"/>
  <c r="T10" i="16"/>
  <c r="G10" i="16"/>
  <c r="W10" i="16"/>
  <c r="I10" i="16"/>
  <c r="T18" i="16"/>
  <c r="G18" i="16"/>
  <c r="I18" i="16"/>
  <c r="W18" i="16"/>
  <c r="G14" i="16"/>
  <c r="I14" i="16"/>
  <c r="T14" i="16"/>
  <c r="T79" i="16"/>
  <c r="G79" i="16"/>
  <c r="I79" i="16"/>
  <c r="X37" i="16" l="1"/>
  <c r="U37" i="16"/>
  <c r="H37" i="16" s="1"/>
  <c r="U38" i="16"/>
  <c r="U30" i="16"/>
  <c r="U24" i="16"/>
  <c r="X30" i="16"/>
  <c r="X38" i="16"/>
  <c r="X24" i="16"/>
  <c r="X76" i="16"/>
  <c r="U76" i="16"/>
  <c r="B76" i="16" s="1"/>
  <c r="X58" i="16"/>
  <c r="X46" i="16"/>
  <c r="U46" i="16"/>
  <c r="B46" i="16" s="1"/>
  <c r="U58" i="16"/>
  <c r="B58" i="16" s="1"/>
  <c r="X47" i="16"/>
  <c r="U47" i="16"/>
  <c r="B47" i="16" s="1"/>
  <c r="X97" i="16"/>
  <c r="U97" i="16"/>
  <c r="X73" i="16"/>
  <c r="X91" i="16"/>
  <c r="U73" i="16"/>
  <c r="B73" i="16" s="1"/>
  <c r="U91" i="16"/>
  <c r="B91" i="16" s="1"/>
  <c r="X68" i="16"/>
  <c r="U68" i="16"/>
  <c r="X90" i="16"/>
  <c r="U90" i="16"/>
  <c r="B90" i="16" s="1"/>
  <c r="X65" i="16"/>
  <c r="U65" i="16"/>
  <c r="B65" i="16" s="1"/>
  <c r="X64" i="16"/>
  <c r="X100" i="16"/>
  <c r="U64" i="16"/>
  <c r="B64" i="16" s="1"/>
  <c r="U100" i="16"/>
  <c r="B100" i="16" s="1"/>
  <c r="X11" i="16"/>
  <c r="U11" i="16"/>
  <c r="B11" i="16" s="1"/>
  <c r="X110" i="16"/>
  <c r="U110" i="16"/>
  <c r="B110" i="16" s="1"/>
  <c r="X82" i="16"/>
  <c r="U82" i="16"/>
  <c r="B82" i="16" s="1"/>
  <c r="X59" i="16"/>
  <c r="U59" i="16"/>
  <c r="X9" i="16"/>
  <c r="U9" i="16"/>
  <c r="X7" i="16"/>
  <c r="U7" i="16"/>
  <c r="B7" i="16" s="1"/>
  <c r="X54" i="16"/>
  <c r="U62" i="16"/>
  <c r="B62" i="16" s="1"/>
  <c r="U54" i="16"/>
  <c r="X62" i="16"/>
  <c r="X50" i="16"/>
  <c r="U50" i="16"/>
  <c r="U45" i="16"/>
  <c r="U66" i="16"/>
  <c r="U87" i="16"/>
  <c r="U53" i="16"/>
  <c r="X45" i="16"/>
  <c r="X53" i="16"/>
  <c r="X87" i="16"/>
  <c r="X66" i="16"/>
  <c r="U40" i="16"/>
  <c r="B40" i="16" s="1"/>
  <c r="X40" i="16"/>
  <c r="U113" i="16"/>
  <c r="X113" i="16"/>
  <c r="U13" i="16"/>
  <c r="B13" i="16" s="1"/>
  <c r="X13" i="16"/>
  <c r="U102" i="16"/>
  <c r="X102" i="16"/>
  <c r="X14" i="16"/>
  <c r="U79" i="16"/>
  <c r="B79" i="16" s="1"/>
  <c r="X74" i="16"/>
  <c r="X18" i="16"/>
  <c r="U18" i="16"/>
  <c r="B18" i="16" s="1"/>
  <c r="X10" i="16"/>
  <c r="U10" i="16"/>
  <c r="U12" i="16"/>
  <c r="U80" i="16"/>
  <c r="U92" i="16"/>
  <c r="U31" i="16"/>
  <c r="X42" i="16"/>
  <c r="X21" i="16"/>
  <c r="U21" i="16"/>
  <c r="U93" i="16"/>
  <c r="X26" i="16"/>
  <c r="X99" i="16"/>
  <c r="X39" i="16"/>
  <c r="U39" i="16"/>
  <c r="X96" i="16"/>
  <c r="X104" i="16"/>
  <c r="U16" i="16"/>
  <c r="X69" i="16"/>
  <c r="X105" i="16"/>
  <c r="X56" i="16"/>
  <c r="U60" i="16"/>
  <c r="X77" i="16"/>
  <c r="U81" i="16"/>
  <c r="U98" i="16"/>
  <c r="X36" i="16"/>
  <c r="U106" i="16"/>
  <c r="U74" i="16"/>
  <c r="U33" i="16"/>
  <c r="U67" i="16"/>
  <c r="X34" i="16"/>
  <c r="X41" i="16"/>
  <c r="X29" i="16"/>
  <c r="U29" i="16"/>
  <c r="X71" i="16"/>
  <c r="X52" i="16"/>
  <c r="X63" i="16"/>
  <c r="X95" i="16"/>
  <c r="X114" i="16"/>
  <c r="X79" i="16"/>
  <c r="X80" i="16"/>
  <c r="X15" i="16"/>
  <c r="X28" i="16"/>
  <c r="U96" i="16"/>
  <c r="U69" i="16"/>
  <c r="X22" i="16"/>
  <c r="U108" i="16"/>
  <c r="U104" i="16"/>
  <c r="U48" i="16"/>
  <c r="X98" i="16"/>
  <c r="X48" i="16"/>
  <c r="X8" i="16"/>
  <c r="U8" i="16"/>
  <c r="B8" i="16" s="1"/>
  <c r="U34" i="16"/>
  <c r="X44" i="16"/>
  <c r="U88" i="16"/>
  <c r="U41" i="16"/>
  <c r="U23" i="16"/>
  <c r="U17" i="16"/>
  <c r="U71" i="16"/>
  <c r="U83" i="16"/>
  <c r="X83" i="16"/>
  <c r="X86" i="16"/>
  <c r="U85" i="16"/>
  <c r="U94" i="16"/>
  <c r="U70" i="16"/>
  <c r="U55" i="16"/>
  <c r="U63" i="16"/>
  <c r="U75" i="16"/>
  <c r="U78" i="16"/>
  <c r="X78" i="16"/>
  <c r="U89" i="16"/>
  <c r="X107" i="16"/>
  <c r="U14" i="16"/>
  <c r="X32" i="16"/>
  <c r="U32" i="16"/>
  <c r="X19" i="16"/>
  <c r="U19" i="16"/>
  <c r="X49" i="16"/>
  <c r="X92" i="16"/>
  <c r="X20" i="16"/>
  <c r="U20" i="16"/>
  <c r="U15" i="16"/>
  <c r="U42" i="16"/>
  <c r="U27" i="16"/>
  <c r="U28" i="16"/>
  <c r="U84" i="16"/>
  <c r="X93" i="16"/>
  <c r="U26" i="16"/>
  <c r="U99" i="16"/>
  <c r="X16" i="16"/>
  <c r="X111" i="16"/>
  <c r="U105" i="16"/>
  <c r="U56" i="16"/>
  <c r="X60" i="16"/>
  <c r="X72" i="16"/>
  <c r="U77" i="16"/>
  <c r="X81" i="16"/>
  <c r="X43" i="16"/>
  <c r="X108" i="16"/>
  <c r="U36" i="16"/>
  <c r="X106" i="16"/>
  <c r="X67" i="16"/>
  <c r="X35" i="16"/>
  <c r="X25" i="16"/>
  <c r="X109" i="16"/>
  <c r="U52" i="16"/>
  <c r="U95" i="16"/>
  <c r="U114" i="16"/>
  <c r="X12" i="16"/>
  <c r="U49" i="16"/>
  <c r="X31" i="16"/>
  <c r="X27" i="16"/>
  <c r="X84" i="16"/>
  <c r="X103" i="16"/>
  <c r="U103" i="16"/>
  <c r="U111" i="16"/>
  <c r="U22" i="16"/>
  <c r="U72" i="16"/>
  <c r="U43" i="16"/>
  <c r="X33" i="16"/>
  <c r="U44" i="16"/>
  <c r="X88" i="16"/>
  <c r="U35" i="16"/>
  <c r="X23" i="16"/>
  <c r="U25" i="16"/>
  <c r="X61" i="16"/>
  <c r="U61" i="16"/>
  <c r="X17" i="16"/>
  <c r="U109" i="16"/>
  <c r="U101" i="16"/>
  <c r="X101" i="16"/>
  <c r="U86" i="16"/>
  <c r="U112" i="16"/>
  <c r="X112" i="16"/>
  <c r="X85" i="16"/>
  <c r="X94" i="16"/>
  <c r="X70" i="16"/>
  <c r="X55" i="16"/>
  <c r="X51" i="16"/>
  <c r="U51" i="16"/>
  <c r="X57" i="16"/>
  <c r="U57" i="16"/>
  <c r="X75" i="16"/>
  <c r="X89" i="16"/>
  <c r="U107" i="16"/>
  <c r="B37" i="16" l="1"/>
  <c r="F37" i="16"/>
  <c r="J37" i="16"/>
  <c r="D37" i="16"/>
  <c r="K37" i="16"/>
  <c r="AL37" i="16" s="1"/>
  <c r="Y37" i="16"/>
  <c r="K30" i="16"/>
  <c r="K38" i="16"/>
  <c r="AL38" i="16" s="1"/>
  <c r="B30" i="16"/>
  <c r="D30" i="16"/>
  <c r="F30" i="16"/>
  <c r="H30" i="16"/>
  <c r="J30" i="16"/>
  <c r="B113" i="16"/>
  <c r="D113" i="16"/>
  <c r="F113" i="16"/>
  <c r="H113" i="16"/>
  <c r="J113" i="16"/>
  <c r="F24" i="16"/>
  <c r="H24" i="16"/>
  <c r="J24" i="16"/>
  <c r="B24" i="16"/>
  <c r="D24" i="16"/>
  <c r="K24" i="16"/>
  <c r="B38" i="16"/>
  <c r="D38" i="16"/>
  <c r="F38" i="16"/>
  <c r="H38" i="16"/>
  <c r="J38" i="16"/>
  <c r="Y38" i="16"/>
  <c r="Y30" i="16"/>
  <c r="Y24" i="16"/>
  <c r="D51" i="16"/>
  <c r="B51" i="16"/>
  <c r="D107" i="16"/>
  <c r="B107" i="16"/>
  <c r="D112" i="16"/>
  <c r="B112" i="16"/>
  <c r="D109" i="16"/>
  <c r="B109" i="16"/>
  <c r="D61" i="16"/>
  <c r="B61" i="16"/>
  <c r="D25" i="16"/>
  <c r="B25" i="16"/>
  <c r="D35" i="16"/>
  <c r="B35" i="16"/>
  <c r="D44" i="16"/>
  <c r="B44" i="16"/>
  <c r="D43" i="16"/>
  <c r="B43" i="16"/>
  <c r="D22" i="16"/>
  <c r="B22" i="16"/>
  <c r="D103" i="16"/>
  <c r="B103" i="16"/>
  <c r="D95" i="16"/>
  <c r="B95" i="16"/>
  <c r="D77" i="16"/>
  <c r="B77" i="16"/>
  <c r="D105" i="16"/>
  <c r="B105" i="16"/>
  <c r="D26" i="16"/>
  <c r="B26" i="16"/>
  <c r="D84" i="16"/>
  <c r="B84" i="16"/>
  <c r="D27" i="16"/>
  <c r="B27" i="16"/>
  <c r="D15" i="16"/>
  <c r="B15" i="16"/>
  <c r="D75" i="16"/>
  <c r="B75" i="16"/>
  <c r="D55" i="16"/>
  <c r="B55" i="16"/>
  <c r="D94" i="16"/>
  <c r="B94" i="16"/>
  <c r="D83" i="16"/>
  <c r="B83" i="16"/>
  <c r="D17" i="16"/>
  <c r="B17" i="16"/>
  <c r="D41" i="16"/>
  <c r="B41" i="16"/>
  <c r="D48" i="16"/>
  <c r="B48" i="16"/>
  <c r="D108" i="16"/>
  <c r="B108" i="16"/>
  <c r="D69" i="16"/>
  <c r="B69" i="16"/>
  <c r="D33" i="16"/>
  <c r="B33" i="16"/>
  <c r="D106" i="16"/>
  <c r="B106" i="16"/>
  <c r="D81" i="16"/>
  <c r="B81" i="16"/>
  <c r="D60" i="16"/>
  <c r="B60" i="16"/>
  <c r="D16" i="16"/>
  <c r="B16" i="16"/>
  <c r="D21" i="16"/>
  <c r="B21" i="16"/>
  <c r="D92" i="16"/>
  <c r="B92" i="16"/>
  <c r="D12" i="16"/>
  <c r="B12" i="16"/>
  <c r="D53" i="16"/>
  <c r="B53" i="16"/>
  <c r="D66" i="16"/>
  <c r="B66" i="16"/>
  <c r="D50" i="16"/>
  <c r="B50" i="16"/>
  <c r="D9" i="16"/>
  <c r="B9" i="16"/>
  <c r="D59" i="16"/>
  <c r="B59" i="16"/>
  <c r="D68" i="16"/>
  <c r="B68" i="16"/>
  <c r="D57" i="16"/>
  <c r="B57" i="16"/>
  <c r="D86" i="16"/>
  <c r="B86" i="16"/>
  <c r="D101" i="16"/>
  <c r="B101" i="16"/>
  <c r="D72" i="16"/>
  <c r="B72" i="16"/>
  <c r="D111" i="16"/>
  <c r="B111" i="16"/>
  <c r="D49" i="16"/>
  <c r="B49" i="16"/>
  <c r="D114" i="16"/>
  <c r="B114" i="16"/>
  <c r="D52" i="16"/>
  <c r="B52" i="16"/>
  <c r="D36" i="16"/>
  <c r="B36" i="16"/>
  <c r="D56" i="16"/>
  <c r="B56" i="16"/>
  <c r="D99" i="16"/>
  <c r="B99" i="16"/>
  <c r="D28" i="16"/>
  <c r="B28" i="16"/>
  <c r="D42" i="16"/>
  <c r="B42" i="16"/>
  <c r="D20" i="16"/>
  <c r="B20" i="16"/>
  <c r="D19" i="16"/>
  <c r="B19" i="16"/>
  <c r="D32" i="16"/>
  <c r="B32" i="16"/>
  <c r="D14" i="16"/>
  <c r="B14" i="16"/>
  <c r="D89" i="16"/>
  <c r="B89" i="16"/>
  <c r="D78" i="16"/>
  <c r="B78" i="16"/>
  <c r="D63" i="16"/>
  <c r="B63" i="16"/>
  <c r="D70" i="16"/>
  <c r="B70" i="16"/>
  <c r="D85" i="16"/>
  <c r="B85" i="16"/>
  <c r="D71" i="16"/>
  <c r="B71" i="16"/>
  <c r="D23" i="16"/>
  <c r="B23" i="16"/>
  <c r="D88" i="16"/>
  <c r="B88" i="16"/>
  <c r="D34" i="16"/>
  <c r="B34" i="16"/>
  <c r="D104" i="16"/>
  <c r="B104" i="16"/>
  <c r="D96" i="16"/>
  <c r="B96" i="16"/>
  <c r="D29" i="16"/>
  <c r="B29" i="16"/>
  <c r="D67" i="16"/>
  <c r="B67" i="16"/>
  <c r="D74" i="16"/>
  <c r="B74" i="16"/>
  <c r="D98" i="16"/>
  <c r="B98" i="16"/>
  <c r="D39" i="16"/>
  <c r="B39" i="16"/>
  <c r="D93" i="16"/>
  <c r="B93" i="16"/>
  <c r="D31" i="16"/>
  <c r="B31" i="16"/>
  <c r="D80" i="16"/>
  <c r="B80" i="16"/>
  <c r="D10" i="16"/>
  <c r="B10" i="16"/>
  <c r="D102" i="16"/>
  <c r="B102" i="16"/>
  <c r="D87" i="16"/>
  <c r="B87" i="16"/>
  <c r="D45" i="16"/>
  <c r="B45" i="16"/>
  <c r="D54" i="16"/>
  <c r="B54" i="16"/>
  <c r="D97" i="16"/>
  <c r="B97" i="16"/>
  <c r="F76" i="16"/>
  <c r="J76" i="16"/>
  <c r="D76" i="16"/>
  <c r="H76" i="16"/>
  <c r="D18" i="16"/>
  <c r="K76" i="16"/>
  <c r="AL76" i="16" s="1"/>
  <c r="Y76" i="16"/>
  <c r="D46" i="16"/>
  <c r="F46" i="16"/>
  <c r="H46" i="16"/>
  <c r="J46" i="16"/>
  <c r="K46" i="16"/>
  <c r="Y46" i="16"/>
  <c r="Y66" i="16"/>
  <c r="D58" i="16"/>
  <c r="J58" i="16"/>
  <c r="H58" i="16"/>
  <c r="F58" i="16"/>
  <c r="D8" i="16"/>
  <c r="K58" i="16"/>
  <c r="Y58" i="16"/>
  <c r="K11" i="16"/>
  <c r="D13" i="16"/>
  <c r="K13" i="16"/>
  <c r="J47" i="16"/>
  <c r="F47" i="16"/>
  <c r="H47" i="16"/>
  <c r="D47" i="16"/>
  <c r="K47" i="16"/>
  <c r="Y47" i="16"/>
  <c r="J97" i="16"/>
  <c r="H68" i="16"/>
  <c r="J68" i="16"/>
  <c r="F68" i="16"/>
  <c r="F97" i="16"/>
  <c r="H97" i="16"/>
  <c r="K73" i="16"/>
  <c r="AL73" i="16" s="1"/>
  <c r="K91" i="16"/>
  <c r="AL91" i="16" s="1"/>
  <c r="Y97" i="16"/>
  <c r="F91" i="16"/>
  <c r="J91" i="16"/>
  <c r="D91" i="16"/>
  <c r="H91" i="16"/>
  <c r="F73" i="16"/>
  <c r="J73" i="16"/>
  <c r="D73" i="16"/>
  <c r="H73" i="16"/>
  <c r="Y73" i="16"/>
  <c r="Y91" i="16"/>
  <c r="K110" i="16"/>
  <c r="AL110" i="16" s="1"/>
  <c r="K64" i="16"/>
  <c r="AL64" i="16" s="1"/>
  <c r="K68" i="16"/>
  <c r="AL68" i="16" s="1"/>
  <c r="K100" i="16"/>
  <c r="AL100" i="16" s="1"/>
  <c r="Y68" i="16"/>
  <c r="H90" i="16"/>
  <c r="D90" i="16"/>
  <c r="F90" i="16"/>
  <c r="J90" i="16"/>
  <c r="Y90" i="16"/>
  <c r="D65" i="16"/>
  <c r="H65" i="16"/>
  <c r="F65" i="16"/>
  <c r="J65" i="16"/>
  <c r="Y65" i="16"/>
  <c r="D64" i="16"/>
  <c r="H64" i="16"/>
  <c r="F64" i="16"/>
  <c r="J64" i="16"/>
  <c r="F100" i="16"/>
  <c r="J100" i="16"/>
  <c r="D100" i="16"/>
  <c r="H100" i="16"/>
  <c r="Y100" i="16"/>
  <c r="Y64" i="16"/>
  <c r="F11" i="16"/>
  <c r="J11" i="16"/>
  <c r="D11" i="16"/>
  <c r="H11" i="16"/>
  <c r="Y11" i="16"/>
  <c r="H110" i="16"/>
  <c r="D110" i="16"/>
  <c r="J110" i="16"/>
  <c r="F110" i="16"/>
  <c r="Y110" i="16"/>
  <c r="D82" i="16"/>
  <c r="H82" i="16"/>
  <c r="F82" i="16"/>
  <c r="J82" i="16"/>
  <c r="Y82" i="16"/>
  <c r="H40" i="16"/>
  <c r="D40" i="16"/>
  <c r="J79" i="16"/>
  <c r="D79" i="16"/>
  <c r="H62" i="16"/>
  <c r="D62" i="16"/>
  <c r="F7" i="16"/>
  <c r="D7" i="16"/>
  <c r="H59" i="16"/>
  <c r="F59" i="16"/>
  <c r="J59" i="16"/>
  <c r="Y59" i="16"/>
  <c r="K9" i="16"/>
  <c r="F9" i="16"/>
  <c r="J9" i="16"/>
  <c r="H9" i="16"/>
  <c r="Y9" i="16"/>
  <c r="K43" i="16"/>
  <c r="K56" i="16"/>
  <c r="AL56" i="16" s="1"/>
  <c r="J62" i="16"/>
  <c r="H7" i="16"/>
  <c r="J7" i="16"/>
  <c r="K89" i="16"/>
  <c r="AL89" i="16" s="1"/>
  <c r="K7" i="16"/>
  <c r="Y7" i="16"/>
  <c r="F62" i="16"/>
  <c r="K54" i="16"/>
  <c r="AL54" i="16" s="1"/>
  <c r="K62" i="16"/>
  <c r="H54" i="16"/>
  <c r="F54" i="16"/>
  <c r="J54" i="16"/>
  <c r="Y54" i="16"/>
  <c r="Y62" i="16"/>
  <c r="K22" i="16"/>
  <c r="K53" i="16"/>
  <c r="AL53" i="16" s="1"/>
  <c r="K66" i="16"/>
  <c r="AL66" i="16" s="1"/>
  <c r="K50" i="16"/>
  <c r="AL50" i="16" s="1"/>
  <c r="K87" i="16"/>
  <c r="AL87" i="16" s="1"/>
  <c r="K45" i="16"/>
  <c r="J40" i="16"/>
  <c r="F87" i="16"/>
  <c r="J87" i="16"/>
  <c r="H87" i="16"/>
  <c r="F45" i="16"/>
  <c r="J45" i="16"/>
  <c r="H45" i="16"/>
  <c r="H53" i="16"/>
  <c r="F53" i="16"/>
  <c r="J53" i="16"/>
  <c r="F66" i="16"/>
  <c r="H66" i="16"/>
  <c r="J66" i="16"/>
  <c r="F50" i="16"/>
  <c r="J50" i="16"/>
  <c r="H50" i="16"/>
  <c r="Y50" i="16"/>
  <c r="Y45" i="16"/>
  <c r="Y53" i="16"/>
  <c r="Y87" i="16"/>
  <c r="F79" i="16"/>
  <c r="F40" i="16"/>
  <c r="AL113" i="16"/>
  <c r="K51" i="16"/>
  <c r="K40" i="16"/>
  <c r="Y40" i="16"/>
  <c r="Y113" i="16"/>
  <c r="H79" i="16"/>
  <c r="Y13" i="16"/>
  <c r="H13" i="16"/>
  <c r="F13" i="16"/>
  <c r="J13" i="16"/>
  <c r="Y102" i="16"/>
  <c r="F102" i="16"/>
  <c r="H102" i="16"/>
  <c r="J102" i="16"/>
  <c r="Y89" i="16"/>
  <c r="Y18" i="16"/>
  <c r="F107" i="16"/>
  <c r="H107" i="16"/>
  <c r="J107" i="16"/>
  <c r="Y75" i="16"/>
  <c r="Y57" i="16"/>
  <c r="Y51" i="16"/>
  <c r="Y70" i="16"/>
  <c r="Y85" i="16"/>
  <c r="H112" i="16"/>
  <c r="J112" i="16"/>
  <c r="F112" i="16"/>
  <c r="K112" i="16"/>
  <c r="AL112" i="16" s="1"/>
  <c r="Y101" i="16"/>
  <c r="J109" i="16"/>
  <c r="F109" i="16"/>
  <c r="H109" i="16"/>
  <c r="K109" i="16"/>
  <c r="J61" i="16"/>
  <c r="F61" i="16"/>
  <c r="H61" i="16"/>
  <c r="K61" i="16"/>
  <c r="AL61" i="16" s="1"/>
  <c r="H25" i="16"/>
  <c r="J25" i="16"/>
  <c r="F25" i="16"/>
  <c r="K25" i="16"/>
  <c r="H35" i="16"/>
  <c r="J35" i="16"/>
  <c r="F35" i="16"/>
  <c r="K35" i="16"/>
  <c r="AJ35" i="16" s="1"/>
  <c r="J44" i="16"/>
  <c r="H44" i="16"/>
  <c r="F44" i="16"/>
  <c r="K44" i="16"/>
  <c r="Y33" i="16"/>
  <c r="H72" i="16"/>
  <c r="J72" i="16"/>
  <c r="F72" i="16"/>
  <c r="H111" i="16"/>
  <c r="J111" i="16"/>
  <c r="F111" i="16"/>
  <c r="K111" i="16"/>
  <c r="AL111" i="16" s="1"/>
  <c r="Y103" i="16"/>
  <c r="Y27" i="16"/>
  <c r="J49" i="16"/>
  <c r="F49" i="16"/>
  <c r="H49" i="16"/>
  <c r="K49" i="16"/>
  <c r="J114" i="16"/>
  <c r="F114" i="16"/>
  <c r="H114" i="16"/>
  <c r="J52" i="16"/>
  <c r="F52" i="16"/>
  <c r="H52" i="16"/>
  <c r="K52" i="16"/>
  <c r="AL52" i="16" s="1"/>
  <c r="Y25" i="16"/>
  <c r="Y67" i="16"/>
  <c r="J36" i="16"/>
  <c r="F36" i="16"/>
  <c r="H36" i="16"/>
  <c r="K36" i="16"/>
  <c r="Y108" i="16"/>
  <c r="Y81" i="16"/>
  <c r="Y72" i="16"/>
  <c r="J56" i="16"/>
  <c r="F56" i="16"/>
  <c r="H56" i="16"/>
  <c r="Y111" i="16"/>
  <c r="H99" i="16"/>
  <c r="J99" i="16"/>
  <c r="F99" i="16"/>
  <c r="K99" i="16"/>
  <c r="AL99" i="16" s="1"/>
  <c r="Y93" i="16"/>
  <c r="J28" i="16"/>
  <c r="F28" i="16"/>
  <c r="H28" i="16"/>
  <c r="K28" i="16"/>
  <c r="J42" i="16"/>
  <c r="F42" i="16"/>
  <c r="H42" i="16"/>
  <c r="K42" i="16"/>
  <c r="H20" i="16"/>
  <c r="J20" i="16"/>
  <c r="F20" i="16"/>
  <c r="K20" i="16"/>
  <c r="Y92" i="16"/>
  <c r="J19" i="16"/>
  <c r="H19" i="16"/>
  <c r="F19" i="16"/>
  <c r="K19" i="16"/>
  <c r="H32" i="16"/>
  <c r="J32" i="16"/>
  <c r="F32" i="16"/>
  <c r="K32" i="16"/>
  <c r="Y107" i="16"/>
  <c r="Y78" i="16"/>
  <c r="F75" i="16"/>
  <c r="H75" i="16"/>
  <c r="J75" i="16"/>
  <c r="H55" i="16"/>
  <c r="J55" i="16"/>
  <c r="F55" i="16"/>
  <c r="K55" i="16"/>
  <c r="H94" i="16"/>
  <c r="J94" i="16"/>
  <c r="F94" i="16"/>
  <c r="K94" i="16"/>
  <c r="AL94" i="16" s="1"/>
  <c r="Y86" i="16"/>
  <c r="J83" i="16"/>
  <c r="F83" i="16"/>
  <c r="H83" i="16"/>
  <c r="K83" i="16"/>
  <c r="AL83" i="16" s="1"/>
  <c r="J17" i="16"/>
  <c r="F17" i="16"/>
  <c r="H17" i="16"/>
  <c r="K17" i="16"/>
  <c r="J41" i="16"/>
  <c r="F41" i="16"/>
  <c r="H41" i="16"/>
  <c r="K41" i="16"/>
  <c r="AJ41" i="16" s="1"/>
  <c r="Y44" i="16"/>
  <c r="F8" i="16"/>
  <c r="H8" i="16"/>
  <c r="J8" i="16"/>
  <c r="K8" i="16"/>
  <c r="Y48" i="16"/>
  <c r="J48" i="16"/>
  <c r="F48" i="16"/>
  <c r="H48" i="16"/>
  <c r="K48" i="16"/>
  <c r="AJ48" i="16" s="1"/>
  <c r="K79" i="16"/>
  <c r="Y22" i="16"/>
  <c r="H96" i="16"/>
  <c r="J96" i="16"/>
  <c r="F96" i="16"/>
  <c r="K96" i="16"/>
  <c r="Y15" i="16"/>
  <c r="Y79" i="16"/>
  <c r="Y95" i="16"/>
  <c r="Y52" i="16"/>
  <c r="H29" i="16"/>
  <c r="J29" i="16"/>
  <c r="F29" i="16"/>
  <c r="K29" i="16"/>
  <c r="Y41" i="16"/>
  <c r="J67" i="16"/>
  <c r="F67" i="16"/>
  <c r="H67" i="16"/>
  <c r="K67" i="16"/>
  <c r="AL67" i="16" s="1"/>
  <c r="H74" i="16"/>
  <c r="J74" i="16"/>
  <c r="F74" i="16"/>
  <c r="K74" i="16"/>
  <c r="Y36" i="16"/>
  <c r="H98" i="16"/>
  <c r="J98" i="16"/>
  <c r="F98" i="16"/>
  <c r="Y77" i="16"/>
  <c r="Y56" i="16"/>
  <c r="Y69" i="16"/>
  <c r="Y104" i="16"/>
  <c r="H39" i="16"/>
  <c r="J39" i="16"/>
  <c r="F39" i="16"/>
  <c r="K39" i="16"/>
  <c r="Y99" i="16"/>
  <c r="H93" i="16"/>
  <c r="J93" i="16"/>
  <c r="F93" i="16"/>
  <c r="K93" i="16"/>
  <c r="AL93" i="16" s="1"/>
  <c r="Y21" i="16"/>
  <c r="H31" i="16"/>
  <c r="J31" i="16"/>
  <c r="F31" i="16"/>
  <c r="K31" i="16"/>
  <c r="AJ31" i="16" s="1"/>
  <c r="J80" i="16"/>
  <c r="F80" i="16"/>
  <c r="H80" i="16"/>
  <c r="K80" i="16"/>
  <c r="AL80" i="16" s="1"/>
  <c r="H10" i="16"/>
  <c r="J10" i="16"/>
  <c r="F10" i="16"/>
  <c r="K10" i="16"/>
  <c r="J18" i="16"/>
  <c r="F18" i="16"/>
  <c r="H18" i="16"/>
  <c r="K18" i="16"/>
  <c r="AJ18" i="16" s="1"/>
  <c r="H57" i="16"/>
  <c r="J57" i="16"/>
  <c r="F57" i="16"/>
  <c r="H51" i="16"/>
  <c r="J51" i="16"/>
  <c r="F51" i="16"/>
  <c r="Y55" i="16"/>
  <c r="Y94" i="16"/>
  <c r="Y112" i="16"/>
  <c r="J86" i="16"/>
  <c r="F86" i="16"/>
  <c r="H86" i="16"/>
  <c r="K86" i="16"/>
  <c r="AL86" i="16" s="1"/>
  <c r="J101" i="16"/>
  <c r="H101" i="16"/>
  <c r="F101" i="16"/>
  <c r="K101" i="16"/>
  <c r="AL101" i="16" s="1"/>
  <c r="Y17" i="16"/>
  <c r="Y61" i="16"/>
  <c r="Y23" i="16"/>
  <c r="Y88" i="16"/>
  <c r="J43" i="16"/>
  <c r="F43" i="16"/>
  <c r="H43" i="16"/>
  <c r="J22" i="16"/>
  <c r="F22" i="16"/>
  <c r="H22" i="16"/>
  <c r="J103" i="16"/>
  <c r="F103" i="16"/>
  <c r="H103" i="16"/>
  <c r="K103" i="16"/>
  <c r="AL103" i="16" s="1"/>
  <c r="Y84" i="16"/>
  <c r="Y31" i="16"/>
  <c r="Y12" i="16"/>
  <c r="H95" i="16"/>
  <c r="J95" i="16"/>
  <c r="F95" i="16"/>
  <c r="Y109" i="16"/>
  <c r="Y35" i="16"/>
  <c r="Y106" i="16"/>
  <c r="Y43" i="16"/>
  <c r="J77" i="16"/>
  <c r="F77" i="16"/>
  <c r="H77" i="16"/>
  <c r="Y60" i="16"/>
  <c r="J105" i="16"/>
  <c r="F105" i="16"/>
  <c r="H105" i="16"/>
  <c r="K105" i="16"/>
  <c r="AL105" i="16" s="1"/>
  <c r="Y16" i="16"/>
  <c r="J26" i="16"/>
  <c r="F26" i="16"/>
  <c r="H26" i="16"/>
  <c r="K26" i="16"/>
  <c r="H84" i="16"/>
  <c r="J84" i="16"/>
  <c r="F84" i="16"/>
  <c r="K84" i="16"/>
  <c r="AL84" i="16" s="1"/>
  <c r="J27" i="16"/>
  <c r="F27" i="16"/>
  <c r="H27" i="16"/>
  <c r="K27" i="16"/>
  <c r="J15" i="16"/>
  <c r="F15" i="16"/>
  <c r="H15" i="16"/>
  <c r="K15" i="16"/>
  <c r="AJ15" i="16" s="1"/>
  <c r="Y20" i="16"/>
  <c r="Y49" i="16"/>
  <c r="Y19" i="16"/>
  <c r="Y32" i="16"/>
  <c r="H14" i="16"/>
  <c r="J14" i="16"/>
  <c r="F14" i="16"/>
  <c r="K14" i="16"/>
  <c r="AJ14" i="16" s="1"/>
  <c r="H89" i="16"/>
  <c r="J89" i="16"/>
  <c r="F89" i="16"/>
  <c r="H78" i="16"/>
  <c r="J78" i="16"/>
  <c r="F78" i="16"/>
  <c r="J63" i="16"/>
  <c r="F63" i="16"/>
  <c r="H63" i="16"/>
  <c r="J70" i="16"/>
  <c r="F70" i="16"/>
  <c r="H70" i="16"/>
  <c r="K70" i="16"/>
  <c r="AL70" i="16" s="1"/>
  <c r="J85" i="16"/>
  <c r="F85" i="16"/>
  <c r="H85" i="16"/>
  <c r="K85" i="16"/>
  <c r="AL85" i="16" s="1"/>
  <c r="Y83" i="16"/>
  <c r="J71" i="16"/>
  <c r="F71" i="16"/>
  <c r="H71" i="16"/>
  <c r="K71" i="16"/>
  <c r="AL71" i="16" s="1"/>
  <c r="J23" i="16"/>
  <c r="F23" i="16"/>
  <c r="H23" i="16"/>
  <c r="K23" i="16"/>
  <c r="F88" i="16"/>
  <c r="H88" i="16"/>
  <c r="J88" i="16"/>
  <c r="K88" i="16"/>
  <c r="F34" i="16"/>
  <c r="H34" i="16"/>
  <c r="J34" i="16"/>
  <c r="K34" i="16"/>
  <c r="Y8" i="16"/>
  <c r="Y98" i="16"/>
  <c r="J104" i="16"/>
  <c r="F104" i="16"/>
  <c r="H104" i="16"/>
  <c r="K104" i="16"/>
  <c r="AL104" i="16" s="1"/>
  <c r="J108" i="16"/>
  <c r="F108" i="16"/>
  <c r="H108" i="16"/>
  <c r="H69" i="16"/>
  <c r="J69" i="16"/>
  <c r="F69" i="16"/>
  <c r="K69" i="16"/>
  <c r="AL69" i="16" s="1"/>
  <c r="Y28" i="16"/>
  <c r="Y80" i="16"/>
  <c r="Y114" i="16"/>
  <c r="Y63" i="16"/>
  <c r="Y71" i="16"/>
  <c r="Y29" i="16"/>
  <c r="Y34" i="16"/>
  <c r="J33" i="16"/>
  <c r="F33" i="16"/>
  <c r="H33" i="16"/>
  <c r="K33" i="16"/>
  <c r="H106" i="16"/>
  <c r="J106" i="16"/>
  <c r="F106" i="16"/>
  <c r="K106" i="16"/>
  <c r="AL106" i="16" s="1"/>
  <c r="J81" i="16"/>
  <c r="F81" i="16"/>
  <c r="H81" i="16"/>
  <c r="J60" i="16"/>
  <c r="F60" i="16"/>
  <c r="H60" i="16"/>
  <c r="Y105" i="16"/>
  <c r="H16" i="16"/>
  <c r="J16" i="16"/>
  <c r="F16" i="16"/>
  <c r="K16" i="16"/>
  <c r="Y96" i="16"/>
  <c r="Y39" i="16"/>
  <c r="Y26" i="16"/>
  <c r="H21" i="16"/>
  <c r="J21" i="16"/>
  <c r="F21" i="16"/>
  <c r="K21" i="16"/>
  <c r="Y42" i="16"/>
  <c r="J92" i="16"/>
  <c r="F92" i="16"/>
  <c r="H92" i="16"/>
  <c r="K92" i="16"/>
  <c r="J12" i="16"/>
  <c r="F12" i="16"/>
  <c r="H12" i="16"/>
  <c r="K12" i="16"/>
  <c r="Y10" i="16"/>
  <c r="Y14" i="16"/>
  <c r="Y74" i="16"/>
  <c r="G30" i="16" l="1"/>
  <c r="G37" i="16"/>
  <c r="AJ45" i="16"/>
  <c r="A26" i="16"/>
  <c r="AJ24" i="16"/>
  <c r="E38" i="16"/>
  <c r="AJ30" i="16"/>
  <c r="E24" i="16"/>
  <c r="A45" i="16"/>
  <c r="A19" i="16"/>
  <c r="A21" i="16"/>
  <c r="A22" i="16"/>
  <c r="AJ47" i="16"/>
  <c r="A40" i="16"/>
  <c r="AJ55" i="16"/>
  <c r="A14" i="16"/>
  <c r="A35" i="16"/>
  <c r="A76" i="16"/>
  <c r="A46" i="16"/>
  <c r="C86" i="16"/>
  <c r="A23" i="16"/>
  <c r="A25" i="16"/>
  <c r="AJ46" i="16"/>
  <c r="A86" i="16"/>
  <c r="A58" i="16"/>
  <c r="A13" i="16"/>
  <c r="A10" i="16"/>
  <c r="A31" i="16"/>
  <c r="A39" i="16"/>
  <c r="A29" i="16"/>
  <c r="A96" i="16"/>
  <c r="A32" i="16"/>
  <c r="A20" i="16"/>
  <c r="A28" i="16"/>
  <c r="A11" i="16"/>
  <c r="A41" i="16"/>
  <c r="A17" i="16"/>
  <c r="A55" i="16"/>
  <c r="A15" i="16"/>
  <c r="A27" i="16"/>
  <c r="A61" i="16"/>
  <c r="A47" i="16"/>
  <c r="A18" i="16"/>
  <c r="A9" i="16"/>
  <c r="A12" i="16"/>
  <c r="A16" i="16"/>
  <c r="A33" i="16"/>
  <c r="A8" i="16"/>
  <c r="G46" i="16"/>
  <c r="I46" i="16"/>
  <c r="G58" i="16"/>
  <c r="AJ58" i="16"/>
  <c r="I58" i="16"/>
  <c r="AJ96" i="16"/>
  <c r="AJ13" i="16"/>
  <c r="AJ11" i="16"/>
  <c r="C55" i="16"/>
  <c r="G11" i="16"/>
  <c r="C11" i="16"/>
  <c r="E13" i="16"/>
  <c r="I47" i="16"/>
  <c r="E47" i="16"/>
  <c r="C47" i="16"/>
  <c r="AJ109" i="16"/>
  <c r="AJ7" i="16"/>
  <c r="AJ28" i="16"/>
  <c r="AJ43" i="16"/>
  <c r="AJ9" i="16"/>
  <c r="I97" i="16"/>
  <c r="E97" i="16"/>
  <c r="G91" i="16"/>
  <c r="I91" i="16"/>
  <c r="G73" i="16"/>
  <c r="AJ25" i="16"/>
  <c r="E68" i="16"/>
  <c r="AJ62" i="16"/>
  <c r="I100" i="16"/>
  <c r="E64" i="16"/>
  <c r="AJ23" i="16"/>
  <c r="E110" i="16"/>
  <c r="E100" i="16"/>
  <c r="I64" i="16"/>
  <c r="AJ12" i="16"/>
  <c r="AJ34" i="16"/>
  <c r="C23" i="16"/>
  <c r="C92" i="16"/>
  <c r="C8" i="16"/>
  <c r="C17" i="16"/>
  <c r="C84" i="16"/>
  <c r="C35" i="16"/>
  <c r="C109" i="16"/>
  <c r="C31" i="16"/>
  <c r="C39" i="16"/>
  <c r="C88" i="16"/>
  <c r="C12" i="16"/>
  <c r="C21" i="16"/>
  <c r="C41" i="16"/>
  <c r="C15" i="16"/>
  <c r="C22" i="16"/>
  <c r="C25" i="16"/>
  <c r="C18" i="16"/>
  <c r="C93" i="16"/>
  <c r="AJ42" i="16"/>
  <c r="AJ29" i="16"/>
  <c r="E9" i="16"/>
  <c r="G43" i="16"/>
  <c r="AJ10" i="16"/>
  <c r="E56" i="16"/>
  <c r="AJ74" i="16"/>
  <c r="AJ51" i="16"/>
  <c r="AJ26" i="16"/>
  <c r="AJ27" i="16"/>
  <c r="AJ36" i="16"/>
  <c r="AJ21" i="16"/>
  <c r="AJ22" i="16"/>
  <c r="E7" i="16"/>
  <c r="AJ33" i="16"/>
  <c r="AJ88" i="16"/>
  <c r="E89" i="16"/>
  <c r="AJ32" i="16"/>
  <c r="I62" i="16"/>
  <c r="G62" i="16"/>
  <c r="AJ92" i="16"/>
  <c r="E54" i="16"/>
  <c r="AJ40" i="16"/>
  <c r="AJ39" i="16"/>
  <c r="AJ17" i="16"/>
  <c r="AJ19" i="16"/>
  <c r="AJ49" i="16"/>
  <c r="AJ16" i="16"/>
  <c r="AJ79" i="16"/>
  <c r="AJ20" i="16"/>
  <c r="AJ44" i="16"/>
  <c r="AJ8" i="16"/>
  <c r="G45" i="16"/>
  <c r="E22" i="16"/>
  <c r="I50" i="16"/>
  <c r="G87" i="16"/>
  <c r="I87" i="16"/>
  <c r="G40" i="16"/>
  <c r="E51" i="16"/>
  <c r="E12" i="16"/>
  <c r="E92" i="16"/>
  <c r="G21" i="16"/>
  <c r="E16" i="16"/>
  <c r="E33" i="16"/>
  <c r="G69" i="16"/>
  <c r="G104" i="16"/>
  <c r="E34" i="16"/>
  <c r="E88" i="16"/>
  <c r="E23" i="16"/>
  <c r="G71" i="16"/>
  <c r="E14" i="16"/>
  <c r="E15" i="16"/>
  <c r="E27" i="16"/>
  <c r="E26" i="16"/>
  <c r="I101" i="16"/>
  <c r="I86" i="16"/>
  <c r="E18" i="16"/>
  <c r="E10" i="16"/>
  <c r="G80" i="16"/>
  <c r="E31" i="16"/>
  <c r="G93" i="16"/>
  <c r="E39" i="16"/>
  <c r="E74" i="16"/>
  <c r="E67" i="16"/>
  <c r="G29" i="16"/>
  <c r="K115" i="16"/>
  <c r="E41" i="16"/>
  <c r="E17" i="16"/>
  <c r="E83" i="16"/>
  <c r="E20" i="16"/>
  <c r="E99" i="16"/>
  <c r="E49" i="16"/>
  <c r="E111" i="16"/>
  <c r="E44" i="16"/>
  <c r="I112" i="16"/>
  <c r="G112" i="16"/>
  <c r="E79" i="16"/>
  <c r="I12" i="16"/>
  <c r="G106" i="16"/>
  <c r="E85" i="16"/>
  <c r="E70" i="16"/>
  <c r="I84" i="16"/>
  <c r="G84" i="16"/>
  <c r="E105" i="16"/>
  <c r="G103" i="16"/>
  <c r="E101" i="16"/>
  <c r="G86" i="16"/>
  <c r="G96" i="16"/>
  <c r="E48" i="16"/>
  <c r="E8" i="16"/>
  <c r="I17" i="16"/>
  <c r="I83" i="16"/>
  <c r="E94" i="16"/>
  <c r="E55" i="16"/>
  <c r="G32" i="16"/>
  <c r="E19" i="16"/>
  <c r="E42" i="16"/>
  <c r="E28" i="16"/>
  <c r="I99" i="16"/>
  <c r="E36" i="16"/>
  <c r="G52" i="16"/>
  <c r="E35" i="16"/>
  <c r="E25" i="16"/>
  <c r="E61" i="16"/>
  <c r="E109" i="16"/>
  <c r="AL45" i="16" l="1"/>
  <c r="AL30" i="16"/>
  <c r="AL24" i="16"/>
  <c r="AL47" i="16"/>
  <c r="AL55" i="16"/>
  <c r="AL18" i="16"/>
  <c r="AL46" i="16"/>
  <c r="AL58" i="16"/>
  <c r="AL13" i="16"/>
  <c r="AL11" i="16"/>
  <c r="AL96" i="16"/>
  <c r="AL9" i="16"/>
  <c r="AL28" i="16"/>
  <c r="AL109" i="16"/>
  <c r="AL43" i="16"/>
  <c r="AL7" i="16"/>
  <c r="AL25" i="16"/>
  <c r="AL62" i="16"/>
  <c r="AL23" i="16"/>
  <c r="AL34" i="16"/>
  <c r="AL12" i="16"/>
  <c r="AL42" i="16"/>
  <c r="AL29" i="16"/>
  <c r="AL10" i="16"/>
  <c r="AL74" i="16"/>
  <c r="AL51" i="16"/>
  <c r="AL26" i="16"/>
  <c r="AL27" i="16"/>
  <c r="AL36" i="16"/>
  <c r="AL22" i="16"/>
  <c r="AL21" i="16"/>
  <c r="AL33" i="16"/>
  <c r="AL88" i="16"/>
  <c r="AL14" i="16"/>
  <c r="AL32" i="16"/>
  <c r="AL44" i="16"/>
  <c r="AL15" i="16"/>
  <c r="AL79" i="16"/>
  <c r="AL49" i="16"/>
  <c r="AL17" i="16"/>
  <c r="AL35" i="16"/>
  <c r="AL41" i="16"/>
  <c r="AL31" i="16"/>
  <c r="AL20" i="16"/>
  <c r="AL16" i="16"/>
  <c r="AL19" i="16"/>
  <c r="AL39" i="16"/>
  <c r="AL40" i="16"/>
  <c r="AL92" i="16"/>
  <c r="AL48" i="16"/>
  <c r="AL8" i="16"/>
  <c r="I115" i="16"/>
  <c r="A115" i="16"/>
  <c r="G115" i="16"/>
  <c r="E115" i="16"/>
  <c r="C115" i="16"/>
</calcChain>
</file>

<file path=xl/comments1.xml><?xml version="1.0" encoding="utf-8"?>
<comments xmlns="http://schemas.openxmlformats.org/spreadsheetml/2006/main">
  <authors>
    <author>Author</author>
  </authors>
  <commentList>
    <comment ref="I3" authorId="0">
      <text>
        <r>
          <rPr>
            <b/>
            <sz val="8"/>
            <color indexed="81"/>
            <rFont val="Tahoma"/>
            <family val="2"/>
            <charset val="186"/>
          </rPr>
          <t>Osalejaid</t>
        </r>
      </text>
    </comment>
    <comment ref="F5" authorId="0">
      <text>
        <r>
          <rPr>
            <b/>
            <sz val="8"/>
            <color indexed="81"/>
            <rFont val="Tahoma"/>
            <family val="2"/>
            <charset val="186"/>
          </rPr>
          <t>Voka, Narva mnt 2
Voka petangihall</t>
        </r>
      </text>
    </comment>
    <comment ref="F6" authorId="0">
      <text>
        <r>
          <rPr>
            <b/>
            <sz val="8"/>
            <color indexed="81"/>
            <rFont val="Tahoma"/>
            <family val="2"/>
            <charset val="186"/>
          </rPr>
          <t>Voka, Narva mnt 2
Voka petangihall</t>
        </r>
      </text>
    </comment>
    <comment ref="F8" authorId="0">
      <text>
        <r>
          <rPr>
            <b/>
            <sz val="8"/>
            <color indexed="81"/>
            <rFont val="Tahoma"/>
            <family val="2"/>
            <charset val="186"/>
          </rPr>
          <t>Voka, Narva mnt 2
Voka petangihall</t>
        </r>
      </text>
    </comment>
    <comment ref="F9" authorId="0">
      <text>
        <r>
          <rPr>
            <b/>
            <sz val="8"/>
            <color indexed="81"/>
            <rFont val="Tahoma"/>
            <family val="2"/>
            <charset val="186"/>
          </rPr>
          <t>Voka, Narva mnt 2
Voka petangihall</t>
        </r>
      </text>
    </comment>
    <comment ref="F10" authorId="0">
      <text>
        <r>
          <rPr>
            <b/>
            <sz val="8"/>
            <color indexed="81"/>
            <rFont val="Tahoma"/>
            <family val="2"/>
            <charset val="186"/>
          </rPr>
          <t>Voka, Narva mnt 2
Voka petangihall</t>
        </r>
      </text>
    </comment>
    <comment ref="F13" authorId="0">
      <text>
        <r>
          <rPr>
            <b/>
            <sz val="8"/>
            <color indexed="81"/>
            <rFont val="Tahoma"/>
            <family val="2"/>
            <charset val="186"/>
          </rPr>
          <t>Voka, Narva mnt 2
Voka petangihall</t>
        </r>
      </text>
    </comment>
    <comment ref="F14" authorId="0">
      <text>
        <r>
          <rPr>
            <b/>
            <sz val="8"/>
            <color indexed="81"/>
            <rFont val="Tahoma"/>
            <family val="2"/>
            <charset val="186"/>
          </rPr>
          <t>Voka, Narva mnt 2
Voka petangihall</t>
        </r>
      </text>
    </comment>
    <comment ref="F15" authorId="0">
      <text>
        <r>
          <rPr>
            <b/>
            <sz val="8"/>
            <color indexed="81"/>
            <rFont val="Tahoma"/>
            <family val="2"/>
            <charset val="186"/>
          </rPr>
          <t>Voka, Narva mnt 2
Voka petangihall</t>
        </r>
      </text>
    </comment>
    <comment ref="F17" authorId="0">
      <text>
        <r>
          <rPr>
            <b/>
            <sz val="8"/>
            <color indexed="81"/>
            <rFont val="Tahoma"/>
            <family val="2"/>
            <charset val="186"/>
          </rPr>
          <t>Voka, Narva mnt 2
Voka petangihall</t>
        </r>
      </text>
    </comment>
    <comment ref="F18" authorId="0">
      <text>
        <r>
          <rPr>
            <b/>
            <sz val="8"/>
            <color indexed="81"/>
            <rFont val="Tahoma"/>
            <family val="2"/>
            <charset val="186"/>
          </rPr>
          <t>Voka, Narva mnt 2
Voka petangihall</t>
        </r>
      </text>
    </comment>
    <comment ref="F19" authorId="0">
      <text>
        <r>
          <rPr>
            <b/>
            <sz val="8"/>
            <color indexed="81"/>
            <rFont val="Tahoma"/>
            <family val="2"/>
            <charset val="186"/>
          </rPr>
          <t>Voka, Narva mnt 2
Voka petangihall</t>
        </r>
      </text>
    </comment>
    <comment ref="H19" authorId="0">
      <text>
        <r>
          <rPr>
            <b/>
            <sz val="8"/>
            <color indexed="81"/>
            <rFont val="Tahoma"/>
            <family val="2"/>
            <charset val="186"/>
          </rPr>
          <t>Juuniorid 3 €</t>
        </r>
      </text>
    </comment>
    <comment ref="F21" authorId="0">
      <text>
        <r>
          <rPr>
            <b/>
            <sz val="8"/>
            <color indexed="81"/>
            <rFont val="Tahoma"/>
            <family val="2"/>
            <charset val="186"/>
          </rPr>
          <t>Voka, Narva mnt 2
Voka petangihall</t>
        </r>
      </text>
    </comment>
    <comment ref="F23" authorId="0">
      <text>
        <r>
          <rPr>
            <b/>
            <sz val="8"/>
            <color indexed="81"/>
            <rFont val="Tahoma"/>
            <family val="2"/>
            <charset val="186"/>
          </rPr>
          <t>Voka, Narva mnt 2
Voka petangihall</t>
        </r>
      </text>
    </comment>
    <comment ref="F24" authorId="0">
      <text>
        <r>
          <rPr>
            <b/>
            <sz val="8"/>
            <color indexed="81"/>
            <rFont val="Tahoma"/>
            <family val="2"/>
            <charset val="186"/>
          </rPr>
          <t>Voka, Narva mnt 2
Voka petangihall</t>
        </r>
      </text>
    </comment>
    <comment ref="F25" authorId="0">
      <text>
        <r>
          <rPr>
            <b/>
            <sz val="8"/>
            <color indexed="81"/>
            <rFont val="Tahoma"/>
            <family val="2"/>
            <charset val="186"/>
          </rPr>
          <t>Voka, Narva mnt 2
Voka petangihall</t>
        </r>
      </text>
    </comment>
    <comment ref="F26" authorId="0">
      <text>
        <r>
          <rPr>
            <b/>
            <sz val="8"/>
            <color indexed="81"/>
            <rFont val="Tahoma"/>
            <family val="2"/>
            <charset val="186"/>
          </rPr>
          <t>Voka, Narva mnt 2
Voka petangihall</t>
        </r>
      </text>
    </comment>
  </commentList>
</comments>
</file>

<file path=xl/comments10.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1.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2.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3.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4.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5.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6.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7.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8.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19.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2.xml><?xml version="1.0" encoding="utf-8"?>
<comments xmlns="http://schemas.openxmlformats.org/spreadsheetml/2006/main">
  <authors>
    <author>Author</author>
  </authors>
  <commentList>
    <comment ref="J8" authorId="0">
      <text>
        <r>
          <rPr>
            <b/>
            <sz val="8"/>
            <color indexed="81"/>
            <rFont val="Tahoma"/>
            <family val="2"/>
            <charset val="186"/>
          </rPr>
          <t>Eestit esindavad: 
Robin Aus (Tartu Kalev PK), 
Henri Mitt (Viru SK), 
Kaspar Mänd (Viru SK), 
Harry Lusbo (Tõrva PK)</t>
        </r>
      </text>
    </comment>
    <comment ref="M8" authorId="0">
      <text>
        <r>
          <rPr>
            <b/>
            <sz val="8"/>
            <color indexed="81"/>
            <rFont val="Tahoma"/>
            <family val="2"/>
            <charset val="186"/>
          </rPr>
          <t>Eestit esindavad: 
Robin Randrüüt (Järvamaa PK), 
Kevin Sten Liik (PK Wicia), Ott Karl Kopel (Saku PK)</t>
        </r>
      </text>
    </comment>
    <comment ref="N8" authorId="0">
      <text>
        <r>
          <rPr>
            <sz val="10"/>
            <color indexed="81"/>
            <rFont val="Arial"/>
            <family val="2"/>
            <charset val="186"/>
          </rPr>
          <t xml:space="preserve">U23 klassis esindavad Eestit: </t>
        </r>
        <r>
          <rPr>
            <b/>
            <sz val="10"/>
            <color indexed="81"/>
            <rFont val="Arial"/>
            <family val="2"/>
            <charset val="186"/>
          </rPr>
          <t xml:space="preserve">
Kaspar Mänd</t>
        </r>
        <r>
          <rPr>
            <sz val="10"/>
            <color indexed="81"/>
            <rFont val="Arial"/>
            <family val="2"/>
            <charset val="186"/>
          </rPr>
          <t xml:space="preserve"> (Viru SK), 
</t>
        </r>
        <r>
          <rPr>
            <b/>
            <sz val="10"/>
            <color indexed="81"/>
            <rFont val="Arial"/>
            <family val="2"/>
            <charset val="186"/>
          </rPr>
          <t>Henri Mitt</t>
        </r>
        <r>
          <rPr>
            <sz val="10"/>
            <color indexed="81"/>
            <rFont val="Arial"/>
            <family val="2"/>
            <charset val="186"/>
          </rPr>
          <t xml:space="preserve"> (Viru SK), 
Robin Aus (Tartu), 
Harry Lusbo (Tõrva)</t>
        </r>
      </text>
    </comment>
    <comment ref="K12" authorId="0">
      <text>
        <r>
          <rPr>
            <b/>
            <sz val="8"/>
            <color indexed="81"/>
            <rFont val="Tahoma"/>
            <family val="2"/>
            <charset val="186"/>
          </rPr>
          <t>Harku, Pikk 19
Harku petangihall</t>
        </r>
      </text>
    </comment>
    <comment ref="K13" authorId="0">
      <text>
        <r>
          <rPr>
            <b/>
            <sz val="8"/>
            <color indexed="81"/>
            <rFont val="Tahoma"/>
            <family val="2"/>
            <charset val="186"/>
          </rPr>
          <t>Eesti meistrivõistlustel osalemiseks peavad olema: 
 - petankeri litsents, 
 - võistluskuulid.</t>
        </r>
      </text>
    </comment>
    <comment ref="K15" authorId="0">
      <text>
        <r>
          <rPr>
            <b/>
            <sz val="8"/>
            <color indexed="81"/>
            <rFont val="Tahoma"/>
            <family val="2"/>
            <charset val="186"/>
          </rPr>
          <t>Harku, Pikk 19
Harku petangihall</t>
        </r>
      </text>
    </comment>
    <comment ref="K16" authorId="0">
      <text>
        <r>
          <rPr>
            <b/>
            <sz val="8"/>
            <color indexed="81"/>
            <rFont val="Tahoma"/>
            <family val="2"/>
            <charset val="186"/>
          </rPr>
          <t>Eesti meistrivõistlustel osalemiseks peavad olema: 
 - petankeri litsents, 
 - võistluskuulid.</t>
        </r>
      </text>
    </comment>
    <comment ref="K18" authorId="0">
      <text>
        <r>
          <rPr>
            <b/>
            <sz val="8"/>
            <color indexed="81"/>
            <rFont val="Tahoma"/>
            <family val="2"/>
            <charset val="186"/>
          </rPr>
          <t>Harku, Pikk 19
Harku petangihall</t>
        </r>
      </text>
    </comment>
    <comment ref="M23" authorId="0">
      <text>
        <r>
          <rPr>
            <b/>
            <sz val="8"/>
            <color indexed="81"/>
            <rFont val="Tahoma"/>
            <family val="2"/>
            <charset val="186"/>
          </rPr>
          <t>Voka, Narva mnt 2
Voka petangihall</t>
        </r>
      </text>
    </comment>
    <comment ref="L24" authorId="0">
      <text>
        <r>
          <rPr>
            <b/>
            <sz val="8"/>
            <color indexed="81"/>
            <rFont val="Tahoma"/>
            <family val="2"/>
            <charset val="186"/>
          </rPr>
          <t>Eestit esindavad: 
Harry Lusbo (Tõrva PK), 
Aigar Lusbo (Tõrva PK), 
Toomas Hoole (Tõrva PK)</t>
        </r>
      </text>
    </comment>
    <comment ref="M31" authorId="0">
      <text>
        <r>
          <rPr>
            <b/>
            <sz val="8"/>
            <color indexed="81"/>
            <rFont val="Tahoma"/>
            <family val="2"/>
            <charset val="186"/>
          </rPr>
          <t>Voka, Narva mnt 2
Voka petangihall</t>
        </r>
      </text>
    </comment>
    <comment ref="K36" authorId="0">
      <text>
        <r>
          <rPr>
            <b/>
            <sz val="8"/>
            <color indexed="81"/>
            <rFont val="Tahoma"/>
            <family val="2"/>
            <charset val="186"/>
          </rPr>
          <t>Saarermaa, Uduvere küla, Saia rist
Uduvere petangihall</t>
        </r>
      </text>
    </comment>
    <comment ref="M36" authorId="0">
      <text>
        <r>
          <rPr>
            <b/>
            <sz val="8"/>
            <color indexed="81"/>
            <rFont val="Tahoma"/>
            <family val="2"/>
            <charset val="186"/>
          </rPr>
          <t>Voka, Narva mnt 2
Voka petangihall</t>
        </r>
      </text>
    </comment>
    <comment ref="M42" authorId="0">
      <text>
        <r>
          <rPr>
            <b/>
            <sz val="8"/>
            <color indexed="81"/>
            <rFont val="Tahoma"/>
            <family val="2"/>
            <charset val="186"/>
          </rPr>
          <t>Voka, Narva mnt 2
Voka petangihall</t>
        </r>
      </text>
    </comment>
    <comment ref="L43" authorId="0">
      <text>
        <r>
          <rPr>
            <b/>
            <sz val="8"/>
            <color indexed="81"/>
            <rFont val="Tahoma"/>
            <family val="2"/>
            <charset val="186"/>
          </rPr>
          <t>jõululaupäev</t>
        </r>
      </text>
    </comment>
    <comment ref="N43" authorId="0">
      <text>
        <r>
          <rPr>
            <b/>
            <sz val="8"/>
            <color indexed="81"/>
            <rFont val="Tahoma"/>
            <family val="2"/>
            <charset val="186"/>
          </rPr>
          <t>esimene jõulupüha</t>
        </r>
      </text>
    </comment>
    <comment ref="B46" authorId="0">
      <text>
        <r>
          <rPr>
            <b/>
            <sz val="8"/>
            <color indexed="81"/>
            <rFont val="Tahoma"/>
            <family val="2"/>
            <charset val="186"/>
          </rPr>
          <t>teine jõulupüha</t>
        </r>
      </text>
    </comment>
    <comment ref="A48" authorId="0">
      <text>
        <r>
          <rPr>
            <b/>
            <sz val="8"/>
            <color indexed="81"/>
            <rFont val="Tahoma"/>
            <family val="2"/>
            <charset val="186"/>
          </rPr>
          <t>Voka, Narva mnt 2
Voka petangihall</t>
        </r>
      </text>
    </comment>
    <comment ref="N48" authorId="0">
      <text>
        <r>
          <rPr>
            <b/>
            <sz val="8"/>
            <color indexed="81"/>
            <rFont val="Tahoma"/>
            <family val="2"/>
            <charset val="186"/>
          </rPr>
          <t>uusaasta</t>
        </r>
      </text>
    </comment>
    <comment ref="M53" authorId="0">
      <text>
        <r>
          <rPr>
            <b/>
            <sz val="8"/>
            <color indexed="81"/>
            <rFont val="Tahoma"/>
            <family val="2"/>
            <charset val="186"/>
          </rPr>
          <t>Voka, Narva mnt 2
Voka petangihall</t>
        </r>
      </text>
    </comment>
    <comment ref="C56" authorId="0">
      <text>
        <r>
          <rPr>
            <b/>
            <sz val="8"/>
            <color indexed="81"/>
            <rFont val="Tahoma"/>
            <family val="2"/>
            <charset val="186"/>
          </rPr>
          <t>Voka, Narva mnt 2
Voka petangihall</t>
        </r>
      </text>
    </comment>
    <comment ref="M59" authorId="0">
      <text>
        <r>
          <rPr>
            <b/>
            <sz val="8"/>
            <color indexed="81"/>
            <rFont val="Tahoma"/>
            <family val="2"/>
            <charset val="186"/>
          </rPr>
          <t>Voka, Narva mnt 2
Voka petangihall</t>
        </r>
      </text>
    </comment>
    <comment ref="M68" authorId="0">
      <text>
        <r>
          <rPr>
            <b/>
            <sz val="8"/>
            <color indexed="81"/>
            <rFont val="Tahoma"/>
            <family val="2"/>
            <charset val="186"/>
          </rPr>
          <t>Voka, Narva mnt 2
Voka petangihall</t>
        </r>
      </text>
    </comment>
    <comment ref="M71" authorId="0">
      <text>
        <r>
          <rPr>
            <b/>
            <sz val="8"/>
            <color indexed="81"/>
            <rFont val="Tahoma"/>
            <family val="2"/>
            <charset val="186"/>
          </rPr>
          <t>Voka, Narva mnt 2
Voka petangihall</t>
        </r>
      </text>
    </comment>
    <comment ref="J75" authorId="0">
      <text>
        <r>
          <rPr>
            <b/>
            <sz val="8"/>
            <color indexed="81"/>
            <rFont val="Tahoma"/>
            <family val="2"/>
            <charset val="186"/>
          </rPr>
          <t>iseseisvuspäe, 
Eesti Vabariigi aastapäev</t>
        </r>
      </text>
    </comment>
    <comment ref="I77" authorId="0">
      <text>
        <r>
          <rPr>
            <b/>
            <sz val="8"/>
            <color indexed="81"/>
            <rFont val="Tahoma"/>
            <family val="2"/>
            <charset val="186"/>
          </rPr>
          <t>Voka, Narva mnt 2
Voka petangihall</t>
        </r>
      </text>
    </comment>
    <comment ref="I80" authorId="0">
      <text>
        <r>
          <rPr>
            <b/>
            <sz val="8"/>
            <color indexed="81"/>
            <rFont val="Tahoma"/>
            <family val="2"/>
            <charset val="186"/>
          </rPr>
          <t>Voka, Narva mnt 2
Voka petangihall</t>
        </r>
      </text>
    </comment>
    <comment ref="K88" authorId="0">
      <text>
        <r>
          <rPr>
            <b/>
            <sz val="8"/>
            <color indexed="81"/>
            <rFont val="Tahoma"/>
            <family val="2"/>
            <charset val="186"/>
          </rPr>
          <t>Tartu, Munga 12
Hugo Treffneri Gümnaasiumi keldrikorrusel</t>
        </r>
      </text>
    </comment>
    <comment ref="M89" authorId="0">
      <text>
        <r>
          <rPr>
            <b/>
            <sz val="8"/>
            <color indexed="81"/>
            <rFont val="Tahoma"/>
            <family val="2"/>
            <charset val="186"/>
          </rPr>
          <t>Voka, Narva mnt 2
Voka petangihall</t>
        </r>
      </text>
    </comment>
    <comment ref="K92" authorId="0">
      <text>
        <r>
          <rPr>
            <b/>
            <sz val="8"/>
            <color indexed="81"/>
            <rFont val="Tahoma"/>
            <family val="2"/>
            <charset val="186"/>
          </rPr>
          <t>Harku, Pikk 19
Harku petangihall</t>
        </r>
      </text>
    </comment>
    <comment ref="M92" authorId="0">
      <text>
        <r>
          <rPr>
            <b/>
            <sz val="8"/>
            <color indexed="81"/>
            <rFont val="Tahoma"/>
            <family val="2"/>
            <charset val="186"/>
          </rPr>
          <t>Voka, Narva mnt 2
Voka petangihall</t>
        </r>
      </text>
    </comment>
    <comment ref="M95" authorId="0">
      <text>
        <r>
          <rPr>
            <b/>
            <sz val="8"/>
            <color indexed="81"/>
            <rFont val="Tahoma"/>
            <family val="2"/>
            <charset val="186"/>
          </rPr>
          <t>Voka, Narva mnt 2
Voka petangihall</t>
        </r>
      </text>
    </comment>
    <comment ref="K100" authorId="0">
      <text>
        <r>
          <rPr>
            <b/>
            <sz val="8"/>
            <color indexed="81"/>
            <rFont val="Tahoma"/>
            <family val="2"/>
            <charset val="186"/>
          </rPr>
          <t>Harku, Pikk 19
Harku petangihall</t>
        </r>
      </text>
    </comment>
    <comment ref="M100" authorId="0">
      <text>
        <r>
          <rPr>
            <b/>
            <sz val="8"/>
            <color indexed="81"/>
            <rFont val="Tahoma"/>
            <family val="2"/>
            <charset val="186"/>
          </rPr>
          <t>Voka, Narva mnt 2
Voka petangihall</t>
        </r>
      </text>
    </comment>
    <comment ref="J101" authorId="0">
      <text>
        <r>
          <rPr>
            <b/>
            <sz val="8"/>
            <color indexed="81"/>
            <rFont val="Tahoma"/>
            <family val="2"/>
            <charset val="186"/>
          </rPr>
          <t>suur reede</t>
        </r>
      </text>
    </comment>
    <comment ref="N101" authorId="0">
      <text>
        <r>
          <rPr>
            <b/>
            <sz val="8"/>
            <color indexed="81"/>
            <rFont val="Tahoma"/>
            <family val="2"/>
            <charset val="186"/>
          </rPr>
          <t>ülestõusmispühade 1. püha</t>
        </r>
      </text>
    </comment>
    <comment ref="I103" authorId="0">
      <text>
        <r>
          <rPr>
            <b/>
            <sz val="8"/>
            <color indexed="81"/>
            <rFont val="Tahoma"/>
            <family val="2"/>
            <charset val="186"/>
          </rPr>
          <t>Harku, Pikk 19
Harku petangihall</t>
        </r>
      </text>
    </comment>
    <comment ref="K103" authorId="0">
      <text>
        <r>
          <rPr>
            <b/>
            <sz val="8"/>
            <color indexed="81"/>
            <rFont val="Tahoma"/>
            <family val="2"/>
            <charset val="186"/>
          </rPr>
          <t>Harku, Pikk 19
Harku petangihall</t>
        </r>
      </text>
    </comment>
    <comment ref="K106" authorId="0">
      <text>
        <r>
          <rPr>
            <b/>
            <sz val="8"/>
            <color indexed="81"/>
            <rFont val="Tahoma"/>
            <family val="2"/>
            <charset val="186"/>
          </rPr>
          <t>Harku, Pikk 19
Harku petangihall</t>
        </r>
      </text>
    </comment>
    <comment ref="M106" authorId="0">
      <text>
        <r>
          <rPr>
            <b/>
            <sz val="8"/>
            <color indexed="81"/>
            <rFont val="Tahoma"/>
            <family val="2"/>
            <charset val="186"/>
          </rPr>
          <t>Voka, Narva mnt 2
Voka petangihall</t>
        </r>
      </text>
    </comment>
    <comment ref="M107" authorId="0">
      <text>
        <r>
          <rPr>
            <b/>
            <sz val="8"/>
            <color indexed="81"/>
            <rFont val="Tahoma"/>
            <family val="2"/>
            <charset val="186"/>
          </rPr>
          <t>Alates 2020 aastast peavad Eesti sisemeistrivõistlustel osalemiseks olema: 
 - petankeri litsents, 
 - võistluskuulid.</t>
        </r>
      </text>
    </comment>
    <comment ref="M109" authorId="0">
      <text>
        <r>
          <rPr>
            <b/>
            <sz val="8"/>
            <color indexed="81"/>
            <rFont val="Tahoma"/>
            <family val="2"/>
            <charset val="186"/>
          </rPr>
          <t>Harku, Pikk 19
Harku petangihall</t>
        </r>
      </text>
    </comment>
    <comment ref="K112" authorId="0">
      <text>
        <r>
          <rPr>
            <b/>
            <sz val="8"/>
            <color indexed="81"/>
            <rFont val="Tahoma"/>
            <family val="2"/>
            <charset val="186"/>
          </rPr>
          <t>Harku, Pikk 19
Harku petangihall</t>
        </r>
      </text>
    </comment>
    <comment ref="M112" authorId="0">
      <text>
        <r>
          <rPr>
            <b/>
            <sz val="8"/>
            <color indexed="81"/>
            <rFont val="Tahoma"/>
            <family val="2"/>
            <charset val="186"/>
          </rPr>
          <t>Harku, Pikk 19
Harku petangihall</t>
        </r>
      </text>
    </comment>
    <comment ref="K115" authorId="0">
      <text>
        <r>
          <rPr>
            <b/>
            <sz val="8"/>
            <color indexed="81"/>
            <rFont val="Tahoma"/>
            <family val="2"/>
            <charset val="186"/>
          </rPr>
          <t>Harku, Pikk 19
Harku petangihall</t>
        </r>
      </text>
    </comment>
    <comment ref="M115" authorId="0">
      <text>
        <r>
          <rPr>
            <b/>
            <sz val="8"/>
            <color indexed="81"/>
            <rFont val="Tahoma"/>
            <family val="2"/>
            <charset val="186"/>
          </rPr>
          <t>Harku, Pikk 19
Harku petangihall</t>
        </r>
      </text>
    </comment>
  </commentList>
</comments>
</file>

<file path=xl/comments20.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21.xml><?xml version="1.0" encoding="utf-8"?>
<comments xmlns="http://schemas.openxmlformats.org/spreadsheetml/2006/main">
  <authors>
    <author>Author</author>
  </authors>
  <commentList>
    <comment ref="H6" authorId="0">
      <text>
        <r>
          <rPr>
            <b/>
            <sz val="8"/>
            <color indexed="81"/>
            <rFont val="Tahoma"/>
            <family val="2"/>
            <charset val="186"/>
          </rPr>
          <t>Võite - Kaotusi</t>
        </r>
      </text>
    </comment>
    <comment ref="J6" authorId="0">
      <text>
        <r>
          <rPr>
            <b/>
            <sz val="8"/>
            <color indexed="81"/>
            <rFont val="Tahoma"/>
            <family val="2"/>
            <charset val="186"/>
          </rPr>
          <t>Võite omavahelistes mängudes</t>
        </r>
      </text>
    </comment>
    <comment ref="L6" authorId="0">
      <text>
        <r>
          <rPr>
            <b/>
            <sz val="8"/>
            <color indexed="81"/>
            <rFont val="Tahoma"/>
            <family val="2"/>
            <charset val="186"/>
          </rPr>
          <t>Punktide vahe omavahelistes mängudes</t>
        </r>
      </text>
    </comment>
    <comment ref="M6" authorId="0">
      <text>
        <r>
          <rPr>
            <b/>
            <sz val="8"/>
            <color indexed="81"/>
            <rFont val="Tahoma"/>
            <family val="2"/>
            <charset val="186"/>
          </rPr>
          <t>Kui omavahelistes mängudes on kõigil võrdselt võite ja ka punktide vahe on võrdne, siis vaatab, kumb võitis</t>
        </r>
      </text>
    </comment>
    <comment ref="N6" authorId="0">
      <text>
        <r>
          <rPr>
            <b/>
            <sz val="8"/>
            <color indexed="81"/>
            <rFont val="Tahoma"/>
            <family val="2"/>
            <charset val="186"/>
          </rPr>
          <t>Kogu turniiri jooksul mängitud mängude punktide VAHE</t>
        </r>
      </text>
    </comment>
    <comment ref="O6" authorId="0">
      <text>
        <r>
          <rPr>
            <b/>
            <sz val="8"/>
            <color indexed="81"/>
            <rFont val="Tahoma"/>
            <family val="2"/>
            <charset val="186"/>
          </rPr>
          <t>Kogu turniiri jooksul mängitud mängude punktide VAHE</t>
        </r>
      </text>
    </comment>
    <comment ref="P6" authorId="0">
      <text>
        <r>
          <rPr>
            <b/>
            <sz val="8"/>
            <color indexed="81"/>
            <rFont val="Tahoma"/>
            <family val="2"/>
            <charset val="186"/>
          </rPr>
          <t>Kogu turniiri jooksul mängitud mängude keskmine punktide SUHE</t>
        </r>
      </text>
    </comment>
    <comment ref="R6" authorId="0">
      <text>
        <r>
          <rPr>
            <b/>
            <sz val="8"/>
            <color indexed="81"/>
            <rFont val="Tahoma"/>
            <family val="2"/>
            <charset val="186"/>
          </rPr>
          <t>TRUE kui: 
3-ses alagrupis 3 nime ja   6 tulemust või
4-ses alagrupis 4 nime ja 12 tulemust või
5-ses alagrupis 5 nime ja 20 tulemust või
6-ses alagrupis 5 nime ja 30 tulemust</t>
        </r>
      </text>
    </comment>
  </commentList>
</comments>
</file>

<file path=xl/comments22.xml><?xml version="1.0" encoding="utf-8"?>
<comments xmlns="http://schemas.openxmlformats.org/spreadsheetml/2006/main">
  <authors>
    <author>Author</author>
  </authors>
  <commentList>
    <comment ref="H6" authorId="0">
      <text>
        <r>
          <rPr>
            <b/>
            <sz val="8"/>
            <color indexed="81"/>
            <rFont val="Tahoma"/>
            <family val="2"/>
            <charset val="186"/>
          </rPr>
          <t>Võite - Kaotusi</t>
        </r>
      </text>
    </comment>
    <comment ref="J6" authorId="0">
      <text>
        <r>
          <rPr>
            <b/>
            <sz val="8"/>
            <color indexed="81"/>
            <rFont val="Tahoma"/>
            <family val="2"/>
            <charset val="186"/>
          </rPr>
          <t>Võite omavahelistes mängudes</t>
        </r>
      </text>
    </comment>
    <comment ref="L6" authorId="0">
      <text>
        <r>
          <rPr>
            <b/>
            <sz val="8"/>
            <color indexed="81"/>
            <rFont val="Tahoma"/>
            <family val="2"/>
            <charset val="186"/>
          </rPr>
          <t>Punktide vahe omavahelistes mängudes</t>
        </r>
      </text>
    </comment>
    <comment ref="M6" authorId="0">
      <text>
        <r>
          <rPr>
            <b/>
            <sz val="8"/>
            <color indexed="81"/>
            <rFont val="Tahoma"/>
            <family val="2"/>
            <charset val="186"/>
          </rPr>
          <t>Kui omavahelistes mängudes on kõigil võrdselt võite ja ka punktide vahe on võrdne, siis vaatab, kumb võitis</t>
        </r>
      </text>
    </comment>
    <comment ref="N6" authorId="0">
      <text>
        <r>
          <rPr>
            <b/>
            <sz val="8"/>
            <color indexed="81"/>
            <rFont val="Tahoma"/>
            <family val="2"/>
            <charset val="186"/>
          </rPr>
          <t>Kogu turniiri jooksul mängitud mängude punktide VAHE</t>
        </r>
      </text>
    </comment>
    <comment ref="O6" authorId="0">
      <text>
        <r>
          <rPr>
            <b/>
            <sz val="8"/>
            <color indexed="81"/>
            <rFont val="Tahoma"/>
            <family val="2"/>
            <charset val="186"/>
          </rPr>
          <t>Kogu turniiri jooksul mängitud mängude punktide VAHE</t>
        </r>
      </text>
    </comment>
    <comment ref="P6" authorId="0">
      <text>
        <r>
          <rPr>
            <b/>
            <sz val="8"/>
            <color indexed="81"/>
            <rFont val="Tahoma"/>
            <family val="2"/>
            <charset val="186"/>
          </rPr>
          <t>Kogu turniiri jooksul mängitud mängude keskmine punktide SUHE</t>
        </r>
      </text>
    </comment>
    <comment ref="R6" authorId="0">
      <text>
        <r>
          <rPr>
            <b/>
            <sz val="8"/>
            <color indexed="81"/>
            <rFont val="Tahoma"/>
            <family val="2"/>
            <charset val="186"/>
          </rPr>
          <t>TRUE kui: 
3-ses alagrupis 3 nime ja   6 tulemust või
4-ses alagrupis 4 nime ja 12 tulemust või
5-ses alagrupis 5 nime ja 20 tulemust või
6-ses alagrupis 5 nime ja 30 tulemust</t>
        </r>
      </text>
    </comment>
  </commentList>
</comments>
</file>

<file path=xl/comments3.xml><?xml version="1.0" encoding="utf-8"?>
<comments xmlns="http://schemas.openxmlformats.org/spreadsheetml/2006/main">
  <authors>
    <author>Author</author>
  </authors>
  <commentList>
    <comment ref="AI1" authorId="0">
      <text>
        <r>
          <rPr>
            <b/>
            <sz val="8"/>
            <color indexed="81"/>
            <rFont val="Tahoma"/>
            <family val="2"/>
            <charset val="186"/>
          </rPr>
          <t>Paarismängus saab viimane koht 2 punkti ja iga kõrgem koht 2 punkti rohkem.
Triodes saab viimane koht 3 punkti ja iga kõrgem koht 3 punkti rohkem.</t>
        </r>
      </text>
    </comment>
    <comment ref="A6" authorId="0">
      <text>
        <r>
          <rPr>
            <b/>
            <sz val="8"/>
            <color indexed="81"/>
            <rFont val="Tahoma"/>
            <family val="2"/>
            <charset val="186"/>
          </rPr>
          <t>Viru spordiklubi mängijad</t>
        </r>
        <r>
          <rPr>
            <sz val="8"/>
            <color indexed="81"/>
            <rFont val="Tahoma"/>
            <family val="2"/>
            <charset val="186"/>
          </rPr>
          <t xml:space="preserve">
</t>
        </r>
      </text>
    </comment>
    <comment ref="C6" authorId="0">
      <text>
        <r>
          <rPr>
            <b/>
            <sz val="8"/>
            <color indexed="81"/>
            <rFont val="Tahoma"/>
            <family val="2"/>
            <charset val="186"/>
          </rPr>
          <t>Toila valla mängijad</t>
        </r>
      </text>
    </comment>
    <comment ref="G6" authorId="0">
      <text>
        <r>
          <rPr>
            <b/>
            <sz val="8"/>
            <color indexed="81"/>
            <rFont val="Tahoma"/>
            <family val="2"/>
            <charset val="186"/>
          </rPr>
          <t>Naised</t>
        </r>
      </text>
    </comment>
    <comment ref="I6" authorId="0">
      <text>
        <r>
          <rPr>
            <b/>
            <sz val="8"/>
            <color indexed="81"/>
            <rFont val="Tahoma"/>
            <family val="2"/>
            <charset val="186"/>
          </rPr>
          <t>Juuniorid</t>
        </r>
        <r>
          <rPr>
            <sz val="8"/>
            <color indexed="81"/>
            <rFont val="Tahoma"/>
            <family val="2"/>
            <charset val="186"/>
          </rPr>
          <t xml:space="preserve">
</t>
        </r>
      </text>
    </comment>
    <comment ref="P6" authorId="0">
      <text>
        <r>
          <rPr>
            <b/>
            <sz val="8"/>
            <color indexed="81"/>
            <rFont val="Tahoma"/>
            <family val="2"/>
            <charset val="186"/>
          </rPr>
          <t>Toila valla mängijad</t>
        </r>
        <r>
          <rPr>
            <sz val="8"/>
            <color indexed="81"/>
            <rFont val="Tahoma"/>
            <family val="2"/>
            <charset val="186"/>
          </rPr>
          <t xml:space="preserve">
</t>
        </r>
      </text>
    </comment>
    <comment ref="Q6" authorId="0">
      <text>
        <r>
          <rPr>
            <b/>
            <sz val="8"/>
            <color indexed="81"/>
            <rFont val="Tahoma"/>
            <family val="2"/>
            <charset val="186"/>
          </rPr>
          <t>Viru SK mängijad seisuga 02.02.2022</t>
        </r>
      </text>
    </comment>
    <comment ref="R6" authorId="0">
      <text>
        <r>
          <rPr>
            <b/>
            <sz val="8"/>
            <color indexed="81"/>
            <rFont val="Tahoma"/>
            <family val="2"/>
            <charset val="186"/>
          </rPr>
          <t>3 kehvemat tulemust võetakse maha</t>
        </r>
        <r>
          <rPr>
            <sz val="8"/>
            <color indexed="81"/>
            <rFont val="Tahoma"/>
            <family val="2"/>
            <charset val="186"/>
          </rPr>
          <t xml:space="preserve">
</t>
        </r>
      </text>
    </comment>
    <comment ref="Q62" authorId="0">
      <text>
        <r>
          <rPr>
            <b/>
            <sz val="8"/>
            <color indexed="81"/>
            <rFont val="Tahoma"/>
            <family val="2"/>
            <charset val="186"/>
          </rPr>
          <t>Tartu - aastast 2021</t>
        </r>
      </text>
    </comment>
    <comment ref="Q64" authorId="0">
      <text>
        <r>
          <rPr>
            <b/>
            <sz val="8"/>
            <color indexed="81"/>
            <rFont val="Tahoma"/>
            <family val="2"/>
            <charset val="186"/>
          </rPr>
          <t>Tartu</t>
        </r>
      </text>
    </comment>
    <comment ref="Q90" authorId="0">
      <text>
        <r>
          <rPr>
            <b/>
            <sz val="8"/>
            <color indexed="81"/>
            <rFont val="Tahoma"/>
            <family val="2"/>
            <charset val="186"/>
          </rPr>
          <t>Konju</t>
        </r>
      </text>
    </comment>
    <comment ref="L95" authorId="0">
      <text>
        <r>
          <rPr>
            <b/>
            <sz val="8"/>
            <color indexed="81"/>
            <rFont val="Tahoma"/>
            <family val="2"/>
            <charset val="186"/>
          </rPr>
          <t>Наталия Геннадьевна Кяхяря 
Ивангород 
Natalia Kyakhyarya 
Ivangorod</t>
        </r>
      </text>
    </comment>
    <comment ref="Q100" authorId="0">
      <text>
        <r>
          <rPr>
            <b/>
            <sz val="8"/>
            <color indexed="81"/>
            <rFont val="Tahoma"/>
            <family val="2"/>
            <charset val="186"/>
          </rPr>
          <t>Tartu</t>
        </r>
      </text>
    </comment>
    <comment ref="O113" authorId="0">
      <text>
        <r>
          <rPr>
            <b/>
            <sz val="8"/>
            <color indexed="81"/>
            <rFont val="Tahoma"/>
            <family val="2"/>
            <charset val="186"/>
          </rPr>
          <t>Author:</t>
        </r>
        <r>
          <rPr>
            <sz val="8"/>
            <color indexed="81"/>
            <rFont val="Tahoma"/>
            <family val="2"/>
            <charset val="186"/>
          </rPr>
          <t xml:space="preserve">
2005?</t>
        </r>
      </text>
    </comment>
  </commentList>
</comments>
</file>

<file path=xl/comments4.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5.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6.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7.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8.xml><?xml version="1.0" encoding="utf-8"?>
<comments xmlns="http://schemas.openxmlformats.org/spreadsheetml/2006/main">
  <authors>
    <author>Author</author>
  </authors>
  <commentList>
    <comment ref="AC6" authorId="0">
      <text>
        <r>
          <rPr>
            <b/>
            <sz val="8"/>
            <color indexed="81"/>
            <rFont val="Tahoma"/>
            <family val="2"/>
            <charset val="186"/>
          </rPr>
          <t>Kogu turniiri jooksul mängitud mängude punktide VAHE</t>
        </r>
      </text>
    </comment>
  </commentList>
</comments>
</file>

<file path=xl/comments9.xml><?xml version="1.0" encoding="utf-8"?>
<comments xmlns="http://schemas.openxmlformats.org/spreadsheetml/2006/main">
  <authors>
    <author>Author</author>
  </authors>
  <commentList>
    <comment ref="H6" authorId="0">
      <text>
        <r>
          <rPr>
            <b/>
            <sz val="8"/>
            <color indexed="81"/>
            <rFont val="Tahoma"/>
            <family val="2"/>
            <charset val="186"/>
          </rPr>
          <t>Võite - Kaotusi</t>
        </r>
      </text>
    </comment>
    <comment ref="J6" authorId="0">
      <text>
        <r>
          <rPr>
            <b/>
            <sz val="8"/>
            <color indexed="81"/>
            <rFont val="Tahoma"/>
            <family val="2"/>
            <charset val="186"/>
          </rPr>
          <t>Võite omavahelistes mängudes</t>
        </r>
      </text>
    </comment>
    <comment ref="L6" authorId="0">
      <text>
        <r>
          <rPr>
            <b/>
            <sz val="8"/>
            <color indexed="81"/>
            <rFont val="Tahoma"/>
            <family val="2"/>
            <charset val="186"/>
          </rPr>
          <t>Punktide vahe omavahelistes mängudes</t>
        </r>
      </text>
    </comment>
    <comment ref="M6" authorId="0">
      <text>
        <r>
          <rPr>
            <b/>
            <sz val="8"/>
            <color indexed="81"/>
            <rFont val="Tahoma"/>
            <family val="2"/>
            <charset val="186"/>
          </rPr>
          <t>Kui omavahelistes mängudes on kõigil võrdselt võite ja ka punktide vahe on võrdne, siis vaatab, kumb võitis</t>
        </r>
      </text>
    </comment>
    <comment ref="N6" authorId="0">
      <text>
        <r>
          <rPr>
            <b/>
            <sz val="8"/>
            <color indexed="81"/>
            <rFont val="Tahoma"/>
            <family val="2"/>
            <charset val="186"/>
          </rPr>
          <t>Kogu turniiri jooksul mängitud mängude punktide VAHE</t>
        </r>
      </text>
    </comment>
    <comment ref="O6" authorId="0">
      <text>
        <r>
          <rPr>
            <b/>
            <sz val="8"/>
            <color indexed="81"/>
            <rFont val="Tahoma"/>
            <family val="2"/>
            <charset val="186"/>
          </rPr>
          <t>Kogu turniiri jooksul mängitud mängude punktide VAHE</t>
        </r>
      </text>
    </comment>
    <comment ref="P6" authorId="0">
      <text>
        <r>
          <rPr>
            <b/>
            <sz val="8"/>
            <color indexed="81"/>
            <rFont val="Tahoma"/>
            <family val="2"/>
            <charset val="186"/>
          </rPr>
          <t>Kogu turniiri jooksul mängitud mängude keskmine punktide SUHE</t>
        </r>
      </text>
    </comment>
    <comment ref="R6" authorId="0">
      <text>
        <r>
          <rPr>
            <b/>
            <sz val="8"/>
            <color indexed="81"/>
            <rFont val="Tahoma"/>
            <family val="2"/>
            <charset val="186"/>
          </rPr>
          <t>TRUE kui: 
3-ses alagrupis 3 nime ja   6 tulemust või
4-ses alagrupis 4 nime ja 12 tulemust või
5-ses alagrupis 5 nime ja 20 tulemust või
6-ses alagrupis 5 nime ja 30 tulemust</t>
        </r>
      </text>
    </comment>
  </commentList>
</comments>
</file>

<file path=xl/sharedStrings.xml><?xml version="1.0" encoding="utf-8"?>
<sst xmlns="http://schemas.openxmlformats.org/spreadsheetml/2006/main" count="3574" uniqueCount="476">
  <si>
    <t>A</t>
  </si>
  <si>
    <t>B</t>
  </si>
  <si>
    <t>C</t>
  </si>
  <si>
    <t>D</t>
  </si>
  <si>
    <t>E</t>
  </si>
  <si>
    <t>F</t>
  </si>
  <si>
    <t>G</t>
  </si>
  <si>
    <t>H</t>
  </si>
  <si>
    <t>I</t>
  </si>
  <si>
    <t>J</t>
  </si>
  <si>
    <t>K</t>
  </si>
  <si>
    <t>L</t>
  </si>
  <si>
    <t>M</t>
  </si>
  <si>
    <t>N</t>
  </si>
  <si>
    <t>O</t>
  </si>
  <si>
    <t>P</t>
  </si>
  <si>
    <t>Q</t>
  </si>
  <si>
    <t>R</t>
  </si>
  <si>
    <t>S</t>
  </si>
  <si>
    <t>T</t>
  </si>
  <si>
    <t>U</t>
  </si>
  <si>
    <t>V</t>
  </si>
  <si>
    <t>W</t>
  </si>
  <si>
    <t>X</t>
  </si>
  <si>
    <t>Y</t>
  </si>
  <si>
    <t>Z</t>
  </si>
  <si>
    <t>Etappide arvule vastav täht</t>
  </si>
  <si>
    <t>Etappide arv, millel on võistleja saanud näiteks 20 punkti</t>
  </si>
  <si>
    <t>Nagu näha, saab hooajal teha kuni 31 etappi (kuid tähtede ette võib lisada ka 9 numbrit - seega max 40 etappi)</t>
  </si>
  <si>
    <t>Ida-Viru punktid</t>
  </si>
  <si>
    <t>Kollase taustaga on põhitabelile lisatud punktid</t>
  </si>
  <si>
    <t>DSQ</t>
  </si>
  <si>
    <t xml:space="preserve">  </t>
  </si>
  <si>
    <t>kaks tühikut - ei osalenud</t>
  </si>
  <si>
    <t>Kuupäev</t>
  </si>
  <si>
    <t>Aeg</t>
  </si>
  <si>
    <t>Võistlus</t>
  </si>
  <si>
    <t>Mänguviis</t>
  </si>
  <si>
    <t>Toimumiskoht</t>
  </si>
  <si>
    <t>Korraldaja</t>
  </si>
  <si>
    <t>Tasu</t>
  </si>
  <si>
    <t>Osal</t>
  </si>
  <si>
    <t>Duo</t>
  </si>
  <si>
    <t>Johannes Neiland</t>
  </si>
  <si>
    <t>11:00</t>
  </si>
  <si>
    <t>Ivar Viljaste</t>
  </si>
  <si>
    <t>Voka karikasarja võistlused on rohelise taustaga</t>
  </si>
  <si>
    <t>Viimased muudatused on punasega</t>
  </si>
  <si>
    <t>Esmaspäev</t>
  </si>
  <si>
    <t>Teisipäev</t>
  </si>
  <si>
    <t>Kolmapäev</t>
  </si>
  <si>
    <t>Neljapäev</t>
  </si>
  <si>
    <t>Reede</t>
  </si>
  <si>
    <t>Laupäev</t>
  </si>
  <si>
    <t>Pühapäev</t>
  </si>
  <si>
    <t>DUO</t>
  </si>
  <si>
    <t>TRIO</t>
  </si>
  <si>
    <t>KOHT</t>
  </si>
  <si>
    <t>Nimi</t>
  </si>
  <si>
    <t>KOKKU</t>
  </si>
  <si>
    <t>Boriss Klubov</t>
  </si>
  <si>
    <t>Janek Tarto</t>
  </si>
  <si>
    <t>Kalle Orro</t>
  </si>
  <si>
    <t>Kristo Viljaste</t>
  </si>
  <si>
    <t>Kenneth Muusikus</t>
  </si>
  <si>
    <t>Matti Vinni</t>
  </si>
  <si>
    <t>Peep Peenema</t>
  </si>
  <si>
    <t>Sirje Viljaste</t>
  </si>
  <si>
    <t>Osalejaid</t>
  </si>
  <si>
    <t>Kuld</t>
  </si>
  <si>
    <t>Hõbe</t>
  </si>
  <si>
    <t>Pronks</t>
  </si>
  <si>
    <t>Punktid</t>
  </si>
  <si>
    <t>Peida halli taustaga veerud</t>
  </si>
  <si>
    <t>vasak täht on 17 punkti, järgmine 16 punkti jne</t>
  </si>
  <si>
    <t>paremus-järjestus</t>
  </si>
  <si>
    <t>nimi tähestik</t>
  </si>
  <si>
    <t>kolm paremat numbrit näitavad mitmes on nimi tähestiku järgi</t>
  </si>
  <si>
    <t>sordi selle</t>
  </si>
  <si>
    <t xml:space="preserve"> </t>
  </si>
  <si>
    <t>Osalusi</t>
  </si>
  <si>
    <t>Võite</t>
  </si>
  <si>
    <t>max 17 võistkonda</t>
  </si>
  <si>
    <t>kasutab</t>
  </si>
  <si>
    <t>järgi</t>
  </si>
  <si>
    <t>**</t>
  </si>
  <si>
    <t>edasi/</t>
  </si>
  <si>
    <t>L***</t>
  </si>
  <si>
    <t>Viru SK</t>
  </si>
  <si>
    <t>Mehed</t>
  </si>
  <si>
    <t>Naised</t>
  </si>
  <si>
    <t>Juuniorid</t>
  </si>
  <si>
    <t>Üld</t>
  </si>
  <si>
    <t>val2</t>
  </si>
  <si>
    <t>val 1&amp;2</t>
  </si>
  <si>
    <t>jä val 1&amp;2</t>
  </si>
  <si>
    <t>val3</t>
  </si>
  <si>
    <t>val 1&amp;2&amp;3</t>
  </si>
  <si>
    <t>jä val 1&amp;2&amp;3</t>
  </si>
  <si>
    <t>rank</t>
  </si>
  <si>
    <t>/koht</t>
  </si>
  <si>
    <t>Jaan Sepp</t>
  </si>
  <si>
    <t>Oskar Sepp</t>
  </si>
  <si>
    <t>Meelis Luud</t>
  </si>
  <si>
    <t>Karla Purgats</t>
  </si>
  <si>
    <t>m</t>
  </si>
  <si>
    <t>Elmo Lageda</t>
  </si>
  <si>
    <t>Vladimir Ogneštšikov</t>
  </si>
  <si>
    <t>Mait Metsla</t>
  </si>
  <si>
    <t>Illar Tõnurist</t>
  </si>
  <si>
    <t>n</t>
  </si>
  <si>
    <t>Jaan Saar</t>
  </si>
  <si>
    <t>Enn Tokman</t>
  </si>
  <si>
    <t>Lemmit Toomra</t>
  </si>
  <si>
    <t>Tarmo Bombe</t>
  </si>
  <si>
    <t>Oleg Rõndenkov</t>
  </si>
  <si>
    <t>Henri Mitt</t>
  </si>
  <si>
    <t>j</t>
  </si>
  <si>
    <t>Tõnu Kapper</t>
  </si>
  <si>
    <t>Urmas Jõeäär</t>
  </si>
  <si>
    <t>Andres Veski</t>
  </si>
  <si>
    <t>Ljudmila Varendi</t>
  </si>
  <si>
    <t>Viktor Švarõgin</t>
  </si>
  <si>
    <t>Svetlana Veski</t>
  </si>
  <si>
    <t>Aigi Orro</t>
  </si>
  <si>
    <t>Tõnis Neiland</t>
  </si>
  <si>
    <t>Einar Juhkam</t>
  </si>
  <si>
    <t>Argo Sepp</t>
  </si>
  <si>
    <t>Kristiin-Marleen Neiland</t>
  </si>
  <si>
    <t>Karoliina Sild</t>
  </si>
  <si>
    <t>Kaspar Mänd</t>
  </si>
  <si>
    <t>Melika Lehtla</t>
  </si>
  <si>
    <t>Toomas Tedrekull</t>
  </si>
  <si>
    <t>Reimo Lõhmus</t>
  </si>
  <si>
    <t>Romek Tarto</t>
  </si>
  <si>
    <t>Urmas Randlaine</t>
  </si>
  <si>
    <t>Ksenija Matšneva</t>
  </si>
  <si>
    <t>Oksana Rõndenkova</t>
  </si>
  <si>
    <t>Veroonika Mendes</t>
  </si>
  <si>
    <t>Sandra Laura Nõmmeloo</t>
  </si>
  <si>
    <t>Andrei Grintšak</t>
  </si>
  <si>
    <t>Mihkel Palk</t>
  </si>
  <si>
    <t>Uku Kollom</t>
  </si>
  <si>
    <t>Fredi Müür</t>
  </si>
  <si>
    <t>Eve Müüdla</t>
  </si>
  <si>
    <t>Heili Vasser</t>
  </si>
  <si>
    <t>Vello Vasser</t>
  </si>
  <si>
    <t>Kevin Sten Liik</t>
  </si>
  <si>
    <t>Rutt Voldek</t>
  </si>
  <si>
    <t>Silver Kingissepp</t>
  </si>
  <si>
    <t>Airi Kruusma</t>
  </si>
  <si>
    <t>Aleksander Korikov</t>
  </si>
  <si>
    <t>Aarne Välja</t>
  </si>
  <si>
    <t>Aleksandr Tipakov</t>
  </si>
  <si>
    <t>Andres Viisitam</t>
  </si>
  <si>
    <t>Antonina Maksimova</t>
  </si>
  <si>
    <t>Brigitta Neiland</t>
  </si>
  <si>
    <t>Henri Müür</t>
  </si>
  <si>
    <t>Jan-Martin Neiland</t>
  </si>
  <si>
    <t>Joana Taalberg</t>
  </si>
  <si>
    <t>Juhan Enniko</t>
  </si>
  <si>
    <t>Kati Tuzberg</t>
  </si>
  <si>
    <t>Margus Vasser</t>
  </si>
  <si>
    <t>Marta Bernat</t>
  </si>
  <si>
    <t>Natalia Kähärä</t>
  </si>
  <si>
    <t>Raul Mõtus</t>
  </si>
  <si>
    <t>Taavi Press</t>
  </si>
  <si>
    <t>Tomas Kivestu</t>
  </si>
  <si>
    <t>Väino Aul</t>
  </si>
  <si>
    <t>Võistkondi</t>
  </si>
  <si>
    <t>V-K</t>
  </si>
  <si>
    <t>Koht</t>
  </si>
  <si>
    <t>+/-</t>
  </si>
  <si>
    <t>1. voor</t>
  </si>
  <si>
    <t>1-5</t>
  </si>
  <si>
    <t>2-4</t>
  </si>
  <si>
    <t>2. voor</t>
  </si>
  <si>
    <t>1-3</t>
  </si>
  <si>
    <t>4-5</t>
  </si>
  <si>
    <t>3. voor</t>
  </si>
  <si>
    <t>2-5</t>
  </si>
  <si>
    <t>3-4</t>
  </si>
  <si>
    <t>4. voor</t>
  </si>
  <si>
    <t>3-5</t>
  </si>
  <si>
    <t>5. voor</t>
  </si>
  <si>
    <t>2-3</t>
  </si>
  <si>
    <t>1-4</t>
  </si>
  <si>
    <t>1. koht</t>
  </si>
  <si>
    <t>2. koht</t>
  </si>
  <si>
    <t>3. koht</t>
  </si>
  <si>
    <t>4. koht</t>
  </si>
  <si>
    <t>5. koht</t>
  </si>
  <si>
    <t>6. koht</t>
  </si>
  <si>
    <t>1-2</t>
  </si>
  <si>
    <t>1 - 8 koht</t>
  </si>
  <si>
    <t>A1</t>
  </si>
  <si>
    <t>D2</t>
  </si>
  <si>
    <t>B1</t>
  </si>
  <si>
    <t>C2</t>
  </si>
  <si>
    <t>C1</t>
  </si>
  <si>
    <t>B2</t>
  </si>
  <si>
    <t>A2</t>
  </si>
  <si>
    <t>D1</t>
  </si>
  <si>
    <t>7. koht</t>
  </si>
  <si>
    <t>8. koht</t>
  </si>
  <si>
    <t>A3</t>
  </si>
  <si>
    <t>B3</t>
  </si>
  <si>
    <t>-</t>
  </si>
  <si>
    <t>C3</t>
  </si>
  <si>
    <t>9. koht</t>
  </si>
  <si>
    <t>D3</t>
  </si>
  <si>
    <t>10. koht</t>
  </si>
  <si>
    <t>11. koht</t>
  </si>
  <si>
    <t>12. koht</t>
  </si>
  <si>
    <t>13. koht</t>
  </si>
  <si>
    <t>14. koht</t>
  </si>
  <si>
    <t>Kui mängija nimi on vigane või puudub reitingutabelist, teeb punaseks</t>
  </si>
  <si>
    <t>9 - 16 koht</t>
  </si>
  <si>
    <t>15. koht</t>
  </si>
  <si>
    <t>16. koht</t>
  </si>
  <si>
    <t>17. koht</t>
  </si>
  <si>
    <t>18. koht</t>
  </si>
  <si>
    <t>Ronald Jõeäär</t>
  </si>
  <si>
    <t>Hillar Neiland</t>
  </si>
  <si>
    <t>Esikolmikus</t>
  </si>
  <si>
    <t>E1</t>
  </si>
  <si>
    <t>F2</t>
  </si>
  <si>
    <t>F1</t>
  </si>
  <si>
    <t>E2</t>
  </si>
  <si>
    <t>E3</t>
  </si>
  <si>
    <t>F3</t>
  </si>
  <si>
    <t>Punkte</t>
  </si>
  <si>
    <t>enne 1 koma</t>
  </si>
  <si>
    <t>pärast 1 koma</t>
  </si>
  <si>
    <t>1 ja 2 koma vahel</t>
  </si>
  <si>
    <t>pärast 2 koma</t>
  </si>
  <si>
    <t>Võit</t>
  </si>
  <si>
    <t>punkti</t>
  </si>
  <si>
    <t>Viik</t>
  </si>
  <si>
    <t>Kaotus</t>
  </si>
  <si>
    <t>Vo</t>
  </si>
  <si>
    <t>V2</t>
  </si>
  <si>
    <t>+/- o</t>
  </si>
  <si>
    <t>V3</t>
  </si>
  <si>
    <t>suhe</t>
  </si>
  <si>
    <t>...,V3.+/-</t>
  </si>
  <si>
    <t>V,Vo</t>
  </si>
  <si>
    <t>V.Vo.V2.+/-</t>
  </si>
  <si>
    <t>Liidia Põllu</t>
  </si>
  <si>
    <t>D4</t>
  </si>
  <si>
    <t>C4</t>
  </si>
  <si>
    <t>B4</t>
  </si>
  <si>
    <t>A4</t>
  </si>
  <si>
    <t>Jaan Sepp, Oskar Sepp</t>
  </si>
  <si>
    <t>Andres Veski, Svetlana Veski</t>
  </si>
  <si>
    <t>Vladimir Mihhailov</t>
  </si>
  <si>
    <t>kehvemat tulemust võetakse maha - mahatõmbamise format kasutab seda</t>
  </si>
  <si>
    <t>etapist osavõtt on vajalik finaalturniirile pääsemiseks</t>
  </si>
  <si>
    <t>Toila vald</t>
  </si>
  <si>
    <t>Ljudmila Varendi, Viktor Švarõgin</t>
  </si>
  <si>
    <t>9 - 12 koht</t>
  </si>
  <si>
    <t>13 - 18 koht</t>
  </si>
  <si>
    <t>Alar Peek</t>
  </si>
  <si>
    <t>Sander Skrabutenas</t>
  </si>
  <si>
    <t>Denis Skrabutenas</t>
  </si>
  <si>
    <t>Lydia Skrabutenas</t>
  </si>
  <si>
    <t>Veronika Pirk</t>
  </si>
  <si>
    <t>Võistlused toimuvad Voka petangihallis (Narva mnt 2) oktoober 2019 – aprill 2020.</t>
  </si>
  <si>
    <t>Osalema lubatakse kõik huvilised, kes on ennast võistlustele registreerinud ja eelnevalt tasunud osalustasu. Tervisliku seisundi eest vastutab sportlane ise. Üle 0,5 ‰ joobe puhul kõrvaldatakse võistleja antud etapilt.</t>
  </si>
  <si>
    <t>Toimub 13 etappi paarismängus ja loosisuperfinaal (olenevalt võistlejate arvust kas paarismängus või triodele). Etappidel on paaride valik vaba. Võistluste alguses võib registreerida 3 mängijat, vahetada võib iga vooru järel.</t>
  </si>
  <si>
    <t>Maksimaalne võistkondade arv ühel etapil on 18 (sama kehtib superfinaali kohta). Pärast esimest etappi paigutus reitingu alusel.</t>
  </si>
  <si>
    <t>Paremusjärjestus selgitatakse igal etapil eraldi ja ka üldarvestuses. Kui ühel etapil saavad kaks või rohkem võistkonda võrdselt võite, siis arvestatakse omavahelisi mänge. Nende võrdsuse korral omavahelistes mängudes kogutud punkte. Kui omavahel pole mängitud, siis arvestatakse üldist punktide vahet. Igal etapil saab esikoht 20 punkti, iga järgnev koht 1 punkti võrra vähem (kõik osalejad saavad vähemalt 1 punkti). Üldarvestuses liidetakse 10 parema etapi punktid. Punktide võrdsuse korral otsustab suurim parimate kohtade arv.</t>
  </si>
  <si>
    <t>Üldarvestuse 6 paremat mängijat autasustatakse karikaga. Karikaga autasustatakse ka parimat noort kuni 16 a (kaasaarvatud), naist ja Toila valla mängijat.</t>
  </si>
  <si>
    <t>Superfinaalis autasustatakse 3-e parema võistkonna liikmeid väikese karikaga.</t>
  </si>
  <si>
    <t>Osalustasu iga mängija kohta igal etapil on 2 €, mis tasutakse kohapeal. Osalustasust on vabastatud noored kuni 16 a (kaasaarvatud).</t>
  </si>
  <si>
    <t>Võistlustele saab eelregistreeruda tel 5622 8909 (Juhan Neiland) või kohapeal 15 min enne võistluste algust. Maksimaalselt saab etapil osaleda 18 võistkonda. Registreerimisega hilinejad võivad kokkuleppel osaleda mõnes võistkonnas varumängijana.</t>
  </si>
  <si>
    <t>Kõik üleskerkinud küsimused ja protestid lahendab peakohtunik.</t>
  </si>
  <si>
    <t>Tegemist on avaliku üritusega, kus võidakse pildistada ja neid pilte avalikustada.</t>
  </si>
  <si>
    <t>10.  Üleskerkinud küsimuste lahendamine</t>
  </si>
  <si>
    <t>VOKA 3. SISEKARIKAVÕISTLUSED PETANGIS 2019–2020</t>
  </si>
  <si>
    <r>
      <t xml:space="preserve">Superfinaali pääsevad kõik võistlejad, kes on osalenud vähemalt 3-l etapil. Superfinaali paigutamisel arvestatakse </t>
    </r>
    <r>
      <rPr>
        <i/>
        <sz val="10"/>
        <color theme="1"/>
        <rFont val="Arial"/>
        <family val="2"/>
        <charset val="186"/>
      </rPr>
      <t>kõiki</t>
    </r>
    <r>
      <rPr>
        <sz val="10"/>
        <color theme="1"/>
        <rFont val="Arial"/>
        <family val="2"/>
        <charset val="186"/>
      </rPr>
      <t xml:space="preserve"> kogutud punkte. Superfinaalis loositakse võistkonnad reitingu alusel koostatud 3st tugevusgrupist.</t>
    </r>
  </si>
  <si>
    <t>- Võistluste eesmärgiks on välja selgitada parimad mängijad.</t>
  </si>
  <si>
    <t>- Petangi arendamine ja propageerimine.</t>
  </si>
  <si>
    <t>- Meisterlikkuse tõstmine ja spordiharrastuse aktiviseerimine läbi petangi mängimise.</t>
  </si>
  <si>
    <t>- Peakohtunik on Juhan Neiland, tel 5622 8909</t>
  </si>
  <si>
    <t>- Kuni 6 võistkonna puhul toimub turniir kõik-kõigiga.</t>
  </si>
  <si>
    <t>- 14 ja rohkema võistkonna puhul toimub võistlus alagruppides ja karikas.</t>
  </si>
  <si>
    <t>1. Eesmärk</t>
  </si>
  <si>
    <t>2. Aeg ja koht</t>
  </si>
  <si>
    <t>3. Juhtimine</t>
  </si>
  <si>
    <t>4. Osavõtjad</t>
  </si>
  <si>
    <t>5. Võistluste süsteem</t>
  </si>
  <si>
    <t>6. Paremusjärjestuse selgitamine</t>
  </si>
  <si>
    <t>7. Autasustamine</t>
  </si>
  <si>
    <t>8. Majandamine</t>
  </si>
  <si>
    <t>9. Registreerimine</t>
  </si>
  <si>
    <t>- Peakorraldaja on Viru SK koos Toila Valla spordi- ja kultuurikeskusega.</t>
  </si>
  <si>
    <t>JUHEND</t>
  </si>
  <si>
    <t>TRIO, DUO, ÜKSIK</t>
  </si>
  <si>
    <t>Rahvusvahelised ja katsevõistlused on sinisega ja kaldkirjas</t>
  </si>
  <si>
    <t>Buch</t>
  </si>
  <si>
    <t>Suhe</t>
  </si>
  <si>
    <t>:</t>
  </si>
  <si>
    <t>Aurelia Meldre</t>
  </si>
  <si>
    <t>Alari Keedus</t>
  </si>
  <si>
    <t>Kokku</t>
  </si>
  <si>
    <t>kõik</t>
  </si>
  <si>
    <t>Olav Türk</t>
  </si>
  <si>
    <t>Sander Rose</t>
  </si>
  <si>
    <t>- 7–8 võistkonna puhul alagrupid ja karikas.</t>
  </si>
  <si>
    <t>- 9–13 võistkonna puhul toimub võistlus šveitsi süsteemis (5 vooru).</t>
  </si>
  <si>
    <t>2 ja 3 koma vahel</t>
  </si>
  <si>
    <t>pärast 3 koma</t>
  </si>
  <si>
    <t>Kõik mängud algasid seisult 1:1</t>
  </si>
  <si>
    <t>5 - 12 koht</t>
  </si>
  <si>
    <t>Anton Tipakov</t>
  </si>
  <si>
    <t>Kevin Muusikus</t>
  </si>
  <si>
    <t>t</t>
  </si>
  <si>
    <t>Henri Mitt, Urmas Randlaine</t>
  </si>
  <si>
    <t>1. voor 1-5, 2-4    2. voor 1-4, 2-3    3. voor 1-3, 4-5    4. voor 1-2, 3-5   5. voor 2-5, 3-4</t>
  </si>
  <si>
    <t>1. voor 1-4, 2-3    2. voor 1-3, 2-4    3. voor 1-2, 3-4</t>
  </si>
  <si>
    <t>1. voor 1-3    2. voor 1-2    3. voor 2-3</t>
  </si>
  <si>
    <t>Sirje Maala</t>
  </si>
  <si>
    <t>Tõnis Anton</t>
  </si>
  <si>
    <t>Daniel Lehtsaar</t>
  </si>
  <si>
    <t>Roland Põld</t>
  </si>
  <si>
    <t>Daniil Alekankin</t>
  </si>
  <si>
    <t>Marko Tarassov</t>
  </si>
  <si>
    <t>Emil Murzajev</t>
  </si>
  <si>
    <t>Martha Aavisto</t>
  </si>
  <si>
    <t>Irene Võrklaev</t>
  </si>
  <si>
    <t>Pavel Grintšak</t>
  </si>
  <si>
    <t>Oliver Ojasalu</t>
  </si>
  <si>
    <t>Loosiduo</t>
  </si>
  <si>
    <t>Lemmit Toomra, Tõnu Kapper</t>
  </si>
  <si>
    <t>Illar Tõnurist, Tarmo Bombe</t>
  </si>
  <si>
    <t>Annaliset Neiland</t>
  </si>
  <si>
    <t>Airi Veski</t>
  </si>
  <si>
    <t>Jevgeni Korikov</t>
  </si>
  <si>
    <t xml:space="preserve">Arvesse läheb 9 paremat tulemust 10st. </t>
  </si>
  <si>
    <t>Arvesse 9 paremat tulemust 10st.</t>
  </si>
  <si>
    <t>Arvesse läheb 9 paremat tulemust 10st.</t>
  </si>
  <si>
    <t>Eesti reitingus 2022 lähevad arvesse Eesti MV-d, millest võetakse maha 1 kehvem tulemus</t>
  </si>
  <si>
    <t>Eesti reitingusarja võistlused on rasvases trükis</t>
  </si>
  <si>
    <t>SHK</t>
  </si>
  <si>
    <t>Tartu</t>
  </si>
  <si>
    <t>Wicia</t>
  </si>
  <si>
    <t>SEGATRIO</t>
  </si>
  <si>
    <t>vaba voor</t>
  </si>
  <si>
    <t>Jaan Saar, Sirje Maala</t>
  </si>
  <si>
    <t>Aigi Orro, Kalle Orro</t>
  </si>
  <si>
    <t>LOOSIDUO</t>
  </si>
  <si>
    <t>1 - 4 koht</t>
  </si>
  <si>
    <t>Hillar Neiland, Kaspar Mänd</t>
  </si>
  <si>
    <t>Liidia Põllu, Veronika Pirk</t>
  </si>
  <si>
    <t>Boriss Klubov, Elmo Lageda</t>
  </si>
  <si>
    <t>Tõnu Kapper, Vladimir Ogneštšikov</t>
  </si>
  <si>
    <t>Henri Mitt, Oleg Rõndenkov</t>
  </si>
  <si>
    <t>Oliver Ojasalu, Sander Rose</t>
  </si>
  <si>
    <t>Enn Tokman, Vadim Tihhonjuk</t>
  </si>
  <si>
    <t>Fine B.</t>
  </si>
  <si>
    <t>P, 13.11.2022</t>
  </si>
  <si>
    <t>Kenneth Muusikus, Urmas Jõeäär</t>
  </si>
  <si>
    <t>Vadim Tihhonjuk</t>
  </si>
  <si>
    <t>Kristel Tihhonjuk</t>
  </si>
  <si>
    <t>Peeter Lüdig</t>
  </si>
  <si>
    <t>P, 27.11.2022</t>
  </si>
  <si>
    <t>P, 04.12.2022</t>
  </si>
  <si>
    <t>P, 18.12.2022</t>
  </si>
  <si>
    <t>P, 08.01.2023</t>
  </si>
  <si>
    <t>Märts 2023</t>
  </si>
  <si>
    <t>Aprill 2023</t>
  </si>
  <si>
    <t>Veebruar 2023</t>
  </si>
  <si>
    <t>Jaanuar 2023</t>
  </si>
  <si>
    <t>IDA-VIRUMAA PETANGIKALENDER 2022-2023 (SISE)</t>
  </si>
  <si>
    <t>EESTI JA IDA-VIRUMAA PETANGIKALENDER 2022-2023 (SISE)</t>
  </si>
  <si>
    <t>November 2022</t>
  </si>
  <si>
    <t>Detsember 2022</t>
  </si>
  <si>
    <t>Oktoober 2022</t>
  </si>
  <si>
    <t>Henri Mitt, Olav Türk</t>
  </si>
  <si>
    <t>Andrei Grintšak, Enn Tokman</t>
  </si>
  <si>
    <t>Matti Vinni, Vello Vasser</t>
  </si>
  <si>
    <t>Kenneth Muusikus, Sander Rose</t>
  </si>
  <si>
    <t>Oleg Rõndenkov, Vadim Tihhonjuk</t>
  </si>
  <si>
    <t>Liidia Põllu, Sander Skrabutenas, Veronika Pirk</t>
  </si>
  <si>
    <t>Kenneth Muusikus, Marta Bernat</t>
  </si>
  <si>
    <t>Illar Tõnurist, Johannes Neiland</t>
  </si>
  <si>
    <t>Oleg Rõndenkov, Sander Rose</t>
  </si>
  <si>
    <t>Kristel Tihhonjuk, Vadim Tihhonjuk</t>
  </si>
  <si>
    <t>Kenneth Muusikus, Olav Türk</t>
  </si>
  <si>
    <t>Hillar Neiland. Kaspar Mänd</t>
  </si>
  <si>
    <t>Enn Tokman, Johannes Neiland</t>
  </si>
  <si>
    <t>Andres Veski, Jaan Saar</t>
  </si>
  <si>
    <t>Olav Türk, Sirje Maala</t>
  </si>
  <si>
    <t>Lemmit Toomra, Peeter Lüdig</t>
  </si>
  <si>
    <t>Kenneth Muusikus, Tõnis Neiland</t>
  </si>
  <si>
    <t>Peep Peenema, Tarmo Bombe</t>
  </si>
  <si>
    <t>Andres Vesk, Svetlana Veski</t>
  </si>
  <si>
    <t>Eesti Wabariik 105</t>
  </si>
  <si>
    <r>
      <t>TRIO</t>
    </r>
    <r>
      <rPr>
        <b/>
        <sz val="10"/>
        <color rgb="FF00B0F0"/>
        <rFont val="Arial"/>
        <family val="2"/>
        <charset val="186"/>
      </rPr>
      <t xml:space="preserve"> (55+)</t>
    </r>
  </si>
  <si>
    <t>Voka V sise-KV 1. etapp</t>
  </si>
  <si>
    <t>Voka V sise-KV 2. etapp</t>
  </si>
  <si>
    <t>Voka V sise-KV 3. etapp</t>
  </si>
  <si>
    <t>Voka V sise-KV 4. etapp</t>
  </si>
  <si>
    <t>Voka V sise-KV 5. etapp</t>
  </si>
  <si>
    <t>Voka V sise-KV 6. etapp</t>
  </si>
  <si>
    <t>Voka V sise-KV 7. etapp</t>
  </si>
  <si>
    <t>Voka V sise-KV 10. etapp</t>
  </si>
  <si>
    <t>VOKA 5. SISEKARIKAVÕISTLUSED 2022-2023 (SISE)</t>
  </si>
  <si>
    <t>P, 22.01.2023</t>
  </si>
  <si>
    <t>Ennu sünnipäevaturniir</t>
  </si>
  <si>
    <t>18:00</t>
  </si>
  <si>
    <t>T, 10.01.2023</t>
  </si>
  <si>
    <t>Kenneth Muusikus, Peep Peenema</t>
  </si>
  <si>
    <t>Jaan Saar, Liidia Põllu</t>
  </si>
  <si>
    <t>Henri Mitt, Urmas Jõeäär</t>
  </si>
  <si>
    <t>Eesti 105</t>
  </si>
  <si>
    <t>R, 24.02.2023</t>
  </si>
  <si>
    <t>P, 05.02.2023</t>
  </si>
  <si>
    <t>Jõuluturniir kõigile</t>
  </si>
  <si>
    <t>Voka V sise-KV 8. etapp</t>
  </si>
  <si>
    <t>P, 12.02.2023</t>
  </si>
  <si>
    <t>Jaan Saar, Peep Peenema</t>
  </si>
  <si>
    <t>Hillar Neiland, Kenneth Muusikus</t>
  </si>
  <si>
    <t>Enn Tokman, Illar Tõnurist, Johannes Neiland</t>
  </si>
  <si>
    <t xml:space="preserve"> Ljudmilaa Varendi, Viktor Švarõgin </t>
  </si>
  <si>
    <t xml:space="preserve"> Aigi Orro, Kalle Orro</t>
  </si>
  <si>
    <t>5 - 8 koht</t>
  </si>
  <si>
    <t>Jaan Sepp, Sander Rose</t>
  </si>
  <si>
    <t>Ivar Viljaste, Sirje Viljaste</t>
  </si>
  <si>
    <t>Toila valla lahtised sise-MV</t>
  </si>
  <si>
    <t>P, 12.03.2023</t>
  </si>
  <si>
    <t>P, 19.03.2023</t>
  </si>
  <si>
    <t>P, 26.03.2023</t>
  </si>
  <si>
    <t>Trio</t>
  </si>
  <si>
    <t>Illar Tõnurist, Jaan Saar</t>
  </si>
  <si>
    <t>Ivar Viljaste, Matti Vinni</t>
  </si>
  <si>
    <t>Airi Veski, Andres Veski, Svetlana Veski</t>
  </si>
  <si>
    <t>Orrod lahkusid pärast 2. vooru ja jätkati lihtsustatud Šveitsi süsteemis</t>
  </si>
  <si>
    <t>Ivar Viljaste, Matti Vinni, Oleg Rõndenkov</t>
  </si>
  <si>
    <t>Henri Mitt, Hillar Neiland, Peep Peenema</t>
  </si>
  <si>
    <t>Jaan Sepp, Kaspar Mänd, Oskar Sepp</t>
  </si>
  <si>
    <t>Kenneth Muusikus, Ljudmila Varendi, Viktor Švarõgin</t>
  </si>
  <si>
    <t>Andrei Grintšak, Kristel Tihhonjuk, Vadim Tihhonjuk</t>
  </si>
  <si>
    <t>Enn Tokman, Jaan Saar, Sirje Maala</t>
  </si>
  <si>
    <t>DNF</t>
  </si>
  <si>
    <t>Voka V sise-KV 9. etapp</t>
  </si>
  <si>
    <r>
      <rPr>
        <b/>
        <sz val="10"/>
        <rFont val="Arial"/>
        <family val="2"/>
        <charset val="186"/>
      </rPr>
      <t>E</t>
    </r>
    <r>
      <rPr>
        <sz val="10"/>
        <rFont val="Arial"/>
        <family val="2"/>
        <charset val="186"/>
      </rPr>
      <t>, 26.12.2022</t>
    </r>
  </si>
  <si>
    <r>
      <rPr>
        <b/>
        <sz val="10"/>
        <rFont val="Arial"/>
        <family val="2"/>
        <charset val="186"/>
      </rPr>
      <t xml:space="preserve">DUO </t>
    </r>
    <r>
      <rPr>
        <b/>
        <sz val="10"/>
        <color rgb="FFC00000"/>
        <rFont val="Arial"/>
        <family val="2"/>
        <charset val="186"/>
      </rPr>
      <t>(naised)</t>
    </r>
  </si>
  <si>
    <t>Viktoria Mets</t>
  </si>
  <si>
    <t>Järvamaa</t>
  </si>
  <si>
    <t>Olav Türk, Urmas Jõeäär</t>
  </si>
  <si>
    <t>Kenneth Muusikus, Viktoria Mets</t>
  </si>
  <si>
    <t>Johannes Neiland, Tõnis Neiland</t>
  </si>
  <si>
    <t>Illar Tõnurist, Sirje Maala</t>
  </si>
  <si>
    <t>Voka V sise-KV lõpetamine</t>
  </si>
  <si>
    <t>P, 02.04.2023</t>
  </si>
  <si>
    <t>Seisuga 28.03.2023</t>
  </si>
  <si>
    <t>Oksana Rõndenkova, Oleg Rõndenkov</t>
  </si>
  <si>
    <t>Johannes Neiland, Sander Rose</t>
  </si>
  <si>
    <t>Sirje Maala, Urmas Jõeäär</t>
  </si>
  <si>
    <t>Andres Veski, Henri Mitt</t>
  </si>
  <si>
    <t>Hillar Neiland, Lemmit Toomra</t>
  </si>
  <si>
    <t>Andrei Grintšak, Peep Peenema</t>
  </si>
  <si>
    <t>Enn Tokman, Liidia Põllu</t>
  </si>
  <si>
    <t>Kenneth Muusikus, Tarmo Bombe</t>
  </si>
  <si>
    <t>TRIO (55+, U23)</t>
  </si>
  <si>
    <t>TRIO (55+, U23) finaal</t>
  </si>
  <si>
    <t>Seisuga 10.04.2023</t>
  </si>
  <si>
    <t>P, 16.04.2023</t>
  </si>
  <si>
    <t>Ida-Virumaa sise-MV</t>
  </si>
  <si>
    <t>Peep Peenema, Sirje Maala</t>
  </si>
  <si>
    <t>Kaspar Mänd, Oskar Sepp</t>
  </si>
  <si>
    <t>Lemmit Toomra, Liidia Põllu</t>
  </si>
  <si>
    <t>meeste EM, naiste MM</t>
  </si>
  <si>
    <t>meeste EM, naiste MM finaal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</si>
</sst>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d&quot;, &quot;dd/mm/yyyy"/>
    <numFmt numFmtId="165" formatCode="#&quot; €&quot;"/>
    <numFmt numFmtId="166" formatCode="#,##0\ &quot;€&quot;"/>
    <numFmt numFmtId="167" formatCode="0;\-0;;@"/>
    <numFmt numFmtId="168" formatCode="##&quot;.&quot;"/>
    <numFmt numFmtId="169" formatCode="\+0;\-0;0"/>
    <numFmt numFmtId="170" formatCode="0.0000"/>
  </numFmts>
  <fonts count="72" x14ac:knownFonts="1">
    <font>
      <sz val="10"/>
      <color theme="1"/>
      <name val="Arial"/>
      <family val="2"/>
      <charset val="186"/>
    </font>
    <font>
      <sz val="10"/>
      <color theme="1"/>
      <name val="Arial"/>
      <family val="2"/>
      <charset val="186"/>
    </font>
    <font>
      <sz val="11"/>
      <color indexed="8"/>
      <name val="Calibri"/>
      <family val="2"/>
      <charset val="186"/>
    </font>
    <font>
      <sz val="10"/>
      <color indexed="8"/>
      <name val="Times New Roman"/>
      <family val="1"/>
      <charset val="186"/>
    </font>
    <font>
      <sz val="10"/>
      <name val="Arial"/>
      <family val="2"/>
      <charset val="186"/>
    </font>
    <font>
      <sz val="10"/>
      <name val="Arial"/>
      <family val="2"/>
      <charset val="204"/>
    </font>
    <font>
      <sz val="8"/>
      <color indexed="8"/>
      <name val="Arial Narrow"/>
      <family val="2"/>
      <charset val="186"/>
    </font>
    <font>
      <u/>
      <sz val="10"/>
      <color theme="10"/>
      <name val="Times New Roman"/>
      <family val="1"/>
      <charset val="186"/>
    </font>
    <font>
      <u/>
      <sz val="11"/>
      <color theme="10"/>
      <name val="Calibri"/>
      <family val="2"/>
      <charset val="186"/>
      <scheme val="minor"/>
    </font>
    <font>
      <sz val="10"/>
      <color rgb="FF000000"/>
      <name val="Times New Roman"/>
      <family val="1"/>
      <charset val="186"/>
    </font>
    <font>
      <sz val="10"/>
      <color rgb="FF000000"/>
      <name val="Arial"/>
      <family val="2"/>
      <charset val="186"/>
    </font>
    <font>
      <sz val="11"/>
      <color theme="1"/>
      <name val="Calibri"/>
      <family val="2"/>
      <charset val="186"/>
      <scheme val="minor"/>
    </font>
    <font>
      <sz val="11"/>
      <color theme="1"/>
      <name val="Calibri"/>
      <family val="2"/>
      <scheme val="minor"/>
    </font>
    <font>
      <sz val="11"/>
      <color rgb="FF000000"/>
      <name val="Calibri"/>
      <family val="2"/>
      <scheme val="minor"/>
    </font>
    <font>
      <sz val="10"/>
      <color rgb="FFFF0000"/>
      <name val="Arial"/>
      <family val="2"/>
      <charset val="186"/>
    </font>
    <font>
      <b/>
      <sz val="10"/>
      <color theme="1"/>
      <name val="Arial"/>
      <family val="2"/>
      <charset val="186"/>
    </font>
    <font>
      <sz val="10"/>
      <color theme="0"/>
      <name val="Arial"/>
      <family val="2"/>
      <charset val="186"/>
    </font>
    <font>
      <b/>
      <sz val="10"/>
      <color rgb="FF0070C0"/>
      <name val="Arial"/>
      <family val="2"/>
      <charset val="186"/>
    </font>
    <font>
      <b/>
      <sz val="10"/>
      <name val="Arial"/>
      <family val="2"/>
      <charset val="186"/>
    </font>
    <font>
      <sz val="10"/>
      <color indexed="8"/>
      <name val="Arial"/>
      <family val="2"/>
      <charset val="186"/>
    </font>
    <font>
      <u/>
      <sz val="10"/>
      <color theme="10"/>
      <name val="Arial"/>
      <family val="2"/>
      <charset val="186"/>
    </font>
    <font>
      <b/>
      <sz val="10"/>
      <color indexed="8"/>
      <name val="Arial"/>
      <family val="2"/>
      <charset val="186"/>
    </font>
    <font>
      <u/>
      <sz val="10"/>
      <color theme="1"/>
      <name val="Arial"/>
      <family val="2"/>
      <charset val="186"/>
    </font>
    <font>
      <sz val="10"/>
      <color rgb="FF0000FF"/>
      <name val="Arial"/>
      <family val="2"/>
      <charset val="186"/>
    </font>
    <font>
      <b/>
      <sz val="10"/>
      <color rgb="FFFF0000"/>
      <name val="Arial"/>
      <family val="2"/>
      <charset val="186"/>
    </font>
    <font>
      <sz val="10"/>
      <color rgb="FF0070C0"/>
      <name val="Arial"/>
      <family val="2"/>
      <charset val="186"/>
    </font>
    <font>
      <b/>
      <sz val="8"/>
      <color indexed="81"/>
      <name val="Tahoma"/>
      <family val="2"/>
      <charset val="186"/>
    </font>
    <font>
      <i/>
      <u/>
      <sz val="10"/>
      <color theme="8" tint="0.39997558519241921"/>
      <name val="Arial"/>
      <family val="2"/>
      <charset val="186"/>
    </font>
    <font>
      <i/>
      <sz val="10"/>
      <color theme="8" tint="0.39997558519241921"/>
      <name val="Arial"/>
      <family val="2"/>
      <charset val="186"/>
    </font>
    <font>
      <b/>
      <u/>
      <sz val="10"/>
      <color theme="1"/>
      <name val="Arial"/>
      <family val="2"/>
      <charset val="186"/>
    </font>
    <font>
      <i/>
      <sz val="10"/>
      <color theme="1"/>
      <name val="Arial"/>
      <family val="2"/>
      <charset val="186"/>
    </font>
    <font>
      <b/>
      <sz val="10"/>
      <color theme="1"/>
      <name val="Calibri"/>
      <family val="2"/>
      <charset val="186"/>
      <scheme val="minor"/>
    </font>
    <font>
      <sz val="10"/>
      <color rgb="FFCC0000"/>
      <name val="Arial"/>
      <family val="2"/>
      <charset val="186"/>
    </font>
    <font>
      <sz val="10"/>
      <color rgb="FF00B0F0"/>
      <name val="Arial"/>
      <family val="2"/>
      <charset val="186"/>
    </font>
    <font>
      <b/>
      <sz val="9"/>
      <color theme="1"/>
      <name val="Arial"/>
      <family val="2"/>
      <charset val="186"/>
    </font>
    <font>
      <b/>
      <sz val="10"/>
      <color theme="0" tint="-0.34998626667073579"/>
      <name val="Arial"/>
      <family val="2"/>
      <charset val="186"/>
    </font>
    <font>
      <b/>
      <sz val="8"/>
      <color rgb="FF0070C0"/>
      <name val="Arial"/>
      <family val="2"/>
      <charset val="186"/>
    </font>
    <font>
      <sz val="10"/>
      <color theme="0" tint="-0.34998626667073579"/>
      <name val="Arial"/>
      <family val="2"/>
      <charset val="186"/>
    </font>
    <font>
      <b/>
      <sz val="10"/>
      <color rgb="FF00B0F0"/>
      <name val="Arial"/>
      <family val="2"/>
      <charset val="186"/>
    </font>
    <font>
      <b/>
      <sz val="10"/>
      <color rgb="FFCC0066"/>
      <name val="Arial"/>
      <family val="2"/>
      <charset val="186"/>
    </font>
    <font>
      <b/>
      <sz val="10"/>
      <color rgb="FF00B050"/>
      <name val="Arial"/>
      <family val="2"/>
      <charset val="186"/>
    </font>
    <font>
      <b/>
      <sz val="10"/>
      <color rgb="FFCC0000"/>
      <name val="Arial"/>
      <family val="2"/>
      <charset val="186"/>
    </font>
    <font>
      <b/>
      <sz val="10"/>
      <color theme="2" tint="-0.499984740745262"/>
      <name val="Arial"/>
      <family val="2"/>
      <charset val="186"/>
    </font>
    <font>
      <b/>
      <sz val="10"/>
      <color theme="0" tint="-0.249977111117893"/>
      <name val="Arial"/>
      <family val="2"/>
      <charset val="186"/>
    </font>
    <font>
      <sz val="10"/>
      <color theme="0" tint="-0.14999847407452621"/>
      <name val="Arial"/>
      <family val="2"/>
      <charset val="186"/>
    </font>
    <font>
      <b/>
      <sz val="10"/>
      <color theme="0" tint="-0.14999847407452621"/>
      <name val="Arial"/>
      <family val="2"/>
      <charset val="186"/>
    </font>
    <font>
      <sz val="8"/>
      <color indexed="81"/>
      <name val="Tahoma"/>
      <family val="2"/>
      <charset val="186"/>
    </font>
    <font>
      <sz val="10"/>
      <color theme="0" tint="-0.249977111117893"/>
      <name val="Arial"/>
      <family val="2"/>
      <charset val="186"/>
    </font>
    <font>
      <b/>
      <sz val="10"/>
      <color rgb="FFCC0000"/>
      <name val="Calibri"/>
      <family val="2"/>
      <charset val="186"/>
      <scheme val="minor"/>
    </font>
    <font>
      <b/>
      <sz val="8"/>
      <color theme="2" tint="-0.499984740745262"/>
      <name val="Arial"/>
      <family val="2"/>
      <charset val="186"/>
    </font>
    <font>
      <sz val="10"/>
      <color rgb="FF00B050"/>
      <name val="Arial"/>
      <family val="2"/>
      <charset val="186"/>
    </font>
    <font>
      <i/>
      <sz val="10"/>
      <color theme="0" tint="-0.499984740745262"/>
      <name val="Arial"/>
      <family val="2"/>
      <charset val="186"/>
    </font>
    <font>
      <sz val="10"/>
      <color theme="2" tint="-0.499984740745262"/>
      <name val="Arial"/>
      <family val="2"/>
      <charset val="186"/>
    </font>
    <font>
      <sz val="9"/>
      <color rgb="FF0070C0"/>
      <name val="Arial"/>
      <family val="2"/>
      <charset val="186"/>
    </font>
    <font>
      <sz val="9"/>
      <color theme="1"/>
      <name val="Arial"/>
      <family val="2"/>
      <charset val="186"/>
    </font>
    <font>
      <sz val="9"/>
      <color rgb="FF00B050"/>
      <name val="Arial"/>
      <family val="2"/>
      <charset val="186"/>
    </font>
    <font>
      <sz val="9"/>
      <color theme="5" tint="-0.249977111117893"/>
      <name val="Arial"/>
      <family val="2"/>
      <charset val="186"/>
    </font>
    <font>
      <b/>
      <u/>
      <sz val="10"/>
      <name val="Arial"/>
      <family val="2"/>
      <charset val="186"/>
    </font>
    <font>
      <u/>
      <sz val="10"/>
      <name val="Arial"/>
      <family val="2"/>
      <charset val="186"/>
    </font>
    <font>
      <i/>
      <u/>
      <sz val="10"/>
      <name val="Arial"/>
      <family val="2"/>
      <charset val="186"/>
    </font>
    <font>
      <strike/>
      <sz val="10"/>
      <name val="Arial"/>
      <family val="2"/>
      <charset val="186"/>
    </font>
    <font>
      <i/>
      <strike/>
      <u/>
      <sz val="10"/>
      <name val="Arial"/>
      <family val="2"/>
      <charset val="186"/>
    </font>
    <font>
      <u/>
      <sz val="12"/>
      <color rgb="FF0070C0"/>
      <name val="Old English Text MT"/>
      <family val="4"/>
    </font>
    <font>
      <b/>
      <sz val="10"/>
      <color theme="0" tint="-0.499984740745262"/>
      <name val="Arial"/>
      <family val="2"/>
      <charset val="186"/>
    </font>
    <font>
      <i/>
      <sz val="10"/>
      <name val="Arial"/>
      <family val="2"/>
      <charset val="186"/>
    </font>
    <font>
      <b/>
      <i/>
      <sz val="10"/>
      <color theme="8" tint="0.39997558519241921"/>
      <name val="Arial"/>
      <family val="2"/>
      <charset val="186"/>
    </font>
    <font>
      <sz val="10"/>
      <color indexed="81"/>
      <name val="Arial"/>
      <family val="2"/>
      <charset val="186"/>
    </font>
    <font>
      <b/>
      <sz val="10"/>
      <color indexed="81"/>
      <name val="Arial"/>
      <family val="2"/>
      <charset val="186"/>
    </font>
    <font>
      <b/>
      <sz val="10"/>
      <color rgb="FFC00000"/>
      <name val="Arial"/>
      <family val="2"/>
      <charset val="186"/>
    </font>
    <font>
      <sz val="11"/>
      <color rgb="FF0070C0"/>
      <name val="Old English Text MT"/>
      <family val="4"/>
    </font>
    <font>
      <strike/>
      <u/>
      <sz val="10"/>
      <color theme="5" tint="0.39997558519241921"/>
      <name val="Arial"/>
      <family val="2"/>
      <charset val="186"/>
    </font>
    <font>
      <strike/>
      <sz val="10"/>
      <color theme="5" tint="0.39997558519241921"/>
      <name val="Arial"/>
      <family val="2"/>
      <charset val="186"/>
    </font>
  </fonts>
  <fills count="20">
    <fill>
      <patternFill patternType="none"/>
    </fill>
    <fill>
      <patternFill patternType="gray125"/>
    </fill>
    <fill>
      <patternFill patternType="solid">
        <fgColor indexed="22"/>
        <bgColor indexed="31"/>
      </patternFill>
    </fill>
    <fill>
      <patternFill patternType="solid">
        <fgColor rgb="FFFFFF99"/>
        <bgColor indexed="64"/>
      </patternFill>
    </fill>
    <fill>
      <patternFill patternType="solid">
        <fgColor theme="0" tint="-0.14999847407452621"/>
        <bgColor indexed="64"/>
      </patternFill>
    </fill>
    <fill>
      <patternFill patternType="solid">
        <fgColor rgb="FFCCFFCC"/>
        <bgColor indexed="64"/>
      </patternFill>
    </fill>
    <fill>
      <patternFill patternType="solid">
        <fgColor rgb="FF99FF99"/>
        <bgColor indexed="64"/>
      </patternFill>
    </fill>
    <fill>
      <patternFill patternType="solid">
        <fgColor rgb="FFFFFF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C99"/>
        <bgColor indexed="64"/>
      </patternFill>
    </fill>
    <fill>
      <patternFill patternType="solid">
        <fgColor rgb="FFFFFFCC"/>
        <bgColor indexed="64"/>
      </patternFill>
    </fill>
    <fill>
      <patternFill patternType="solid">
        <fgColor theme="0" tint="-0.499984740745262"/>
        <bgColor indexed="64"/>
      </patternFill>
    </fill>
    <fill>
      <patternFill patternType="solid">
        <fgColor rgb="FFFFCCCC"/>
        <bgColor indexed="64"/>
      </patternFill>
    </fill>
    <fill>
      <patternFill patternType="solid">
        <fgColor theme="5" tint="0.39997558519241921"/>
        <bgColor indexed="64"/>
      </patternFill>
    </fill>
    <fill>
      <patternFill patternType="solid">
        <fgColor rgb="FFFF9999"/>
        <bgColor indexed="64"/>
      </patternFill>
    </fill>
    <fill>
      <patternFill patternType="solid">
        <fgColor theme="4" tint="0.79998168889431442"/>
        <bgColor indexed="64"/>
      </patternFill>
    </fill>
    <fill>
      <patternFill patternType="solid">
        <fgColor rgb="FFABDB77"/>
        <bgColor indexed="64"/>
      </patternFill>
    </fill>
    <fill>
      <patternFill patternType="solid">
        <fgColor theme="6" tint="0.39997558519241921"/>
        <bgColor indexed="64"/>
      </patternFill>
    </fill>
    <fill>
      <patternFill patternType="solid">
        <fgColor theme="9" tint="0.79998168889431442"/>
        <bgColor indexed="64"/>
      </patternFill>
    </fill>
  </fills>
  <borders count="18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top style="medium">
        <color auto="1"/>
      </top>
      <bottom/>
      <diagonal/>
    </border>
    <border>
      <left style="medium">
        <color indexed="64"/>
      </left>
      <right/>
      <top/>
      <bottom/>
      <diagonal/>
    </border>
    <border>
      <left/>
      <right style="medium">
        <color theme="1"/>
      </right>
      <top/>
      <bottom/>
      <diagonal/>
    </border>
    <border>
      <left style="medium">
        <color theme="1"/>
      </left>
      <right/>
      <top/>
      <bottom/>
      <diagonal/>
    </border>
    <border>
      <left style="medium">
        <color indexed="8"/>
      </left>
      <right/>
      <top/>
      <bottom/>
      <diagonal/>
    </border>
    <border>
      <left/>
      <right style="thick">
        <color indexed="8"/>
      </right>
      <top/>
      <bottom/>
      <diagonal/>
    </border>
    <border>
      <left/>
      <right style="medium">
        <color auto="1"/>
      </right>
      <top/>
      <bottom/>
      <diagonal/>
    </border>
    <border>
      <left style="thin">
        <color theme="0" tint="-0.24994659260841701"/>
      </left>
      <right style="medium">
        <color indexed="8"/>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auto="1"/>
      </left>
      <right/>
      <top/>
      <bottom/>
      <diagonal/>
    </border>
    <border>
      <left/>
      <right style="medium">
        <color indexed="8"/>
      </right>
      <top/>
      <bottom/>
      <diagonal/>
    </border>
    <border>
      <left style="thin">
        <color theme="0" tint="-0.24994659260841701"/>
      </left>
      <right style="medium">
        <color indexed="8"/>
      </right>
      <top style="medium">
        <color indexed="8"/>
      </top>
      <bottom style="thin">
        <color theme="0" tint="-0.24994659260841701"/>
      </bottom>
      <diagonal/>
    </border>
    <border>
      <left/>
      <right/>
      <top style="medium">
        <color indexed="8"/>
      </top>
      <bottom/>
      <diagonal/>
    </border>
    <border>
      <left style="medium">
        <color indexed="8"/>
      </left>
      <right/>
      <top style="medium">
        <color indexed="8"/>
      </top>
      <bottom/>
      <diagonal/>
    </border>
    <border>
      <left style="medium">
        <color indexed="8"/>
      </left>
      <right/>
      <top/>
      <bottom style="dashDot">
        <color indexed="8"/>
      </bottom>
      <diagonal/>
    </border>
    <border>
      <left style="thin">
        <color theme="0" tint="-0.24994659260841701"/>
      </left>
      <right/>
      <top style="medium">
        <color indexed="8"/>
      </top>
      <bottom style="thin">
        <color theme="0" tint="-0.24994659260841701"/>
      </bottom>
      <diagonal/>
    </border>
    <border>
      <left/>
      <right style="medium">
        <color auto="1"/>
      </right>
      <top/>
      <bottom style="dashDot">
        <color indexed="8"/>
      </bottom>
      <diagonal/>
    </border>
    <border>
      <left/>
      <right style="medium">
        <color indexed="64"/>
      </right>
      <top/>
      <bottom/>
      <diagonal/>
    </border>
    <border>
      <left style="thin">
        <color theme="0" tint="-0.24994659260841701"/>
      </left>
      <right style="medium">
        <color auto="1"/>
      </right>
      <top style="medium">
        <color indexed="8"/>
      </top>
      <bottom style="thin">
        <color theme="0" tint="-0.24994659260841701"/>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auto="1"/>
      </left>
      <right/>
      <top style="medium">
        <color auto="1"/>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ck">
        <color indexed="64"/>
      </left>
      <right/>
      <top style="medium">
        <color auto="1"/>
      </top>
      <bottom/>
      <diagonal/>
    </border>
    <border>
      <left style="thick">
        <color indexed="64"/>
      </left>
      <right/>
      <top/>
      <bottom/>
      <diagonal/>
    </border>
    <border>
      <left style="thin">
        <color theme="0" tint="-0.24994659260841701"/>
      </left>
      <right style="medium">
        <color indexed="8"/>
      </right>
      <top style="medium">
        <color indexed="8"/>
      </top>
      <bottom style="thin">
        <color theme="0" tint="-0.24994659260841701"/>
      </bottom>
      <diagonal/>
    </border>
    <border>
      <left style="medium">
        <color rgb="FF000000"/>
      </left>
      <right/>
      <top style="medium">
        <color rgb="FF000000"/>
      </top>
      <bottom/>
      <diagonal/>
    </border>
    <border>
      <left style="thin">
        <color theme="0" tint="-0.24994659260841701"/>
      </left>
      <right/>
      <top style="medium">
        <color rgb="FF000000"/>
      </top>
      <bottom style="thin">
        <color theme="0" tint="-0.24994659260841701"/>
      </bottom>
      <diagonal/>
    </border>
    <border>
      <left style="thin">
        <color theme="0" tint="-0.24994659260841701"/>
      </left>
      <right style="medium">
        <color rgb="FF000000"/>
      </right>
      <top style="medium">
        <color rgb="FF000000"/>
      </top>
      <bottom style="thin">
        <color theme="0" tint="-0.24994659260841701"/>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medium">
        <color indexed="8"/>
      </right>
      <top/>
      <bottom style="dashDot">
        <color indexed="8"/>
      </bottom>
      <diagonal/>
    </border>
    <border>
      <left/>
      <right/>
      <top/>
      <bottom style="medium">
        <color indexed="64"/>
      </bottom>
      <diagonal/>
    </border>
    <border>
      <left style="thin">
        <color indexed="64"/>
      </left>
      <right/>
      <top/>
      <bottom style="medium">
        <color indexed="64"/>
      </bottom>
      <diagonal/>
    </border>
    <border>
      <left style="medium">
        <color indexed="8"/>
      </left>
      <right/>
      <top/>
      <bottom style="medium">
        <color indexed="8"/>
      </bottom>
      <diagonal/>
    </border>
    <border>
      <left/>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diagonal/>
    </border>
    <border>
      <left style="thin">
        <color theme="0" tint="-0.24994659260841701"/>
      </left>
      <right/>
      <top/>
      <bottom style="thin">
        <color theme="0" tint="-0.24994659260841701"/>
      </bottom>
      <diagonal/>
    </border>
    <border>
      <left style="thin">
        <color theme="0" tint="-0.24994659260841701"/>
      </left>
      <right style="medium">
        <color indexed="8"/>
      </right>
      <top style="medium">
        <color indexed="64"/>
      </top>
      <bottom style="thin">
        <color theme="0" tint="-0.24994659260841701"/>
      </bottom>
      <diagonal/>
    </border>
    <border>
      <left style="medium">
        <color theme="1"/>
      </left>
      <right/>
      <top style="medium">
        <color indexed="64"/>
      </top>
      <bottom/>
      <diagonal/>
    </border>
    <border>
      <left style="medium">
        <color theme="1"/>
      </left>
      <right/>
      <top/>
      <bottom style="medium">
        <color indexed="64"/>
      </bottom>
      <diagonal/>
    </border>
    <border>
      <left/>
      <right style="medium">
        <color indexed="8"/>
      </right>
      <top/>
      <bottom style="medium">
        <color indexed="8"/>
      </bottom>
      <diagonal/>
    </border>
    <border>
      <left style="medium">
        <color auto="1"/>
      </left>
      <right/>
      <top/>
      <bottom style="medium">
        <color auto="1"/>
      </bottom>
      <diagonal/>
    </border>
    <border>
      <left/>
      <right style="medium">
        <color indexed="8"/>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rgb="FF000000"/>
      </top>
      <bottom/>
      <diagonal/>
    </border>
    <border>
      <left style="thin">
        <color auto="1"/>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medium">
        <color rgb="FF000000"/>
      </top>
      <bottom/>
      <diagonal/>
    </border>
    <border>
      <left/>
      <right style="medium">
        <color rgb="FF000000"/>
      </right>
      <top/>
      <bottom/>
      <diagonal/>
    </border>
    <border>
      <left/>
      <right style="medium">
        <color indexed="8"/>
      </right>
      <top/>
      <bottom style="medium">
        <color indexed="8"/>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diagonal/>
    </border>
    <border>
      <left style="thin">
        <color theme="0" tint="-0.24994659260841701"/>
      </left>
      <right style="medium">
        <color indexed="8"/>
      </right>
      <top style="medium">
        <color indexed="8"/>
      </top>
      <bottom style="thin">
        <color theme="0" tint="-0.24994659260841701"/>
      </bottom>
      <diagonal/>
    </border>
    <border>
      <left/>
      <right/>
      <top style="medium">
        <color indexed="8"/>
      </top>
      <bottom/>
      <diagonal/>
    </border>
    <border>
      <left/>
      <right style="medium">
        <color auto="1"/>
      </right>
      <top/>
      <bottom style="medium">
        <color indexed="8"/>
      </bottom>
      <diagonal/>
    </border>
    <border>
      <left style="thin">
        <color theme="0" tint="-0.24994659260841701"/>
      </left>
      <right/>
      <top style="medium">
        <color indexed="8"/>
      </top>
      <bottom style="thin">
        <color theme="0" tint="-0.24994659260841701"/>
      </bottom>
      <diagonal/>
    </border>
    <border>
      <left style="medium">
        <color theme="1"/>
      </left>
      <right/>
      <top/>
      <bottom style="medium">
        <color indexed="8"/>
      </bottom>
      <diagonal/>
    </border>
    <border>
      <left style="thin">
        <color theme="0" tint="-0.24994659260841701"/>
      </left>
      <right style="medium">
        <color indexed="64"/>
      </right>
      <top style="medium">
        <color indexed="8"/>
      </top>
      <bottom style="thin">
        <color theme="0" tint="-0.24994659260841701"/>
      </bottom>
      <diagonal/>
    </border>
    <border>
      <left style="thin">
        <color theme="0" tint="-0.24994659260841701"/>
      </left>
      <right style="thick">
        <color indexed="8"/>
      </right>
      <top style="medium">
        <color indexed="8"/>
      </top>
      <bottom style="thin">
        <color theme="0" tint="-0.24994659260841701"/>
      </bottom>
      <diagonal/>
    </border>
    <border>
      <left style="thick">
        <color indexed="8"/>
      </left>
      <right/>
      <top/>
      <bottom style="medium">
        <color indexed="8"/>
      </bottom>
      <diagonal/>
    </border>
    <border>
      <left style="medium">
        <color auto="1"/>
      </left>
      <right/>
      <top/>
      <bottom style="medium">
        <color indexed="8"/>
      </bottom>
      <diagonal/>
    </border>
    <border>
      <left style="medium">
        <color rgb="FF000000"/>
      </left>
      <right/>
      <top style="medium">
        <color indexed="8"/>
      </top>
      <bottom/>
      <diagonal/>
    </border>
    <border>
      <left style="thin">
        <color theme="0" tint="-0.24994659260841701"/>
      </left>
      <right style="medium">
        <color rgb="FF000000"/>
      </right>
      <top style="medium">
        <color indexed="8"/>
      </top>
      <bottom style="thin">
        <color theme="0" tint="-0.24994659260841701"/>
      </bottom>
      <diagonal/>
    </border>
    <border>
      <left/>
      <right style="medium">
        <color indexed="8"/>
      </right>
      <top style="dashDot">
        <color rgb="FF000000"/>
      </top>
      <bottom/>
      <diagonal/>
    </border>
    <border>
      <left style="medium">
        <color auto="1"/>
      </left>
      <right/>
      <top style="medium">
        <color indexed="8"/>
      </top>
      <bottom/>
      <diagonal/>
    </border>
    <border>
      <left style="thick">
        <color indexed="8"/>
      </left>
      <right/>
      <top/>
      <bottom/>
      <diagonal/>
    </border>
    <border>
      <left style="medium">
        <color indexed="8"/>
      </left>
      <right/>
      <top/>
      <bottom style="medium">
        <color auto="1"/>
      </bottom>
      <diagonal/>
    </border>
    <border>
      <left/>
      <right/>
      <top/>
      <bottom style="dashDot">
        <color indexed="8"/>
      </bottom>
      <diagonal/>
    </border>
    <border>
      <left style="thin">
        <color indexed="8"/>
      </left>
      <right/>
      <top style="thin">
        <color indexed="8"/>
      </top>
      <bottom style="thin">
        <color indexed="8"/>
      </bottom>
      <diagonal/>
    </border>
    <border>
      <left/>
      <right style="medium">
        <color indexed="8"/>
      </right>
      <top/>
      <bottom style="medium">
        <color indexed="8"/>
      </bottom>
      <diagonal/>
    </border>
    <border>
      <left/>
      <right style="thick">
        <color indexed="8"/>
      </right>
      <top/>
      <bottom style="medium">
        <color indexed="8"/>
      </bottom>
      <diagonal/>
    </border>
    <border>
      <left/>
      <right/>
      <top style="medium">
        <color auto="1"/>
      </top>
      <bottom/>
      <diagonal/>
    </border>
    <border>
      <left style="medium">
        <color rgb="FF000000"/>
      </left>
      <right/>
      <top/>
      <bottom/>
      <diagonal/>
    </border>
    <border>
      <left/>
      <right style="medium">
        <color theme="1"/>
      </right>
      <top/>
      <bottom style="medium">
        <color indexed="8"/>
      </bottom>
      <diagonal/>
    </border>
    <border>
      <left style="thin">
        <color indexed="8"/>
      </left>
      <right style="thin">
        <color indexed="8"/>
      </right>
      <top/>
      <bottom style="thin">
        <color indexed="8"/>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top style="medium">
        <color auto="1"/>
      </top>
      <bottom style="thin">
        <color theme="0" tint="-0.24994659260841701"/>
      </bottom>
      <diagonal/>
    </border>
    <border>
      <left style="medium">
        <color indexed="64"/>
      </left>
      <right/>
      <top style="medium">
        <color auto="1"/>
      </top>
      <bottom/>
      <diagonal/>
    </border>
    <border>
      <left style="medium">
        <color indexed="64"/>
      </left>
      <right/>
      <top/>
      <bottom style="medium">
        <color auto="1"/>
      </bottom>
      <diagonal/>
    </border>
    <border>
      <left/>
      <right style="medium">
        <color auto="1"/>
      </right>
      <top/>
      <bottom style="medium">
        <color indexed="8"/>
      </bottom>
      <diagonal/>
    </border>
    <border>
      <left style="thin">
        <color theme="0" tint="-0.24994659260841701"/>
      </left>
      <right style="medium">
        <color indexed="8"/>
      </right>
      <top style="medium">
        <color auto="1"/>
      </top>
      <bottom style="thin">
        <color theme="0" tint="-0.24994659260841701"/>
      </bottom>
      <diagonal/>
    </border>
    <border>
      <left style="medium">
        <color theme="1"/>
      </left>
      <right/>
      <top style="medium">
        <color auto="1"/>
      </top>
      <bottom/>
      <diagonal/>
    </border>
    <border>
      <left style="medium">
        <color indexed="8"/>
      </left>
      <right/>
      <top style="medium">
        <color auto="1"/>
      </top>
      <bottom/>
      <diagonal/>
    </border>
    <border>
      <left style="thin">
        <color theme="0" tint="-0.24994659260841701"/>
      </left>
      <right style="medium">
        <color indexed="64"/>
      </right>
      <top style="medium">
        <color auto="1"/>
      </top>
      <bottom style="thin">
        <color theme="0" tint="-0.24994659260841701"/>
      </bottom>
      <diagonal/>
    </border>
    <border>
      <left style="medium">
        <color indexed="8"/>
      </left>
      <right/>
      <top style="medium">
        <color auto="1"/>
      </top>
      <bottom/>
      <diagonal/>
    </border>
    <border>
      <left style="thin">
        <color theme="0" tint="-0.24994659260841701"/>
      </left>
      <right style="medium">
        <color auto="1"/>
      </right>
      <top style="medium">
        <color auto="1"/>
      </top>
      <bottom style="thin">
        <color theme="0" tint="-0.24994659260841701"/>
      </bottom>
      <diagonal/>
    </border>
    <border>
      <left style="medium">
        <color auto="1"/>
      </left>
      <right/>
      <top style="medium">
        <color auto="1"/>
      </top>
      <bottom/>
      <diagonal/>
    </border>
    <border>
      <left style="thin">
        <color theme="0" tint="-0.24994659260841701"/>
      </left>
      <right style="medium">
        <color auto="1"/>
      </right>
      <top style="medium">
        <color indexed="8"/>
      </top>
      <bottom style="thin">
        <color theme="0" tint="-0.24994659260841701"/>
      </bottom>
      <diagonal/>
    </border>
    <border>
      <left style="thick">
        <color indexed="64"/>
      </left>
      <right/>
      <top style="medium">
        <color indexed="8"/>
      </top>
      <bottom/>
      <diagonal/>
    </border>
    <border>
      <left style="thick">
        <color indexed="64"/>
      </left>
      <right/>
      <top/>
      <bottom style="medium">
        <color indexed="8"/>
      </bottom>
      <diagonal/>
    </border>
    <border>
      <left style="thin">
        <color theme="0" tint="-0.24994659260841701"/>
      </left>
      <right style="medium">
        <color indexed="8"/>
      </right>
      <top style="medium">
        <color indexed="8"/>
      </top>
      <bottom style="thin">
        <color theme="0" tint="-0.24994659260841701"/>
      </bottom>
      <diagonal/>
    </border>
    <border>
      <left style="medium">
        <color indexed="8"/>
      </left>
      <right/>
      <top style="medium">
        <color indexed="8"/>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theme="0" tint="-0.24994659260841701"/>
      </right>
      <top style="medium">
        <color rgb="FF000000"/>
      </top>
      <bottom/>
      <diagonal/>
    </border>
    <border>
      <left/>
      <right style="medium">
        <color rgb="FF000000"/>
      </right>
      <top style="thin">
        <color theme="0" tint="-0.24994659260841701"/>
      </top>
      <bottom/>
      <diagonal/>
    </border>
    <border>
      <left style="medium">
        <color rgb="FF000000"/>
      </left>
      <right/>
      <top/>
      <bottom style="dashDot">
        <color rgb="FF000000"/>
      </bottom>
      <diagonal/>
    </border>
    <border>
      <left/>
      <right/>
      <top/>
      <bottom style="dashDot">
        <color rgb="FF000000"/>
      </bottom>
      <diagonal/>
    </border>
    <border>
      <left style="medium">
        <color auto="1"/>
      </left>
      <right/>
      <top/>
      <bottom style="dashDot">
        <color rgb="FF000000"/>
      </bottom>
      <diagonal/>
    </border>
    <border>
      <left/>
      <right style="medium">
        <color auto="1"/>
      </right>
      <top/>
      <bottom style="dashDot">
        <color rgb="FF000000"/>
      </bottom>
      <diagonal/>
    </border>
    <border>
      <left/>
      <right style="medium">
        <color rgb="FF000000"/>
      </right>
      <top/>
      <bottom style="dashDot">
        <color rgb="FF000000"/>
      </bottom>
      <diagonal/>
    </border>
    <border>
      <left style="medium">
        <color rgb="FF000000"/>
      </left>
      <right/>
      <top style="dashDot">
        <color rgb="FF000000"/>
      </top>
      <bottom style="thin">
        <color theme="8" tint="0.39994506668294322"/>
      </bottom>
      <diagonal/>
    </border>
    <border>
      <left/>
      <right/>
      <top style="dashDot">
        <color rgb="FF000000"/>
      </top>
      <bottom style="thin">
        <color theme="8" tint="0.39994506668294322"/>
      </bottom>
      <diagonal/>
    </border>
    <border>
      <left/>
      <right style="medium">
        <color rgb="FF000000"/>
      </right>
      <top style="dashDot">
        <color rgb="FF000000"/>
      </top>
      <bottom style="thin">
        <color theme="8" tint="0.39994506668294322"/>
      </bottom>
      <diagonal/>
    </border>
    <border>
      <left style="medium">
        <color rgb="FF000000"/>
      </left>
      <right/>
      <top style="thin">
        <color theme="8" tint="0.39994506668294322"/>
      </top>
      <bottom/>
      <diagonal/>
    </border>
    <border>
      <left/>
      <right/>
      <top style="thin">
        <color theme="8" tint="0.39994506668294322"/>
      </top>
      <bottom/>
      <diagonal/>
    </border>
    <border>
      <left/>
      <right style="medium">
        <color rgb="FF000000"/>
      </right>
      <top style="thin">
        <color theme="8" tint="0.39994506668294322"/>
      </top>
      <bottom/>
      <diagonal/>
    </border>
    <border>
      <left/>
      <right style="medium">
        <color theme="1"/>
      </right>
      <top style="thin">
        <color theme="0" tint="-0.24994659260841701"/>
      </top>
      <bottom/>
      <diagonal/>
    </border>
    <border>
      <left/>
      <right style="medium">
        <color theme="1"/>
      </right>
      <top/>
      <bottom style="medium">
        <color rgb="FF000000"/>
      </bottom>
      <diagonal/>
    </border>
    <border>
      <left style="medium">
        <color auto="1"/>
      </left>
      <right/>
      <top/>
      <bottom style="medium">
        <color rgb="FF000000"/>
      </bottom>
      <diagonal/>
    </border>
    <border>
      <left/>
      <right/>
      <top/>
      <bottom style="dashDot">
        <color auto="1"/>
      </bottom>
      <diagonal/>
    </border>
    <border>
      <left style="medium">
        <color auto="1"/>
      </left>
      <right/>
      <top/>
      <bottom style="dashDot">
        <color auto="1"/>
      </bottom>
      <diagonal/>
    </border>
    <border>
      <left/>
      <right style="medium">
        <color auto="1"/>
      </right>
      <top/>
      <bottom style="dashDot">
        <color auto="1"/>
      </bottom>
      <diagonal/>
    </border>
    <border>
      <left/>
      <right style="medium">
        <color theme="1"/>
      </right>
      <top/>
      <bottom style="dashDot">
        <color auto="1"/>
      </bottom>
      <diagonal/>
    </border>
    <border>
      <left style="medium">
        <color indexed="8"/>
      </left>
      <right/>
      <top/>
      <bottom style="dashDot">
        <color auto="1"/>
      </bottom>
      <diagonal/>
    </border>
    <border>
      <left style="medium">
        <color rgb="FF000000"/>
      </left>
      <right/>
      <top style="dashDot">
        <color auto="1"/>
      </top>
      <bottom style="thin">
        <color theme="8" tint="0.39994506668294322"/>
      </bottom>
      <diagonal/>
    </border>
    <border>
      <left/>
      <right/>
      <top style="dashDot">
        <color auto="1"/>
      </top>
      <bottom style="thin">
        <color theme="8" tint="0.39994506668294322"/>
      </bottom>
      <diagonal/>
    </border>
    <border>
      <left/>
      <right style="medium">
        <color rgb="FF000000"/>
      </right>
      <top style="dashDot">
        <color auto="1"/>
      </top>
      <bottom style="thin">
        <color theme="8" tint="0.39994506668294322"/>
      </bottom>
      <diagonal/>
    </border>
    <border>
      <left style="thin">
        <color theme="0" tint="-0.24994659260841701"/>
      </left>
      <right/>
      <top style="medium">
        <color indexed="8"/>
      </top>
      <bottom style="thin">
        <color theme="0" tint="-0.24994659260841701"/>
      </bottom>
      <diagonal/>
    </border>
    <border>
      <left/>
      <right/>
      <top style="medium">
        <color indexed="8"/>
      </top>
      <bottom/>
      <diagonal/>
    </border>
    <border>
      <left/>
      <right style="medium">
        <color indexed="64"/>
      </right>
      <top/>
      <bottom style="medium">
        <color indexed="8"/>
      </bottom>
      <diagonal/>
    </border>
    <border>
      <left style="thick">
        <color indexed="8"/>
      </left>
      <right/>
      <top style="medium">
        <color indexed="8"/>
      </top>
      <bottom/>
      <diagonal/>
    </border>
    <border>
      <left style="medium">
        <color theme="0" tint="-0.24994659260841701"/>
      </left>
      <right style="medium">
        <color indexed="8"/>
      </right>
      <top style="medium">
        <color indexed="8"/>
      </top>
      <bottom style="thin">
        <color theme="0" tint="-0.24994659260841701"/>
      </bottom>
      <diagonal/>
    </border>
    <border>
      <left/>
      <right style="medium">
        <color indexed="8"/>
      </right>
      <top/>
      <bottom style="medium">
        <color indexed="8"/>
      </bottom>
      <diagonal/>
    </border>
    <border>
      <left/>
      <right/>
      <top style="thin">
        <color indexed="64"/>
      </top>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auto="1"/>
      </top>
      <bottom/>
      <diagonal/>
    </border>
    <border>
      <left style="medium">
        <color indexed="8"/>
      </left>
      <right style="thin">
        <color theme="0" tint="-0.24994659260841701"/>
      </right>
      <top style="medium">
        <color indexed="8"/>
      </top>
      <bottom/>
      <diagonal/>
    </border>
    <border>
      <left/>
      <right style="thick">
        <color indexed="8"/>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ck">
        <color indexed="8"/>
      </left>
      <right/>
      <top/>
      <bottom style="medium">
        <color indexed="8"/>
      </bottom>
      <diagonal/>
    </border>
    <border>
      <left style="thin">
        <color indexed="64"/>
      </left>
      <right/>
      <top style="thin">
        <color indexed="64"/>
      </top>
      <bottom style="thin">
        <color indexed="64"/>
      </bottom>
      <diagonal/>
    </border>
    <border>
      <left/>
      <right style="medium">
        <color indexed="8"/>
      </right>
      <top/>
      <bottom style="dashDotDot">
        <color indexed="8"/>
      </bottom>
      <diagonal/>
    </border>
    <border>
      <left style="medium">
        <color indexed="8"/>
      </left>
      <right/>
      <top style="dashDotDot">
        <color indexed="8"/>
      </top>
      <bottom/>
      <diagonal/>
    </border>
    <border>
      <left/>
      <right style="medium">
        <color indexed="8"/>
      </right>
      <top style="dashDotDot">
        <color indexed="8"/>
      </top>
      <bottom/>
      <diagonal/>
    </border>
  </borders>
  <cellStyleXfs count="3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3" fillId="0" borderId="0"/>
    <xf numFmtId="0" fontId="5" fillId="0" borderId="0"/>
    <xf numFmtId="0" fontId="9" fillId="0" borderId="0"/>
    <xf numFmtId="0" fontId="5" fillId="0" borderId="0"/>
    <xf numFmtId="0" fontId="9" fillId="0" borderId="0"/>
    <xf numFmtId="0" fontId="10" fillId="0" borderId="0"/>
    <xf numFmtId="0" fontId="3" fillId="0" borderId="0"/>
    <xf numFmtId="0" fontId="5" fillId="0" borderId="0"/>
    <xf numFmtId="0" fontId="3" fillId="0" borderId="0"/>
    <xf numFmtId="0" fontId="11" fillId="0" borderId="0"/>
    <xf numFmtId="0" fontId="2" fillId="0" borderId="0"/>
    <xf numFmtId="0" fontId="4" fillId="0" borderId="0"/>
    <xf numFmtId="0" fontId="12" fillId="0" borderId="0"/>
    <xf numFmtId="0" fontId="2" fillId="0" borderId="0"/>
    <xf numFmtId="0" fontId="2" fillId="0" borderId="0"/>
    <xf numFmtId="0" fontId="9" fillId="0" borderId="0"/>
    <xf numFmtId="0" fontId="2" fillId="0" borderId="0"/>
    <xf numFmtId="0" fontId="11" fillId="0" borderId="0"/>
    <xf numFmtId="0" fontId="2" fillId="0" borderId="0"/>
    <xf numFmtId="0" fontId="2" fillId="0" borderId="0"/>
    <xf numFmtId="0" fontId="2" fillId="0" borderId="0"/>
    <xf numFmtId="0" fontId="13" fillId="0" borderId="0"/>
    <xf numFmtId="0" fontId="2" fillId="0" borderId="0"/>
    <xf numFmtId="0" fontId="4" fillId="0" borderId="0"/>
    <xf numFmtId="0" fontId="11" fillId="0" borderId="0"/>
    <xf numFmtId="0" fontId="1" fillId="0" borderId="0"/>
    <xf numFmtId="49" fontId="6" fillId="2" borderId="0" applyBorder="0" applyProtection="0">
      <alignment horizontal="left" vertical="top" wrapText="1"/>
    </xf>
    <xf numFmtId="0" fontId="3" fillId="0" borderId="0"/>
    <xf numFmtId="0" fontId="20" fillId="0" borderId="0" applyNumberFormat="0" applyFill="0" applyBorder="0" applyAlignment="0" applyProtection="0"/>
    <xf numFmtId="0" fontId="11" fillId="0" borderId="0"/>
    <xf numFmtId="0" fontId="11" fillId="0" borderId="0"/>
  </cellStyleXfs>
  <cellXfs count="1057">
    <xf numFmtId="0" fontId="0" fillId="0" borderId="0" xfId="0"/>
    <xf numFmtId="0" fontId="0" fillId="0" borderId="0" xfId="0"/>
    <xf numFmtId="0" fontId="0" fillId="0" borderId="0" xfId="0" applyAlignment="1">
      <alignment horizontal="right"/>
    </xf>
    <xf numFmtId="0" fontId="0" fillId="3" borderId="0" xfId="0" applyFill="1"/>
    <xf numFmtId="0" fontId="0" fillId="0" borderId="1" xfId="0" applyBorder="1" applyAlignment="1">
      <alignment horizontal="center"/>
    </xf>
    <xf numFmtId="0" fontId="0" fillId="3" borderId="1" xfId="0" applyFill="1" applyBorder="1" applyAlignment="1">
      <alignment horizontal="center"/>
    </xf>
    <xf numFmtId="164" fontId="17" fillId="0" borderId="0" xfId="5" applyNumberFormat="1" applyFont="1" applyFill="1" applyBorder="1" applyAlignment="1">
      <alignment horizontal="left"/>
    </xf>
    <xf numFmtId="20" fontId="18" fillId="0" borderId="0" xfId="5" applyNumberFormat="1" applyFont="1" applyFill="1" applyBorder="1" applyAlignment="1">
      <alignment horizontal="left"/>
    </xf>
    <xf numFmtId="0" fontId="19" fillId="0" borderId="0" xfId="21" applyFont="1" applyFill="1"/>
    <xf numFmtId="0" fontId="19" fillId="0" borderId="0" xfId="21" applyFont="1" applyFill="1" applyAlignment="1">
      <alignment horizontal="center"/>
    </xf>
    <xf numFmtId="0" fontId="19" fillId="0" borderId="0" xfId="21" applyFont="1" applyAlignment="1"/>
    <xf numFmtId="0" fontId="20" fillId="0" borderId="0" xfId="33" applyFill="1" applyAlignment="1">
      <alignment vertical="top"/>
    </xf>
    <xf numFmtId="165" fontId="19" fillId="0" borderId="0" xfId="21" applyNumberFormat="1" applyFont="1" applyAlignment="1">
      <alignment horizontal="right"/>
    </xf>
    <xf numFmtId="0" fontId="19" fillId="0" borderId="0" xfId="21" applyFont="1"/>
    <xf numFmtId="164" fontId="21" fillId="0" borderId="0" xfId="21" applyNumberFormat="1" applyFont="1" applyFill="1" applyAlignment="1">
      <alignment horizontal="left"/>
    </xf>
    <xf numFmtId="20" fontId="21" fillId="0" borderId="0" xfId="21" applyNumberFormat="1" applyFont="1" applyFill="1" applyAlignment="1">
      <alignment horizontal="left"/>
    </xf>
    <xf numFmtId="0" fontId="19" fillId="0" borderId="0" xfId="21" applyFont="1" applyFill="1" applyAlignment="1"/>
    <xf numFmtId="165" fontId="19" fillId="0" borderId="0" xfId="21" applyNumberFormat="1" applyFont="1" applyFill="1" applyAlignment="1">
      <alignment horizontal="right"/>
    </xf>
    <xf numFmtId="164" fontId="15" fillId="4" borderId="2" xfId="21" applyNumberFormat="1" applyFont="1" applyFill="1" applyBorder="1" applyAlignment="1">
      <alignment horizontal="left" wrapText="1"/>
    </xf>
    <xf numFmtId="20" fontId="15" fillId="4" borderId="2" xfId="21" applyNumberFormat="1" applyFont="1" applyFill="1" applyBorder="1" applyAlignment="1">
      <alignment horizontal="left"/>
    </xf>
    <xf numFmtId="0" fontId="15" fillId="4" borderId="2" xfId="21" applyFont="1" applyFill="1" applyBorder="1"/>
    <xf numFmtId="0" fontId="15" fillId="4" borderId="2" xfId="21" applyFont="1" applyFill="1" applyBorder="1" applyAlignment="1">
      <alignment horizontal="left"/>
    </xf>
    <xf numFmtId="0" fontId="21" fillId="4" borderId="2" xfId="21" applyFont="1" applyFill="1" applyBorder="1" applyAlignment="1"/>
    <xf numFmtId="0" fontId="15" fillId="4" borderId="2" xfId="21" applyFont="1" applyFill="1" applyBorder="1" applyAlignment="1"/>
    <xf numFmtId="165" fontId="15" fillId="4" borderId="2" xfId="21" applyNumberFormat="1" applyFont="1" applyFill="1" applyBorder="1" applyAlignment="1"/>
    <xf numFmtId="0" fontId="19" fillId="0" borderId="0" xfId="21" applyFont="1" applyFill="1" applyAlignment="1">
      <alignment vertical="center"/>
    </xf>
    <xf numFmtId="0" fontId="1" fillId="0" borderId="0" xfId="21" applyFont="1" applyFill="1" applyBorder="1" applyAlignment="1">
      <alignment vertical="center"/>
    </xf>
    <xf numFmtId="0" fontId="1" fillId="0" borderId="0" xfId="21" applyFont="1" applyFill="1" applyBorder="1" applyAlignment="1"/>
    <xf numFmtId="0" fontId="15" fillId="0" borderId="0" xfId="0" applyFont="1" applyFill="1"/>
    <xf numFmtId="0" fontId="0" fillId="0" borderId="0" xfId="0" applyFill="1"/>
    <xf numFmtId="0" fontId="0" fillId="0" borderId="0" xfId="0" applyFill="1" applyAlignment="1"/>
    <xf numFmtId="0" fontId="0" fillId="0" borderId="0" xfId="0" applyFont="1" applyFill="1"/>
    <xf numFmtId="0" fontId="0" fillId="5" borderId="0" xfId="0" applyFont="1" applyFill="1"/>
    <xf numFmtId="0" fontId="20" fillId="0" borderId="0" xfId="33" applyFill="1" applyAlignment="1">
      <alignment horizontal="right"/>
    </xf>
    <xf numFmtId="0" fontId="14" fillId="0" borderId="0" xfId="0" applyFont="1"/>
    <xf numFmtId="0" fontId="0" fillId="0" borderId="0" xfId="0" applyAlignment="1"/>
    <xf numFmtId="164" fontId="21" fillId="0" borderId="0" xfId="21" applyNumberFormat="1" applyFont="1" applyAlignment="1">
      <alignment horizontal="left"/>
    </xf>
    <xf numFmtId="20" fontId="21" fillId="0" borderId="0" xfId="21" applyNumberFormat="1" applyFont="1" applyAlignment="1">
      <alignment horizontal="left"/>
    </xf>
    <xf numFmtId="0" fontId="19" fillId="0" borderId="0" xfId="21" applyFont="1" applyAlignment="1">
      <alignment horizontal="center"/>
    </xf>
    <xf numFmtId="0" fontId="1" fillId="0" borderId="0" xfId="14" applyFont="1" applyFill="1" applyBorder="1" applyAlignment="1"/>
    <xf numFmtId="0" fontId="1" fillId="0" borderId="0" xfId="22" applyFont="1" applyBorder="1" applyAlignment="1"/>
    <xf numFmtId="0" fontId="1" fillId="0" borderId="0" xfId="22" applyFont="1" applyAlignment="1"/>
    <xf numFmtId="0" fontId="15" fillId="0" borderId="0" xfId="22" applyFont="1" applyBorder="1" applyAlignment="1"/>
    <xf numFmtId="0" fontId="1" fillId="0" borderId="0" xfId="22" applyFont="1" applyFill="1" applyBorder="1" applyAlignment="1"/>
    <xf numFmtId="0" fontId="0" fillId="0" borderId="0" xfId="0" applyFont="1"/>
    <xf numFmtId="0" fontId="15" fillId="4" borderId="0" xfId="0" applyFont="1" applyFill="1"/>
    <xf numFmtId="0" fontId="15" fillId="3" borderId="0" xfId="8" applyFont="1" applyFill="1" applyAlignment="1"/>
    <xf numFmtId="0" fontId="1" fillId="4" borderId="0" xfId="8" applyFont="1" applyFill="1" applyAlignment="1"/>
    <xf numFmtId="0" fontId="1" fillId="10" borderId="0" xfId="8" applyFont="1" applyFill="1" applyAlignment="1"/>
    <xf numFmtId="0" fontId="1" fillId="0" borderId="0" xfId="8" applyFont="1" applyFill="1" applyAlignment="1"/>
    <xf numFmtId="0" fontId="1" fillId="4" borderId="0" xfId="8" applyFont="1" applyFill="1" applyAlignment="1">
      <alignment horizontal="center"/>
    </xf>
    <xf numFmtId="0" fontId="1" fillId="0" borderId="0" xfId="8" applyFont="1" applyFill="1" applyAlignment="1">
      <alignment horizontal="center"/>
    </xf>
    <xf numFmtId="0" fontId="17" fillId="0" borderId="0" xfId="25" applyFont="1" applyBorder="1" applyAlignment="1"/>
    <xf numFmtId="0" fontId="1" fillId="4" borderId="0" xfId="25" applyFont="1" applyFill="1" applyAlignment="1"/>
    <xf numFmtId="0" fontId="15" fillId="4" borderId="0" xfId="25" applyFont="1" applyFill="1" applyAlignment="1"/>
    <xf numFmtId="0" fontId="1" fillId="0" borderId="0" xfId="25" applyFont="1" applyAlignment="1"/>
    <xf numFmtId="0" fontId="14" fillId="4" borderId="0" xfId="8" applyFont="1" applyFill="1" applyAlignment="1">
      <alignment horizontal="right"/>
    </xf>
    <xf numFmtId="0" fontId="15" fillId="0" borderId="0" xfId="8" applyFont="1" applyFill="1" applyAlignment="1"/>
    <xf numFmtId="0" fontId="30" fillId="0" borderId="0" xfId="14" applyNumberFormat="1" applyFont="1" applyFill="1" applyBorder="1" applyAlignment="1"/>
    <xf numFmtId="0" fontId="15" fillId="0" borderId="0" xfId="25" applyFont="1" applyAlignment="1"/>
    <xf numFmtId="0" fontId="1" fillId="0" borderId="0" xfId="25" applyFont="1" applyFill="1" applyAlignment="1"/>
    <xf numFmtId="0" fontId="24" fillId="9" borderId="0" xfId="8" applyFont="1" applyFill="1" applyAlignment="1">
      <alignment horizontal="center"/>
    </xf>
    <xf numFmtId="0" fontId="0" fillId="11" borderId="0" xfId="8" applyFont="1" applyFill="1" applyAlignment="1"/>
    <xf numFmtId="0" fontId="1" fillId="11" borderId="0" xfId="8" applyFont="1" applyFill="1" applyAlignment="1"/>
    <xf numFmtId="0" fontId="33" fillId="0" borderId="2" xfId="8" applyFont="1" applyBorder="1" applyAlignment="1">
      <alignment vertical="top" wrapText="1"/>
    </xf>
    <xf numFmtId="0" fontId="1" fillId="0" borderId="2" xfId="6" applyFont="1" applyFill="1" applyBorder="1" applyAlignment="1">
      <alignment wrapText="1"/>
    </xf>
    <xf numFmtId="0" fontId="1" fillId="3" borderId="2" xfId="6" applyFont="1" applyFill="1" applyBorder="1" applyAlignment="1">
      <alignment wrapText="1"/>
    </xf>
    <xf numFmtId="0" fontId="1" fillId="6" borderId="2" xfId="6" applyFont="1" applyFill="1" applyBorder="1" applyAlignment="1">
      <alignment wrapText="1"/>
    </xf>
    <xf numFmtId="0" fontId="1" fillId="5" borderId="2" xfId="2" applyNumberFormat="1" applyFont="1" applyFill="1" applyBorder="1" applyAlignment="1" applyProtection="1">
      <alignment horizontal="center" vertical="top" textRotation="90"/>
    </xf>
    <xf numFmtId="0" fontId="1" fillId="5" borderId="2" xfId="2" applyNumberFormat="1" applyFont="1" applyFill="1" applyBorder="1" applyAlignment="1" applyProtection="1">
      <alignment textRotation="90"/>
    </xf>
    <xf numFmtId="0" fontId="34" fillId="5" borderId="27" xfId="2" applyNumberFormat="1" applyFont="1" applyFill="1" applyBorder="1" applyAlignment="1" applyProtection="1"/>
    <xf numFmtId="0" fontId="15" fillId="4" borderId="2" xfId="8" applyFont="1" applyFill="1" applyBorder="1" applyAlignment="1">
      <alignment horizontal="right"/>
    </xf>
    <xf numFmtId="0" fontId="0" fillId="0" borderId="2" xfId="8" applyFont="1" applyBorder="1" applyAlignment="1">
      <alignment horizontal="center"/>
    </xf>
    <xf numFmtId="0" fontId="15" fillId="0" borderId="2" xfId="8" applyFont="1" applyFill="1" applyBorder="1" applyAlignment="1">
      <alignment horizontal="center"/>
    </xf>
    <xf numFmtId="0" fontId="25" fillId="0" borderId="2" xfId="17" applyFont="1" applyFill="1" applyBorder="1" applyAlignment="1">
      <alignment horizontal="center"/>
    </xf>
    <xf numFmtId="0" fontId="35" fillId="0" borderId="2" xfId="17" applyFont="1" applyFill="1" applyBorder="1" applyAlignment="1"/>
    <xf numFmtId="0" fontId="1" fillId="3" borderId="2" xfId="6" applyFont="1" applyFill="1" applyBorder="1" applyAlignment="1">
      <alignment horizontal="center"/>
    </xf>
    <xf numFmtId="0" fontId="1" fillId="0" borderId="2" xfId="6" applyFont="1" applyFill="1" applyBorder="1" applyAlignment="1">
      <alignment horizontal="center"/>
    </xf>
    <xf numFmtId="0" fontId="1" fillId="6" borderId="2" xfId="6" applyFont="1" applyFill="1" applyBorder="1" applyAlignment="1">
      <alignment horizontal="center"/>
    </xf>
    <xf numFmtId="0" fontId="31" fillId="5" borderId="2" xfId="25" applyFont="1" applyFill="1" applyBorder="1" applyAlignment="1">
      <alignment horizontal="center"/>
    </xf>
    <xf numFmtId="0" fontId="20" fillId="5" borderId="2" xfId="33" applyFont="1" applyFill="1" applyBorder="1" applyAlignment="1">
      <alignment horizontal="center"/>
    </xf>
    <xf numFmtId="0" fontId="1" fillId="5" borderId="29" xfId="2" applyNumberFormat="1" applyFont="1" applyFill="1" applyBorder="1" applyAlignment="1">
      <alignment horizontal="center"/>
    </xf>
    <xf numFmtId="0" fontId="37" fillId="0" borderId="2" xfId="8" applyFont="1" applyBorder="1" applyAlignment="1"/>
    <xf numFmtId="0" fontId="38" fillId="0" borderId="2" xfId="8" applyFont="1" applyBorder="1" applyAlignment="1">
      <alignment horizontal="center"/>
    </xf>
    <xf numFmtId="0" fontId="39" fillId="0" borderId="2" xfId="8" applyFont="1" applyBorder="1" applyAlignment="1">
      <alignment horizontal="center"/>
    </xf>
    <xf numFmtId="0" fontId="40" fillId="0" borderId="2" xfId="8" applyFont="1" applyBorder="1" applyAlignment="1">
      <alignment horizontal="center"/>
    </xf>
    <xf numFmtId="0" fontId="15" fillId="0" borderId="2" xfId="8" applyFont="1" applyBorder="1" applyAlignment="1">
      <alignment horizontal="center"/>
    </xf>
    <xf numFmtId="0" fontId="41" fillId="0" borderId="2" xfId="17" applyFont="1" applyFill="1" applyBorder="1" applyAlignment="1">
      <alignment horizontal="center"/>
    </xf>
    <xf numFmtId="0" fontId="38" fillId="0" borderId="2" xfId="17" applyFont="1" applyFill="1" applyBorder="1" applyAlignment="1">
      <alignment horizontal="center"/>
    </xf>
    <xf numFmtId="0" fontId="40" fillId="5" borderId="2" xfId="17" applyFont="1" applyFill="1" applyBorder="1" applyAlignment="1">
      <alignment horizontal="center"/>
    </xf>
    <xf numFmtId="0" fontId="42" fillId="0" borderId="2" xfId="8" applyFont="1" applyFill="1" applyBorder="1" applyAlignment="1">
      <alignment horizontal="center"/>
    </xf>
    <xf numFmtId="0" fontId="17" fillId="0" borderId="2" xfId="8" applyFont="1" applyFill="1" applyBorder="1" applyAlignment="1">
      <alignment horizontal="center"/>
    </xf>
    <xf numFmtId="0" fontId="15" fillId="4" borderId="2" xfId="8" applyFont="1" applyFill="1" applyBorder="1" applyAlignment="1">
      <alignment horizontal="center"/>
    </xf>
    <xf numFmtId="0" fontId="37" fillId="0" borderId="2" xfId="6" applyFont="1" applyFill="1" applyBorder="1" applyAlignment="1">
      <alignment horizontal="center"/>
    </xf>
    <xf numFmtId="0" fontId="37" fillId="0" borderId="2" xfId="12" applyFont="1" applyFill="1" applyBorder="1" applyAlignment="1">
      <alignment horizontal="center"/>
    </xf>
    <xf numFmtId="0" fontId="20" fillId="5" borderId="2" xfId="33" applyFill="1" applyBorder="1" applyAlignment="1">
      <alignment horizontal="center"/>
    </xf>
    <xf numFmtId="0" fontId="43" fillId="5" borderId="2" xfId="25" applyFont="1" applyFill="1" applyBorder="1" applyAlignment="1">
      <alignment horizontal="center"/>
    </xf>
    <xf numFmtId="0" fontId="15" fillId="5" borderId="30" xfId="25" applyFont="1" applyFill="1" applyBorder="1" applyAlignment="1">
      <alignment horizontal="center"/>
    </xf>
    <xf numFmtId="0" fontId="20" fillId="5" borderId="28" xfId="33" applyFill="1" applyBorder="1" applyAlignment="1">
      <alignment horizontal="center"/>
    </xf>
    <xf numFmtId="0" fontId="37" fillId="0" borderId="2" xfId="8" applyFont="1" applyFill="1" applyBorder="1" applyAlignment="1"/>
    <xf numFmtId="0" fontId="38" fillId="0" borderId="2" xfId="8" applyFont="1" applyFill="1" applyBorder="1" applyAlignment="1"/>
    <xf numFmtId="0" fontId="39" fillId="0" borderId="2" xfId="8" applyFont="1" applyFill="1" applyBorder="1" applyAlignment="1"/>
    <xf numFmtId="0" fontId="40" fillId="0" borderId="2" xfId="8" applyFont="1" applyFill="1" applyBorder="1" applyAlignment="1"/>
    <xf numFmtId="0" fontId="37" fillId="0" borderId="2" xfId="8" applyFont="1" applyFill="1" applyBorder="1" applyAlignment="1">
      <alignment horizontal="right"/>
    </xf>
    <xf numFmtId="0" fontId="0" fillId="0" borderId="2" xfId="14" applyFont="1" applyFill="1" applyBorder="1" applyAlignment="1"/>
    <xf numFmtId="0" fontId="41" fillId="0" borderId="2" xfId="16" applyFont="1" applyFill="1" applyBorder="1" applyAlignment="1">
      <alignment horizontal="center"/>
    </xf>
    <xf numFmtId="0" fontId="38" fillId="0" borderId="2" xfId="16" applyFont="1" applyFill="1" applyBorder="1" applyAlignment="1">
      <alignment horizontal="center"/>
    </xf>
    <xf numFmtId="0" fontId="1" fillId="5" borderId="2" xfId="16" applyFont="1" applyFill="1" applyBorder="1" applyAlignment="1">
      <alignment horizontal="center"/>
    </xf>
    <xf numFmtId="0" fontId="42" fillId="0" borderId="2" xfId="16" applyFont="1" applyFill="1" applyBorder="1" applyAlignment="1">
      <alignment horizontal="center"/>
    </xf>
    <xf numFmtId="0" fontId="17" fillId="0" borderId="2" xfId="16" applyFont="1" applyFill="1" applyBorder="1" applyAlignment="1">
      <alignment horizontal="center"/>
    </xf>
    <xf numFmtId="0" fontId="15" fillId="4" borderId="2" xfId="8" applyNumberFormat="1" applyFont="1" applyFill="1" applyBorder="1" applyAlignment="1">
      <alignment horizontal="center"/>
    </xf>
    <xf numFmtId="0" fontId="37" fillId="0" borderId="2" xfId="16" applyFont="1" applyFill="1" applyBorder="1" applyAlignment="1">
      <alignment horizontal="center"/>
    </xf>
    <xf numFmtId="0" fontId="37" fillId="6" borderId="2" xfId="16" applyFont="1" applyFill="1" applyBorder="1" applyAlignment="1">
      <alignment horizontal="center"/>
    </xf>
    <xf numFmtId="0" fontId="1" fillId="0" borderId="2" xfId="25" applyFont="1" applyFill="1" applyBorder="1" applyAlignment="1">
      <alignment horizontal="center"/>
    </xf>
    <xf numFmtId="0" fontId="44" fillId="0" borderId="2" xfId="8" applyFont="1" applyFill="1" applyBorder="1" applyAlignment="1">
      <alignment horizontal="center"/>
    </xf>
    <xf numFmtId="0" fontId="1" fillId="0" borderId="27" xfId="8" applyFont="1" applyFill="1" applyBorder="1" applyAlignment="1">
      <alignment horizontal="center"/>
    </xf>
    <xf numFmtId="168" fontId="41" fillId="0" borderId="28" xfId="8" applyNumberFormat="1" applyFont="1" applyFill="1" applyBorder="1" applyAlignment="1">
      <alignment horizontal="center"/>
    </xf>
    <xf numFmtId="167" fontId="1" fillId="0" borderId="0" xfId="8" applyNumberFormat="1" applyFont="1" applyFill="1" applyBorder="1" applyAlignment="1">
      <alignment horizontal="center"/>
    </xf>
    <xf numFmtId="167" fontId="1" fillId="0" borderId="0" xfId="8" applyNumberFormat="1" applyFont="1" applyFill="1" applyAlignment="1">
      <alignment horizontal="center"/>
    </xf>
    <xf numFmtId="0" fontId="45" fillId="0" borderId="0" xfId="8" applyNumberFormat="1" applyFont="1" applyFill="1" applyAlignment="1"/>
    <xf numFmtId="0" fontId="44" fillId="0" borderId="0" xfId="8" applyNumberFormat="1" applyFont="1" applyFill="1" applyAlignment="1"/>
    <xf numFmtId="0" fontId="0" fillId="0" borderId="2" xfId="8" applyFont="1" applyFill="1" applyBorder="1" applyAlignment="1"/>
    <xf numFmtId="0" fontId="1" fillId="0" borderId="0" xfId="8" applyFont="1" applyFill="1" applyBorder="1" applyAlignment="1"/>
    <xf numFmtId="0" fontId="1" fillId="0" borderId="2" xfId="8" applyFont="1" applyFill="1" applyBorder="1" applyAlignment="1"/>
    <xf numFmtId="0" fontId="15" fillId="4" borderId="4" xfId="8" applyFont="1" applyFill="1" applyBorder="1" applyAlignment="1">
      <alignment horizontal="right"/>
    </xf>
    <xf numFmtId="0" fontId="41" fillId="0" borderId="4" xfId="16" applyFont="1" applyFill="1" applyBorder="1" applyAlignment="1">
      <alignment horizontal="center"/>
    </xf>
    <xf numFmtId="0" fontId="38" fillId="0" borderId="4" xfId="16" applyFont="1" applyFill="1" applyBorder="1" applyAlignment="1">
      <alignment horizontal="center"/>
    </xf>
    <xf numFmtId="0" fontId="42" fillId="0" borderId="4" xfId="16" applyFont="1" applyFill="1" applyBorder="1" applyAlignment="1">
      <alignment horizontal="center"/>
    </xf>
    <xf numFmtId="0" fontId="17" fillId="0" borderId="4" xfId="16" applyFont="1" applyFill="1" applyBorder="1" applyAlignment="1">
      <alignment horizontal="center"/>
    </xf>
    <xf numFmtId="0" fontId="37" fillId="0" borderId="4" xfId="16" applyFont="1" applyFill="1" applyBorder="1" applyAlignment="1">
      <alignment horizontal="center"/>
    </xf>
    <xf numFmtId="0" fontId="37" fillId="6" borderId="4" xfId="16" applyFont="1" applyFill="1" applyBorder="1" applyAlignment="1">
      <alignment horizontal="center"/>
    </xf>
    <xf numFmtId="0" fontId="1" fillId="0" borderId="2" xfId="14" applyFont="1" applyFill="1" applyBorder="1" applyAlignment="1"/>
    <xf numFmtId="0" fontId="15" fillId="4" borderId="3" xfId="8" applyFont="1" applyFill="1" applyBorder="1" applyAlignment="1">
      <alignment horizontal="right"/>
    </xf>
    <xf numFmtId="0" fontId="41" fillId="0" borderId="3" xfId="16" applyFont="1" applyFill="1" applyBorder="1" applyAlignment="1">
      <alignment horizontal="center"/>
    </xf>
    <xf numFmtId="0" fontId="38" fillId="0" borderId="3" xfId="16" applyFont="1" applyFill="1" applyBorder="1" applyAlignment="1">
      <alignment horizontal="center"/>
    </xf>
    <xf numFmtId="0" fontId="42" fillId="0" borderId="3" xfId="16" applyFont="1" applyFill="1" applyBorder="1" applyAlignment="1">
      <alignment horizontal="center"/>
    </xf>
    <xf numFmtId="0" fontId="37" fillId="0" borderId="3" xfId="16" applyFont="1" applyFill="1" applyBorder="1" applyAlignment="1">
      <alignment horizontal="center"/>
    </xf>
    <xf numFmtId="0" fontId="37" fillId="6" borderId="3" xfId="16" applyFont="1" applyFill="1" applyBorder="1" applyAlignment="1">
      <alignment horizontal="center"/>
    </xf>
    <xf numFmtId="0" fontId="0" fillId="5" borderId="2" xfId="16" applyFont="1" applyFill="1" applyBorder="1" applyAlignment="1">
      <alignment horizontal="center"/>
    </xf>
    <xf numFmtId="0" fontId="17" fillId="4" borderId="0" xfId="8" applyFont="1" applyFill="1" applyAlignment="1"/>
    <xf numFmtId="0" fontId="15" fillId="4" borderId="0" xfId="8" applyFont="1" applyFill="1" applyAlignment="1"/>
    <xf numFmtId="0" fontId="42" fillId="4" borderId="0" xfId="8" applyFont="1" applyFill="1" applyAlignment="1"/>
    <xf numFmtId="0" fontId="38" fillId="4" borderId="0" xfId="8" applyFont="1" applyFill="1" applyAlignment="1"/>
    <xf numFmtId="0" fontId="41" fillId="4" borderId="0" xfId="8" applyFont="1" applyFill="1" applyAlignment="1"/>
    <xf numFmtId="0" fontId="40" fillId="4" borderId="0" xfId="8" applyFont="1" applyFill="1" applyAlignment="1"/>
    <xf numFmtId="0" fontId="1" fillId="4" borderId="0" xfId="8" applyFont="1" applyFill="1" applyAlignment="1">
      <alignment horizontal="right"/>
    </xf>
    <xf numFmtId="0" fontId="15" fillId="4" borderId="0" xfId="8" applyFont="1" applyFill="1" applyAlignment="1">
      <alignment horizontal="center"/>
    </xf>
    <xf numFmtId="167" fontId="1" fillId="4" borderId="0" xfId="8" applyNumberFormat="1" applyFont="1" applyFill="1" applyAlignment="1">
      <alignment horizontal="center"/>
    </xf>
    <xf numFmtId="167" fontId="32" fillId="4" borderId="31" xfId="8" applyNumberFormat="1" applyFont="1" applyFill="1" applyBorder="1" applyAlignment="1">
      <alignment horizontal="center"/>
    </xf>
    <xf numFmtId="167" fontId="1" fillId="4" borderId="0" xfId="8" applyNumberFormat="1" applyFont="1" applyFill="1" applyAlignment="1"/>
    <xf numFmtId="1" fontId="1" fillId="4" borderId="0" xfId="8" applyNumberFormat="1" applyFont="1" applyFill="1" applyAlignment="1">
      <alignment horizontal="center"/>
    </xf>
    <xf numFmtId="1" fontId="32" fillId="4" borderId="0" xfId="8" applyNumberFormat="1" applyFont="1" applyFill="1" applyBorder="1" applyAlignment="1">
      <alignment horizontal="center"/>
    </xf>
    <xf numFmtId="0" fontId="15" fillId="0" borderId="0" xfId="8" applyFont="1" applyFill="1" applyAlignment="1">
      <alignment horizontal="center"/>
    </xf>
    <xf numFmtId="0" fontId="1" fillId="4" borderId="32" xfId="8" applyFont="1" applyFill="1" applyBorder="1" applyAlignment="1">
      <alignment horizontal="center"/>
    </xf>
    <xf numFmtId="0" fontId="0" fillId="4" borderId="32" xfId="8" applyFont="1" applyFill="1" applyBorder="1" applyAlignment="1">
      <alignment horizontal="center"/>
    </xf>
    <xf numFmtId="0" fontId="15" fillId="0" borderId="0" xfId="22" applyFont="1"/>
    <xf numFmtId="0" fontId="1" fillId="0" borderId="0" xfId="22" applyFont="1"/>
    <xf numFmtId="0" fontId="30" fillId="0" borderId="0" xfId="14" applyFont="1" applyAlignment="1">
      <alignment horizontal="right"/>
    </xf>
    <xf numFmtId="0" fontId="1" fillId="0" borderId="0" xfId="14" applyFont="1"/>
    <xf numFmtId="0" fontId="15" fillId="5" borderId="34" xfId="14" applyFont="1" applyFill="1" applyBorder="1" applyAlignment="1">
      <alignment horizontal="center"/>
    </xf>
    <xf numFmtId="0" fontId="15" fillId="0" borderId="34" xfId="14" applyFont="1" applyBorder="1" applyAlignment="1">
      <alignment horizontal="center"/>
    </xf>
    <xf numFmtId="0" fontId="15" fillId="0" borderId="34" xfId="22" applyFont="1" applyBorder="1" applyAlignment="1">
      <alignment horizontal="center"/>
    </xf>
    <xf numFmtId="0" fontId="15" fillId="0" borderId="35" xfId="22" applyFont="1" applyFill="1" applyBorder="1" applyAlignment="1">
      <alignment horizontal="center"/>
    </xf>
    <xf numFmtId="0" fontId="15" fillId="0" borderId="35" xfId="22" applyFont="1" applyBorder="1" applyAlignment="1">
      <alignment horizontal="center"/>
    </xf>
    <xf numFmtId="0" fontId="15" fillId="0" borderId="0" xfId="14" applyFont="1" applyFill="1" applyAlignment="1">
      <alignment horizontal="center"/>
    </xf>
    <xf numFmtId="0" fontId="1" fillId="12" borderId="35" xfId="22" applyFont="1" applyFill="1" applyBorder="1" applyAlignment="1">
      <alignment horizontal="center"/>
    </xf>
    <xf numFmtId="0" fontId="1" fillId="0" borderId="35" xfId="22" applyFont="1" applyFill="1" applyBorder="1" applyAlignment="1">
      <alignment horizontal="center"/>
    </xf>
    <xf numFmtId="0" fontId="1" fillId="0" borderId="35" xfId="22" applyFont="1" applyBorder="1" applyAlignment="1">
      <alignment horizontal="center"/>
    </xf>
    <xf numFmtId="0" fontId="4" fillId="0" borderId="35" xfId="22" applyFont="1" applyFill="1" applyBorder="1" applyAlignment="1">
      <alignment horizontal="center"/>
    </xf>
    <xf numFmtId="0" fontId="0" fillId="0" borderId="35" xfId="22" applyNumberFormat="1" applyFont="1" applyFill="1" applyBorder="1" applyAlignment="1">
      <alignment horizontal="center"/>
    </xf>
    <xf numFmtId="49" fontId="1" fillId="0" borderId="0" xfId="22" applyNumberFormat="1" applyFont="1" applyBorder="1" applyAlignment="1">
      <alignment horizontal="center"/>
    </xf>
    <xf numFmtId="0" fontId="0" fillId="0" borderId="0" xfId="22" applyFont="1" applyBorder="1"/>
    <xf numFmtId="0" fontId="1" fillId="0" borderId="0" xfId="22" applyFont="1" applyFill="1" applyBorder="1" applyAlignment="1">
      <alignment horizontal="center"/>
    </xf>
    <xf numFmtId="0" fontId="29" fillId="0" borderId="0" xfId="22" applyFont="1" applyBorder="1"/>
    <xf numFmtId="0" fontId="1" fillId="0" borderId="0" xfId="22" applyFont="1" applyBorder="1"/>
    <xf numFmtId="0" fontId="1" fillId="0" borderId="0" xfId="22" applyFont="1" applyBorder="1" applyAlignment="1">
      <alignment horizontal="center"/>
    </xf>
    <xf numFmtId="0" fontId="0" fillId="0" borderId="0" xfId="22" applyFont="1" applyFill="1"/>
    <xf numFmtId="0" fontId="15" fillId="0" borderId="8" xfId="22" applyFont="1" applyBorder="1"/>
    <xf numFmtId="0" fontId="1" fillId="0" borderId="0" xfId="14" applyFont="1" applyFill="1"/>
    <xf numFmtId="0" fontId="1" fillId="0" borderId="0" xfId="22" applyFont="1" applyFill="1"/>
    <xf numFmtId="0" fontId="37" fillId="0" borderId="0" xfId="22" applyFont="1" applyFill="1" applyBorder="1" applyAlignment="1">
      <alignment horizontal="center"/>
    </xf>
    <xf numFmtId="167" fontId="1" fillId="0" borderId="0" xfId="14" applyNumberFormat="1" applyFont="1" applyFill="1" applyAlignment="1">
      <alignment horizontal="center"/>
    </xf>
    <xf numFmtId="167" fontId="1" fillId="0" borderId="0" xfId="32" applyNumberFormat="1" applyFont="1" applyFill="1" applyAlignment="1">
      <alignment horizontal="center"/>
    </xf>
    <xf numFmtId="0" fontId="15" fillId="0" borderId="0" xfId="22" applyFont="1" applyBorder="1"/>
    <xf numFmtId="0" fontId="16" fillId="0" borderId="0" xfId="22" applyFont="1" applyFill="1" applyAlignment="1"/>
    <xf numFmtId="0" fontId="15" fillId="0" borderId="0" xfId="22" quotePrefix="1" applyFont="1" applyFill="1" applyAlignment="1">
      <alignment horizontal="center"/>
    </xf>
    <xf numFmtId="0" fontId="1" fillId="0" borderId="0" xfId="22" applyFont="1" applyFill="1" applyAlignment="1"/>
    <xf numFmtId="0" fontId="15" fillId="0" borderId="0" xfId="22" applyFont="1" applyFill="1" applyBorder="1" applyAlignment="1">
      <alignment horizontal="right"/>
    </xf>
    <xf numFmtId="0" fontId="1" fillId="0" borderId="0" xfId="22" applyFont="1" applyAlignment="1">
      <alignment horizontal="left"/>
    </xf>
    <xf numFmtId="0" fontId="15" fillId="0" borderId="0" xfId="22" applyFont="1" applyAlignment="1">
      <alignment horizontal="right"/>
    </xf>
    <xf numFmtId="0" fontId="0" fillId="0" borderId="36" xfId="22" applyFont="1" applyBorder="1"/>
    <xf numFmtId="0" fontId="1" fillId="0" borderId="37" xfId="22" applyFont="1" applyBorder="1" applyAlignment="1">
      <alignment horizontal="left"/>
    </xf>
    <xf numFmtId="0" fontId="1" fillId="0" borderId="38" xfId="22" applyFont="1" applyBorder="1"/>
    <xf numFmtId="0" fontId="1" fillId="0" borderId="39" xfId="22" applyFont="1" applyBorder="1"/>
    <xf numFmtId="0" fontId="1" fillId="0" borderId="40" xfId="22" applyFont="1" applyBorder="1"/>
    <xf numFmtId="0" fontId="1" fillId="0" borderId="0" xfId="22" applyFont="1" applyBorder="1" applyAlignment="1">
      <alignment horizontal="left"/>
    </xf>
    <xf numFmtId="0" fontId="1" fillId="0" borderId="38" xfId="22" applyFont="1" applyBorder="1" applyAlignment="1">
      <alignment horizontal="left"/>
    </xf>
    <xf numFmtId="0" fontId="1" fillId="0" borderId="40" xfId="22" applyFont="1" applyBorder="1" applyAlignment="1">
      <alignment horizontal="left"/>
    </xf>
    <xf numFmtId="0" fontId="15" fillId="0" borderId="35" xfId="22" applyFont="1" applyBorder="1" applyAlignment="1"/>
    <xf numFmtId="0" fontId="1" fillId="0" borderId="0" xfId="14" applyFont="1" applyFill="1" applyAlignment="1"/>
    <xf numFmtId="0" fontId="0" fillId="0" borderId="41" xfId="22" applyFont="1" applyBorder="1"/>
    <xf numFmtId="0" fontId="15" fillId="0" borderId="35" xfId="22" applyFont="1" applyBorder="1" applyAlignment="1">
      <alignment vertical="center"/>
    </xf>
    <xf numFmtId="0" fontId="0" fillId="0" borderId="35" xfId="22" applyNumberFormat="1" applyFont="1" applyFill="1" applyBorder="1" applyAlignment="1">
      <alignment horizontal="center" vertical="center"/>
    </xf>
    <xf numFmtId="0" fontId="1" fillId="0" borderId="35" xfId="22" applyFont="1" applyFill="1" applyBorder="1" applyAlignment="1">
      <alignment horizontal="center" vertical="center"/>
    </xf>
    <xf numFmtId="0" fontId="1" fillId="12" borderId="35" xfId="22" applyFont="1" applyFill="1" applyBorder="1" applyAlignment="1">
      <alignment horizontal="center" vertical="center"/>
    </xf>
    <xf numFmtId="0" fontId="37" fillId="0" borderId="0" xfId="22" applyFont="1" applyFill="1" applyBorder="1" applyAlignment="1">
      <alignment horizontal="center" vertical="center" wrapText="1"/>
    </xf>
    <xf numFmtId="1" fontId="37" fillId="0" borderId="0" xfId="22" applyNumberFormat="1" applyFont="1" applyFill="1" applyBorder="1" applyAlignment="1">
      <alignment horizontal="center" vertical="center" wrapText="1"/>
    </xf>
    <xf numFmtId="0" fontId="1" fillId="0" borderId="0" xfId="22" applyFont="1" applyBorder="1" applyAlignment="1">
      <alignment horizontal="right"/>
    </xf>
    <xf numFmtId="49" fontId="1" fillId="0" borderId="0" xfId="22" applyNumberFormat="1" applyFont="1" applyFill="1" applyBorder="1" applyAlignment="1">
      <alignment horizontal="center"/>
    </xf>
    <xf numFmtId="0" fontId="41" fillId="0" borderId="42" xfId="16" applyFont="1" applyFill="1" applyBorder="1" applyAlignment="1">
      <alignment horizontal="center"/>
    </xf>
    <xf numFmtId="0" fontId="38" fillId="0" borderId="42" xfId="16" applyFont="1" applyFill="1" applyBorder="1" applyAlignment="1">
      <alignment horizontal="center"/>
    </xf>
    <xf numFmtId="0" fontId="1" fillId="5" borderId="42" xfId="16" applyFont="1" applyFill="1" applyBorder="1" applyAlignment="1">
      <alignment horizontal="center"/>
    </xf>
    <xf numFmtId="0" fontId="42" fillId="0" borderId="42" xfId="16" applyFont="1" applyFill="1" applyBorder="1" applyAlignment="1">
      <alignment horizontal="center"/>
    </xf>
    <xf numFmtId="0" fontId="17" fillId="0" borderId="42" xfId="16" applyFont="1" applyFill="1" applyBorder="1" applyAlignment="1">
      <alignment horizontal="center"/>
    </xf>
    <xf numFmtId="0" fontId="17" fillId="0" borderId="0" xfId="22" applyFont="1" applyAlignment="1"/>
    <xf numFmtId="0" fontId="15" fillId="0" borderId="0" xfId="22" applyFont="1" applyAlignment="1"/>
    <xf numFmtId="0" fontId="20" fillId="0" borderId="0" xfId="33" applyAlignment="1"/>
    <xf numFmtId="0" fontId="1" fillId="0" borderId="0" xfId="32" applyFont="1" applyAlignment="1"/>
    <xf numFmtId="0" fontId="0" fillId="0" borderId="0" xfId="22" applyFont="1" applyBorder="1" applyAlignment="1"/>
    <xf numFmtId="0" fontId="29" fillId="0" borderId="0" xfId="22" applyFont="1"/>
    <xf numFmtId="0" fontId="15" fillId="0" borderId="0" xfId="0" applyFont="1" applyAlignment="1">
      <alignment horizontal="right"/>
    </xf>
    <xf numFmtId="0" fontId="0" fillId="0" borderId="8" xfId="0" applyBorder="1"/>
    <xf numFmtId="0" fontId="0" fillId="0" borderId="0" xfId="0" applyBorder="1"/>
    <xf numFmtId="0" fontId="0" fillId="0" borderId="43" xfId="0" applyFont="1" applyBorder="1"/>
    <xf numFmtId="0" fontId="1" fillId="0" borderId="43" xfId="22" applyFont="1" applyBorder="1"/>
    <xf numFmtId="0" fontId="1" fillId="0" borderId="43" xfId="22" applyFont="1" applyBorder="1" applyAlignment="1">
      <alignment horizontal="left"/>
    </xf>
    <xf numFmtId="0" fontId="0" fillId="0" borderId="37" xfId="22" applyFont="1" applyBorder="1"/>
    <xf numFmtId="0" fontId="0" fillId="0" borderId="0" xfId="14" applyFont="1" applyBorder="1" applyAlignment="1"/>
    <xf numFmtId="0" fontId="17" fillId="0" borderId="0" xfId="0" applyFont="1"/>
    <xf numFmtId="0" fontId="0" fillId="0" borderId="0" xfId="14" applyFont="1" applyAlignment="1">
      <alignment horizontal="right"/>
    </xf>
    <xf numFmtId="0" fontId="1" fillId="4" borderId="0" xfId="14" applyFont="1" applyFill="1"/>
    <xf numFmtId="0" fontId="15" fillId="0" borderId="34" xfId="14" applyFont="1" applyFill="1" applyBorder="1" applyAlignment="1">
      <alignment horizontal="center"/>
    </xf>
    <xf numFmtId="169" fontId="0" fillId="0" borderId="0" xfId="0" applyNumberFormat="1" applyFill="1"/>
    <xf numFmtId="0" fontId="15" fillId="0" borderId="34" xfId="22" applyFont="1" applyBorder="1" applyAlignment="1">
      <alignment horizontal="center" vertical="center"/>
    </xf>
    <xf numFmtId="0" fontId="1" fillId="4" borderId="34" xfId="14" applyFont="1" applyFill="1" applyBorder="1" applyAlignment="1">
      <alignment horizontal="center" vertical="center"/>
    </xf>
    <xf numFmtId="0" fontId="1" fillId="4" borderId="34" xfId="14" applyFont="1" applyFill="1" applyBorder="1" applyAlignment="1">
      <alignment vertical="center"/>
    </xf>
    <xf numFmtId="0" fontId="1" fillId="0" borderId="0" xfId="14" applyFont="1" applyBorder="1"/>
    <xf numFmtId="0" fontId="0" fillId="5" borderId="0" xfId="0" applyFont="1" applyFill="1" applyAlignment="1">
      <alignment horizontal="right"/>
    </xf>
    <xf numFmtId="0" fontId="0" fillId="0" borderId="0" xfId="0" applyFont="1" applyAlignment="1">
      <alignment horizontal="center"/>
    </xf>
    <xf numFmtId="0" fontId="0" fillId="0" borderId="0" xfId="14" applyFont="1"/>
    <xf numFmtId="0" fontId="0" fillId="3" borderId="0" xfId="0" applyFont="1" applyFill="1" applyAlignment="1">
      <alignment horizontal="right"/>
    </xf>
    <xf numFmtId="0" fontId="0" fillId="13" borderId="0" xfId="0" applyFont="1" applyFill="1" applyAlignment="1">
      <alignment horizontal="right"/>
    </xf>
    <xf numFmtId="0" fontId="15" fillId="0" borderId="35" xfId="22" applyFont="1" applyFill="1" applyBorder="1" applyAlignment="1"/>
    <xf numFmtId="0" fontId="15" fillId="0" borderId="0" xfId="34" applyFont="1" applyFill="1" applyAlignment="1">
      <alignment horizontal="center"/>
    </xf>
    <xf numFmtId="0" fontId="15" fillId="0" borderId="0" xfId="35" applyNumberFormat="1" applyFont="1" applyFill="1" applyAlignment="1">
      <alignment horizontal="center"/>
    </xf>
    <xf numFmtId="0" fontId="15" fillId="0" borderId="0" xfId="35" quotePrefix="1" applyFont="1" applyFill="1" applyAlignment="1">
      <alignment horizontal="center"/>
    </xf>
    <xf numFmtId="49" fontId="15" fillId="0" borderId="0" xfId="0" applyNumberFormat="1" applyFont="1" applyAlignment="1">
      <alignment horizontal="center"/>
    </xf>
    <xf numFmtId="169" fontId="15" fillId="14" borderId="0" xfId="0" applyNumberFormat="1" applyFont="1" applyFill="1" applyAlignment="1">
      <alignment horizontal="center"/>
    </xf>
    <xf numFmtId="0" fontId="35" fillId="0" borderId="0" xfId="35" applyFont="1" applyAlignment="1">
      <alignment horizontal="center"/>
    </xf>
    <xf numFmtId="0" fontId="35" fillId="0" borderId="0" xfId="35" applyNumberFormat="1" applyFont="1" applyAlignment="1">
      <alignment horizontal="center"/>
    </xf>
    <xf numFmtId="0" fontId="35" fillId="0" borderId="0" xfId="35" applyFont="1" applyFill="1" applyAlignment="1">
      <alignment horizontal="center"/>
    </xf>
    <xf numFmtId="0" fontId="16" fillId="0" borderId="0" xfId="22" applyNumberFormat="1" applyFont="1" applyFill="1" applyBorder="1" applyAlignment="1">
      <alignment horizontal="center" wrapText="1"/>
    </xf>
    <xf numFmtId="169" fontId="1" fillId="0" borderId="0" xfId="22" applyNumberFormat="1" applyFont="1" applyFill="1" applyBorder="1" applyAlignment="1">
      <alignment horizontal="right" wrapText="1"/>
    </xf>
    <xf numFmtId="0" fontId="16" fillId="0" borderId="0" xfId="22" applyNumberFormat="1" applyFont="1" applyFill="1" applyBorder="1" applyAlignment="1">
      <alignment horizontal="center"/>
    </xf>
    <xf numFmtId="169" fontId="0" fillId="0" borderId="0" xfId="0" applyNumberFormat="1" applyFill="1" applyAlignment="1"/>
    <xf numFmtId="0" fontId="37" fillId="0" borderId="0" xfId="22" applyFont="1" applyFill="1" applyBorder="1" applyAlignment="1">
      <alignment horizontal="center" wrapText="1"/>
    </xf>
    <xf numFmtId="1" fontId="37" fillId="0" borderId="0" xfId="22" applyNumberFormat="1" applyFont="1" applyFill="1" applyBorder="1" applyAlignment="1">
      <alignment horizontal="center" wrapText="1"/>
    </xf>
    <xf numFmtId="170" fontId="37" fillId="0" borderId="0" xfId="22" applyNumberFormat="1" applyFont="1" applyFill="1" applyBorder="1" applyAlignment="1">
      <alignment horizontal="right" wrapText="1"/>
    </xf>
    <xf numFmtId="0" fontId="37" fillId="0" borderId="0" xfId="0" applyFont="1" applyFill="1" applyAlignment="1">
      <alignment horizontal="center"/>
    </xf>
    <xf numFmtId="169" fontId="1" fillId="0" borderId="0" xfId="22" applyNumberFormat="1" applyFont="1" applyFill="1" applyBorder="1" applyAlignment="1">
      <alignment horizontal="right"/>
    </xf>
    <xf numFmtId="16" fontId="1" fillId="0" borderId="0" xfId="22" applyNumberFormat="1" applyFont="1" applyBorder="1" applyAlignment="1"/>
    <xf numFmtId="49" fontId="1" fillId="0" borderId="0" xfId="22" applyNumberFormat="1" applyFont="1" applyFill="1" applyBorder="1" applyAlignment="1"/>
    <xf numFmtId="0" fontId="35" fillId="0" borderId="0" xfId="14" applyFont="1" applyAlignment="1"/>
    <xf numFmtId="0" fontId="15" fillId="0" borderId="0" xfId="22" applyNumberFormat="1" applyFont="1" applyFill="1" applyAlignment="1">
      <alignment horizontal="center"/>
    </xf>
    <xf numFmtId="0" fontId="35" fillId="0" borderId="0" xfId="22" applyFont="1" applyAlignment="1">
      <alignment horizontal="center"/>
    </xf>
    <xf numFmtId="0" fontId="35" fillId="0" borderId="0" xfId="22" applyNumberFormat="1" applyFont="1" applyAlignment="1">
      <alignment horizontal="center"/>
    </xf>
    <xf numFmtId="0" fontId="35" fillId="0" borderId="0" xfId="22" applyFont="1" applyFill="1" applyAlignment="1">
      <alignment horizontal="center"/>
    </xf>
    <xf numFmtId="49" fontId="1" fillId="0" borderId="0" xfId="22" applyNumberFormat="1" applyFont="1" applyFill="1" applyAlignment="1"/>
    <xf numFmtId="49" fontId="0" fillId="0" borderId="0" xfId="22" applyNumberFormat="1" applyFont="1" applyFill="1" applyBorder="1" applyAlignment="1"/>
    <xf numFmtId="0" fontId="4" fillId="0" borderId="0" xfId="22" applyFont="1" applyFill="1" applyBorder="1" applyAlignment="1"/>
    <xf numFmtId="49" fontId="1" fillId="0" borderId="0" xfId="22" applyNumberFormat="1" applyFont="1" applyBorder="1" applyAlignment="1"/>
    <xf numFmtId="49" fontId="0" fillId="0" borderId="0" xfId="22" applyNumberFormat="1" applyFont="1" applyBorder="1" applyAlignment="1">
      <alignment horizontal="center"/>
    </xf>
    <xf numFmtId="0" fontId="15" fillId="4" borderId="0" xfId="0" applyFont="1" applyFill="1" applyAlignment="1"/>
    <xf numFmtId="0" fontId="0" fillId="4" borderId="0" xfId="0" applyFill="1" applyAlignment="1"/>
    <xf numFmtId="0" fontId="1" fillId="0" borderId="52" xfId="22" applyFont="1" applyFill="1" applyBorder="1"/>
    <xf numFmtId="0" fontId="0" fillId="0" borderId="53" xfId="22" applyFont="1" applyFill="1" applyBorder="1"/>
    <xf numFmtId="0" fontId="1" fillId="0" borderId="53" xfId="22" applyFont="1" applyBorder="1"/>
    <xf numFmtId="0" fontId="0" fillId="0" borderId="51" xfId="22" applyFont="1" applyBorder="1"/>
    <xf numFmtId="0" fontId="1" fillId="0" borderId="8" xfId="22" applyFont="1" applyBorder="1"/>
    <xf numFmtId="0" fontId="1" fillId="0" borderId="51" xfId="22" applyFont="1" applyBorder="1"/>
    <xf numFmtId="0" fontId="1" fillId="0" borderId="52" xfId="22" applyFont="1" applyBorder="1"/>
    <xf numFmtId="0" fontId="0" fillId="0" borderId="54" xfId="22" applyFont="1" applyBorder="1"/>
    <xf numFmtId="0" fontId="1" fillId="0" borderId="52" xfId="22" applyFont="1" applyBorder="1" applyAlignment="1">
      <alignment horizontal="left"/>
    </xf>
    <xf numFmtId="0" fontId="1" fillId="0" borderId="53" xfId="22" applyFont="1" applyBorder="1" applyAlignment="1">
      <alignment horizontal="left"/>
    </xf>
    <xf numFmtId="0" fontId="0" fillId="0" borderId="35" xfId="0" applyBorder="1" applyAlignment="1">
      <alignment wrapText="1"/>
    </xf>
    <xf numFmtId="0" fontId="0" fillId="0" borderId="35" xfId="0" applyFill="1" applyBorder="1" applyAlignment="1">
      <alignment wrapText="1"/>
    </xf>
    <xf numFmtId="0" fontId="16" fillId="0" borderId="0" xfId="14" applyFont="1" applyFill="1" applyAlignment="1">
      <alignment wrapText="1"/>
    </xf>
    <xf numFmtId="0" fontId="15" fillId="0" borderId="35" xfId="22" applyFont="1" applyFill="1" applyBorder="1" applyAlignment="1">
      <alignment wrapText="1"/>
    </xf>
    <xf numFmtId="0" fontId="1" fillId="0" borderId="0" xfId="22" applyFont="1" applyFill="1" applyAlignment="1">
      <alignment wrapText="1"/>
    </xf>
    <xf numFmtId="0" fontId="0" fillId="0" borderId="35" xfId="22" applyFont="1" applyBorder="1" applyAlignment="1">
      <alignment wrapText="1"/>
    </xf>
    <xf numFmtId="0" fontId="1" fillId="0" borderId="0" xfId="22" applyFont="1" applyAlignment="1">
      <alignment wrapText="1"/>
    </xf>
    <xf numFmtId="0" fontId="15" fillId="0" borderId="35" xfId="22" applyFont="1" applyFill="1" applyBorder="1" applyAlignment="1">
      <alignment vertical="center"/>
    </xf>
    <xf numFmtId="0" fontId="15" fillId="0" borderId="35" xfId="22" applyFont="1" applyBorder="1" applyAlignment="1">
      <alignment horizontal="center" vertical="center"/>
    </xf>
    <xf numFmtId="0" fontId="15" fillId="0" borderId="35" xfId="22" applyFont="1" applyFill="1" applyBorder="1" applyAlignment="1">
      <alignment horizontal="center" vertical="center"/>
    </xf>
    <xf numFmtId="0" fontId="15" fillId="0" borderId="0" xfId="34" applyFont="1" applyFill="1" applyAlignment="1">
      <alignment horizontal="center" vertical="center"/>
    </xf>
    <xf numFmtId="0" fontId="15" fillId="0" borderId="0" xfId="35" applyNumberFormat="1" applyFont="1" applyFill="1" applyAlignment="1">
      <alignment horizontal="center" vertical="center"/>
    </xf>
    <xf numFmtId="0" fontId="15" fillId="0" borderId="0" xfId="35" quotePrefix="1" applyFont="1" applyFill="1" applyAlignment="1">
      <alignment horizontal="center" vertical="center"/>
    </xf>
    <xf numFmtId="49" fontId="15" fillId="0" borderId="0" xfId="0" applyNumberFormat="1" applyFont="1" applyAlignment="1">
      <alignment horizontal="center" vertical="center"/>
    </xf>
    <xf numFmtId="169" fontId="15" fillId="14" borderId="0" xfId="0" applyNumberFormat="1" applyFont="1" applyFill="1" applyAlignment="1">
      <alignment horizontal="center" vertical="center"/>
    </xf>
    <xf numFmtId="0" fontId="35" fillId="0" borderId="0" xfId="35" applyFont="1" applyAlignment="1">
      <alignment horizontal="center" vertical="center"/>
    </xf>
    <xf numFmtId="0" fontId="35" fillId="0" borderId="0" xfId="35" applyNumberFormat="1" applyFont="1" applyAlignment="1">
      <alignment horizontal="center" vertical="center"/>
    </xf>
    <xf numFmtId="0" fontId="35" fillId="0" borderId="0" xfId="35" applyFont="1" applyFill="1" applyAlignment="1">
      <alignment horizontal="center" vertical="center"/>
    </xf>
    <xf numFmtId="0" fontId="0" fillId="0" borderId="0" xfId="0" applyAlignment="1">
      <alignment vertical="center"/>
    </xf>
    <xf numFmtId="0" fontId="1" fillId="0" borderId="0" xfId="14" applyFont="1" applyAlignment="1">
      <alignment vertical="center"/>
    </xf>
    <xf numFmtId="0" fontId="0" fillId="0" borderId="35" xfId="14" applyFont="1" applyFill="1" applyBorder="1" applyAlignment="1">
      <alignment vertical="center" wrapText="1"/>
    </xf>
    <xf numFmtId="167" fontId="1" fillId="0" borderId="0" xfId="14" applyNumberFormat="1" applyFont="1" applyFill="1" applyAlignment="1">
      <alignment horizontal="center" vertical="center"/>
    </xf>
    <xf numFmtId="0" fontId="16" fillId="0" borderId="0" xfId="22" applyNumberFormat="1" applyFont="1" applyFill="1" applyBorder="1" applyAlignment="1">
      <alignment horizontal="center" vertical="center" wrapText="1"/>
    </xf>
    <xf numFmtId="169" fontId="1" fillId="0" borderId="0" xfId="22" applyNumberFormat="1" applyFont="1" applyFill="1" applyBorder="1" applyAlignment="1">
      <alignment horizontal="right" vertical="center" wrapText="1"/>
    </xf>
    <xf numFmtId="0" fontId="16" fillId="0" borderId="0" xfId="22" applyNumberFormat="1" applyFont="1" applyFill="1" applyBorder="1" applyAlignment="1">
      <alignment horizontal="center" vertical="center"/>
    </xf>
    <xf numFmtId="169" fontId="0" fillId="0" borderId="0" xfId="0" applyNumberFormat="1" applyFill="1" applyAlignment="1">
      <alignment vertical="center"/>
    </xf>
    <xf numFmtId="170" fontId="37" fillId="0" borderId="0" xfId="22" applyNumberFormat="1" applyFont="1" applyFill="1" applyBorder="1" applyAlignment="1">
      <alignment horizontal="right" vertical="center" wrapText="1"/>
    </xf>
    <xf numFmtId="0" fontId="37" fillId="0" borderId="0" xfId="0" applyFont="1" applyFill="1" applyAlignment="1">
      <alignment horizontal="center" vertical="center"/>
    </xf>
    <xf numFmtId="0" fontId="0" fillId="0" borderId="35" xfId="0" applyBorder="1" applyAlignment="1">
      <alignment vertical="center" wrapText="1"/>
    </xf>
    <xf numFmtId="167" fontId="1" fillId="0" borderId="0" xfId="32" applyNumberFormat="1" applyFont="1" applyFill="1" applyAlignment="1">
      <alignment horizontal="center" vertical="center"/>
    </xf>
    <xf numFmtId="169" fontId="1" fillId="0" borderId="0" xfId="22" applyNumberFormat="1" applyFont="1" applyFill="1" applyBorder="1" applyAlignment="1">
      <alignment horizontal="right" vertical="center"/>
    </xf>
    <xf numFmtId="0" fontId="37" fillId="0" borderId="0" xfId="22" applyFont="1" applyFill="1" applyBorder="1" applyAlignment="1">
      <alignment horizontal="center" vertical="center"/>
    </xf>
    <xf numFmtId="0" fontId="4" fillId="0" borderId="35" xfId="22" applyFont="1" applyFill="1" applyBorder="1" applyAlignment="1">
      <alignment horizontal="center" vertical="center"/>
    </xf>
    <xf numFmtId="0" fontId="0" fillId="0" borderId="35" xfId="0" applyFill="1" applyBorder="1" applyAlignment="1">
      <alignment vertical="center" wrapText="1"/>
    </xf>
    <xf numFmtId="0" fontId="15" fillId="0" borderId="0" xfId="22" applyFont="1" applyBorder="1" applyAlignment="1">
      <alignment vertical="center"/>
    </xf>
    <xf numFmtId="0" fontId="16" fillId="0" borderId="0" xfId="14" applyFont="1" applyFill="1" applyAlignment="1">
      <alignment vertical="center" wrapText="1"/>
    </xf>
    <xf numFmtId="0" fontId="1" fillId="0" borderId="0" xfId="22" applyFont="1" applyBorder="1" applyAlignment="1">
      <alignment vertical="center"/>
    </xf>
    <xf numFmtId="16" fontId="1" fillId="0" borderId="0" xfId="22" applyNumberFormat="1" applyFont="1" applyBorder="1" applyAlignment="1">
      <alignment vertical="center"/>
    </xf>
    <xf numFmtId="0" fontId="1" fillId="0" borderId="0" xfId="22" applyFont="1" applyFill="1" applyBorder="1" applyAlignment="1">
      <alignment vertical="center"/>
    </xf>
    <xf numFmtId="0" fontId="1" fillId="0" borderId="0" xfId="22" applyFont="1" applyAlignment="1">
      <alignment vertical="center"/>
    </xf>
    <xf numFmtId="49" fontId="1" fillId="0" borderId="0" xfId="22" applyNumberFormat="1" applyFont="1" applyFill="1" applyBorder="1" applyAlignment="1">
      <alignment vertical="center"/>
    </xf>
    <xf numFmtId="0" fontId="1" fillId="0" borderId="0" xfId="14" applyFont="1" applyFill="1" applyAlignment="1">
      <alignment vertical="center"/>
    </xf>
    <xf numFmtId="0" fontId="35" fillId="0" borderId="0" xfId="14" applyFont="1" applyAlignment="1">
      <alignment vertical="center"/>
    </xf>
    <xf numFmtId="0" fontId="15" fillId="0" borderId="35" xfId="22" applyFont="1" applyFill="1" applyBorder="1" applyAlignment="1">
      <alignment vertical="center" wrapText="1"/>
    </xf>
    <xf numFmtId="0" fontId="15" fillId="0" borderId="0" xfId="14" applyFont="1" applyFill="1" applyAlignment="1">
      <alignment horizontal="center" vertical="center"/>
    </xf>
    <xf numFmtId="0" fontId="15" fillId="0" borderId="0" xfId="22" applyNumberFormat="1" applyFont="1" applyFill="1" applyAlignment="1">
      <alignment horizontal="center" vertical="center"/>
    </xf>
    <xf numFmtId="0" fontId="15" fillId="0" borderId="0" xfId="22" quotePrefix="1" applyFont="1" applyFill="1" applyAlignment="1">
      <alignment horizontal="center" vertical="center"/>
    </xf>
    <xf numFmtId="0" fontId="35" fillId="0" borderId="0" xfId="22" applyFont="1" applyAlignment="1">
      <alignment horizontal="center" vertical="center"/>
    </xf>
    <xf numFmtId="0" fontId="35" fillId="0" borderId="0" xfId="22" applyNumberFormat="1" applyFont="1" applyAlignment="1">
      <alignment horizontal="center" vertical="center"/>
    </xf>
    <xf numFmtId="0" fontId="35" fillId="0" borderId="0" xfId="22" applyFont="1" applyFill="1" applyAlignment="1">
      <alignment horizontal="center" vertical="center"/>
    </xf>
    <xf numFmtId="0" fontId="0" fillId="0" borderId="35" xfId="22" applyFont="1" applyFill="1" applyBorder="1" applyAlignment="1">
      <alignment vertical="center" wrapText="1"/>
    </xf>
    <xf numFmtId="0" fontId="1" fillId="0" borderId="35" xfId="22" applyFont="1" applyBorder="1" applyAlignment="1">
      <alignment horizontal="center" vertical="center"/>
    </xf>
    <xf numFmtId="0" fontId="16" fillId="0" borderId="0" xfId="22" applyFont="1" applyFill="1" applyAlignment="1">
      <alignment vertical="center"/>
    </xf>
    <xf numFmtId="0" fontId="15" fillId="0" borderId="0" xfId="22" applyFont="1" applyAlignment="1">
      <alignment vertical="center"/>
    </xf>
    <xf numFmtId="0" fontId="1" fillId="0" borderId="0" xfId="22" applyFont="1" applyFill="1" applyAlignment="1">
      <alignment vertical="center" wrapText="1"/>
    </xf>
    <xf numFmtId="0" fontId="1" fillId="0" borderId="0" xfId="32" applyFont="1" applyAlignment="1">
      <alignment vertical="center"/>
    </xf>
    <xf numFmtId="49" fontId="1" fillId="0" borderId="0" xfId="22" applyNumberFormat="1" applyFont="1" applyFill="1" applyAlignment="1">
      <alignment vertical="center"/>
    </xf>
    <xf numFmtId="0" fontId="1" fillId="0" borderId="0" xfId="22" applyFont="1" applyFill="1" applyAlignment="1">
      <alignment vertical="center"/>
    </xf>
    <xf numFmtId="0" fontId="0" fillId="0" borderId="35" xfId="22" applyFont="1" applyBorder="1" applyAlignment="1">
      <alignment vertical="center" wrapText="1"/>
    </xf>
    <xf numFmtId="0" fontId="1" fillId="0" borderId="0" xfId="22" applyFont="1" applyAlignment="1">
      <alignment vertical="center" wrapText="1"/>
    </xf>
    <xf numFmtId="49" fontId="0" fillId="0" borderId="0" xfId="22" applyNumberFormat="1" applyFont="1" applyFill="1" applyBorder="1" applyAlignment="1">
      <alignment vertical="center"/>
    </xf>
    <xf numFmtId="0" fontId="41" fillId="0" borderId="44" xfId="16" applyFont="1" applyFill="1" applyBorder="1" applyAlignment="1">
      <alignment horizontal="center"/>
    </xf>
    <xf numFmtId="0" fontId="38" fillId="0" borderId="44" xfId="16" applyFont="1" applyFill="1" applyBorder="1" applyAlignment="1">
      <alignment horizontal="center"/>
    </xf>
    <xf numFmtId="0" fontId="1" fillId="5" borderId="44" xfId="16" applyFont="1" applyFill="1" applyBorder="1" applyAlignment="1">
      <alignment horizontal="center"/>
    </xf>
    <xf numFmtId="0" fontId="42" fillId="0" borderId="44" xfId="16" applyFont="1" applyFill="1" applyBorder="1" applyAlignment="1">
      <alignment horizontal="center"/>
    </xf>
    <xf numFmtId="0" fontId="17" fillId="0" borderId="44" xfId="16" applyFont="1" applyFill="1" applyBorder="1" applyAlignment="1">
      <alignment horizontal="center"/>
    </xf>
    <xf numFmtId="0" fontId="1" fillId="0" borderId="35" xfId="22" applyFont="1" applyFill="1" applyBorder="1" applyAlignment="1">
      <alignment wrapText="1"/>
    </xf>
    <xf numFmtId="0" fontId="15" fillId="0" borderId="35" xfId="8" applyFont="1" applyBorder="1" applyAlignment="1">
      <alignment vertical="center"/>
    </xf>
    <xf numFmtId="0" fontId="32" fillId="0" borderId="0" xfId="12" applyFont="1" applyFill="1" applyAlignment="1">
      <alignment horizontal="right"/>
    </xf>
    <xf numFmtId="0" fontId="0" fillId="4" borderId="0" xfId="0" applyFill="1"/>
    <xf numFmtId="169" fontId="47" fillId="0" borderId="0" xfId="0" applyNumberFormat="1" applyFont="1" applyFill="1" applyAlignment="1">
      <alignment vertical="center"/>
    </xf>
    <xf numFmtId="169" fontId="47" fillId="0" borderId="0" xfId="0" applyNumberFormat="1" applyFont="1" applyFill="1" applyAlignment="1"/>
    <xf numFmtId="0" fontId="37" fillId="0" borderId="0" xfId="0" applyFont="1" applyFill="1" applyAlignment="1">
      <alignment horizontal="right" vertical="center"/>
    </xf>
    <xf numFmtId="169" fontId="37" fillId="0" borderId="0" xfId="0" applyNumberFormat="1" applyFont="1" applyFill="1" applyAlignment="1">
      <alignment vertical="center"/>
    </xf>
    <xf numFmtId="0" fontId="37" fillId="0" borderId="0" xfId="0" applyFont="1" applyAlignment="1">
      <alignment vertical="center"/>
    </xf>
    <xf numFmtId="0" fontId="0" fillId="0" borderId="35" xfId="0" applyBorder="1"/>
    <xf numFmtId="0" fontId="48" fillId="5" borderId="28" xfId="25" applyFont="1" applyFill="1" applyBorder="1" applyAlignment="1">
      <alignment horizontal="center"/>
    </xf>
    <xf numFmtId="0" fontId="33" fillId="0" borderId="27" xfId="8" applyFont="1" applyBorder="1" applyAlignment="1">
      <alignment vertical="top" wrapText="1"/>
    </xf>
    <xf numFmtId="0" fontId="37" fillId="0" borderId="27" xfId="8" applyFont="1" applyBorder="1" applyAlignment="1"/>
    <xf numFmtId="0" fontId="37" fillId="0" borderId="27" xfId="8" applyFont="1" applyFill="1" applyBorder="1" applyAlignment="1"/>
    <xf numFmtId="0" fontId="33" fillId="0" borderId="44" xfId="8" applyFont="1" applyBorder="1" applyAlignment="1">
      <alignment vertical="top" wrapText="1"/>
    </xf>
    <xf numFmtId="0" fontId="33" fillId="0" borderId="33" xfId="8" applyFont="1" applyBorder="1" applyAlignment="1">
      <alignment vertical="top" wrapText="1"/>
    </xf>
    <xf numFmtId="0" fontId="37" fillId="0" borderId="33" xfId="8" applyFont="1" applyBorder="1" applyAlignment="1"/>
    <xf numFmtId="0" fontId="37" fillId="0" borderId="33" xfId="8" applyFont="1" applyFill="1" applyBorder="1" applyAlignment="1"/>
    <xf numFmtId="0" fontId="38" fillId="0" borderId="2" xfId="8" applyFont="1" applyBorder="1" applyAlignment="1">
      <alignment vertical="top" wrapText="1"/>
    </xf>
    <xf numFmtId="0" fontId="0" fillId="0" borderId="54" xfId="22" applyFont="1" applyFill="1" applyBorder="1"/>
    <xf numFmtId="0" fontId="0" fillId="0" borderId="56" xfId="22" applyFont="1" applyBorder="1"/>
    <xf numFmtId="0" fontId="0" fillId="0" borderId="56" xfId="0" applyBorder="1"/>
    <xf numFmtId="0" fontId="0" fillId="0" borderId="57" xfId="22" applyFont="1" applyBorder="1"/>
    <xf numFmtId="0" fontId="1" fillId="0" borderId="56" xfId="22" applyFont="1" applyBorder="1"/>
    <xf numFmtId="0" fontId="0" fillId="0" borderId="53" xfId="0" applyFont="1" applyBorder="1"/>
    <xf numFmtId="0" fontId="0" fillId="0" borderId="44" xfId="8" applyFont="1" applyFill="1" applyBorder="1" applyAlignment="1"/>
    <xf numFmtId="0" fontId="1" fillId="0" borderId="44" xfId="14" applyFont="1" applyFill="1" applyBorder="1" applyAlignment="1"/>
    <xf numFmtId="0" fontId="0" fillId="0" borderId="0" xfId="0" applyFill="1" applyBorder="1" applyAlignment="1"/>
    <xf numFmtId="0" fontId="0" fillId="0" borderId="0" xfId="0" applyFill="1" applyBorder="1" applyAlignment="1">
      <alignment wrapText="1"/>
    </xf>
    <xf numFmtId="0" fontId="0" fillId="0" borderId="0" xfId="0" applyAlignment="1">
      <alignment wrapText="1"/>
    </xf>
    <xf numFmtId="0" fontId="15" fillId="0" borderId="0" xfId="0" applyFont="1" applyFill="1" applyBorder="1" applyAlignment="1">
      <alignment wrapText="1"/>
    </xf>
    <xf numFmtId="0" fontId="0" fillId="0" borderId="0" xfId="0" applyFont="1" applyFill="1" applyBorder="1" applyAlignment="1">
      <alignment wrapText="1"/>
    </xf>
    <xf numFmtId="0" fontId="30" fillId="0" borderId="0" xfId="0" applyFont="1" applyAlignment="1">
      <alignment wrapText="1"/>
    </xf>
    <xf numFmtId="0" fontId="0" fillId="0" borderId="0" xfId="0" quotePrefix="1" applyFill="1" applyBorder="1" applyAlignment="1">
      <alignment wrapText="1"/>
    </xf>
    <xf numFmtId="0" fontId="15" fillId="0" borderId="35" xfId="0" applyFont="1" applyBorder="1" applyAlignment="1">
      <alignment horizontal="center"/>
    </xf>
    <xf numFmtId="0" fontId="15" fillId="0" borderId="60" xfId="0" applyFont="1" applyBorder="1" applyAlignment="1"/>
    <xf numFmtId="0" fontId="15" fillId="0" borderId="61" xfId="0" applyFont="1" applyBorder="1" applyAlignment="1"/>
    <xf numFmtId="0" fontId="15" fillId="0" borderId="62" xfId="0" applyFont="1" applyBorder="1" applyAlignment="1"/>
    <xf numFmtId="0" fontId="15" fillId="0" borderId="35" xfId="0" applyFont="1" applyBorder="1" applyAlignment="1"/>
    <xf numFmtId="0" fontId="15" fillId="0" borderId="61" xfId="14" applyFont="1" applyBorder="1" applyAlignment="1">
      <alignment horizontal="center"/>
    </xf>
    <xf numFmtId="0" fontId="1" fillId="0" borderId="62" xfId="14" applyFont="1" applyBorder="1"/>
    <xf numFmtId="0" fontId="15" fillId="0" borderId="35" xfId="0" applyFont="1" applyBorder="1" applyAlignment="1">
      <alignment vertical="center"/>
    </xf>
    <xf numFmtId="0" fontId="0" fillId="0" borderId="60" xfId="0" applyNumberFormat="1" applyFont="1" applyFill="1" applyBorder="1" applyAlignment="1">
      <alignment horizontal="center" vertical="center"/>
    </xf>
    <xf numFmtId="49" fontId="0" fillId="0" borderId="61" xfId="0" applyNumberFormat="1" applyFont="1" applyFill="1" applyBorder="1" applyAlignment="1">
      <alignment horizontal="center" vertical="center"/>
    </xf>
    <xf numFmtId="0" fontId="0" fillId="0" borderId="61" xfId="0" applyNumberFormat="1" applyFont="1" applyFill="1" applyBorder="1" applyAlignment="1">
      <alignment horizontal="center" vertical="center"/>
    </xf>
    <xf numFmtId="0" fontId="0" fillId="0" borderId="61" xfId="0" applyNumberFormat="1" applyFill="1" applyBorder="1" applyAlignment="1">
      <alignment vertical="center"/>
    </xf>
    <xf numFmtId="0" fontId="15" fillId="0" borderId="35" xfId="0" applyNumberFormat="1" applyFont="1" applyFill="1" applyBorder="1" applyAlignment="1">
      <alignment horizontal="center" vertical="center"/>
    </xf>
    <xf numFmtId="0" fontId="15" fillId="0" borderId="60" xfId="0" applyNumberFormat="1" applyFont="1" applyFill="1" applyBorder="1" applyAlignment="1">
      <alignment horizontal="center" vertical="center"/>
    </xf>
    <xf numFmtId="0" fontId="0" fillId="0" borderId="62" xfId="0" applyNumberFormat="1" applyFont="1" applyFill="1" applyBorder="1" applyAlignment="1">
      <alignment horizontal="center" vertical="center"/>
    </xf>
    <xf numFmtId="169" fontId="1" fillId="0" borderId="0" xfId="14" applyNumberFormat="1" applyFont="1" applyFill="1" applyAlignment="1">
      <alignment vertical="center"/>
    </xf>
    <xf numFmtId="0" fontId="0" fillId="0" borderId="35" xfId="14" applyFont="1" applyBorder="1" applyAlignment="1">
      <alignment vertical="center" wrapText="1"/>
    </xf>
    <xf numFmtId="0" fontId="0" fillId="5" borderId="44" xfId="16" applyFont="1" applyFill="1" applyBorder="1" applyAlignment="1">
      <alignment horizontal="center"/>
    </xf>
    <xf numFmtId="0" fontId="1" fillId="0" borderId="35" xfId="22" applyFont="1" applyFill="1" applyBorder="1" applyAlignment="1">
      <alignment vertical="center" wrapText="1"/>
    </xf>
    <xf numFmtId="0" fontId="1" fillId="5" borderId="27" xfId="2" applyNumberFormat="1" applyFont="1" applyFill="1" applyBorder="1" applyAlignment="1" applyProtection="1">
      <alignment textRotation="90"/>
    </xf>
    <xf numFmtId="0" fontId="44" fillId="0" borderId="27" xfId="8" applyFont="1" applyFill="1" applyBorder="1" applyAlignment="1">
      <alignment horizontal="center"/>
    </xf>
    <xf numFmtId="0" fontId="1" fillId="5" borderId="63" xfId="33" applyFont="1" applyFill="1" applyBorder="1" applyAlignment="1">
      <alignment horizontal="center"/>
    </xf>
    <xf numFmtId="0" fontId="1" fillId="5" borderId="64" xfId="25" applyFont="1" applyFill="1" applyBorder="1" applyAlignment="1">
      <alignment horizontal="center"/>
    </xf>
    <xf numFmtId="0" fontId="0" fillId="0" borderId="44" xfId="14" applyFont="1" applyFill="1" applyBorder="1" applyAlignment="1"/>
    <xf numFmtId="0" fontId="49" fillId="0" borderId="44" xfId="8" applyFont="1" applyFill="1" applyBorder="1" applyAlignment="1"/>
    <xf numFmtId="0" fontId="42" fillId="0" borderId="44" xfId="8" applyFont="1" applyFill="1" applyBorder="1" applyAlignment="1"/>
    <xf numFmtId="0" fontId="15" fillId="9" borderId="0" xfId="21" quotePrefix="1" applyNumberFormat="1" applyFont="1" applyFill="1" applyBorder="1" applyAlignment="1">
      <alignment horizontal="left" vertical="center"/>
    </xf>
    <xf numFmtId="0" fontId="19" fillId="0" borderId="0" xfId="22" applyFont="1" applyBorder="1" applyAlignment="1"/>
    <xf numFmtId="0" fontId="1" fillId="0" borderId="34" xfId="14" applyFont="1" applyBorder="1" applyAlignment="1">
      <alignment horizontal="center"/>
    </xf>
    <xf numFmtId="0" fontId="24" fillId="0" borderId="0" xfId="14" applyFont="1" applyBorder="1"/>
    <xf numFmtId="0" fontId="15" fillId="4" borderId="33" xfId="8" applyFont="1" applyFill="1" applyBorder="1" applyAlignment="1"/>
    <xf numFmtId="0" fontId="41" fillId="5" borderId="28" xfId="2" applyNumberFormat="1" applyFont="1" applyFill="1" applyBorder="1" applyAlignment="1" applyProtection="1">
      <alignment horizontal="center" vertical="top" textRotation="90" wrapText="1"/>
    </xf>
    <xf numFmtId="0" fontId="51" fillId="0" borderId="0" xfId="14" applyFont="1" applyAlignment="1">
      <alignment horizontal="right"/>
    </xf>
    <xf numFmtId="0" fontId="47" fillId="0" borderId="0" xfId="0" applyFont="1" applyFill="1" applyAlignment="1">
      <alignment horizontal="right" vertical="center"/>
    </xf>
    <xf numFmtId="0" fontId="47" fillId="0" borderId="0" xfId="0" applyFont="1" applyFill="1" applyAlignment="1">
      <alignment horizontal="right"/>
    </xf>
    <xf numFmtId="0" fontId="32" fillId="4" borderId="0" xfId="8" applyFont="1" applyFill="1" applyAlignment="1"/>
    <xf numFmtId="0" fontId="33" fillId="4" borderId="0" xfId="8" applyFont="1" applyFill="1" applyAlignment="1"/>
    <xf numFmtId="0" fontId="50" fillId="4" borderId="0" xfId="8" applyFont="1" applyFill="1" applyAlignment="1"/>
    <xf numFmtId="0" fontId="52" fillId="4" borderId="0" xfId="8" applyFont="1" applyFill="1" applyAlignment="1"/>
    <xf numFmtId="0" fontId="25" fillId="4" borderId="0" xfId="8" applyFont="1" applyFill="1" applyAlignment="1"/>
    <xf numFmtId="0" fontId="53" fillId="0" borderId="52" xfId="22" applyFont="1" applyFill="1" applyBorder="1" applyAlignment="1">
      <alignment horizontal="right"/>
    </xf>
    <xf numFmtId="0" fontId="53" fillId="0" borderId="0" xfId="0" applyFont="1" applyAlignment="1">
      <alignment horizontal="right"/>
    </xf>
    <xf numFmtId="0" fontId="54" fillId="0" borderId="0" xfId="22" applyFont="1" applyAlignment="1">
      <alignment horizontal="right"/>
    </xf>
    <xf numFmtId="0" fontId="55" fillId="0" borderId="38" xfId="22" applyFont="1" applyBorder="1" applyAlignment="1">
      <alignment horizontal="right"/>
    </xf>
    <xf numFmtId="0" fontId="55" fillId="0" borderId="0" xfId="22" applyFont="1" applyAlignment="1">
      <alignment horizontal="right"/>
    </xf>
    <xf numFmtId="0" fontId="54" fillId="0" borderId="0" xfId="0" applyFont="1" applyAlignment="1">
      <alignment horizontal="right"/>
    </xf>
    <xf numFmtId="0" fontId="56" fillId="0" borderId="43" xfId="0" applyFont="1" applyBorder="1" applyAlignment="1">
      <alignment horizontal="right"/>
    </xf>
    <xf numFmtId="0" fontId="56" fillId="0" borderId="0" xfId="22" applyFont="1" applyAlignment="1">
      <alignment horizontal="right"/>
    </xf>
    <xf numFmtId="0" fontId="1" fillId="0" borderId="37" xfId="22" applyFont="1" applyBorder="1"/>
    <xf numFmtId="0" fontId="1" fillId="0" borderId="75" xfId="22" applyFont="1" applyBorder="1"/>
    <xf numFmtId="0" fontId="1" fillId="0" borderId="76" xfId="22" applyFont="1" applyBorder="1"/>
    <xf numFmtId="0" fontId="1" fillId="0" borderId="77" xfId="22" applyFont="1" applyBorder="1"/>
    <xf numFmtId="0" fontId="1" fillId="0" borderId="78" xfId="22" applyFont="1" applyBorder="1" applyAlignment="1">
      <alignment horizontal="left"/>
    </xf>
    <xf numFmtId="0" fontId="1" fillId="0" borderId="78" xfId="22" applyFont="1" applyBorder="1"/>
    <xf numFmtId="0" fontId="23" fillId="0" borderId="79" xfId="21" applyFont="1" applyFill="1" applyBorder="1" applyAlignment="1">
      <alignment vertical="center"/>
    </xf>
    <xf numFmtId="0" fontId="0" fillId="0" borderId="80" xfId="8" applyFont="1" applyFill="1" applyBorder="1" applyAlignment="1"/>
    <xf numFmtId="0" fontId="41" fillId="0" borderId="80" xfId="16" applyFont="1" applyFill="1" applyBorder="1" applyAlignment="1">
      <alignment horizontal="center"/>
    </xf>
    <xf numFmtId="0" fontId="38" fillId="0" borderId="80" xfId="16" applyFont="1" applyFill="1" applyBorder="1" applyAlignment="1">
      <alignment horizontal="center"/>
    </xf>
    <xf numFmtId="0" fontId="1" fillId="5" borderId="80" xfId="16" applyFont="1" applyFill="1" applyBorder="1" applyAlignment="1">
      <alignment horizontal="center"/>
    </xf>
    <xf numFmtId="0" fontId="42" fillId="0" borderId="80" xfId="16" applyFont="1" applyFill="1" applyBorder="1" applyAlignment="1">
      <alignment horizontal="center"/>
    </xf>
    <xf numFmtId="0" fontId="17" fillId="0" borderId="80" xfId="16" applyFont="1" applyFill="1" applyBorder="1" applyAlignment="1">
      <alignment horizontal="center"/>
    </xf>
    <xf numFmtId="0" fontId="0" fillId="0" borderId="81" xfId="8" applyFont="1" applyFill="1" applyBorder="1" applyAlignment="1"/>
    <xf numFmtId="0" fontId="41" fillId="0" borderId="81" xfId="16" applyFont="1" applyFill="1" applyBorder="1" applyAlignment="1">
      <alignment horizontal="center"/>
    </xf>
    <xf numFmtId="0" fontId="38" fillId="0" borderId="81" xfId="16" applyFont="1" applyFill="1" applyBorder="1" applyAlignment="1">
      <alignment horizontal="center"/>
    </xf>
    <xf numFmtId="0" fontId="42" fillId="0" borderId="81" xfId="16" applyFont="1" applyFill="1" applyBorder="1" applyAlignment="1">
      <alignment horizontal="center"/>
    </xf>
    <xf numFmtId="0" fontId="17" fillId="0" borderId="81" xfId="16" applyFont="1" applyFill="1" applyBorder="1" applyAlignment="1">
      <alignment horizontal="center"/>
    </xf>
    <xf numFmtId="0" fontId="1" fillId="5" borderId="81" xfId="16" applyFont="1" applyFill="1" applyBorder="1" applyAlignment="1">
      <alignment horizontal="center"/>
    </xf>
    <xf numFmtId="0" fontId="0" fillId="11" borderId="36" xfId="22" applyFont="1" applyFill="1" applyBorder="1"/>
    <xf numFmtId="0" fontId="0" fillId="11" borderId="54" xfId="22" applyFont="1" applyFill="1" applyBorder="1"/>
    <xf numFmtId="0" fontId="0" fillId="5" borderId="81" xfId="16" applyFont="1" applyFill="1" applyBorder="1" applyAlignment="1">
      <alignment horizontal="center"/>
    </xf>
    <xf numFmtId="20" fontId="15" fillId="9" borderId="0" xfId="21" applyNumberFormat="1" applyFont="1" applyFill="1" applyBorder="1" applyAlignment="1">
      <alignment horizontal="left" vertical="center"/>
    </xf>
    <xf numFmtId="0" fontId="19" fillId="0" borderId="0" xfId="21" applyFont="1" applyFill="1" applyBorder="1" applyAlignment="1">
      <alignment vertical="center"/>
    </xf>
    <xf numFmtId="165" fontId="1" fillId="0" borderId="0" xfId="21" applyNumberFormat="1" applyFont="1" applyFill="1" applyBorder="1" applyAlignment="1">
      <alignment horizontal="right" vertical="center"/>
    </xf>
    <xf numFmtId="0" fontId="15" fillId="0" borderId="0" xfId="21" applyFont="1" applyFill="1" applyBorder="1" applyAlignment="1">
      <alignment vertical="center"/>
    </xf>
    <xf numFmtId="0" fontId="0" fillId="0" borderId="35" xfId="0" applyFont="1" applyBorder="1" applyAlignment="1">
      <alignment wrapText="1"/>
    </xf>
    <xf numFmtId="0" fontId="1" fillId="0" borderId="0" xfId="25" applyFont="1" applyBorder="1" applyAlignment="1"/>
    <xf numFmtId="1" fontId="1" fillId="4" borderId="0" xfId="8" applyNumberFormat="1" applyFont="1" applyFill="1" applyBorder="1" applyAlignment="1">
      <alignment horizontal="center"/>
    </xf>
    <xf numFmtId="167" fontId="1" fillId="4" borderId="0" xfId="8" applyNumberFormat="1" applyFont="1" applyFill="1" applyBorder="1" applyAlignment="1">
      <alignment horizontal="center"/>
    </xf>
    <xf numFmtId="0" fontId="1" fillId="4" borderId="0" xfId="25" applyFont="1" applyFill="1" applyBorder="1" applyAlignment="1"/>
    <xf numFmtId="0" fontId="0" fillId="5" borderId="80" xfId="16" applyFont="1" applyFill="1" applyBorder="1" applyAlignment="1">
      <alignment horizontal="center"/>
    </xf>
    <xf numFmtId="0" fontId="0" fillId="0" borderId="0" xfId="21" applyNumberFormat="1" applyFont="1" applyFill="1" applyBorder="1" applyAlignment="1">
      <alignment horizontal="left"/>
    </xf>
    <xf numFmtId="49" fontId="1" fillId="0" borderId="0" xfId="5" applyNumberFormat="1" applyFont="1" applyFill="1" applyBorder="1"/>
    <xf numFmtId="0" fontId="20" fillId="0" borderId="0" xfId="33" applyFill="1" applyBorder="1"/>
    <xf numFmtId="0" fontId="22" fillId="0" borderId="0" xfId="33" applyFont="1" applyFill="1" applyBorder="1" applyAlignment="1"/>
    <xf numFmtId="0" fontId="1" fillId="0" borderId="0" xfId="6" applyFont="1" applyFill="1" applyBorder="1" applyAlignment="1">
      <alignment horizontal="left"/>
    </xf>
    <xf numFmtId="166" fontId="1" fillId="0" borderId="0" xfId="21" applyNumberFormat="1" applyFont="1" applyFill="1" applyBorder="1" applyAlignment="1">
      <alignment horizontal="center"/>
    </xf>
    <xf numFmtId="167" fontId="1" fillId="0" borderId="0" xfId="21" applyNumberFormat="1" applyFont="1" applyFill="1" applyBorder="1" applyAlignment="1">
      <alignment horizontal="center"/>
    </xf>
    <xf numFmtId="0" fontId="18" fillId="0" borderId="0" xfId="22" applyFont="1" applyAlignment="1"/>
    <xf numFmtId="0" fontId="4" fillId="0" borderId="0" xfId="22" applyFont="1" applyAlignment="1"/>
    <xf numFmtId="0" fontId="4" fillId="0" borderId="0" xfId="0" applyFont="1" applyAlignment="1"/>
    <xf numFmtId="0" fontId="4" fillId="0" borderId="0" xfId="33" applyFont="1" applyAlignment="1"/>
    <xf numFmtId="0" fontId="58" fillId="0" borderId="0" xfId="33" applyFont="1" applyFill="1" applyAlignment="1"/>
    <xf numFmtId="0" fontId="18" fillId="4" borderId="5" xfId="22" applyFont="1" applyFill="1" applyBorder="1" applyAlignment="1"/>
    <xf numFmtId="0" fontId="18" fillId="4" borderId="6" xfId="22" applyFont="1" applyFill="1" applyBorder="1" applyAlignment="1"/>
    <xf numFmtId="0" fontId="18" fillId="4" borderId="7" xfId="22" applyFont="1" applyFill="1" applyBorder="1" applyAlignment="1"/>
    <xf numFmtId="0" fontId="4" fillId="0" borderId="0" xfId="14" applyFont="1" applyFill="1" applyBorder="1" applyAlignment="1"/>
    <xf numFmtId="0" fontId="18" fillId="0" borderId="0" xfId="14" applyFont="1" applyFill="1" applyBorder="1" applyAlignment="1"/>
    <xf numFmtId="0" fontId="18" fillId="8" borderId="66" xfId="14" applyFont="1" applyFill="1" applyBorder="1" applyAlignment="1"/>
    <xf numFmtId="0" fontId="18" fillId="0" borderId="67" xfId="14" applyFont="1" applyFill="1" applyBorder="1" applyAlignment="1"/>
    <xf numFmtId="0" fontId="4" fillId="0" borderId="9" xfId="14" applyFont="1" applyFill="1" applyBorder="1" applyAlignment="1"/>
    <xf numFmtId="0" fontId="4" fillId="0" borderId="10" xfId="14" applyFont="1" applyBorder="1" applyAlignment="1"/>
    <xf numFmtId="0" fontId="18" fillId="0" borderId="10" xfId="14" applyFont="1" applyFill="1" applyBorder="1" applyAlignment="1"/>
    <xf numFmtId="0" fontId="18" fillId="0" borderId="11" xfId="14" applyFont="1" applyFill="1" applyBorder="1" applyAlignment="1"/>
    <xf numFmtId="0" fontId="18" fillId="0" borderId="25" xfId="14" applyFont="1" applyFill="1" applyBorder="1" applyAlignment="1"/>
    <xf numFmtId="0" fontId="4" fillId="0" borderId="68" xfId="0" applyFont="1" applyFill="1" applyBorder="1" applyAlignment="1"/>
    <xf numFmtId="0" fontId="18" fillId="8" borderId="15" xfId="14" applyFont="1" applyFill="1" applyBorder="1" applyAlignment="1"/>
    <xf numFmtId="0" fontId="18" fillId="8" borderId="16" xfId="14" applyFont="1" applyFill="1" applyBorder="1" applyAlignment="1"/>
    <xf numFmtId="0" fontId="4" fillId="0" borderId="0" xfId="14" applyFont="1" applyFill="1" applyAlignment="1"/>
    <xf numFmtId="0" fontId="4" fillId="0" borderId="0" xfId="14" applyFont="1" applyAlignment="1"/>
    <xf numFmtId="0" fontId="4" fillId="0" borderId="25" xfId="14" applyFont="1" applyBorder="1" applyAlignment="1"/>
    <xf numFmtId="0" fontId="4" fillId="0" borderId="0" xfId="22" applyFont="1" applyFill="1" applyAlignment="1"/>
    <xf numFmtId="0" fontId="4" fillId="0" borderId="17" xfId="14" applyFont="1" applyFill="1" applyBorder="1" applyAlignment="1"/>
    <xf numFmtId="0" fontId="4" fillId="0" borderId="12" xfId="14" applyFont="1" applyFill="1" applyBorder="1" applyAlignment="1"/>
    <xf numFmtId="0" fontId="18" fillId="0" borderId="14" xfId="14" applyFont="1" applyFill="1" applyBorder="1" applyAlignment="1"/>
    <xf numFmtId="0" fontId="4" fillId="0" borderId="8" xfId="22" applyFont="1" applyFill="1" applyBorder="1" applyAlignment="1"/>
    <xf numFmtId="0" fontId="18" fillId="0" borderId="0" xfId="22" applyFont="1" applyFill="1" applyAlignment="1"/>
    <xf numFmtId="0" fontId="4" fillId="0" borderId="17" xfId="22" applyFont="1" applyFill="1" applyBorder="1" applyAlignment="1"/>
    <xf numFmtId="0" fontId="18" fillId="0" borderId="18" xfId="22" applyFont="1" applyFill="1" applyBorder="1" applyAlignment="1"/>
    <xf numFmtId="0" fontId="4" fillId="0" borderId="12" xfId="22" applyFont="1" applyBorder="1" applyAlignment="1"/>
    <xf numFmtId="0" fontId="18" fillId="0" borderId="18" xfId="22" applyFont="1" applyBorder="1" applyAlignment="1"/>
    <xf numFmtId="0" fontId="18" fillId="0" borderId="12" xfId="22" applyFont="1" applyBorder="1" applyAlignment="1"/>
    <xf numFmtId="0" fontId="18" fillId="0" borderId="0" xfId="22" applyFont="1" applyBorder="1" applyAlignment="1"/>
    <xf numFmtId="0" fontId="4" fillId="0" borderId="18" xfId="14" applyFont="1" applyFill="1" applyBorder="1" applyAlignment="1"/>
    <xf numFmtId="0" fontId="18" fillId="0" borderId="24" xfId="14" applyFont="1" applyFill="1" applyBorder="1" applyAlignment="1"/>
    <xf numFmtId="0" fontId="18" fillId="0" borderId="71" xfId="22" applyFont="1" applyFill="1" applyBorder="1" applyAlignment="1"/>
    <xf numFmtId="0" fontId="4" fillId="0" borderId="72" xfId="22" applyFont="1" applyBorder="1" applyAlignment="1"/>
    <xf numFmtId="0" fontId="18" fillId="0" borderId="71" xfId="22" applyFont="1" applyBorder="1" applyAlignment="1"/>
    <xf numFmtId="0" fontId="4" fillId="0" borderId="74" xfId="5" applyFont="1" applyFill="1" applyBorder="1" applyAlignment="1"/>
    <xf numFmtId="0" fontId="18" fillId="8" borderId="50" xfId="5" applyFont="1" applyFill="1" applyBorder="1" applyAlignment="1"/>
    <xf numFmtId="0" fontId="4" fillId="0" borderId="48" xfId="5" applyFont="1" applyFill="1" applyBorder="1" applyAlignment="1"/>
    <xf numFmtId="0" fontId="18" fillId="8" borderId="49" xfId="5" applyFont="1" applyFill="1" applyBorder="1" applyAlignment="1"/>
    <xf numFmtId="0" fontId="4" fillId="0" borderId="17" xfId="5" applyFont="1" applyFill="1" applyBorder="1" applyAlignment="1"/>
    <xf numFmtId="0" fontId="18" fillId="0" borderId="25" xfId="5" applyFont="1" applyFill="1" applyBorder="1" applyAlignment="1"/>
    <xf numFmtId="0" fontId="4" fillId="0" borderId="0" xfId="5" applyFont="1" applyFill="1" applyBorder="1" applyAlignment="1"/>
    <xf numFmtId="0" fontId="18" fillId="0" borderId="0" xfId="5" applyFont="1" applyFill="1" applyBorder="1" applyAlignment="1"/>
    <xf numFmtId="0" fontId="18" fillId="0" borderId="14" xfId="5" applyFont="1" applyFill="1" applyBorder="1" applyAlignment="1"/>
    <xf numFmtId="0" fontId="4" fillId="0" borderId="87" xfId="22" applyFont="1" applyFill="1" applyBorder="1" applyAlignment="1"/>
    <xf numFmtId="0" fontId="18" fillId="8" borderId="88" xfId="22" applyFont="1" applyFill="1" applyBorder="1" applyAlignment="1"/>
    <xf numFmtId="0" fontId="4" fillId="0" borderId="89" xfId="22" applyFont="1" applyFill="1" applyBorder="1" applyAlignment="1"/>
    <xf numFmtId="0" fontId="18" fillId="8" borderId="94" xfId="22" applyFont="1" applyFill="1" applyBorder="1" applyAlignment="1"/>
    <xf numFmtId="0" fontId="18" fillId="8" borderId="47" xfId="22" applyFont="1" applyFill="1" applyBorder="1" applyAlignment="1"/>
    <xf numFmtId="0" fontId="4" fillId="0" borderId="21" xfId="22" applyFont="1" applyFill="1" applyBorder="1" applyAlignment="1"/>
    <xf numFmtId="0" fontId="18" fillId="8" borderId="23" xfId="22" applyFont="1" applyFill="1" applyBorder="1" applyAlignment="1"/>
    <xf numFmtId="0" fontId="18" fillId="8" borderId="26" xfId="5" applyFont="1" applyFill="1" applyBorder="1" applyAlignment="1"/>
    <xf numFmtId="0" fontId="18" fillId="8" borderId="91" xfId="5" applyFont="1" applyFill="1" applyBorder="1" applyAlignment="1"/>
    <xf numFmtId="0" fontId="4" fillId="0" borderId="12" xfId="22" applyFont="1" applyFill="1" applyBorder="1" applyAlignment="1"/>
    <xf numFmtId="0" fontId="18" fillId="0" borderId="13" xfId="22" applyFont="1" applyFill="1" applyBorder="1" applyAlignment="1"/>
    <xf numFmtId="0" fontId="18" fillId="0" borderId="0" xfId="22" applyFont="1" applyFill="1" applyBorder="1" applyAlignment="1"/>
    <xf numFmtId="0" fontId="4" fillId="0" borderId="95" xfId="22" applyFont="1" applyFill="1" applyBorder="1" applyAlignment="1"/>
    <xf numFmtId="0" fontId="18" fillId="0" borderId="84" xfId="22" applyFont="1" applyBorder="1" applyAlignment="1"/>
    <xf numFmtId="0" fontId="18" fillId="0" borderId="85" xfId="22" applyFont="1" applyBorder="1" applyAlignment="1"/>
    <xf numFmtId="0" fontId="18" fillId="0" borderId="86" xfId="22" applyFont="1" applyFill="1" applyBorder="1" applyAlignment="1"/>
    <xf numFmtId="0" fontId="4" fillId="0" borderId="92" xfId="0" applyFont="1" applyFill="1" applyBorder="1" applyAlignment="1"/>
    <xf numFmtId="0" fontId="18" fillId="0" borderId="90" xfId="5" applyFont="1" applyFill="1" applyBorder="1" applyAlignment="1"/>
    <xf numFmtId="0" fontId="18" fillId="0" borderId="12" xfId="0" applyFont="1" applyFill="1" applyBorder="1" applyAlignment="1"/>
    <xf numFmtId="0" fontId="18" fillId="0" borderId="18" xfId="14" applyFont="1" applyFill="1" applyBorder="1" applyAlignment="1"/>
    <xf numFmtId="0" fontId="4" fillId="0" borderId="14" xfId="22" applyFont="1" applyBorder="1" applyAlignment="1"/>
    <xf numFmtId="0" fontId="18" fillId="5" borderId="18" xfId="22" applyFont="1" applyFill="1" applyBorder="1" applyAlignment="1"/>
    <xf numFmtId="0" fontId="18" fillId="0" borderId="0" xfId="0" applyFont="1" applyFill="1" applyBorder="1" applyAlignment="1"/>
    <xf numFmtId="0" fontId="4" fillId="0" borderId="21" xfId="14" applyFont="1" applyFill="1" applyBorder="1" applyAlignment="1"/>
    <xf numFmtId="0" fontId="18" fillId="8" borderId="47" xfId="14" applyFont="1" applyFill="1" applyBorder="1" applyAlignment="1"/>
    <xf numFmtId="0" fontId="4" fillId="0" borderId="20" xfId="14" applyFont="1" applyFill="1" applyBorder="1" applyAlignment="1"/>
    <xf numFmtId="0" fontId="18" fillId="0" borderId="20" xfId="14" applyFont="1" applyFill="1" applyBorder="1" applyAlignment="1"/>
    <xf numFmtId="0" fontId="18" fillId="5" borderId="18" xfId="14" applyFont="1" applyFill="1" applyBorder="1" applyAlignment="1"/>
    <xf numFmtId="0" fontId="4" fillId="0" borderId="58" xfId="14" applyFont="1" applyFill="1" applyBorder="1" applyAlignment="1"/>
    <xf numFmtId="0" fontId="18" fillId="0" borderId="69" xfId="14" applyFont="1" applyFill="1" applyBorder="1" applyAlignment="1"/>
    <xf numFmtId="0" fontId="4" fillId="0" borderId="59" xfId="14" applyFont="1" applyFill="1" applyBorder="1" applyAlignment="1"/>
    <xf numFmtId="0" fontId="18" fillId="0" borderId="59" xfId="14" applyFont="1" applyFill="1" applyBorder="1" applyAlignment="1"/>
    <xf numFmtId="0" fontId="18" fillId="0" borderId="69" xfId="22" applyFont="1" applyFill="1" applyBorder="1" applyAlignment="1"/>
    <xf numFmtId="0" fontId="18" fillId="5" borderId="84" xfId="14" applyFont="1" applyFill="1" applyBorder="1" applyAlignment="1"/>
    <xf numFmtId="0" fontId="18" fillId="8" borderId="23" xfId="14" applyFont="1" applyFill="1" applyBorder="1" applyAlignment="1"/>
    <xf numFmtId="0" fontId="4" fillId="0" borderId="58" xfId="2" applyFont="1" applyFill="1" applyBorder="1" applyAlignment="1"/>
    <xf numFmtId="0" fontId="4" fillId="0" borderId="85" xfId="14" applyFont="1" applyFill="1" applyBorder="1" applyAlignment="1"/>
    <xf numFmtId="0" fontId="18" fillId="0" borderId="84" xfId="22" applyFont="1" applyFill="1" applyBorder="1" applyAlignment="1"/>
    <xf numFmtId="0" fontId="18" fillId="0" borderId="73" xfId="5" applyFont="1" applyFill="1" applyBorder="1" applyAlignment="1"/>
    <xf numFmtId="0" fontId="18" fillId="8" borderId="91" xfId="14" applyFont="1" applyFill="1" applyBorder="1" applyAlignment="1"/>
    <xf numFmtId="0" fontId="4" fillId="0" borderId="87" xfId="14" applyFont="1" applyFill="1" applyBorder="1" applyAlignment="1"/>
    <xf numFmtId="0" fontId="4" fillId="0" borderId="21" xfId="33" applyFont="1" applyFill="1" applyBorder="1" applyAlignment="1"/>
    <xf numFmtId="0" fontId="4" fillId="0" borderId="101" xfId="22" applyFont="1" applyBorder="1" applyAlignment="1"/>
    <xf numFmtId="0" fontId="18" fillId="0" borderId="86" xfId="14" applyFont="1" applyFill="1" applyBorder="1" applyAlignment="1"/>
    <xf numFmtId="0" fontId="4" fillId="0" borderId="85" xfId="22" applyFont="1" applyFill="1" applyBorder="1" applyAlignment="1"/>
    <xf numFmtId="49" fontId="18" fillId="7" borderId="0" xfId="5" applyNumberFormat="1" applyFont="1" applyFill="1" applyAlignment="1"/>
    <xf numFmtId="0" fontId="18" fillId="7" borderId="0" xfId="22" applyFont="1" applyFill="1" applyBorder="1" applyAlignment="1"/>
    <xf numFmtId="0" fontId="4" fillId="0" borderId="0" xfId="22" applyFont="1" applyBorder="1" applyAlignment="1"/>
    <xf numFmtId="0" fontId="4" fillId="0" borderId="101" xfId="22" applyFont="1" applyFill="1" applyBorder="1" applyAlignment="1"/>
    <xf numFmtId="0" fontId="4" fillId="0" borderId="95" xfId="14" applyFont="1" applyFill="1" applyBorder="1" applyAlignment="1"/>
    <xf numFmtId="0" fontId="18" fillId="0" borderId="87" xfId="22" applyFont="1" applyBorder="1" applyAlignment="1"/>
    <xf numFmtId="0" fontId="18" fillId="0" borderId="89" xfId="22" applyFont="1" applyBorder="1" applyAlignment="1"/>
    <xf numFmtId="0" fontId="18" fillId="8" borderId="15" xfId="22" applyFont="1" applyFill="1" applyBorder="1" applyAlignment="1"/>
    <xf numFmtId="0" fontId="18" fillId="0" borderId="12" xfId="22" applyFont="1" applyFill="1" applyBorder="1" applyAlignment="1"/>
    <xf numFmtId="0" fontId="4" fillId="0" borderId="0" xfId="0" applyFont="1" applyFill="1" applyAlignment="1"/>
    <xf numFmtId="0" fontId="4" fillId="0" borderId="87" xfId="22" applyFont="1" applyBorder="1" applyAlignment="1"/>
    <xf numFmtId="0" fontId="18" fillId="8" borderId="93" xfId="22" applyFont="1" applyFill="1" applyBorder="1" applyAlignment="1"/>
    <xf numFmtId="0" fontId="58" fillId="0" borderId="87" xfId="33" applyFont="1" applyFill="1" applyBorder="1" applyAlignment="1"/>
    <xf numFmtId="0" fontId="4" fillId="0" borderId="86" xfId="22" applyFont="1" applyFill="1" applyBorder="1" applyAlignment="1"/>
    <xf numFmtId="0" fontId="18" fillId="0" borderId="85" xfId="22" applyFont="1" applyFill="1" applyBorder="1" applyAlignment="1"/>
    <xf numFmtId="0" fontId="18" fillId="0" borderId="90" xfId="22" applyFont="1" applyFill="1" applyBorder="1" applyAlignment="1"/>
    <xf numFmtId="0" fontId="18" fillId="8" borderId="91" xfId="22" applyFont="1" applyFill="1" applyBorder="1" applyAlignment="1"/>
    <xf numFmtId="0" fontId="4" fillId="0" borderId="87" xfId="33" applyFont="1" applyFill="1" applyBorder="1" applyAlignment="1"/>
    <xf numFmtId="0" fontId="4" fillId="0" borderId="18" xfId="1" applyFont="1" applyFill="1" applyBorder="1" applyAlignment="1"/>
    <xf numFmtId="0" fontId="4" fillId="0" borderId="85" xfId="22" applyFont="1" applyBorder="1" applyAlignment="1"/>
    <xf numFmtId="0" fontId="18" fillId="0" borderId="86" xfId="22" applyFont="1" applyBorder="1" applyAlignment="1"/>
    <xf numFmtId="0" fontId="4" fillId="0" borderId="85" xfId="33" applyFont="1" applyFill="1" applyBorder="1" applyAlignment="1"/>
    <xf numFmtId="0" fontId="18" fillId="8" borderId="65" xfId="22" applyFont="1" applyFill="1" applyBorder="1" applyAlignment="1"/>
    <xf numFmtId="0" fontId="18" fillId="5" borderId="84" xfId="22" applyFont="1" applyFill="1" applyBorder="1" applyAlignment="1"/>
    <xf numFmtId="0" fontId="18" fillId="0" borderId="21" xfId="22" applyFont="1" applyFill="1" applyBorder="1" applyAlignment="1"/>
    <xf numFmtId="0" fontId="18" fillId="0" borderId="87" xfId="22" applyFont="1" applyFill="1" applyBorder="1" applyAlignment="1"/>
    <xf numFmtId="0" fontId="18" fillId="0" borderId="58" xfId="22" applyFont="1" applyFill="1" applyBorder="1" applyAlignment="1"/>
    <xf numFmtId="0" fontId="4" fillId="0" borderId="69" xfId="22" applyFont="1" applyFill="1" applyBorder="1" applyAlignment="1">
      <alignment horizontal="right"/>
    </xf>
    <xf numFmtId="0" fontId="4" fillId="0" borderId="58" xfId="22" applyFont="1" applyFill="1" applyBorder="1" applyAlignment="1"/>
    <xf numFmtId="0" fontId="4" fillId="0" borderId="12" xfId="0" applyFont="1" applyBorder="1" applyAlignment="1"/>
    <xf numFmtId="0" fontId="58" fillId="0" borderId="85" xfId="33" applyFont="1" applyFill="1" applyBorder="1" applyAlignment="1"/>
    <xf numFmtId="49" fontId="18" fillId="7" borderId="0" xfId="5" applyNumberFormat="1" applyFont="1" applyFill="1" applyBorder="1" applyAlignment="1"/>
    <xf numFmtId="0" fontId="4" fillId="0" borderId="89" xfId="14" applyFont="1" applyFill="1" applyBorder="1" applyAlignment="1"/>
    <xf numFmtId="0" fontId="18" fillId="8" borderId="19" xfId="22" applyFont="1" applyFill="1" applyBorder="1" applyAlignment="1"/>
    <xf numFmtId="0" fontId="18" fillId="0" borderId="84" xfId="14" applyFont="1" applyFill="1" applyBorder="1" applyAlignment="1"/>
    <xf numFmtId="0" fontId="58" fillId="0" borderId="12" xfId="33" applyFont="1" applyBorder="1" applyAlignment="1"/>
    <xf numFmtId="0" fontId="18" fillId="0" borderId="55" xfId="14" applyFont="1" applyFill="1" applyBorder="1" applyAlignment="1"/>
    <xf numFmtId="0" fontId="4" fillId="0" borderId="20" xfId="22" applyFont="1" applyFill="1" applyBorder="1" applyAlignment="1"/>
    <xf numFmtId="0" fontId="18" fillId="0" borderId="20" xfId="22" applyFont="1" applyFill="1" applyBorder="1" applyAlignment="1"/>
    <xf numFmtId="0" fontId="18" fillId="0" borderId="103" xfId="22" applyFont="1" applyFill="1" applyBorder="1" applyAlignment="1"/>
    <xf numFmtId="0" fontId="18" fillId="0" borderId="8" xfId="22" applyFont="1" applyFill="1" applyBorder="1" applyAlignment="1"/>
    <xf numFmtId="0" fontId="18" fillId="0" borderId="25" xfId="22" applyFont="1" applyFill="1" applyBorder="1" applyAlignment="1"/>
    <xf numFmtId="0" fontId="4" fillId="0" borderId="0" xfId="0" applyFont="1" applyFill="1" applyBorder="1" applyAlignment="1"/>
    <xf numFmtId="0" fontId="4" fillId="0" borderId="18" xfId="22" applyFont="1" applyBorder="1" applyAlignment="1"/>
    <xf numFmtId="0" fontId="4" fillId="0" borderId="84" xfId="22" applyFont="1" applyBorder="1" applyAlignment="1"/>
    <xf numFmtId="0" fontId="4" fillId="0" borderId="87" xfId="5" applyFont="1" applyFill="1" applyBorder="1" applyAlignment="1"/>
    <xf numFmtId="0" fontId="4" fillId="0" borderId="97" xfId="5" applyFont="1" applyFill="1" applyBorder="1" applyAlignment="1"/>
    <xf numFmtId="0" fontId="18" fillId="8" borderId="98" xfId="5" applyFont="1" applyFill="1" applyBorder="1" applyAlignment="1"/>
    <xf numFmtId="0" fontId="4" fillId="0" borderId="89" xfId="5" applyFont="1" applyFill="1" applyBorder="1" applyAlignment="1"/>
    <xf numFmtId="0" fontId="4" fillId="0" borderId="97" xfId="14" applyFont="1" applyFill="1" applyBorder="1" applyAlignment="1"/>
    <xf numFmtId="0" fontId="4" fillId="0" borderId="12" xfId="5" applyFont="1" applyFill="1" applyBorder="1" applyAlignment="1"/>
    <xf numFmtId="0" fontId="4" fillId="0" borderId="12" xfId="0" applyFont="1" applyBorder="1"/>
    <xf numFmtId="0" fontId="4" fillId="0" borderId="18" xfId="0" applyFont="1" applyBorder="1"/>
    <xf numFmtId="0" fontId="4" fillId="0" borderId="0" xfId="0" applyFont="1" applyBorder="1"/>
    <xf numFmtId="0" fontId="4" fillId="0" borderId="83" xfId="0" applyFont="1" applyBorder="1"/>
    <xf numFmtId="0" fontId="4" fillId="0" borderId="12" xfId="5" applyFont="1" applyFill="1" applyBorder="1" applyAlignment="1">
      <alignment vertical="top"/>
    </xf>
    <xf numFmtId="0" fontId="18" fillId="0" borderId="99" xfId="5" applyFont="1" applyFill="1" applyBorder="1" applyAlignment="1"/>
    <xf numFmtId="0" fontId="60" fillId="0" borderId="0" xfId="33" applyFont="1" applyFill="1" applyBorder="1" applyAlignment="1">
      <alignment horizontal="center" vertical="top"/>
    </xf>
    <xf numFmtId="0" fontId="4" fillId="0" borderId="85" xfId="5" applyFont="1" applyFill="1" applyBorder="1" applyAlignment="1"/>
    <xf numFmtId="0" fontId="18" fillId="0" borderId="86" xfId="5" applyFont="1" applyFill="1" applyBorder="1" applyAlignment="1"/>
    <xf numFmtId="0" fontId="4" fillId="0" borderId="85" xfId="0" applyFont="1" applyBorder="1"/>
    <xf numFmtId="0" fontId="4" fillId="0" borderId="84" xfId="0" applyFont="1" applyBorder="1"/>
    <xf numFmtId="0" fontId="4" fillId="0" borderId="86" xfId="0" applyFont="1" applyBorder="1"/>
    <xf numFmtId="0" fontId="4" fillId="0" borderId="85" xfId="5" applyFont="1" applyFill="1" applyBorder="1" applyAlignment="1">
      <alignment vertical="top"/>
    </xf>
    <xf numFmtId="0" fontId="4" fillId="0" borderId="84" xfId="5" applyFont="1" applyFill="1" applyBorder="1" applyAlignment="1">
      <alignment horizontal="right" vertical="top"/>
    </xf>
    <xf numFmtId="0" fontId="61" fillId="0" borderId="86" xfId="33" applyFont="1" applyFill="1" applyBorder="1" applyAlignment="1">
      <alignment horizontal="center" vertical="top"/>
    </xf>
    <xf numFmtId="0" fontId="4" fillId="5" borderId="0" xfId="0" applyFont="1" applyFill="1" applyAlignment="1"/>
    <xf numFmtId="164" fontId="18" fillId="0" borderId="0" xfId="19" applyNumberFormat="1" applyFont="1" applyAlignment="1">
      <alignment horizontal="left"/>
    </xf>
    <xf numFmtId="20" fontId="18" fillId="0" borderId="0" xfId="19" applyNumberFormat="1" applyFont="1" applyAlignment="1">
      <alignment horizontal="left"/>
    </xf>
    <xf numFmtId="0" fontId="4" fillId="0" borderId="0" xfId="19" applyFont="1" applyAlignment="1"/>
    <xf numFmtId="0" fontId="4" fillId="0" borderId="0" xfId="19" applyFont="1" applyAlignment="1">
      <alignment horizontal="center"/>
    </xf>
    <xf numFmtId="165" fontId="4" fillId="0" borderId="0" xfId="19" applyNumberFormat="1" applyFont="1" applyAlignment="1">
      <alignment horizontal="right"/>
    </xf>
    <xf numFmtId="0" fontId="4" fillId="0" borderId="18" xfId="5" applyFont="1" applyFill="1" applyBorder="1" applyAlignment="1">
      <alignment horizontal="right"/>
    </xf>
    <xf numFmtId="0" fontId="18" fillId="15" borderId="47" xfId="14" applyFont="1" applyFill="1" applyBorder="1" applyAlignment="1"/>
    <xf numFmtId="0" fontId="4" fillId="0" borderId="18" xfId="33" applyFont="1" applyFill="1" applyBorder="1" applyAlignment="1"/>
    <xf numFmtId="0" fontId="58" fillId="0" borderId="55" xfId="33" applyFont="1" applyFill="1" applyBorder="1" applyAlignment="1"/>
    <xf numFmtId="0" fontId="14" fillId="0" borderId="0" xfId="0" applyFont="1" applyAlignment="1"/>
    <xf numFmtId="0" fontId="4" fillId="5" borderId="0" xfId="0" applyFont="1" applyFill="1" applyBorder="1" applyAlignment="1"/>
    <xf numFmtId="0" fontId="28" fillId="0" borderId="0" xfId="0" applyFont="1" applyAlignment="1">
      <alignment horizontal="right"/>
    </xf>
    <xf numFmtId="0" fontId="33" fillId="0" borderId="81" xfId="8" applyFont="1" applyBorder="1" applyAlignment="1">
      <alignment vertical="top" wrapText="1"/>
    </xf>
    <xf numFmtId="0" fontId="0" fillId="4" borderId="104" xfId="8" applyFont="1" applyFill="1" applyBorder="1" applyAlignment="1">
      <alignment horizontal="center"/>
    </xf>
    <xf numFmtId="0" fontId="36" fillId="0" borderId="81" xfId="8" applyFont="1" applyFill="1" applyBorder="1" applyAlignment="1"/>
    <xf numFmtId="0" fontId="17" fillId="0" borderId="81" xfId="8" applyFont="1" applyFill="1" applyBorder="1" applyAlignment="1"/>
    <xf numFmtId="0" fontId="1" fillId="0" borderId="44" xfId="8" applyFont="1" applyFill="1" applyBorder="1" applyAlignment="1"/>
    <xf numFmtId="0" fontId="0" fillId="0" borderId="0" xfId="0" applyAlignment="1">
      <alignment horizontal="center"/>
    </xf>
    <xf numFmtId="0" fontId="18" fillId="16" borderId="18" xfId="22" applyFont="1" applyFill="1" applyBorder="1" applyAlignment="1"/>
    <xf numFmtId="0" fontId="63" fillId="0" borderId="84" xfId="22" applyFont="1" applyFill="1" applyBorder="1" applyAlignment="1"/>
    <xf numFmtId="0" fontId="23" fillId="0" borderId="0" xfId="21" applyFont="1" applyFill="1" applyBorder="1" applyAlignment="1">
      <alignment vertical="center"/>
    </xf>
    <xf numFmtId="165" fontId="0" fillId="0" borderId="0" xfId="19" applyNumberFormat="1" applyFont="1" applyAlignment="1">
      <alignment horizontal="center"/>
    </xf>
    <xf numFmtId="0" fontId="27" fillId="0" borderId="12" xfId="33" applyFont="1" applyFill="1" applyBorder="1" applyAlignment="1"/>
    <xf numFmtId="0" fontId="27" fillId="0" borderId="22" xfId="33" applyFont="1" applyFill="1" applyBorder="1" applyAlignment="1"/>
    <xf numFmtId="0" fontId="18" fillId="0" borderId="105" xfId="22" applyFont="1" applyFill="1" applyBorder="1" applyAlignment="1"/>
    <xf numFmtId="0" fontId="4" fillId="0" borderId="86" xfId="0" applyFont="1" applyBorder="1" applyAlignment="1"/>
    <xf numFmtId="0" fontId="0" fillId="0" borderId="42" xfId="8" applyFont="1" applyFill="1" applyBorder="1" applyAlignment="1"/>
    <xf numFmtId="0" fontId="1" fillId="5" borderId="3" xfId="16" applyFont="1" applyFill="1" applyBorder="1" applyAlignment="1">
      <alignment horizontal="center"/>
    </xf>
    <xf numFmtId="0" fontId="58" fillId="0" borderId="12" xfId="33" applyFont="1" applyFill="1" applyBorder="1" applyAlignment="1"/>
    <xf numFmtId="0" fontId="58" fillId="0" borderId="85" xfId="33" applyFont="1" applyBorder="1" applyAlignment="1"/>
    <xf numFmtId="0" fontId="4" fillId="16" borderId="12" xfId="22" applyFont="1" applyFill="1" applyBorder="1" applyAlignment="1"/>
    <xf numFmtId="0" fontId="57" fillId="0" borderId="103" xfId="33" applyFont="1" applyBorder="1" applyAlignment="1"/>
    <xf numFmtId="0" fontId="4" fillId="0" borderId="79" xfId="21" applyFont="1" applyFill="1" applyBorder="1" applyAlignment="1">
      <alignment vertical="center"/>
    </xf>
    <xf numFmtId="0" fontId="4" fillId="0" borderId="79" xfId="21" applyFont="1" applyFill="1" applyBorder="1" applyAlignment="1"/>
    <xf numFmtId="165" fontId="4" fillId="0" borderId="79" xfId="21" applyNumberFormat="1" applyFont="1" applyFill="1" applyBorder="1" applyAlignment="1">
      <alignment horizontal="center" vertical="center"/>
    </xf>
    <xf numFmtId="167" fontId="4" fillId="0" borderId="79" xfId="21" applyNumberFormat="1" applyFont="1" applyFill="1" applyBorder="1" applyAlignment="1">
      <alignment horizontal="center" vertical="center"/>
    </xf>
    <xf numFmtId="0" fontId="4" fillId="0" borderId="0" xfId="21" applyFont="1" applyFill="1" applyBorder="1" applyAlignment="1">
      <alignment vertical="center"/>
    </xf>
    <xf numFmtId="0" fontId="4" fillId="0" borderId="0" xfId="21" applyFont="1" applyFill="1" applyBorder="1" applyAlignment="1"/>
    <xf numFmtId="165" fontId="4" fillId="0" borderId="0" xfId="21" applyNumberFormat="1" applyFont="1" applyFill="1" applyBorder="1" applyAlignment="1">
      <alignment horizontal="center" vertical="center"/>
    </xf>
    <xf numFmtId="167" fontId="4" fillId="0" borderId="0" xfId="21" applyNumberFormat="1" applyFont="1" applyFill="1" applyBorder="1" applyAlignment="1">
      <alignment horizontal="center" vertical="center"/>
    </xf>
    <xf numFmtId="0" fontId="18" fillId="9" borderId="79" xfId="21" quotePrefix="1" applyNumberFormat="1" applyFont="1" applyFill="1" applyBorder="1" applyAlignment="1">
      <alignment horizontal="left" vertical="center"/>
    </xf>
    <xf numFmtId="20" fontId="4" fillId="9" borderId="79" xfId="21" applyNumberFormat="1" applyFont="1" applyFill="1" applyBorder="1" applyAlignment="1">
      <alignment horizontal="left" vertical="center"/>
    </xf>
    <xf numFmtId="0" fontId="18" fillId="9" borderId="0" xfId="21" quotePrefix="1" applyNumberFormat="1" applyFont="1" applyFill="1" applyBorder="1" applyAlignment="1">
      <alignment horizontal="left" vertical="center"/>
    </xf>
    <xf numFmtId="20" fontId="4" fillId="9" borderId="0" xfId="21" applyNumberFormat="1" applyFont="1" applyFill="1" applyBorder="1" applyAlignment="1">
      <alignment horizontal="left" vertical="center"/>
    </xf>
    <xf numFmtId="0" fontId="18" fillId="0" borderId="105" xfId="5" applyFont="1" applyFill="1" applyBorder="1" applyAlignment="1"/>
    <xf numFmtId="0" fontId="20" fillId="5" borderId="110" xfId="33" applyFill="1" applyBorder="1" applyAlignment="1">
      <alignment vertical="center"/>
    </xf>
    <xf numFmtId="0" fontId="1" fillId="0" borderId="81" xfId="14" applyFont="1" applyFill="1" applyBorder="1" applyAlignment="1"/>
    <xf numFmtId="0" fontId="4" fillId="0" borderId="10" xfId="5" applyFont="1" applyFill="1" applyBorder="1" applyAlignment="1"/>
    <xf numFmtId="0" fontId="4" fillId="0" borderId="109" xfId="5" applyFont="1" applyFill="1" applyBorder="1" applyAlignment="1"/>
    <xf numFmtId="0" fontId="15" fillId="0" borderId="111" xfId="0" applyFont="1" applyBorder="1" applyAlignment="1">
      <alignment vertical="center"/>
    </xf>
    <xf numFmtId="0" fontId="0" fillId="0" borderId="111" xfId="0" applyBorder="1"/>
    <xf numFmtId="0" fontId="0" fillId="0" borderId="112" xfId="0" applyNumberFormat="1" applyFont="1" applyFill="1" applyBorder="1" applyAlignment="1">
      <alignment horizontal="center" vertical="center"/>
    </xf>
    <xf numFmtId="49" fontId="0" fillId="0" borderId="11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113" xfId="0" applyNumberFormat="1" applyFill="1" applyBorder="1" applyAlignment="1">
      <alignment vertical="center"/>
    </xf>
    <xf numFmtId="0" fontId="0" fillId="0" borderId="111" xfId="14" applyFont="1" applyFill="1" applyBorder="1" applyAlignment="1">
      <alignment vertical="center" wrapText="1"/>
    </xf>
    <xf numFmtId="0" fontId="0" fillId="0" borderId="111" xfId="14" applyFont="1" applyBorder="1" applyAlignment="1">
      <alignment vertical="center" wrapText="1"/>
    </xf>
    <xf numFmtId="0" fontId="1" fillId="0" borderId="0" xfId="5" applyNumberFormat="1" applyFont="1"/>
    <xf numFmtId="0" fontId="0" fillId="5" borderId="0" xfId="0" applyNumberFormat="1" applyFont="1" applyFill="1" applyAlignment="1">
      <alignment horizontal="right"/>
    </xf>
    <xf numFmtId="0" fontId="0" fillId="0" borderId="0" xfId="0" applyNumberFormat="1" applyFont="1" applyAlignment="1">
      <alignment horizontal="center"/>
    </xf>
    <xf numFmtId="0" fontId="0" fillId="0" borderId="0" xfId="14" applyNumberFormat="1" applyFont="1"/>
    <xf numFmtId="0" fontId="1" fillId="0" borderId="0" xfId="14" applyNumberFormat="1" applyFont="1" applyBorder="1"/>
    <xf numFmtId="0" fontId="1" fillId="0" borderId="0" xfId="14" applyNumberFormat="1" applyFont="1"/>
    <xf numFmtId="0" fontId="0" fillId="3" borderId="0" xfId="0" applyNumberFormat="1" applyFont="1" applyFill="1" applyAlignment="1">
      <alignment horizontal="right"/>
    </xf>
    <xf numFmtId="0" fontId="0" fillId="13" borderId="0" xfId="0" applyNumberFormat="1" applyFont="1" applyFill="1" applyAlignment="1">
      <alignment horizontal="right"/>
    </xf>
    <xf numFmtId="0" fontId="15" fillId="0" borderId="111" xfId="0" applyFont="1" applyBorder="1" applyAlignment="1">
      <alignment horizontal="center"/>
    </xf>
    <xf numFmtId="0" fontId="15" fillId="0" borderId="112" xfId="0" applyFont="1" applyBorder="1" applyAlignment="1"/>
    <xf numFmtId="0" fontId="15" fillId="0" borderId="113" xfId="0" applyFont="1" applyBorder="1" applyAlignment="1"/>
    <xf numFmtId="0" fontId="15" fillId="0" borderId="114" xfId="0" applyFont="1" applyBorder="1" applyAlignment="1"/>
    <xf numFmtId="0" fontId="15" fillId="0" borderId="111" xfId="0" applyFont="1" applyBorder="1" applyAlignment="1"/>
    <xf numFmtId="0" fontId="15" fillId="0" borderId="111" xfId="0" applyNumberFormat="1" applyFont="1" applyBorder="1" applyAlignment="1">
      <alignment horizontal="center"/>
    </xf>
    <xf numFmtId="0" fontId="15" fillId="0" borderId="113" xfId="14" applyFont="1" applyBorder="1" applyAlignment="1">
      <alignment horizontal="center"/>
    </xf>
    <xf numFmtId="0" fontId="1" fillId="0" borderId="114" xfId="14" applyFont="1" applyBorder="1"/>
    <xf numFmtId="0" fontId="15" fillId="0" borderId="0" xfId="0" applyNumberFormat="1" applyFont="1" applyAlignment="1">
      <alignment horizontal="center"/>
    </xf>
    <xf numFmtId="0" fontId="15" fillId="0" borderId="111" xfId="0" applyNumberFormat="1" applyFont="1" applyFill="1" applyBorder="1" applyAlignment="1">
      <alignment horizontal="center" vertical="center"/>
    </xf>
    <xf numFmtId="0" fontId="15" fillId="0" borderId="112" xfId="0" applyNumberFormat="1" applyFont="1" applyFill="1" applyBorder="1" applyAlignment="1">
      <alignment horizontal="center" vertical="center"/>
    </xf>
    <xf numFmtId="0" fontId="0" fillId="0" borderId="114" xfId="0" applyNumberFormat="1" applyFont="1" applyFill="1" applyBorder="1" applyAlignment="1">
      <alignment horizontal="center" vertical="center"/>
    </xf>
    <xf numFmtId="0" fontId="18" fillId="5" borderId="25" xfId="14" applyFont="1" applyFill="1" applyBorder="1" applyAlignment="1"/>
    <xf numFmtId="0" fontId="18" fillId="5" borderId="14" xfId="14" applyFont="1" applyFill="1" applyBorder="1" applyAlignment="1"/>
    <xf numFmtId="0" fontId="18" fillId="8" borderId="115" xfId="14" applyFont="1" applyFill="1" applyBorder="1" applyAlignment="1"/>
    <xf numFmtId="0" fontId="4" fillId="0" borderId="116" xfId="14" applyFont="1" applyFill="1" applyBorder="1" applyAlignment="1"/>
    <xf numFmtId="0" fontId="18" fillId="0" borderId="9" xfId="14" applyFont="1" applyFill="1" applyBorder="1" applyAlignment="1"/>
    <xf numFmtId="0" fontId="18" fillId="8" borderId="119" xfId="14" applyFont="1" applyFill="1" applyBorder="1" applyAlignment="1"/>
    <xf numFmtId="0" fontId="4" fillId="0" borderId="120" xfId="14" applyFont="1" applyFill="1" applyBorder="1" applyAlignment="1"/>
    <xf numFmtId="0" fontId="4" fillId="0" borderId="121" xfId="14" applyFont="1" applyFill="1" applyBorder="1" applyAlignment="1"/>
    <xf numFmtId="0" fontId="18" fillId="8" borderId="122" xfId="14" applyFont="1" applyFill="1" applyBorder="1" applyAlignment="1"/>
    <xf numFmtId="0" fontId="4" fillId="0" borderId="107" xfId="14" applyFont="1" applyFill="1" applyBorder="1" applyAlignment="1"/>
    <xf numFmtId="0" fontId="18" fillId="8" borderId="124" xfId="14" applyFont="1" applyFill="1" applyBorder="1" applyAlignment="1"/>
    <xf numFmtId="0" fontId="4" fillId="0" borderId="125" xfId="22" applyFont="1" applyFill="1" applyBorder="1" applyAlignment="1"/>
    <xf numFmtId="0" fontId="18" fillId="8" borderId="119" xfId="22" applyFont="1" applyFill="1" applyBorder="1" applyAlignment="1"/>
    <xf numFmtId="0" fontId="4" fillId="0" borderId="107" xfId="22" applyFont="1" applyFill="1" applyBorder="1" applyAlignment="1"/>
    <xf numFmtId="0" fontId="4" fillId="0" borderId="123" xfId="22" applyFont="1" applyBorder="1" applyAlignment="1"/>
    <xf numFmtId="0" fontId="18" fillId="0" borderId="123" xfId="22" applyFont="1" applyBorder="1" applyAlignment="1"/>
    <xf numFmtId="0" fontId="18" fillId="0" borderId="120" xfId="14" applyFont="1" applyFill="1" applyBorder="1" applyAlignment="1"/>
    <xf numFmtId="0" fontId="4" fillId="0" borderId="100" xfId="22" applyFont="1" applyFill="1" applyBorder="1" applyAlignment="1"/>
    <xf numFmtId="0" fontId="18" fillId="8" borderId="126" xfId="22" applyFont="1" applyFill="1" applyBorder="1" applyAlignment="1"/>
    <xf numFmtId="0" fontId="4" fillId="0" borderId="117" xfId="22" applyFont="1" applyFill="1" applyBorder="1" applyAlignment="1"/>
    <xf numFmtId="0" fontId="4" fillId="0" borderId="102" xfId="22" applyFont="1" applyBorder="1" applyAlignment="1"/>
    <xf numFmtId="0" fontId="18" fillId="0" borderId="102" xfId="22" applyFont="1" applyBorder="1" applyAlignment="1"/>
    <xf numFmtId="0" fontId="18" fillId="8" borderId="88" xfId="14" applyFont="1" applyFill="1" applyBorder="1" applyAlignment="1"/>
    <xf numFmtId="0" fontId="4" fillId="0" borderId="45" xfId="22" applyFont="1" applyBorder="1" applyAlignment="1"/>
    <xf numFmtId="0" fontId="4" fillId="0" borderId="46" xfId="22" applyFont="1" applyBorder="1" applyAlignment="1"/>
    <xf numFmtId="0" fontId="4" fillId="0" borderId="127" xfId="14" applyFont="1" applyFill="1" applyBorder="1" applyAlignment="1"/>
    <xf numFmtId="0" fontId="4" fillId="0" borderId="46" xfId="22" applyFont="1" applyFill="1" applyBorder="1" applyAlignment="1"/>
    <xf numFmtId="0" fontId="18" fillId="15" borderId="129" xfId="14" applyFont="1" applyFill="1" applyBorder="1" applyAlignment="1"/>
    <xf numFmtId="0" fontId="4" fillId="0" borderId="46" xfId="14" applyFont="1" applyFill="1" applyBorder="1" applyAlignment="1"/>
    <xf numFmtId="0" fontId="18" fillId="0" borderId="130" xfId="22" applyFont="1" applyBorder="1" applyAlignment="1"/>
    <xf numFmtId="0" fontId="18" fillId="8" borderId="129" xfId="22" applyFont="1" applyFill="1" applyBorder="1" applyAlignment="1"/>
    <xf numFmtId="0" fontId="58" fillId="0" borderId="130" xfId="33" applyFont="1" applyFill="1" applyBorder="1" applyAlignment="1"/>
    <xf numFmtId="0" fontId="18" fillId="0" borderId="14" xfId="22" applyFont="1" applyFill="1" applyBorder="1" applyAlignment="1"/>
    <xf numFmtId="0" fontId="18" fillId="8" borderId="129" xfId="5" applyFont="1" applyFill="1" applyBorder="1" applyAlignment="1"/>
    <xf numFmtId="0" fontId="18" fillId="5" borderId="118" xfId="14" applyFont="1" applyFill="1" applyBorder="1" applyAlignment="1"/>
    <xf numFmtId="0" fontId="18" fillId="5" borderId="25" xfId="5" applyFont="1" applyFill="1" applyBorder="1" applyAlignment="1"/>
    <xf numFmtId="0" fontId="18" fillId="5" borderId="14" xfId="5" applyFont="1" applyFill="1" applyBorder="1" applyAlignment="1"/>
    <xf numFmtId="0" fontId="4" fillId="0" borderId="70" xfId="5" applyFont="1" applyFill="1" applyBorder="1" applyAlignment="1"/>
    <xf numFmtId="0" fontId="4" fillId="0" borderId="72" xfId="5" applyFont="1" applyFill="1" applyBorder="1" applyAlignment="1"/>
    <xf numFmtId="0" fontId="18" fillId="0" borderId="72" xfId="5" applyFont="1" applyFill="1" applyBorder="1" applyAlignment="1"/>
    <xf numFmtId="0" fontId="18" fillId="0" borderId="45" xfId="22" applyFont="1" applyBorder="1" applyAlignment="1"/>
    <xf numFmtId="0" fontId="18" fillId="0" borderId="46" xfId="22" applyFont="1" applyBorder="1" applyAlignment="1"/>
    <xf numFmtId="0" fontId="4" fillId="0" borderId="127" xfId="22" applyFont="1" applyFill="1" applyBorder="1" applyAlignment="1"/>
    <xf numFmtId="0" fontId="18" fillId="0" borderId="128" xfId="22" applyFont="1" applyBorder="1" applyAlignment="1"/>
    <xf numFmtId="0" fontId="18" fillId="7" borderId="0" xfId="5" quotePrefix="1" applyNumberFormat="1" applyFont="1" applyFill="1" applyBorder="1" applyAlignment="1"/>
    <xf numFmtId="0" fontId="18" fillId="7" borderId="0" xfId="5" applyNumberFormat="1" applyFont="1" applyFill="1" applyBorder="1" applyAlignment="1"/>
    <xf numFmtId="0" fontId="4" fillId="0" borderId="0" xfId="5" applyNumberFormat="1" applyFont="1" applyFill="1" applyBorder="1" applyAlignment="1"/>
    <xf numFmtId="0" fontId="18" fillId="0" borderId="0" xfId="5" applyNumberFormat="1" applyFont="1" applyFill="1" applyBorder="1" applyAlignment="1"/>
    <xf numFmtId="0" fontId="4" fillId="0" borderId="0" xfId="5" applyNumberFormat="1" applyFont="1" applyFill="1" applyAlignment="1">
      <alignment vertical="top"/>
    </xf>
    <xf numFmtId="0" fontId="4" fillId="0" borderId="0" xfId="0" applyNumberFormat="1" applyFont="1" applyFill="1"/>
    <xf numFmtId="0" fontId="4" fillId="0" borderId="0" xfId="0" applyNumberFormat="1" applyFont="1"/>
    <xf numFmtId="0" fontId="4" fillId="0" borderId="48" xfId="5" applyNumberFormat="1" applyFont="1" applyFill="1" applyBorder="1" applyAlignment="1"/>
    <xf numFmtId="0" fontId="18" fillId="8" borderId="49" xfId="5" applyNumberFormat="1" applyFont="1" applyFill="1" applyBorder="1" applyAlignment="1"/>
    <xf numFmtId="0" fontId="4" fillId="0" borderId="48" xfId="14" applyNumberFormat="1" applyFont="1" applyFill="1" applyBorder="1" applyAlignment="1"/>
    <xf numFmtId="0" fontId="18" fillId="8" borderId="50" xfId="5" applyNumberFormat="1" applyFont="1" applyFill="1" applyBorder="1" applyAlignment="1"/>
    <xf numFmtId="0" fontId="4" fillId="0" borderId="82" xfId="5" applyNumberFormat="1" applyFont="1" applyFill="1" applyBorder="1" applyAlignment="1"/>
    <xf numFmtId="0" fontId="4" fillId="0" borderId="134" xfId="5" applyNumberFormat="1" applyFont="1" applyFill="1" applyBorder="1" applyAlignment="1"/>
    <xf numFmtId="0" fontId="1" fillId="0" borderId="48" xfId="32" applyNumberFormat="1" applyFont="1" applyFill="1" applyBorder="1" applyAlignment="1"/>
    <xf numFmtId="0" fontId="4" fillId="0" borderId="108" xfId="5" applyNumberFormat="1" applyFont="1" applyFill="1" applyBorder="1" applyAlignment="1"/>
    <xf numFmtId="0" fontId="4" fillId="0" borderId="108" xfId="5" applyNumberFormat="1" applyFont="1" applyBorder="1" applyAlignment="1">
      <alignment vertical="top"/>
    </xf>
    <xf numFmtId="0" fontId="4" fillId="0" borderId="0" xfId="5" applyNumberFormat="1" applyFont="1" applyBorder="1" applyAlignment="1">
      <alignment vertical="top"/>
    </xf>
    <xf numFmtId="0" fontId="4" fillId="0" borderId="17" xfId="5" applyNumberFormat="1" applyFont="1" applyBorder="1" applyAlignment="1">
      <alignment vertical="top"/>
    </xf>
    <xf numFmtId="0" fontId="4" fillId="0" borderId="14" xfId="5" applyNumberFormat="1" applyFont="1" applyBorder="1" applyAlignment="1">
      <alignment vertical="top"/>
    </xf>
    <xf numFmtId="0" fontId="4" fillId="0" borderId="83" xfId="5" applyNumberFormat="1" applyFont="1" applyBorder="1" applyAlignment="1">
      <alignment vertical="top"/>
    </xf>
    <xf numFmtId="0" fontId="1" fillId="0" borderId="108" xfId="32" applyNumberFormat="1" applyFont="1" applyFill="1" applyBorder="1" applyAlignment="1"/>
    <xf numFmtId="0" fontId="18" fillId="0" borderId="135" xfId="5" applyNumberFormat="1" applyFont="1" applyFill="1" applyBorder="1" applyAlignment="1"/>
    <xf numFmtId="0" fontId="4" fillId="0" borderId="136" xfId="14" applyNumberFormat="1" applyFont="1" applyFill="1" applyBorder="1" applyAlignment="1"/>
    <xf numFmtId="0" fontId="64" fillId="0" borderId="137" xfId="5" applyNumberFormat="1" applyFont="1" applyFill="1" applyBorder="1" applyAlignment="1"/>
    <xf numFmtId="0" fontId="4" fillId="0" borderId="138" xfId="5" applyNumberFormat="1" applyFont="1" applyFill="1" applyBorder="1" applyAlignment="1"/>
    <xf numFmtId="0" fontId="18" fillId="0" borderId="139" xfId="5" applyNumberFormat="1" applyFont="1" applyFill="1" applyBorder="1" applyAlignment="1"/>
    <xf numFmtId="0" fontId="4" fillId="0" borderId="137" xfId="5" applyNumberFormat="1" applyFont="1" applyBorder="1" applyAlignment="1">
      <alignment vertical="top"/>
    </xf>
    <xf numFmtId="0" fontId="18" fillId="0" borderId="140" xfId="5" applyNumberFormat="1" applyFont="1" applyFill="1" applyBorder="1" applyAlignment="1"/>
    <xf numFmtId="0" fontId="28" fillId="0" borderId="141" xfId="14" applyNumberFormat="1" applyFont="1" applyFill="1" applyBorder="1" applyAlignment="1"/>
    <xf numFmtId="0" fontId="27" fillId="0" borderId="142" xfId="33" applyNumberFormat="1" applyFont="1" applyBorder="1" applyAlignment="1">
      <alignment vertical="top"/>
    </xf>
    <xf numFmtId="0" fontId="27" fillId="0" borderId="142" xfId="33" applyNumberFormat="1" applyFont="1" applyFill="1" applyBorder="1" applyAlignment="1"/>
    <xf numFmtId="0" fontId="65" fillId="0" borderId="142" xfId="5" applyNumberFormat="1" applyFont="1" applyFill="1" applyBorder="1" applyAlignment="1"/>
    <xf numFmtId="0" fontId="28" fillId="0" borderId="142" xfId="5" applyNumberFormat="1" applyFont="1" applyFill="1" applyBorder="1" applyAlignment="1">
      <alignment horizontal="center"/>
    </xf>
    <xf numFmtId="0" fontId="20" fillId="0" borderId="142" xfId="33" applyNumberFormat="1" applyFill="1" applyBorder="1" applyAlignment="1"/>
    <xf numFmtId="0" fontId="28" fillId="0" borderId="142" xfId="5" applyNumberFormat="1" applyFont="1" applyBorder="1" applyAlignment="1">
      <alignment vertical="top"/>
    </xf>
    <xf numFmtId="0" fontId="27" fillId="0" borderId="143" xfId="33" applyNumberFormat="1" applyFont="1" applyFill="1" applyBorder="1" applyAlignment="1">
      <alignment horizontal="right"/>
    </xf>
    <xf numFmtId="0" fontId="4" fillId="0" borderId="131" xfId="5" applyNumberFormat="1" applyFont="1" applyFill="1" applyBorder="1" applyAlignment="1"/>
    <xf numFmtId="0" fontId="28" fillId="0" borderId="144" xfId="33" applyNumberFormat="1" applyFont="1" applyFill="1" applyBorder="1" applyAlignment="1"/>
    <xf numFmtId="0" fontId="28" fillId="0" borderId="145" xfId="5" applyNumberFormat="1" applyFont="1" applyFill="1" applyBorder="1" applyAlignment="1"/>
    <xf numFmtId="0" fontId="27" fillId="0" borderId="145" xfId="33" applyNumberFormat="1" applyFont="1" applyBorder="1" applyAlignment="1">
      <alignment vertical="top"/>
    </xf>
    <xf numFmtId="0" fontId="28" fillId="0" borderId="145" xfId="33" applyNumberFormat="1" applyFont="1" applyFill="1" applyBorder="1" applyAlignment="1">
      <alignment horizontal="center"/>
    </xf>
    <xf numFmtId="0" fontId="28" fillId="0" borderId="146" xfId="5" applyNumberFormat="1" applyFont="1" applyFill="1" applyBorder="1" applyAlignment="1"/>
    <xf numFmtId="0" fontId="18" fillId="0" borderId="147" xfId="5" applyNumberFormat="1" applyFont="1" applyFill="1" applyBorder="1" applyAlignment="1"/>
    <xf numFmtId="0" fontId="18" fillId="0" borderId="83" xfId="5" applyNumberFormat="1" applyFont="1" applyFill="1" applyBorder="1" applyAlignment="1"/>
    <xf numFmtId="0" fontId="4" fillId="0" borderId="132" xfId="5" applyNumberFormat="1" applyFont="1" applyFill="1" applyBorder="1" applyAlignment="1"/>
    <xf numFmtId="0" fontId="4" fillId="0" borderId="133" xfId="5" applyNumberFormat="1" applyFont="1" applyFill="1" applyBorder="1" applyAlignment="1"/>
    <xf numFmtId="0" fontId="4" fillId="0" borderId="148" xfId="5" applyNumberFormat="1" applyFont="1" applyFill="1" applyBorder="1" applyAlignment="1"/>
    <xf numFmtId="0" fontId="4" fillId="0" borderId="132" xfId="5" applyNumberFormat="1" applyFont="1" applyBorder="1" applyAlignment="1">
      <alignment vertical="top"/>
    </xf>
    <xf numFmtId="0" fontId="18" fillId="0" borderId="10" xfId="5" applyNumberFormat="1" applyFont="1" applyFill="1" applyBorder="1" applyAlignment="1"/>
    <xf numFmtId="0" fontId="4" fillId="0" borderId="150" xfId="14" applyFont="1" applyFill="1" applyBorder="1" applyAlignment="1"/>
    <xf numFmtId="0" fontId="18" fillId="0" borderId="150" xfId="14" applyFont="1" applyFill="1" applyBorder="1" applyAlignment="1"/>
    <xf numFmtId="0" fontId="18" fillId="0" borderId="151" xfId="14" applyFont="1" applyFill="1" applyBorder="1" applyAlignment="1"/>
    <xf numFmtId="0" fontId="18" fillId="0" borderId="152" xfId="14" applyFont="1" applyFill="1" applyBorder="1" applyAlignment="1"/>
    <xf numFmtId="0" fontId="18" fillId="0" borderId="153" xfId="14" applyFont="1" applyFill="1" applyBorder="1" applyAlignment="1"/>
    <xf numFmtId="0" fontId="18" fillId="5" borderId="152" xfId="14" applyFont="1" applyFill="1" applyBorder="1" applyAlignment="1"/>
    <xf numFmtId="0" fontId="28" fillId="0" borderId="155" xfId="14" applyNumberFormat="1" applyFont="1" applyFill="1" applyBorder="1" applyAlignment="1"/>
    <xf numFmtId="0" fontId="27" fillId="0" borderId="156" xfId="33" applyNumberFormat="1" applyFont="1" applyBorder="1" applyAlignment="1">
      <alignment vertical="top"/>
    </xf>
    <xf numFmtId="0" fontId="27" fillId="0" borderId="156" xfId="33" applyNumberFormat="1" applyFont="1" applyFill="1" applyBorder="1" applyAlignment="1"/>
    <xf numFmtId="0" fontId="65" fillId="0" borderId="156" xfId="5" applyNumberFormat="1" applyFont="1" applyFill="1" applyBorder="1" applyAlignment="1"/>
    <xf numFmtId="0" fontId="28" fillId="0" borderId="156" xfId="5" applyNumberFormat="1" applyFont="1" applyFill="1" applyBorder="1" applyAlignment="1">
      <alignment horizontal="center"/>
    </xf>
    <xf numFmtId="0" fontId="65" fillId="0" borderId="157" xfId="5" applyNumberFormat="1" applyFont="1" applyFill="1" applyBorder="1" applyAlignment="1"/>
    <xf numFmtId="0" fontId="4" fillId="0" borderId="130" xfId="22" applyFont="1" applyFill="1" applyBorder="1" applyAlignment="1"/>
    <xf numFmtId="0" fontId="4" fillId="0" borderId="130" xfId="14" applyFont="1" applyFill="1" applyBorder="1" applyAlignment="1"/>
    <xf numFmtId="0" fontId="18" fillId="0" borderId="105" xfId="14" applyFont="1" applyFill="1" applyBorder="1" applyAlignment="1"/>
    <xf numFmtId="0" fontId="18" fillId="8" borderId="158" xfId="22" applyFont="1" applyFill="1" applyBorder="1" applyAlignment="1"/>
    <xf numFmtId="0" fontId="18" fillId="0" borderId="130" xfId="22" applyFont="1" applyFill="1" applyBorder="1" applyAlignment="1"/>
    <xf numFmtId="0" fontId="4" fillId="0" borderId="159" xfId="22" applyFont="1" applyFill="1" applyBorder="1" applyAlignment="1"/>
    <xf numFmtId="0" fontId="18" fillId="0" borderId="160" xfId="22" applyFont="1" applyFill="1" applyBorder="1" applyAlignment="1"/>
    <xf numFmtId="0" fontId="18" fillId="0" borderId="159" xfId="22" applyFont="1" applyFill="1" applyBorder="1" applyAlignment="1"/>
    <xf numFmtId="0" fontId="18" fillId="15" borderId="158" xfId="22" applyFont="1" applyFill="1" applyBorder="1" applyAlignment="1"/>
    <xf numFmtId="0" fontId="18" fillId="15" borderId="129" xfId="22" applyFont="1" applyFill="1" applyBorder="1" applyAlignment="1"/>
    <xf numFmtId="0" fontId="4" fillId="0" borderId="45" xfId="22" applyFont="1" applyFill="1" applyBorder="1" applyAlignment="1"/>
    <xf numFmtId="0" fontId="4" fillId="0" borderId="161" xfId="22" applyFont="1" applyBorder="1" applyAlignment="1"/>
    <xf numFmtId="0" fontId="4" fillId="0" borderId="161" xfId="14" applyFont="1" applyFill="1" applyBorder="1" applyAlignment="1"/>
    <xf numFmtId="0" fontId="4" fillId="0" borderId="101" xfId="14" applyFont="1" applyFill="1" applyBorder="1" applyAlignment="1"/>
    <xf numFmtId="0" fontId="4" fillId="0" borderId="161" xfId="22" applyFont="1" applyFill="1" applyBorder="1" applyAlignment="1"/>
    <xf numFmtId="0" fontId="4" fillId="0" borderId="82" xfId="5" applyNumberFormat="1" applyFont="1" applyBorder="1" applyAlignment="1">
      <alignment vertical="top"/>
    </xf>
    <xf numFmtId="0" fontId="57" fillId="0" borderId="82" xfId="33" applyNumberFormat="1" applyFont="1" applyBorder="1" applyAlignment="1"/>
    <xf numFmtId="0" fontId="35" fillId="0" borderId="108" xfId="5" applyNumberFormat="1" applyFont="1" applyFill="1" applyBorder="1" applyAlignment="1"/>
    <xf numFmtId="0" fontId="58" fillId="16" borderId="96" xfId="33" applyFont="1" applyFill="1" applyBorder="1" applyAlignment="1"/>
    <xf numFmtId="0" fontId="18" fillId="16" borderId="105" xfId="22" applyFont="1" applyFill="1" applyBorder="1" applyAlignment="1"/>
    <xf numFmtId="0" fontId="18" fillId="15" borderId="162" xfId="22" applyFont="1" applyFill="1" applyBorder="1" applyAlignment="1"/>
    <xf numFmtId="0" fontId="62" fillId="16" borderId="12" xfId="33" applyFont="1" applyFill="1" applyBorder="1" applyAlignment="1"/>
    <xf numFmtId="0" fontId="28" fillId="0" borderId="12" xfId="33" applyFont="1" applyFill="1" applyBorder="1" applyAlignment="1"/>
    <xf numFmtId="0" fontId="18" fillId="8" borderId="158" xfId="5" applyFont="1" applyFill="1" applyBorder="1" applyAlignment="1"/>
    <xf numFmtId="0" fontId="4" fillId="0" borderId="159" xfId="22" applyFont="1" applyBorder="1" applyAlignment="1"/>
    <xf numFmtId="0" fontId="18" fillId="0" borderId="163" xfId="14" applyFont="1" applyFill="1" applyBorder="1" applyAlignment="1"/>
    <xf numFmtId="0" fontId="18" fillId="5" borderId="163" xfId="22" applyFont="1" applyFill="1" applyBorder="1" applyAlignment="1"/>
    <xf numFmtId="0" fontId="20" fillId="16" borderId="18" xfId="33" applyFill="1" applyBorder="1" applyAlignment="1"/>
    <xf numFmtId="0" fontId="62" fillId="16" borderId="130" xfId="33" applyFont="1" applyFill="1" applyBorder="1" applyAlignment="1">
      <alignment vertical="top"/>
    </xf>
    <xf numFmtId="0" fontId="18" fillId="5" borderId="55" xfId="22" applyFont="1" applyFill="1" applyBorder="1" applyAlignment="1"/>
    <xf numFmtId="0" fontId="29" fillId="0" borderId="0" xfId="35" applyNumberFormat="1" applyFont="1" applyBorder="1"/>
    <xf numFmtId="0" fontId="0" fillId="0" borderId="0" xfId="0" applyNumberFormat="1" applyFont="1"/>
    <xf numFmtId="0" fontId="0" fillId="0" borderId="0" xfId="0" applyNumberFormat="1"/>
    <xf numFmtId="0" fontId="29" fillId="0" borderId="0" xfId="35" applyFont="1" applyBorder="1"/>
    <xf numFmtId="0" fontId="15" fillId="0" borderId="0" xfId="35" applyFont="1" applyAlignment="1">
      <alignment horizontal="right"/>
    </xf>
    <xf numFmtId="0" fontId="0" fillId="0" borderId="79" xfId="35" applyFont="1" applyFill="1" applyBorder="1"/>
    <xf numFmtId="0" fontId="1" fillId="0" borderId="0" xfId="35" applyFont="1" applyAlignment="1">
      <alignment horizontal="left"/>
    </xf>
    <xf numFmtId="0" fontId="1" fillId="0" borderId="0" xfId="35" applyFont="1"/>
    <xf numFmtId="0" fontId="1" fillId="0" borderId="164" xfId="35" applyFont="1" applyFill="1" applyBorder="1"/>
    <xf numFmtId="0" fontId="0" fillId="0" borderId="36" xfId="35" applyFont="1" applyBorder="1"/>
    <xf numFmtId="0" fontId="0" fillId="0" borderId="165" xfId="35" applyFont="1" applyFill="1" applyBorder="1"/>
    <xf numFmtId="0" fontId="1" fillId="0" borderId="37" xfId="35" applyFont="1" applyBorder="1" applyAlignment="1">
      <alignment horizontal="left"/>
    </xf>
    <xf numFmtId="0" fontId="1" fillId="0" borderId="166" xfId="35" applyFont="1" applyBorder="1" applyAlignment="1">
      <alignment horizontal="left"/>
    </xf>
    <xf numFmtId="0" fontId="1" fillId="0" borderId="0" xfId="35" applyFont="1" applyFill="1"/>
    <xf numFmtId="0" fontId="1" fillId="0" borderId="0" xfId="35" applyFont="1" applyBorder="1" applyAlignment="1">
      <alignment horizontal="left"/>
    </xf>
    <xf numFmtId="0" fontId="1" fillId="0" borderId="38" xfId="35" applyFont="1" applyBorder="1" applyAlignment="1">
      <alignment horizontal="left"/>
    </xf>
    <xf numFmtId="0" fontId="0" fillId="0" borderId="37" xfId="35" applyFont="1" applyBorder="1"/>
    <xf numFmtId="0" fontId="0" fillId="0" borderId="0" xfId="35" applyFont="1" applyBorder="1"/>
    <xf numFmtId="0" fontId="1" fillId="0" borderId="40" xfId="35" applyFont="1" applyBorder="1"/>
    <xf numFmtId="0" fontId="15" fillId="0" borderId="107" xfId="35" applyFont="1" applyBorder="1"/>
    <xf numFmtId="0" fontId="0" fillId="0" borderId="107" xfId="0" applyBorder="1"/>
    <xf numFmtId="0" fontId="1" fillId="0" borderId="165" xfId="35" applyFont="1" applyBorder="1"/>
    <xf numFmtId="0" fontId="1" fillId="0" borderId="0" xfId="35" applyFont="1" applyBorder="1"/>
    <xf numFmtId="0" fontId="0" fillId="0" borderId="72" xfId="35" applyFont="1" applyBorder="1"/>
    <xf numFmtId="0" fontId="0" fillId="0" borderId="72" xfId="0" applyBorder="1"/>
    <xf numFmtId="0" fontId="15" fillId="0" borderId="0" xfId="35" applyFont="1"/>
    <xf numFmtId="0" fontId="1" fillId="0" borderId="164" xfId="35" applyFont="1" applyBorder="1"/>
    <xf numFmtId="0" fontId="1" fillId="0" borderId="166" xfId="35" applyFont="1" applyBorder="1"/>
    <xf numFmtId="0" fontId="0" fillId="0" borderId="167" xfId="35" applyFont="1" applyBorder="1"/>
    <xf numFmtId="0" fontId="0" fillId="0" borderId="79" xfId="35" applyFont="1" applyBorder="1"/>
    <xf numFmtId="0" fontId="1" fillId="0" borderId="72" xfId="35" applyFont="1" applyBorder="1"/>
    <xf numFmtId="0" fontId="1" fillId="0" borderId="168" xfId="35" applyFont="1" applyBorder="1" applyAlignment="1">
      <alignment horizontal="left"/>
    </xf>
    <xf numFmtId="0" fontId="0" fillId="0" borderId="164" xfId="0" applyBorder="1"/>
    <xf numFmtId="0" fontId="0" fillId="0" borderId="79" xfId="0" applyBorder="1"/>
    <xf numFmtId="0" fontId="4" fillId="5" borderId="12" xfId="33" applyFont="1" applyFill="1" applyBorder="1" applyAlignment="1"/>
    <xf numFmtId="0" fontId="58" fillId="5" borderId="85" xfId="33" applyFont="1" applyFill="1" applyBorder="1" applyAlignment="1"/>
    <xf numFmtId="0" fontId="4" fillId="0" borderId="85" xfId="0" applyFont="1" applyBorder="1" applyAlignment="1"/>
    <xf numFmtId="0" fontId="4" fillId="0" borderId="12" xfId="33" applyFont="1" applyFill="1" applyBorder="1" applyAlignment="1"/>
    <xf numFmtId="0" fontId="27" fillId="0" borderId="130" xfId="33" applyFont="1" applyFill="1" applyBorder="1" applyAlignment="1"/>
    <xf numFmtId="0" fontId="59" fillId="0" borderId="86" xfId="33" applyFont="1" applyBorder="1" applyAlignment="1"/>
    <xf numFmtId="0" fontId="59" fillId="0" borderId="85" xfId="33" applyFont="1" applyBorder="1" applyAlignment="1"/>
    <xf numFmtId="0" fontId="4" fillId="0" borderId="106" xfId="0" applyFont="1" applyBorder="1" applyAlignment="1"/>
    <xf numFmtId="49" fontId="18" fillId="7" borderId="159" xfId="5" applyNumberFormat="1" applyFont="1" applyFill="1" applyBorder="1" applyAlignment="1"/>
    <xf numFmtId="0" fontId="18" fillId="7" borderId="159" xfId="22" applyFont="1" applyFill="1" applyBorder="1" applyAlignment="1"/>
    <xf numFmtId="0" fontId="18" fillId="0" borderId="170" xfId="22" applyFont="1" applyFill="1" applyBorder="1" applyAlignment="1"/>
    <xf numFmtId="49" fontId="18" fillId="7" borderId="107" xfId="5" applyNumberFormat="1" applyFont="1" applyFill="1" applyBorder="1" applyAlignment="1"/>
    <xf numFmtId="0" fontId="18" fillId="7" borderId="107" xfId="22" applyFont="1" applyFill="1" applyBorder="1" applyAlignment="1"/>
    <xf numFmtId="0" fontId="4" fillId="0" borderId="107" xfId="0" applyFont="1" applyBorder="1" applyAlignment="1"/>
    <xf numFmtId="0" fontId="18" fillId="0" borderId="107" xfId="22" applyFont="1" applyFill="1" applyBorder="1" applyAlignment="1"/>
    <xf numFmtId="0" fontId="18" fillId="18" borderId="0" xfId="14" applyFont="1" applyFill="1" applyBorder="1" applyAlignment="1"/>
    <xf numFmtId="0" fontId="18" fillId="18" borderId="59" xfId="14" applyFont="1" applyFill="1" applyBorder="1" applyAlignment="1"/>
    <xf numFmtId="20" fontId="1" fillId="9" borderId="0" xfId="21" applyNumberFormat="1" applyFont="1" applyFill="1" applyBorder="1" applyAlignment="1">
      <alignment horizontal="left" vertical="center"/>
    </xf>
    <xf numFmtId="0" fontId="0" fillId="0" borderId="4" xfId="8" applyFont="1" applyFill="1" applyBorder="1" applyAlignment="1"/>
    <xf numFmtId="0" fontId="1" fillId="0" borderId="81" xfId="8" applyFont="1" applyFill="1" applyBorder="1" applyAlignment="1"/>
    <xf numFmtId="0" fontId="30" fillId="0" borderId="2" xfId="14" applyFont="1" applyFill="1" applyBorder="1" applyAlignment="1"/>
    <xf numFmtId="0" fontId="0" fillId="5" borderId="4" xfId="16" applyFont="1" applyFill="1" applyBorder="1" applyAlignment="1">
      <alignment horizontal="center"/>
    </xf>
    <xf numFmtId="0" fontId="70" fillId="0" borderId="12" xfId="33" applyFont="1" applyFill="1" applyBorder="1" applyAlignment="1"/>
    <xf numFmtId="0" fontId="71" fillId="0" borderId="0" xfId="0" applyFont="1" applyFill="1" applyAlignment="1"/>
    <xf numFmtId="0" fontId="70" fillId="0" borderId="12" xfId="33" applyFont="1" applyBorder="1" applyAlignment="1"/>
    <xf numFmtId="0" fontId="0" fillId="0" borderId="79" xfId="22" applyFont="1" applyFill="1" applyBorder="1"/>
    <xf numFmtId="0" fontId="0" fillId="0" borderId="165" xfId="22" applyFont="1" applyFill="1" applyBorder="1"/>
    <xf numFmtId="0" fontId="15" fillId="0" borderId="107" xfId="22" applyFont="1" applyBorder="1"/>
    <xf numFmtId="0" fontId="0" fillId="0" borderId="0" xfId="0" applyFont="1" applyBorder="1"/>
    <xf numFmtId="0" fontId="1" fillId="0" borderId="76" xfId="22" applyFont="1" applyFill="1" applyBorder="1"/>
    <xf numFmtId="0" fontId="1" fillId="0" borderId="107" xfId="22" applyFont="1" applyBorder="1" applyAlignment="1">
      <alignment horizontal="left"/>
    </xf>
    <xf numFmtId="0" fontId="1" fillId="0" borderId="107" xfId="22" applyFont="1" applyBorder="1"/>
    <xf numFmtId="0" fontId="15" fillId="0" borderId="35" xfId="0" applyFont="1" applyBorder="1" applyAlignment="1">
      <alignment horizontal="right" vertical="center"/>
    </xf>
    <xf numFmtId="0" fontId="15" fillId="0" borderId="35" xfId="8" applyFont="1" applyBorder="1" applyAlignment="1">
      <alignment horizontal="right" vertical="center"/>
    </xf>
    <xf numFmtId="0" fontId="20" fillId="5" borderId="171" xfId="33" applyFill="1" applyBorder="1" applyAlignment="1">
      <alignment vertical="center"/>
    </xf>
    <xf numFmtId="0" fontId="20" fillId="5" borderId="81" xfId="33" applyFill="1" applyBorder="1" applyAlignment="1">
      <alignment vertical="center"/>
    </xf>
    <xf numFmtId="0" fontId="4" fillId="5" borderId="172" xfId="21" applyNumberFormat="1" applyFont="1" applyFill="1" applyBorder="1" applyAlignment="1">
      <alignment horizontal="left"/>
    </xf>
    <xf numFmtId="49" fontId="4" fillId="5" borderId="172" xfId="5" applyNumberFormat="1" applyFont="1" applyFill="1" applyBorder="1"/>
    <xf numFmtId="0" fontId="4" fillId="5" borderId="172" xfId="21" applyFont="1" applyFill="1" applyBorder="1"/>
    <xf numFmtId="0" fontId="4" fillId="5" borderId="172" xfId="21" applyFont="1" applyFill="1" applyBorder="1" applyAlignment="1"/>
    <xf numFmtId="0" fontId="20" fillId="5" borderId="172" xfId="33" applyFill="1" applyBorder="1"/>
    <xf numFmtId="0" fontId="58" fillId="5" borderId="172" xfId="33" applyFont="1" applyFill="1" applyBorder="1" applyAlignment="1"/>
    <xf numFmtId="0" fontId="4" fillId="5" borderId="172" xfId="6" applyFont="1" applyFill="1" applyBorder="1" applyAlignment="1">
      <alignment horizontal="left"/>
    </xf>
    <xf numFmtId="166" fontId="4" fillId="5" borderId="172" xfId="21" applyNumberFormat="1" applyFont="1" applyFill="1" applyBorder="1" applyAlignment="1">
      <alignment horizontal="center"/>
    </xf>
    <xf numFmtId="0" fontId="20" fillId="5" borderId="173" xfId="33" applyFill="1" applyBorder="1"/>
    <xf numFmtId="0" fontId="20" fillId="5" borderId="173" xfId="33" applyFill="1" applyBorder="1" applyAlignment="1">
      <alignment vertical="center"/>
    </xf>
    <xf numFmtId="0" fontId="69" fillId="16" borderId="173" xfId="21" applyFont="1" applyFill="1" applyBorder="1"/>
    <xf numFmtId="0" fontId="20" fillId="16" borderId="173" xfId="33" applyFill="1" applyBorder="1" applyAlignment="1"/>
    <xf numFmtId="0" fontId="58" fillId="0" borderId="173" xfId="33" applyFont="1" applyFill="1" applyBorder="1"/>
    <xf numFmtId="0" fontId="20" fillId="17" borderId="173" xfId="33" applyFill="1" applyBorder="1"/>
    <xf numFmtId="0" fontId="20" fillId="5" borderId="174" xfId="33" applyFill="1" applyBorder="1"/>
    <xf numFmtId="0" fontId="4" fillId="5" borderId="174" xfId="21" applyNumberFormat="1" applyFont="1" applyFill="1" applyBorder="1" applyAlignment="1">
      <alignment horizontal="left"/>
    </xf>
    <xf numFmtId="49" fontId="4" fillId="5" borderId="174" xfId="5" applyNumberFormat="1" applyFont="1" applyFill="1" applyBorder="1"/>
    <xf numFmtId="0" fontId="4" fillId="5" borderId="174" xfId="21" applyFont="1" applyFill="1" applyBorder="1"/>
    <xf numFmtId="0" fontId="4" fillId="5" borderId="174" xfId="21" applyFont="1" applyFill="1" applyBorder="1" applyAlignment="1"/>
    <xf numFmtId="0" fontId="4" fillId="5" borderId="173" xfId="21" applyNumberFormat="1" applyFont="1" applyFill="1" applyBorder="1" applyAlignment="1">
      <alignment horizontal="left"/>
    </xf>
    <xf numFmtId="49" fontId="4" fillId="5" borderId="173" xfId="5" applyNumberFormat="1" applyFont="1" applyFill="1" applyBorder="1"/>
    <xf numFmtId="0" fontId="4" fillId="5" borderId="173" xfId="21" applyFont="1" applyFill="1" applyBorder="1"/>
    <xf numFmtId="0" fontId="4" fillId="5" borderId="173" xfId="21" applyFont="1" applyFill="1" applyBorder="1" applyAlignment="1"/>
    <xf numFmtId="0" fontId="4" fillId="17" borderId="173" xfId="21" applyNumberFormat="1" applyFont="1" applyFill="1" applyBorder="1" applyAlignment="1">
      <alignment horizontal="left"/>
    </xf>
    <xf numFmtId="49" fontId="4" fillId="17" borderId="173" xfId="5" applyNumberFormat="1" applyFont="1" applyFill="1" applyBorder="1"/>
    <xf numFmtId="0" fontId="4" fillId="17" borderId="173" xfId="21" applyFont="1" applyFill="1" applyBorder="1"/>
    <xf numFmtId="0" fontId="4" fillId="17" borderId="173" xfId="21" applyFont="1" applyFill="1" applyBorder="1" applyAlignment="1"/>
    <xf numFmtId="0" fontId="4" fillId="0" borderId="173" xfId="21" applyNumberFormat="1" applyFont="1" applyFill="1" applyBorder="1" applyAlignment="1">
      <alignment horizontal="left"/>
    </xf>
    <xf numFmtId="49" fontId="4" fillId="0" borderId="173" xfId="5" applyNumberFormat="1" applyFont="1" applyFill="1" applyBorder="1"/>
    <xf numFmtId="0" fontId="4" fillId="0" borderId="173" xfId="21" applyFont="1" applyFill="1" applyBorder="1"/>
    <xf numFmtId="0" fontId="4" fillId="0" borderId="173" xfId="21" applyFont="1" applyFill="1" applyBorder="1" applyAlignment="1"/>
    <xf numFmtId="0" fontId="4" fillId="5" borderId="173" xfId="21" applyNumberFormat="1" applyFont="1" applyFill="1" applyBorder="1" applyAlignment="1">
      <alignment horizontal="left" vertical="center"/>
    </xf>
    <xf numFmtId="49" fontId="4" fillId="5" borderId="173" xfId="5" applyNumberFormat="1" applyFont="1" applyFill="1" applyBorder="1" applyAlignment="1">
      <alignment vertical="center"/>
    </xf>
    <xf numFmtId="0" fontId="4" fillId="5" borderId="173" xfId="21" applyFont="1" applyFill="1" applyBorder="1" applyAlignment="1">
      <alignment wrapText="1"/>
    </xf>
    <xf numFmtId="0" fontId="4" fillId="5" borderId="171" xfId="21" applyFont="1" applyFill="1" applyBorder="1" applyAlignment="1">
      <alignment wrapText="1"/>
    </xf>
    <xf numFmtId="0" fontId="4" fillId="5" borderId="110" xfId="21" applyFont="1" applyFill="1" applyBorder="1" applyAlignment="1">
      <alignment wrapText="1"/>
    </xf>
    <xf numFmtId="0" fontId="4" fillId="0" borderId="81" xfId="21" applyNumberFormat="1" applyFont="1" applyFill="1" applyBorder="1" applyAlignment="1">
      <alignment horizontal="left" vertical="center"/>
    </xf>
    <xf numFmtId="49" fontId="4" fillId="0" borderId="81" xfId="5" applyNumberFormat="1" applyFont="1" applyFill="1" applyBorder="1" applyAlignment="1">
      <alignment vertical="center"/>
    </xf>
    <xf numFmtId="0" fontId="4" fillId="0" borderId="81" xfId="21" applyFont="1" applyFill="1" applyBorder="1" applyAlignment="1">
      <alignment wrapText="1"/>
    </xf>
    <xf numFmtId="0" fontId="4" fillId="0" borderId="81" xfId="21" applyFont="1" applyFill="1" applyBorder="1" applyAlignment="1">
      <alignment vertical="center"/>
    </xf>
    <xf numFmtId="0" fontId="4" fillId="16" borderId="173" xfId="21" applyFont="1" applyFill="1" applyBorder="1" applyAlignment="1"/>
    <xf numFmtId="14" fontId="4" fillId="16" borderId="173" xfId="21" applyNumberFormat="1" applyFont="1" applyFill="1" applyBorder="1" applyAlignment="1">
      <alignment horizontal="left"/>
    </xf>
    <xf numFmtId="49" fontId="4" fillId="16" borderId="173" xfId="5" applyNumberFormat="1" applyFont="1" applyFill="1" applyBorder="1"/>
    <xf numFmtId="0" fontId="58" fillId="5" borderId="174" xfId="33" applyFont="1" applyFill="1" applyBorder="1" applyAlignment="1"/>
    <xf numFmtId="0" fontId="4" fillId="5" borderId="174" xfId="6" applyFont="1" applyFill="1" applyBorder="1" applyAlignment="1">
      <alignment horizontal="left"/>
    </xf>
    <xf numFmtId="166" fontId="4" fillId="5" borderId="174" xfId="21" applyNumberFormat="1" applyFont="1" applyFill="1" applyBorder="1" applyAlignment="1">
      <alignment horizontal="center"/>
    </xf>
    <xf numFmtId="167" fontId="4" fillId="5" borderId="174" xfId="21" applyNumberFormat="1" applyFont="1" applyFill="1" applyBorder="1" applyAlignment="1">
      <alignment horizontal="center"/>
    </xf>
    <xf numFmtId="0" fontId="58" fillId="5" borderId="173" xfId="33" applyFont="1" applyFill="1" applyBorder="1" applyAlignment="1"/>
    <xf numFmtId="0" fontId="4" fillId="5" borderId="173" xfId="6" applyFont="1" applyFill="1" applyBorder="1" applyAlignment="1">
      <alignment horizontal="left"/>
    </xf>
    <xf numFmtId="166" fontId="4" fillId="5" borderId="173" xfId="21" applyNumberFormat="1" applyFont="1" applyFill="1" applyBorder="1" applyAlignment="1">
      <alignment horizontal="center"/>
    </xf>
    <xf numFmtId="167" fontId="4" fillId="5" borderId="173" xfId="21" applyNumberFormat="1" applyFont="1" applyFill="1" applyBorder="1" applyAlignment="1">
      <alignment horizontal="center"/>
    </xf>
    <xf numFmtId="0" fontId="58" fillId="17" borderId="173" xfId="33" applyFont="1" applyFill="1" applyBorder="1" applyAlignment="1"/>
    <xf numFmtId="0" fontId="4" fillId="17" borderId="173" xfId="6" applyFont="1" applyFill="1" applyBorder="1" applyAlignment="1">
      <alignment horizontal="left"/>
    </xf>
    <xf numFmtId="166" fontId="4" fillId="17" borderId="173" xfId="21" applyNumberFormat="1" applyFont="1" applyFill="1" applyBorder="1" applyAlignment="1">
      <alignment horizontal="center"/>
    </xf>
    <xf numFmtId="167" fontId="4" fillId="17" borderId="173" xfId="21" applyNumberFormat="1" applyFont="1" applyFill="1" applyBorder="1" applyAlignment="1">
      <alignment horizontal="center"/>
    </xf>
    <xf numFmtId="0" fontId="58" fillId="0" borderId="173" xfId="33" applyFont="1" applyFill="1" applyBorder="1" applyAlignment="1"/>
    <xf numFmtId="0" fontId="4" fillId="0" borderId="173" xfId="6" applyFont="1" applyFill="1" applyBorder="1" applyAlignment="1">
      <alignment horizontal="left"/>
    </xf>
    <xf numFmtId="166" fontId="4" fillId="0" borderId="173" xfId="21" applyNumberFormat="1" applyFont="1" applyFill="1" applyBorder="1" applyAlignment="1">
      <alignment horizontal="center"/>
    </xf>
    <xf numFmtId="167" fontId="4" fillId="0" borderId="173" xfId="21" applyNumberFormat="1" applyFont="1" applyFill="1" applyBorder="1" applyAlignment="1">
      <alignment horizontal="center"/>
    </xf>
    <xf numFmtId="0" fontId="58" fillId="5" borderId="173" xfId="33" applyFont="1" applyFill="1" applyBorder="1" applyAlignment="1">
      <alignment vertical="center"/>
    </xf>
    <xf numFmtId="0" fontId="4" fillId="5" borderId="173" xfId="6" applyFont="1" applyFill="1" applyBorder="1" applyAlignment="1">
      <alignment horizontal="left" vertical="center"/>
    </xf>
    <xf numFmtId="166" fontId="4" fillId="5" borderId="173" xfId="21" applyNumberFormat="1" applyFont="1" applyFill="1" applyBorder="1" applyAlignment="1">
      <alignment horizontal="center" vertical="center"/>
    </xf>
    <xf numFmtId="167" fontId="4" fillId="5" borderId="173" xfId="21" applyNumberFormat="1" applyFont="1" applyFill="1" applyBorder="1" applyAlignment="1">
      <alignment horizontal="center" vertical="center"/>
    </xf>
    <xf numFmtId="0" fontId="58" fillId="16" borderId="173" xfId="33" applyFont="1" applyFill="1" applyBorder="1" applyAlignment="1"/>
    <xf numFmtId="0" fontId="4" fillId="16" borderId="173" xfId="6" applyFont="1" applyFill="1" applyBorder="1" applyAlignment="1">
      <alignment horizontal="left"/>
    </xf>
    <xf numFmtId="166" fontId="4" fillId="16" borderId="173" xfId="21" applyNumberFormat="1" applyFont="1" applyFill="1" applyBorder="1" applyAlignment="1">
      <alignment horizontal="center"/>
    </xf>
    <xf numFmtId="167" fontId="4" fillId="16" borderId="173" xfId="21" applyNumberFormat="1" applyFont="1" applyFill="1" applyBorder="1" applyAlignment="1">
      <alignment horizontal="center"/>
    </xf>
    <xf numFmtId="0" fontId="58" fillId="0" borderId="81" xfId="33" applyFont="1" applyFill="1" applyBorder="1" applyAlignment="1">
      <alignment vertical="center"/>
    </xf>
    <xf numFmtId="0" fontId="4" fillId="0" borderId="81" xfId="6" applyFont="1" applyFill="1" applyBorder="1" applyAlignment="1">
      <alignment horizontal="left" vertical="center"/>
    </xf>
    <xf numFmtId="166" fontId="4" fillId="0" borderId="81" xfId="21" applyNumberFormat="1" applyFont="1" applyFill="1" applyBorder="1" applyAlignment="1">
      <alignment horizontal="center" vertical="center"/>
    </xf>
    <xf numFmtId="167" fontId="4" fillId="0" borderId="81" xfId="21" applyNumberFormat="1" applyFont="1" applyFill="1" applyBorder="1" applyAlignment="1">
      <alignment horizontal="center" vertical="center"/>
    </xf>
    <xf numFmtId="167" fontId="4" fillId="5" borderId="172" xfId="21" applyNumberFormat="1" applyFont="1" applyFill="1" applyBorder="1" applyAlignment="1">
      <alignment horizontal="center"/>
    </xf>
    <xf numFmtId="0" fontId="58" fillId="0" borderId="48" xfId="33" applyNumberFormat="1" applyFont="1" applyFill="1" applyBorder="1" applyAlignment="1"/>
    <xf numFmtId="0" fontId="58" fillId="0" borderId="149" xfId="33" applyNumberFormat="1" applyFont="1" applyBorder="1" applyAlignment="1"/>
    <xf numFmtId="0" fontId="57" fillId="0" borderId="74" xfId="33" applyNumberFormat="1" applyFont="1" applyFill="1" applyBorder="1" applyAlignment="1"/>
    <xf numFmtId="0" fontId="57" fillId="0" borderId="149" xfId="33" applyNumberFormat="1" applyFont="1" applyBorder="1" applyAlignment="1"/>
    <xf numFmtId="0" fontId="18" fillId="0" borderId="108" xfId="5" applyNumberFormat="1" applyFont="1" applyFill="1" applyBorder="1" applyAlignment="1"/>
    <xf numFmtId="0" fontId="64" fillId="0" borderId="145" xfId="5" applyNumberFormat="1" applyFont="1" applyBorder="1" applyAlignment="1">
      <alignment vertical="top"/>
    </xf>
    <xf numFmtId="0" fontId="58" fillId="5" borderId="123" xfId="33" applyFont="1" applyFill="1" applyBorder="1" applyAlignment="1"/>
    <xf numFmtId="0" fontId="58" fillId="5" borderId="154" xfId="33" applyFont="1" applyFill="1" applyBorder="1" applyAlignment="1"/>
    <xf numFmtId="0" fontId="64" fillId="0" borderId="156" xfId="5" applyNumberFormat="1" applyFont="1" applyBorder="1" applyAlignment="1">
      <alignment vertical="top"/>
    </xf>
    <xf numFmtId="0" fontId="58" fillId="5" borderId="12" xfId="33" applyFont="1" applyFill="1" applyBorder="1" applyAlignment="1"/>
    <xf numFmtId="0" fontId="58" fillId="5" borderId="130" xfId="33" applyFont="1" applyFill="1" applyBorder="1" applyAlignment="1"/>
    <xf numFmtId="0" fontId="58" fillId="5" borderId="22" xfId="33" applyFont="1" applyFill="1" applyBorder="1" applyAlignment="1"/>
    <xf numFmtId="0" fontId="58" fillId="5" borderId="169" xfId="33" applyFont="1" applyFill="1" applyBorder="1" applyAlignment="1"/>
    <xf numFmtId="0" fontId="58" fillId="18" borderId="20" xfId="33" applyFont="1" applyFill="1" applyBorder="1" applyAlignment="1"/>
    <xf numFmtId="0" fontId="4" fillId="18" borderId="12" xfId="14" applyFont="1" applyFill="1" applyBorder="1" applyAlignment="1"/>
    <xf numFmtId="0" fontId="58" fillId="18" borderId="85" xfId="33" applyFont="1" applyFill="1" applyBorder="1" applyAlignment="1"/>
    <xf numFmtId="0" fontId="4" fillId="16" borderId="12" xfId="22" applyFont="1" applyFill="1" applyBorder="1" applyAlignment="1">
      <alignment vertical="top"/>
    </xf>
    <xf numFmtId="0" fontId="58" fillId="16" borderId="85" xfId="33" applyFont="1" applyFill="1" applyBorder="1" applyAlignment="1"/>
    <xf numFmtId="0" fontId="60" fillId="0" borderId="0" xfId="0" applyFont="1" applyAlignment="1"/>
    <xf numFmtId="0" fontId="70" fillId="0" borderId="161" xfId="33" applyFont="1" applyFill="1" applyBorder="1" applyAlignment="1"/>
    <xf numFmtId="0" fontId="71" fillId="0" borderId="101" xfId="0" applyFont="1" applyFill="1" applyBorder="1" applyAlignment="1"/>
    <xf numFmtId="0" fontId="4" fillId="0" borderId="0" xfId="0" applyFont="1" applyBorder="1" applyAlignment="1"/>
    <xf numFmtId="0" fontId="70" fillId="0" borderId="101" xfId="33" applyFont="1" applyBorder="1" applyAlignment="1"/>
    <xf numFmtId="0" fontId="70" fillId="0" borderId="176" xfId="33" applyFont="1" applyBorder="1" applyAlignment="1"/>
    <xf numFmtId="0" fontId="18" fillId="0" borderId="163" xfId="22" applyFont="1" applyFill="1" applyBorder="1" applyAlignment="1"/>
    <xf numFmtId="0" fontId="0" fillId="0" borderId="175" xfId="8" applyFont="1" applyFill="1" applyBorder="1" applyAlignment="1"/>
    <xf numFmtId="0" fontId="41" fillId="0" borderId="175" xfId="16" applyFont="1" applyFill="1" applyBorder="1" applyAlignment="1">
      <alignment horizontal="center"/>
    </xf>
    <xf numFmtId="0" fontId="38" fillId="0" borderId="175" xfId="16" applyFont="1" applyFill="1" applyBorder="1" applyAlignment="1">
      <alignment horizontal="center"/>
    </xf>
    <xf numFmtId="0" fontId="1" fillId="5" borderId="175" xfId="16" applyFont="1" applyFill="1" applyBorder="1" applyAlignment="1">
      <alignment horizontal="center"/>
    </xf>
    <xf numFmtId="0" fontId="42" fillId="0" borderId="175" xfId="16" applyFont="1" applyFill="1" applyBorder="1" applyAlignment="1">
      <alignment horizontal="center"/>
    </xf>
    <xf numFmtId="0" fontId="17" fillId="0" borderId="175" xfId="16" applyFont="1" applyFill="1" applyBorder="1" applyAlignment="1">
      <alignment horizontal="center"/>
    </xf>
    <xf numFmtId="0" fontId="15" fillId="0" borderId="177" xfId="0" applyFont="1" applyBorder="1" applyAlignment="1"/>
    <xf numFmtId="0" fontId="0" fillId="0" borderId="0" xfId="0"/>
    <xf numFmtId="0" fontId="15" fillId="0" borderId="177" xfId="0" applyNumberFormat="1" applyFont="1" applyFill="1" applyBorder="1" applyAlignment="1">
      <alignment horizontal="center" vertical="center"/>
    </xf>
    <xf numFmtId="0" fontId="15" fillId="0" borderId="173" xfId="0" applyNumberFormat="1" applyFont="1" applyBorder="1" applyAlignment="1">
      <alignment horizontal="center"/>
    </xf>
    <xf numFmtId="0" fontId="1" fillId="0" borderId="3" xfId="14" applyFont="1" applyFill="1" applyBorder="1" applyAlignment="1"/>
    <xf numFmtId="0" fontId="1" fillId="0" borderId="80" xfId="14" applyFont="1" applyBorder="1"/>
    <xf numFmtId="0" fontId="0" fillId="0" borderId="81" xfId="14" applyFont="1" applyBorder="1"/>
    <xf numFmtId="0" fontId="1" fillId="0" borderId="42" xfId="8" applyFont="1" applyFill="1" applyBorder="1" applyAlignment="1"/>
    <xf numFmtId="0" fontId="0" fillId="5" borderId="42" xfId="16" applyFont="1" applyFill="1" applyBorder="1" applyAlignment="1">
      <alignment horizontal="center"/>
    </xf>
    <xf numFmtId="0" fontId="0" fillId="0" borderId="81" xfId="14" applyFont="1" applyFill="1" applyBorder="1" applyAlignment="1"/>
    <xf numFmtId="0" fontId="4" fillId="0" borderId="12" xfId="0" applyFont="1" applyFill="1" applyBorder="1" applyAlignment="1"/>
    <xf numFmtId="0" fontId="4" fillId="0" borderId="18" xfId="0" applyFont="1" applyBorder="1" applyAlignment="1"/>
    <xf numFmtId="0" fontId="57" fillId="0" borderId="179" xfId="33" applyFont="1" applyBorder="1" applyAlignment="1"/>
    <xf numFmtId="0" fontId="18" fillId="0" borderId="180" xfId="22" applyFont="1" applyFill="1" applyBorder="1" applyAlignment="1"/>
    <xf numFmtId="0" fontId="58" fillId="19" borderId="130" xfId="33" applyFont="1" applyFill="1" applyBorder="1" applyAlignment="1"/>
    <xf numFmtId="0" fontId="4" fillId="19" borderId="12" xfId="22" applyFont="1" applyFill="1" applyBorder="1" applyAlignment="1"/>
    <xf numFmtId="0" fontId="58" fillId="19" borderId="85" xfId="33" applyFont="1" applyFill="1" applyBorder="1" applyAlignment="1"/>
    <xf numFmtId="0" fontId="18" fillId="19" borderId="18" xfId="22" applyFont="1" applyFill="1" applyBorder="1" applyAlignment="1"/>
    <xf numFmtId="0" fontId="18" fillId="19" borderId="178" xfId="22" applyFont="1" applyFill="1" applyBorder="1" applyAlignment="1"/>
    <xf numFmtId="0" fontId="15" fillId="0" borderId="173" xfId="0" applyFont="1" applyBorder="1" applyAlignment="1">
      <alignment horizontal="center"/>
    </xf>
    <xf numFmtId="167" fontId="4" fillId="5" borderId="171" xfId="21" applyNumberFormat="1" applyFont="1" applyFill="1" applyBorder="1" applyAlignment="1">
      <alignment horizontal="center" vertical="center"/>
    </xf>
    <xf numFmtId="167" fontId="4" fillId="5" borderId="110" xfId="21" applyNumberFormat="1" applyFont="1" applyFill="1" applyBorder="1" applyAlignment="1">
      <alignment horizontal="center" vertical="center"/>
    </xf>
    <xf numFmtId="0" fontId="4" fillId="5" borderId="171" xfId="21" applyNumberFormat="1" applyFont="1" applyFill="1" applyBorder="1" applyAlignment="1">
      <alignment horizontal="left" vertical="center"/>
    </xf>
    <xf numFmtId="0" fontId="4" fillId="5" borderId="110" xfId="21" applyNumberFormat="1" applyFont="1" applyFill="1" applyBorder="1" applyAlignment="1">
      <alignment horizontal="left" vertical="center"/>
    </xf>
    <xf numFmtId="49" fontId="4" fillId="5" borderId="171" xfId="5" applyNumberFormat="1" applyFont="1" applyFill="1" applyBorder="1" applyAlignment="1">
      <alignment vertical="center"/>
    </xf>
    <xf numFmtId="49" fontId="4" fillId="5" borderId="110" xfId="5" applyNumberFormat="1" applyFont="1" applyFill="1" applyBorder="1" applyAlignment="1">
      <alignment vertical="center"/>
    </xf>
    <xf numFmtId="0" fontId="4" fillId="5" borderId="171" xfId="21" applyFont="1" applyFill="1" applyBorder="1" applyAlignment="1">
      <alignment vertical="center"/>
    </xf>
    <xf numFmtId="0" fontId="4" fillId="5" borderId="110" xfId="21" applyFont="1" applyFill="1" applyBorder="1" applyAlignment="1">
      <alignment vertical="center"/>
    </xf>
    <xf numFmtId="0" fontId="58" fillId="5" borderId="171" xfId="33" applyFont="1" applyFill="1" applyBorder="1" applyAlignment="1">
      <alignment vertical="center"/>
    </xf>
    <xf numFmtId="0" fontId="58" fillId="5" borderId="110" xfId="33" applyFont="1" applyFill="1" applyBorder="1" applyAlignment="1">
      <alignment vertical="center"/>
    </xf>
    <xf numFmtId="0" fontId="4" fillId="5" borderId="171" xfId="6" applyFont="1" applyFill="1" applyBorder="1" applyAlignment="1">
      <alignment horizontal="left" vertical="center"/>
    </xf>
    <xf numFmtId="0" fontId="4" fillId="5" borderId="110" xfId="6" applyFont="1" applyFill="1" applyBorder="1" applyAlignment="1">
      <alignment horizontal="left" vertical="center"/>
    </xf>
    <xf numFmtId="166" fontId="4" fillId="5" borderId="171" xfId="21" applyNumberFormat="1" applyFont="1" applyFill="1" applyBorder="1" applyAlignment="1">
      <alignment horizontal="center" vertical="center"/>
    </xf>
    <xf numFmtId="166" fontId="4" fillId="5" borderId="110" xfId="21" applyNumberFormat="1" applyFont="1" applyFill="1" applyBorder="1" applyAlignment="1">
      <alignment horizontal="center" vertical="center"/>
    </xf>
    <xf numFmtId="0" fontId="18" fillId="4" borderId="5" xfId="22" applyFont="1" applyFill="1" applyBorder="1" applyAlignment="1"/>
    <xf numFmtId="0" fontId="18" fillId="4" borderId="6" xfId="22" applyFont="1" applyFill="1" applyBorder="1" applyAlignment="1"/>
    <xf numFmtId="0" fontId="1" fillId="0" borderId="12" xfId="8" applyFont="1" applyFill="1" applyBorder="1" applyAlignment="1">
      <alignment textRotation="90"/>
    </xf>
    <xf numFmtId="0" fontId="0" fillId="0" borderId="0" xfId="8" applyFont="1" applyFill="1" applyBorder="1" applyAlignment="1">
      <alignment textRotation="90"/>
    </xf>
    <xf numFmtId="0" fontId="1" fillId="0" borderId="0" xfId="8" applyFont="1" applyFill="1" applyBorder="1" applyAlignment="1">
      <alignment textRotation="90"/>
    </xf>
    <xf numFmtId="0" fontId="1" fillId="0" borderId="0" xfId="8" applyFont="1" applyFill="1" applyAlignment="1">
      <alignment textRotation="90"/>
    </xf>
  </cellXfs>
  <cellStyles count="36">
    <cellStyle name="Hyperlink" xfId="33" builtinId="8"/>
    <cellStyle name="Hyperlink 2" xfId="1"/>
    <cellStyle name="Hyperlink 2 2" xfId="2"/>
    <cellStyle name="Hyperlink 3" xfId="3"/>
    <cellStyle name="Hyperlink 3 2" xfId="4"/>
    <cellStyle name="Normal" xfId="0" builtinId="0"/>
    <cellStyle name="Normal 2" xfId="5"/>
    <cellStyle name="Normal 2 2" xfId="6"/>
    <cellStyle name="Normal 2 2 2" xfId="7"/>
    <cellStyle name="Normal 2 2 2 2" xfId="8"/>
    <cellStyle name="Normal 2 2 3" xfId="9"/>
    <cellStyle name="Normal 2 2 4" xfId="10"/>
    <cellStyle name="Normal 2 3" xfId="11"/>
    <cellStyle name="Normal 2 3 2" xfId="12"/>
    <cellStyle name="Normal 2 4" xfId="13"/>
    <cellStyle name="Normal 2 4 2" xfId="32"/>
    <cellStyle name="Normal 2 5" xfId="14"/>
    <cellStyle name="Normal 2 5 2 2" xfId="34"/>
    <cellStyle name="Normal 3" xfId="15"/>
    <cellStyle name="Normal 3 2" xfId="16"/>
    <cellStyle name="Normal 3 3" xfId="17"/>
    <cellStyle name="Normal 3 4" xfId="18"/>
    <cellStyle name="Normal 4" xfId="19"/>
    <cellStyle name="Normal 4 2" xfId="20"/>
    <cellStyle name="Normal 4 3" xfId="21"/>
    <cellStyle name="Normal 5" xfId="22"/>
    <cellStyle name="Normal 5 3 2" xfId="35"/>
    <cellStyle name="Normal 6" xfId="23"/>
    <cellStyle name="Normal 6 2" xfId="24"/>
    <cellStyle name="Normal 6 2 2" xfId="25"/>
    <cellStyle name="Normal 6 3" xfId="26"/>
    <cellStyle name="Normal 6 4" xfId="27"/>
    <cellStyle name="Normal 7" xfId="28"/>
    <cellStyle name="Normal 8" xfId="29"/>
    <cellStyle name="Normal 9" xfId="30"/>
    <cellStyle name="WinCalendar_BlankCells_35" xfId="31"/>
  </cellStyles>
  <dxfs count="2101">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b/>
        <i val="0"/>
      </font>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ont>
        <b/>
        <i val="0"/>
      </font>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ont>
        <b/>
        <i val="0"/>
      </font>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theme="1"/>
      </font>
      <fill>
        <patternFill patternType="none">
          <bgColor auto="1"/>
        </patternFill>
      </fill>
    </dxf>
    <dxf>
      <font>
        <color rgb="FF9C0006"/>
      </font>
      <fill>
        <patternFill>
          <bgColor rgb="FFFFC7CE"/>
        </patternFill>
      </fill>
    </dxf>
    <dxf>
      <font>
        <color theme="1"/>
      </font>
      <fill>
        <patternFill patternType="none">
          <bgColor auto="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0070C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b/>
        <i val="0"/>
      </font>
    </dxf>
    <dxf>
      <fill>
        <patternFill>
          <bgColor theme="0" tint="-4.9989318521683403E-2"/>
        </patternFill>
      </fill>
    </dxf>
    <dxf>
      <font>
        <b/>
        <i val="0"/>
      </font>
    </dxf>
    <dxf>
      <fill>
        <patternFill>
          <bgColor theme="0" tint="-4.9989318521683403E-2"/>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0070C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ill>
        <patternFill>
          <bgColor rgb="FFFF0000"/>
        </patternFill>
      </fill>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9C0006"/>
      </font>
      <fill>
        <patternFill>
          <bgColor rgb="FFFFC7CE"/>
        </patternFill>
      </fill>
    </dxf>
    <dxf>
      <font>
        <color theme="1"/>
      </font>
      <fill>
        <patternFill patternType="none">
          <bgColor auto="1"/>
        </patternFill>
      </fill>
    </dxf>
    <dxf>
      <font>
        <b/>
        <i val="0"/>
      </font>
    </dxf>
    <dxf>
      <fill>
        <patternFill>
          <bgColor theme="0" tint="-4.9989318521683403E-2"/>
        </patternFill>
      </fill>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color rgb="FF9C0006"/>
      </font>
      <fill>
        <patternFill>
          <bgColor rgb="FFFFC7CE"/>
        </patternFill>
      </fill>
    </dxf>
    <dxf>
      <font>
        <color theme="1"/>
      </font>
      <fill>
        <patternFill patternType="none">
          <bgColor auto="1"/>
        </patternFill>
      </fill>
    </dxf>
    <dxf>
      <font>
        <color rgb="FF9C0006"/>
      </font>
      <fill>
        <patternFill>
          <bgColor rgb="FFFFC7CE"/>
        </patternFill>
      </fill>
    </dxf>
    <dxf>
      <font>
        <color theme="1"/>
      </font>
      <fill>
        <patternFill patternType="none">
          <bgColor auto="1"/>
        </patternFill>
      </fill>
    </dxf>
    <dxf>
      <font>
        <b/>
        <i val="0"/>
      </font>
    </dxf>
    <dxf>
      <fill>
        <patternFill>
          <bgColor theme="0" tint="-4.9989318521683403E-2"/>
        </patternFill>
      </fill>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70C0"/>
      </font>
    </dxf>
    <dxf>
      <font>
        <color rgb="FF00B050"/>
      </font>
    </dxf>
    <dxf>
      <font>
        <b/>
        <i val="0"/>
        <color rgb="FFFF0000"/>
      </font>
    </dxf>
    <dxf>
      <font>
        <b/>
        <i val="0"/>
        <color rgb="FFFF0000"/>
      </font>
    </dxf>
    <dxf>
      <font>
        <b/>
        <i val="0"/>
        <color rgb="FFFF0000"/>
      </font>
    </dxf>
    <dxf>
      <font>
        <color rgb="FF00B05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0070C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00B050"/>
      </font>
    </dxf>
    <dxf>
      <font>
        <b/>
        <i val="0"/>
        <color rgb="FFFF0000"/>
      </font>
    </dxf>
    <dxf>
      <font>
        <color rgb="FF00B050"/>
      </font>
    </dxf>
    <dxf>
      <font>
        <b/>
        <i val="0"/>
        <color rgb="FFFF0000"/>
      </font>
    </dxf>
    <dxf>
      <font>
        <b/>
        <i val="0"/>
        <color rgb="FFFF0000"/>
      </font>
    </dxf>
    <dxf>
      <font>
        <b/>
        <i val="0"/>
        <color rgb="FFFF0000"/>
      </font>
    </dxf>
    <dxf>
      <font>
        <color rgb="FF00B050"/>
      </font>
    </dxf>
    <dxf>
      <font>
        <b/>
        <i val="0"/>
        <color rgb="FFFF0000"/>
      </font>
    </dxf>
    <dxf>
      <font>
        <color rgb="FF00B050"/>
      </font>
    </dxf>
    <dxf>
      <font>
        <b/>
        <i val="0"/>
        <color rgb="FFFF0000"/>
      </font>
    </dxf>
    <dxf>
      <font>
        <color rgb="FF00B05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8" tint="0.79998168889431442"/>
        </patternFill>
      </fill>
    </dxf>
    <dxf>
      <fill>
        <patternFill>
          <bgColor theme="9" tint="0.79998168889431442"/>
        </patternFill>
      </fill>
    </dxf>
    <dxf>
      <fill>
        <patternFill>
          <bgColor theme="6"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70C0"/>
      </font>
    </dxf>
    <dxf>
      <fill>
        <patternFill>
          <bgColor rgb="FFFFCCCC"/>
        </patternFill>
      </fill>
    </dxf>
    <dxf>
      <fill>
        <patternFill>
          <bgColor rgb="FFCCFFCC"/>
        </patternFill>
      </fill>
    </dxf>
    <dxf>
      <fill>
        <patternFill>
          <bgColor rgb="FFFFFF99"/>
        </patternFill>
      </fill>
    </dxf>
    <dxf>
      <font>
        <b/>
        <i val="0"/>
      </font>
    </dxf>
    <dxf>
      <font>
        <b/>
        <i val="0"/>
      </font>
    </dxf>
    <dxf>
      <fill>
        <patternFill>
          <bgColor rgb="FFFF0000"/>
        </patternFill>
      </fill>
    </dxf>
    <dxf>
      <fill>
        <patternFill patternType="none">
          <bgColor auto="1"/>
        </patternFill>
      </fill>
    </dxf>
    <dxf>
      <fill>
        <patternFill>
          <bgColor rgb="FFFF0000"/>
        </patternFill>
      </fill>
    </dxf>
    <dxf>
      <font>
        <color rgb="FF00B050"/>
      </font>
    </dxf>
    <dxf>
      <font>
        <b/>
        <i val="0"/>
        <color rgb="FFFF0000"/>
      </font>
    </dxf>
    <dxf>
      <font>
        <b/>
        <i val="0"/>
        <color rgb="FFFF0000"/>
      </font>
    </dxf>
    <dxf>
      <font>
        <b/>
        <i val="0"/>
        <color rgb="FFFF0000"/>
      </font>
    </dxf>
    <dxf>
      <font>
        <color rgb="FF00B05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70C0"/>
      </font>
    </dxf>
    <dxf>
      <fill>
        <patternFill>
          <bgColor rgb="FFFFCCCC"/>
        </patternFill>
      </fill>
    </dxf>
    <dxf>
      <fill>
        <patternFill>
          <bgColor rgb="FFCCFFCC"/>
        </patternFill>
      </fill>
    </dxf>
    <dxf>
      <fill>
        <patternFill>
          <bgColor rgb="FFFFFF99"/>
        </patternFill>
      </fill>
    </dxf>
    <dxf>
      <font>
        <b/>
        <i val="0"/>
      </font>
    </dxf>
    <dxf>
      <font>
        <b/>
        <i val="0"/>
      </font>
    </dxf>
    <dxf>
      <fill>
        <patternFill>
          <bgColor rgb="FFFF0000"/>
        </patternFill>
      </fill>
    </dxf>
    <dxf>
      <fill>
        <patternFill patternType="none">
          <bgColor auto="1"/>
        </patternFill>
      </fill>
    </dxf>
    <dxf>
      <fill>
        <patternFill>
          <bgColor rgb="FFFF0000"/>
        </patternFill>
      </fill>
    </dxf>
    <dxf>
      <font>
        <color rgb="FF00B050"/>
      </font>
    </dxf>
    <dxf>
      <font>
        <b/>
        <i val="0"/>
        <color rgb="FFFF0000"/>
      </font>
    </dxf>
    <dxf>
      <font>
        <b/>
        <i val="0"/>
        <color rgb="FFFF0000"/>
      </font>
    </dxf>
    <dxf>
      <font>
        <b/>
        <i val="0"/>
        <color rgb="FFFF0000"/>
      </font>
    </dxf>
    <dxf>
      <font>
        <color rgb="FF00B05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70C0"/>
      </font>
    </dxf>
    <dxf>
      <fill>
        <patternFill>
          <bgColor rgb="FFFFCCCC"/>
        </patternFill>
      </fill>
    </dxf>
    <dxf>
      <fill>
        <patternFill>
          <bgColor rgb="FFCCFFCC"/>
        </patternFill>
      </fill>
    </dxf>
    <dxf>
      <fill>
        <patternFill>
          <bgColor rgb="FFFFFF99"/>
        </patternFill>
      </fill>
    </dxf>
    <dxf>
      <font>
        <b/>
        <i val="0"/>
      </font>
    </dxf>
    <dxf>
      <font>
        <b/>
        <i val="0"/>
      </font>
    </dxf>
    <dxf>
      <fill>
        <patternFill>
          <bgColor rgb="FFFF0000"/>
        </patternFill>
      </fill>
    </dxf>
    <dxf>
      <fill>
        <patternFill patternType="none">
          <bgColor auto="1"/>
        </patternFill>
      </fill>
    </dxf>
    <dxf>
      <fill>
        <patternFill>
          <bgColor rgb="FFFF0000"/>
        </patternFill>
      </fill>
    </dxf>
    <dxf>
      <font>
        <color rgb="FF00B050"/>
      </font>
    </dxf>
    <dxf>
      <font>
        <b/>
        <i val="0"/>
        <color rgb="FFFF0000"/>
      </font>
    </dxf>
    <dxf>
      <font>
        <b/>
        <i val="0"/>
        <color rgb="FFFF0000"/>
      </font>
    </dxf>
    <dxf>
      <font>
        <b/>
        <i val="0"/>
        <color rgb="FFFF0000"/>
      </font>
    </dxf>
    <dxf>
      <font>
        <color rgb="FF00B050"/>
      </font>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color rgb="FF0070C0"/>
      </font>
    </dxf>
    <dxf>
      <fill>
        <patternFill>
          <bgColor rgb="FFFFCCCC"/>
        </patternFill>
      </fill>
    </dxf>
    <dxf>
      <fill>
        <patternFill>
          <bgColor rgb="FFCCFFCC"/>
        </patternFill>
      </fill>
    </dxf>
    <dxf>
      <fill>
        <patternFill>
          <bgColor rgb="FFFFFF99"/>
        </patternFill>
      </fill>
    </dxf>
    <dxf>
      <font>
        <b/>
        <i val="0"/>
      </font>
    </dxf>
    <dxf>
      <font>
        <b/>
        <i val="0"/>
      </font>
    </dxf>
    <dxf>
      <fill>
        <patternFill>
          <bgColor rgb="FFFF0000"/>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b/>
        <i val="0"/>
        <color rgb="FFFF0000"/>
      </font>
    </dxf>
    <dxf>
      <font>
        <b/>
        <i val="0"/>
        <color rgb="FFFF0000"/>
      </font>
    </dxf>
    <dxf>
      <font>
        <color rgb="FF00B050"/>
      </font>
    </dxf>
    <dxf>
      <fill>
        <patternFill>
          <bgColor rgb="FFFF0000"/>
        </patternFill>
      </fill>
    </dxf>
    <dxf>
      <fill>
        <patternFill>
          <bgColor rgb="FFFF0000"/>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bgColor rgb="FFFFCCCC"/>
        </patternFill>
      </fill>
    </dxf>
    <dxf>
      <fill>
        <patternFill>
          <bgColor rgb="FFCCFFCC"/>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0070C0"/>
      </font>
    </dxf>
    <dxf>
      <font>
        <color rgb="FF9C0006"/>
      </font>
      <fill>
        <patternFill>
          <bgColor rgb="FFFFC7CE"/>
        </patternFill>
      </fill>
    </dxf>
    <dxf>
      <fill>
        <patternFill patternType="none">
          <bgColor auto="1"/>
        </patternFill>
      </fill>
    </dxf>
    <dxf>
      <font>
        <b/>
        <i val="0"/>
      </font>
      <fill>
        <patternFill>
          <bgColor rgb="FFFFFF99"/>
        </patternFill>
      </fill>
    </dxf>
    <dxf>
      <fill>
        <patternFill>
          <bgColor theme="0" tint="-0.14996795556505021"/>
        </patternFill>
      </fill>
    </dxf>
    <dxf>
      <fill>
        <patternFill>
          <bgColor rgb="FFFFCC99"/>
        </patternFill>
      </fill>
    </dxf>
    <dxf>
      <font>
        <color rgb="FF00B050"/>
      </font>
    </dxf>
    <dxf>
      <font>
        <b/>
        <i val="0"/>
        <color rgb="FFFF0000"/>
      </font>
    </dxf>
    <dxf>
      <font>
        <b/>
        <i val="0"/>
        <color rgb="FFFF0000"/>
      </font>
    </dxf>
    <dxf>
      <font>
        <b/>
        <i val="0"/>
        <color rgb="FFFF0000"/>
      </font>
    </dxf>
    <dxf>
      <font>
        <color rgb="FF00B050"/>
      </font>
    </dxf>
    <dxf>
      <fill>
        <patternFill>
          <bgColor rgb="FFFFCC99"/>
        </patternFill>
      </fill>
    </dxf>
    <dxf>
      <fill>
        <patternFill>
          <bgColor theme="0" tint="-0.14996795556505021"/>
        </patternFill>
      </fill>
    </dxf>
    <dxf>
      <fill>
        <patternFill>
          <bgColor rgb="FFFFFF99"/>
        </patternFill>
      </fill>
    </dxf>
    <dxf>
      <fill>
        <patternFill>
          <bgColor theme="9" tint="0.59996337778862885"/>
        </patternFill>
      </fill>
    </dxf>
    <dxf>
      <fill>
        <patternFill>
          <bgColor theme="0" tint="-0.14996795556505021"/>
        </patternFill>
      </fill>
    </dxf>
    <dxf>
      <fill>
        <patternFill>
          <bgColor rgb="FFFFFF99"/>
        </patternFill>
      </fill>
    </dxf>
    <dxf>
      <fill>
        <patternFill>
          <bgColor rgb="FFFFCC99"/>
        </patternFill>
      </fill>
    </dxf>
    <dxf>
      <fill>
        <patternFill>
          <bgColor theme="0" tint="-0.14996795556505021"/>
        </patternFill>
      </fill>
    </dxf>
    <dxf>
      <fill>
        <patternFill>
          <bgColor rgb="FFFFFF99"/>
        </patternFill>
      </fill>
    </dxf>
    <dxf>
      <fill>
        <patternFill>
          <bgColor rgb="FFFFCC99"/>
        </patternFill>
      </fill>
    </dxf>
    <dxf>
      <fill>
        <patternFill>
          <bgColor theme="0" tint="-0.14996795556505021"/>
        </patternFill>
      </fill>
    </dxf>
    <dxf>
      <fill>
        <patternFill>
          <bgColor rgb="FFFFFF99"/>
        </patternFill>
      </fill>
    </dxf>
    <dxf>
      <fill>
        <patternFill>
          <bgColor rgb="FFFFCC99"/>
        </patternFill>
      </fill>
    </dxf>
    <dxf>
      <fill>
        <patternFill>
          <bgColor theme="0" tint="-0.14996795556505021"/>
        </patternFill>
      </fill>
    </dxf>
    <dxf>
      <fill>
        <patternFill>
          <bgColor rgb="FFFFFF99"/>
        </patternFill>
      </fill>
    </dxf>
    <dxf>
      <fill>
        <patternFill>
          <bgColor theme="9" tint="0.59996337778862885"/>
        </patternFill>
      </fill>
    </dxf>
    <dxf>
      <fill>
        <patternFill>
          <bgColor theme="0" tint="-0.14996795556505021"/>
        </patternFill>
      </fill>
    </dxf>
    <dxf>
      <fill>
        <patternFill>
          <bgColor rgb="FFFFFF99"/>
        </patternFill>
      </fill>
    </dxf>
    <dxf>
      <fill>
        <patternFill>
          <bgColor theme="9" tint="0.59996337778862885"/>
        </patternFill>
      </fill>
    </dxf>
    <dxf>
      <fill>
        <patternFill>
          <bgColor theme="0" tint="-0.14996795556505021"/>
        </patternFill>
      </fill>
    </dxf>
    <dxf>
      <fill>
        <patternFill>
          <bgColor rgb="FFFFFF99"/>
        </patternFill>
      </fill>
    </dxf>
    <dxf>
      <font>
        <strike/>
        <color rgb="FF00B0F0"/>
      </font>
    </dxf>
    <dxf>
      <font>
        <color theme="0"/>
      </font>
    </dxf>
    <dxf>
      <fill>
        <patternFill>
          <bgColor rgb="FFFFFF99"/>
        </patternFill>
      </fill>
    </dxf>
    <dxf>
      <font>
        <color rgb="FF9C0006"/>
      </font>
      <fill>
        <patternFill>
          <bgColor rgb="FFFFC7CE"/>
        </patternFill>
      </fill>
    </dxf>
    <dxf>
      <fill>
        <patternFill>
          <bgColor rgb="FFCCFFCC"/>
        </patternFill>
      </fill>
    </dxf>
    <dxf>
      <font>
        <color rgb="FFCC0000"/>
      </font>
    </dxf>
    <dxf>
      <fill>
        <patternFill>
          <bgColor rgb="FFFFFF99"/>
        </patternFill>
      </fill>
    </dxf>
    <dxf>
      <fill>
        <patternFill>
          <bgColor theme="0" tint="-0.14996795556505021"/>
        </patternFill>
      </fill>
    </dxf>
    <dxf>
      <fill>
        <patternFill>
          <bgColor rgb="FFFFCC99"/>
        </patternFill>
      </fill>
    </dxf>
    <dxf>
      <fill>
        <patternFill>
          <bgColor rgb="FFFFCC99"/>
        </patternFill>
      </fill>
    </dxf>
    <dxf>
      <fill>
        <patternFill>
          <bgColor theme="0" tint="-0.14996795556505021"/>
        </patternFill>
      </fill>
    </dxf>
    <dxf>
      <fill>
        <patternFill>
          <bgColor rgb="FFFFFF99"/>
        </patternFill>
      </fill>
    </dxf>
    <dxf>
      <fill>
        <patternFill>
          <bgColor theme="9" tint="0.59996337778862885"/>
        </patternFill>
      </fill>
    </dxf>
    <dxf>
      <fill>
        <patternFill>
          <bgColor theme="0" tint="-0.14996795556505021"/>
        </patternFill>
      </fill>
    </dxf>
    <dxf>
      <fill>
        <patternFill>
          <bgColor rgb="FFFFFF99"/>
        </patternFill>
      </fill>
    </dxf>
    <dxf>
      <fill>
        <patternFill>
          <bgColor theme="9" tint="0.59996337778862885"/>
        </patternFill>
      </fill>
    </dxf>
    <dxf>
      <fill>
        <patternFill>
          <bgColor theme="0" tint="-0.14996795556505021"/>
        </patternFill>
      </fill>
    </dxf>
    <dxf>
      <fill>
        <patternFill>
          <bgColor rgb="FFFFFF99"/>
        </patternFill>
      </fill>
    </dxf>
    <dxf>
      <font>
        <b/>
        <i val="0"/>
      </font>
    </dxf>
    <dxf>
      <font>
        <color theme="4" tint="-0.24994659260841701"/>
      </font>
    </dxf>
    <dxf>
      <font>
        <color theme="0"/>
      </font>
    </dxf>
    <dxf>
      <font>
        <b/>
        <i val="0"/>
      </font>
    </dxf>
    <dxf>
      <font>
        <color theme="4" tint="-0.24994659260841701"/>
      </font>
    </dxf>
    <dxf>
      <font>
        <b/>
        <i val="0"/>
      </font>
    </dxf>
    <dxf>
      <font>
        <b/>
        <i val="0"/>
      </font>
    </dxf>
    <dxf>
      <font>
        <color theme="4" tint="-0.24994659260841701"/>
      </font>
    </dxf>
    <dxf>
      <font>
        <b/>
        <i val="0"/>
      </font>
    </dxf>
    <dxf>
      <font>
        <b/>
        <i val="0"/>
      </font>
    </dxf>
    <dxf>
      <font>
        <b/>
        <i val="0"/>
      </font>
    </dxf>
    <dxf>
      <font>
        <color theme="5" tint="0.39994506668294322"/>
      </font>
    </dxf>
    <dxf>
      <font>
        <color rgb="FF0070C0"/>
      </font>
    </dxf>
    <dxf>
      <font>
        <b/>
        <i val="0"/>
      </font>
    </dxf>
    <dxf>
      <font>
        <color theme="5" tint="0.39994506668294322"/>
      </font>
    </dxf>
    <dxf>
      <font>
        <color rgb="FF0070C0"/>
      </font>
    </dxf>
    <dxf>
      <fill>
        <patternFill>
          <bgColor rgb="FFFFFF99"/>
        </patternFill>
      </fill>
    </dxf>
    <dxf>
      <fill>
        <patternFill>
          <bgColor theme="0" tint="-0.14996795556505021"/>
        </patternFill>
      </fill>
    </dxf>
    <dxf>
      <fill>
        <patternFill>
          <bgColor rgb="FFFFCC99"/>
        </patternFill>
      </fill>
    </dxf>
    <dxf>
      <font>
        <b/>
        <i val="0"/>
        <color rgb="FFFF0000"/>
      </font>
    </dxf>
    <dxf>
      <font>
        <b/>
        <i val="0"/>
        <color rgb="FFFF0000"/>
      </font>
    </dxf>
    <dxf>
      <font>
        <b/>
        <i val="0"/>
        <color rgb="FFFF0000"/>
      </font>
    </dxf>
  </dxfs>
  <tableStyles count="0" defaultTableStyle="TableStyleMedium2" defaultPivotStyle="PivotStyleLight16"/>
  <colors>
    <mruColors>
      <color rgb="FFCCFFCC"/>
      <color rgb="FFABDB77"/>
      <color rgb="FF33CC33"/>
      <color rgb="FFFFFF99"/>
      <color rgb="FFFFCC99"/>
      <color rgb="FFFFFFCC"/>
      <color rgb="FFFFE7FF"/>
      <color rgb="FF99FF99"/>
      <color rgb="FFFFEFFF"/>
      <color rgb="FFFFF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2</xdr:col>
      <xdr:colOff>1428750</xdr:colOff>
      <xdr:row>8</xdr:row>
      <xdr:rowOff>133350</xdr:rowOff>
    </xdr:from>
    <xdr:ext cx="180975" cy="193902"/>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8425" y="2400300"/>
          <a:ext cx="180975" cy="193902"/>
        </a:xfrm>
        <a:prstGeom prst="rect">
          <a:avLst/>
        </a:prstGeom>
      </xdr:spPr>
    </xdr:pic>
    <xdr:clientData/>
  </xdr:oneCellAnchor>
  <xdr:twoCellAnchor editAs="oneCell">
    <xdr:from>
      <xdr:col>2</xdr:col>
      <xdr:colOff>1327788</xdr:colOff>
      <xdr:row>18</xdr:row>
      <xdr:rowOff>9525</xdr:rowOff>
    </xdr:from>
    <xdr:to>
      <xdr:col>2</xdr:col>
      <xdr:colOff>1659715</xdr:colOff>
      <xdr:row>19</xdr:row>
      <xdr:rowOff>19050</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7463" y="2943225"/>
          <a:ext cx="331927" cy="209550"/>
        </a:xfrm>
        <a:prstGeom prst="rect">
          <a:avLst/>
        </a:prstGeom>
      </xdr:spPr>
    </xdr:pic>
    <xdr:clientData/>
  </xdr:twoCellAnchor>
  <xdr:twoCellAnchor editAs="oneCell">
    <xdr:from>
      <xdr:col>2</xdr:col>
      <xdr:colOff>1722560</xdr:colOff>
      <xdr:row>22</xdr:row>
      <xdr:rowOff>0</xdr:rowOff>
    </xdr:from>
    <xdr:to>
      <xdr:col>2</xdr:col>
      <xdr:colOff>1876425</xdr:colOff>
      <xdr:row>23</xdr:row>
      <xdr:rowOff>9525</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32235" y="3619500"/>
          <a:ext cx="153865" cy="171450"/>
        </a:xfrm>
        <a:prstGeom prst="rect">
          <a:avLst/>
        </a:prstGeom>
      </xdr:spPr>
    </xdr:pic>
    <xdr:clientData/>
  </xdr:twoCellAnchor>
  <xdr:twoCellAnchor editAs="oneCell">
    <xdr:from>
      <xdr:col>2</xdr:col>
      <xdr:colOff>1581150</xdr:colOff>
      <xdr:row>20</xdr:row>
      <xdr:rowOff>304800</xdr:rowOff>
    </xdr:from>
    <xdr:to>
      <xdr:col>2</xdr:col>
      <xdr:colOff>1735015</xdr:colOff>
      <xdr:row>22</xdr:row>
      <xdr:rowOff>9525</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90825" y="3581400"/>
          <a:ext cx="153865" cy="171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1009650</xdr:colOff>
      <xdr:row>91</xdr:row>
      <xdr:rowOff>76200</xdr:rowOff>
    </xdr:from>
    <xdr:to>
      <xdr:col>10</xdr:col>
      <xdr:colOff>1012718</xdr:colOff>
      <xdr:row>93</xdr:row>
      <xdr:rowOff>35458</xdr:rowOff>
    </xdr:to>
    <xdr:pic>
      <xdr:nvPicPr>
        <xdr:cNvPr id="24" name="Picture 23"/>
        <xdr:cNvPicPr>
          <a:picLocks noChangeAspect="1"/>
        </xdr:cNvPicPr>
      </xdr:nvPicPr>
      <xdr:blipFill>
        <a:blip xmlns:r="http://schemas.openxmlformats.org/officeDocument/2006/relationships" r:embed="rId1"/>
        <a:stretch>
          <a:fillRect/>
        </a:stretch>
      </xdr:blipFill>
      <xdr:spPr>
        <a:xfrm>
          <a:off x="4162425" y="16811625"/>
          <a:ext cx="3068" cy="292633"/>
        </a:xfrm>
        <a:prstGeom prst="rect">
          <a:avLst/>
        </a:prstGeom>
      </xdr:spPr>
    </xdr:pic>
    <xdr:clientData/>
  </xdr:twoCellAnchor>
  <xdr:oneCellAnchor>
    <xdr:from>
      <xdr:col>10</xdr:col>
      <xdr:colOff>1108330</xdr:colOff>
      <xdr:row>90</xdr:row>
      <xdr:rowOff>9525</xdr:rowOff>
    </xdr:from>
    <xdr:ext cx="228600" cy="304800"/>
    <xdr:pic>
      <xdr:nvPicPr>
        <xdr:cNvPr id="46" name="Picture 4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80180" y="13782675"/>
          <a:ext cx="228600" cy="304800"/>
        </a:xfrm>
        <a:prstGeom prst="rect">
          <a:avLst/>
        </a:prstGeom>
      </xdr:spPr>
    </xdr:pic>
    <xdr:clientData/>
  </xdr:oneCellAnchor>
  <xdr:oneCellAnchor>
    <xdr:from>
      <xdr:col>0</xdr:col>
      <xdr:colOff>666750</xdr:colOff>
      <xdr:row>45</xdr:row>
      <xdr:rowOff>19050</xdr:rowOff>
    </xdr:from>
    <xdr:ext cx="257175" cy="275545"/>
    <xdr:pic>
      <xdr:nvPicPr>
        <xdr:cNvPr id="22" name="Picture 2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0" y="6648450"/>
          <a:ext cx="257175" cy="275545"/>
        </a:xfrm>
        <a:prstGeom prst="rect">
          <a:avLst/>
        </a:prstGeom>
      </xdr:spPr>
    </xdr:pic>
    <xdr:clientData/>
  </xdr:oneCellAnchor>
  <xdr:twoCellAnchor editAs="oneCell">
    <xdr:from>
      <xdr:col>6</xdr:col>
      <xdr:colOff>19050</xdr:colOff>
      <xdr:row>7</xdr:row>
      <xdr:rowOff>0</xdr:rowOff>
    </xdr:from>
    <xdr:to>
      <xdr:col>7</xdr:col>
      <xdr:colOff>161925</xdr:colOff>
      <xdr:row>8</xdr:row>
      <xdr:rowOff>0</xdr:rowOff>
    </xdr:to>
    <xdr:pic>
      <xdr:nvPicPr>
        <xdr:cNvPr id="31" name="Picture 3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76425" y="16563975"/>
          <a:ext cx="352425" cy="161925"/>
        </a:xfrm>
        <a:prstGeom prst="rect">
          <a:avLst/>
        </a:prstGeom>
      </xdr:spPr>
    </xdr:pic>
    <xdr:clientData/>
  </xdr:twoCellAnchor>
  <xdr:oneCellAnchor>
    <xdr:from>
      <xdr:col>10</xdr:col>
      <xdr:colOff>971550</xdr:colOff>
      <xdr:row>12</xdr:row>
      <xdr:rowOff>38100</xdr:rowOff>
    </xdr:from>
    <xdr:ext cx="255968" cy="171451"/>
    <xdr:pic>
      <xdr:nvPicPr>
        <xdr:cNvPr id="32" name="Picture 3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467225" y="1704975"/>
          <a:ext cx="255968" cy="171451"/>
        </a:xfrm>
        <a:prstGeom prst="rect">
          <a:avLst/>
        </a:prstGeom>
      </xdr:spPr>
    </xdr:pic>
    <xdr:clientData/>
  </xdr:oneCellAnchor>
  <xdr:oneCellAnchor>
    <xdr:from>
      <xdr:col>6</xdr:col>
      <xdr:colOff>19050</xdr:colOff>
      <xdr:row>23</xdr:row>
      <xdr:rowOff>0</xdr:rowOff>
    </xdr:from>
    <xdr:ext cx="352425" cy="161925"/>
    <xdr:pic>
      <xdr:nvPicPr>
        <xdr:cNvPr id="33" name="Picture 3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76425" y="17897475"/>
          <a:ext cx="352425" cy="161925"/>
        </a:xfrm>
        <a:prstGeom prst="rect">
          <a:avLst/>
        </a:prstGeom>
      </xdr:spPr>
    </xdr:pic>
    <xdr:clientData/>
  </xdr:oneCellAnchor>
  <xdr:oneCellAnchor>
    <xdr:from>
      <xdr:col>12</xdr:col>
      <xdr:colOff>1123950</xdr:colOff>
      <xdr:row>106</xdr:row>
      <xdr:rowOff>38100</xdr:rowOff>
    </xdr:from>
    <xdr:ext cx="286803" cy="191202"/>
    <xdr:pic>
      <xdr:nvPicPr>
        <xdr:cNvPr id="40" name="Picture 3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076950" y="13487400"/>
          <a:ext cx="286803" cy="191202"/>
        </a:xfrm>
        <a:prstGeom prst="rect">
          <a:avLst/>
        </a:prstGeom>
      </xdr:spPr>
    </xdr:pic>
    <xdr:clientData/>
  </xdr:oneCellAnchor>
  <xdr:oneCellAnchor>
    <xdr:from>
      <xdr:col>10</xdr:col>
      <xdr:colOff>971550</xdr:colOff>
      <xdr:row>15</xdr:row>
      <xdr:rowOff>38100</xdr:rowOff>
    </xdr:from>
    <xdr:ext cx="255968" cy="171451"/>
    <xdr:pic>
      <xdr:nvPicPr>
        <xdr:cNvPr id="23" name="Picture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343400" y="1704975"/>
          <a:ext cx="255968" cy="171451"/>
        </a:xfrm>
        <a:prstGeom prst="rect">
          <a:avLst/>
        </a:prstGeom>
      </xdr:spPr>
    </xdr:pic>
    <xdr:clientData/>
  </xdr:oneCellAnchor>
  <xdr:twoCellAnchor editAs="oneCell">
    <xdr:from>
      <xdr:col>8</xdr:col>
      <xdr:colOff>365305</xdr:colOff>
      <xdr:row>75</xdr:row>
      <xdr:rowOff>1</xdr:rowOff>
    </xdr:from>
    <xdr:to>
      <xdr:col>8</xdr:col>
      <xdr:colOff>723900</xdr:colOff>
      <xdr:row>76</xdr:row>
      <xdr:rowOff>64462</xdr:rowOff>
    </xdr:to>
    <xdr:pic>
      <xdr:nvPicPr>
        <xdr:cNvPr id="2" name="Picture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56080" y="12125326"/>
          <a:ext cx="358595" cy="226386"/>
        </a:xfrm>
        <a:prstGeom prst="rect">
          <a:avLst/>
        </a:prstGeom>
      </xdr:spPr>
    </xdr:pic>
    <xdr:clientData/>
  </xdr:twoCellAnchor>
  <xdr:twoCellAnchor editAs="oneCell">
    <xdr:from>
      <xdr:col>12</xdr:col>
      <xdr:colOff>1485900</xdr:colOff>
      <xdr:row>87</xdr:row>
      <xdr:rowOff>13289</xdr:rowOff>
    </xdr:from>
    <xdr:to>
      <xdr:col>13</xdr:col>
      <xdr:colOff>190500</xdr:colOff>
      <xdr:row>88</xdr:row>
      <xdr:rowOff>95476</xdr:rowOff>
    </xdr:to>
    <xdr:pic>
      <xdr:nvPicPr>
        <xdr:cNvPr id="3" name="Picture 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410325" y="13786439"/>
          <a:ext cx="219075" cy="244112"/>
        </a:xfrm>
        <a:prstGeom prst="rect">
          <a:avLst/>
        </a:prstGeom>
      </xdr:spPr>
    </xdr:pic>
    <xdr:clientData/>
  </xdr:twoCellAnchor>
  <xdr:twoCellAnchor editAs="oneCell">
    <xdr:from>
      <xdr:col>12</xdr:col>
      <xdr:colOff>1476375</xdr:colOff>
      <xdr:row>90</xdr:row>
      <xdr:rowOff>28575</xdr:rowOff>
    </xdr:from>
    <xdr:to>
      <xdr:col>13</xdr:col>
      <xdr:colOff>180975</xdr:colOff>
      <xdr:row>91</xdr:row>
      <xdr:rowOff>110762</xdr:rowOff>
    </xdr:to>
    <xdr:pic>
      <xdr:nvPicPr>
        <xdr:cNvPr id="25" name="Picture 2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400800" y="14297025"/>
          <a:ext cx="219075" cy="244112"/>
        </a:xfrm>
        <a:prstGeom prst="rect">
          <a:avLst/>
        </a:prstGeom>
      </xdr:spPr>
    </xdr:pic>
    <xdr:clientData/>
  </xdr:twoCellAnchor>
  <xdr:oneCellAnchor>
    <xdr:from>
      <xdr:col>13</xdr:col>
      <xdr:colOff>3430</xdr:colOff>
      <xdr:row>113</xdr:row>
      <xdr:rowOff>19050</xdr:rowOff>
    </xdr:from>
    <xdr:ext cx="180000" cy="240000"/>
    <xdr:pic>
      <xdr:nvPicPr>
        <xdr:cNvPr id="29" name="Picture 28"/>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442330" y="17621250"/>
          <a:ext cx="180000" cy="240000"/>
        </a:xfrm>
        <a:prstGeom prst="rect">
          <a:avLst/>
        </a:prstGeom>
      </xdr:spPr>
    </xdr:pic>
    <xdr:clientData/>
  </xdr:oneCellAnchor>
  <xdr:twoCellAnchor editAs="oneCell">
    <xdr:from>
      <xdr:col>12</xdr:col>
      <xdr:colOff>1276351</xdr:colOff>
      <xdr:row>103</xdr:row>
      <xdr:rowOff>38102</xdr:rowOff>
    </xdr:from>
    <xdr:to>
      <xdr:col>12</xdr:col>
      <xdr:colOff>1495951</xdr:colOff>
      <xdr:row>104</xdr:row>
      <xdr:rowOff>152246</xdr:rowOff>
    </xdr:to>
    <xdr:pic>
      <xdr:nvPicPr>
        <xdr:cNvPr id="4" name="Picture 3"/>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200776" y="15992477"/>
          <a:ext cx="219600" cy="276069"/>
        </a:xfrm>
        <a:prstGeom prst="rect">
          <a:avLst/>
        </a:prstGeom>
      </xdr:spPr>
    </xdr:pic>
    <xdr:clientData/>
  </xdr:twoCellAnchor>
  <xdr:oneCellAnchor>
    <xdr:from>
      <xdr:col>13</xdr:col>
      <xdr:colOff>0</xdr:colOff>
      <xdr:row>110</xdr:row>
      <xdr:rowOff>19050</xdr:rowOff>
    </xdr:from>
    <xdr:ext cx="180000" cy="240000"/>
    <xdr:pic>
      <xdr:nvPicPr>
        <xdr:cNvPr id="30" name="Picture 2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438900" y="17125950"/>
          <a:ext cx="180000" cy="240000"/>
        </a:xfrm>
        <a:prstGeom prst="rect">
          <a:avLst/>
        </a:prstGeom>
      </xdr:spPr>
    </xdr:pic>
    <xdr:clientData/>
  </xdr:oneCellAnchor>
  <xdr:oneCellAnchor>
    <xdr:from>
      <xdr:col>11</xdr:col>
      <xdr:colOff>0</xdr:colOff>
      <xdr:row>110</xdr:row>
      <xdr:rowOff>19050</xdr:rowOff>
    </xdr:from>
    <xdr:ext cx="180000" cy="240000"/>
    <xdr:pic>
      <xdr:nvPicPr>
        <xdr:cNvPr id="34" name="Picture 33"/>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24400" y="17125950"/>
          <a:ext cx="180000" cy="240000"/>
        </a:xfrm>
        <a:prstGeom prst="rect">
          <a:avLst/>
        </a:prstGeom>
      </xdr:spPr>
    </xdr:pic>
    <xdr:clientData/>
  </xdr:oneCellAnchor>
  <xdr:oneCellAnchor>
    <xdr:from>
      <xdr:col>11</xdr:col>
      <xdr:colOff>0</xdr:colOff>
      <xdr:row>113</xdr:row>
      <xdr:rowOff>19050</xdr:rowOff>
    </xdr:from>
    <xdr:ext cx="180000" cy="240000"/>
    <xdr:pic>
      <xdr:nvPicPr>
        <xdr:cNvPr id="35" name="Picture 3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24400" y="17621250"/>
          <a:ext cx="180000" cy="240000"/>
        </a:xfrm>
        <a:prstGeom prst="rect">
          <a:avLst/>
        </a:prstGeom>
      </xdr:spPr>
    </xdr:pic>
    <xdr:clientData/>
  </xdr:oneCellAnchor>
  <xdr:oneCellAnchor>
    <xdr:from>
      <xdr:col>11</xdr:col>
      <xdr:colOff>0</xdr:colOff>
      <xdr:row>104</xdr:row>
      <xdr:rowOff>19050</xdr:rowOff>
    </xdr:from>
    <xdr:ext cx="180000" cy="240000"/>
    <xdr:pic>
      <xdr:nvPicPr>
        <xdr:cNvPr id="36" name="Picture 35"/>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24400" y="16135350"/>
          <a:ext cx="180000" cy="240000"/>
        </a:xfrm>
        <a:prstGeom prst="rect">
          <a:avLst/>
        </a:prstGeom>
      </xdr:spPr>
    </xdr:pic>
    <xdr:clientData/>
  </xdr:oneCellAnchor>
  <xdr:oneCellAnchor>
    <xdr:from>
      <xdr:col>11</xdr:col>
      <xdr:colOff>0</xdr:colOff>
      <xdr:row>98</xdr:row>
      <xdr:rowOff>19050</xdr:rowOff>
    </xdr:from>
    <xdr:ext cx="180000" cy="240000"/>
    <xdr:pic>
      <xdr:nvPicPr>
        <xdr:cNvPr id="37" name="Picture 36"/>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724400" y="15144750"/>
          <a:ext cx="180000" cy="240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0</xdr:col>
      <xdr:colOff>409372</xdr:colOff>
      <xdr:row>2</xdr:row>
      <xdr:rowOff>142875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9050"/>
          <a:ext cx="401759" cy="44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32"/>
  <sheetViews>
    <sheetView showGridLines="0" showRowColHeaders="0" zoomScaleNormal="100" workbookViewId="0">
      <pane ySplit="3" topLeftCell="A4" activePane="bottomLeft" state="frozen"/>
      <selection pane="bottomLeft" activeCell="I1" sqref="I1"/>
    </sheetView>
  </sheetViews>
  <sheetFormatPr defaultRowHeight="12.75" x14ac:dyDescent="0.2"/>
  <cols>
    <col min="1" max="1" width="12.5703125" style="1" customWidth="1"/>
    <col min="2" max="2" width="5.5703125" style="1" customWidth="1"/>
    <col min="3" max="3" width="28.5703125" style="1" bestFit="1" customWidth="1"/>
    <col min="4" max="4" width="8" style="1" customWidth="1"/>
    <col min="5" max="5" width="6.5703125" style="1" customWidth="1"/>
    <col min="6" max="6" width="15.42578125" style="1" customWidth="1"/>
    <col min="7" max="7" width="10" style="1" customWidth="1"/>
    <col min="8" max="8" width="4.5703125" style="1" customWidth="1"/>
    <col min="9" max="9" width="4.7109375" style="1" customWidth="1"/>
    <col min="10" max="16384" width="9.140625" style="1"/>
  </cols>
  <sheetData>
    <row r="1" spans="1:10" x14ac:dyDescent="0.2">
      <c r="A1" s="6" t="s">
        <v>374</v>
      </c>
      <c r="B1" s="7"/>
      <c r="C1" s="8"/>
      <c r="D1" s="9"/>
      <c r="F1" s="653" t="s">
        <v>457</v>
      </c>
      <c r="H1" s="11" t="str">
        <f>HYPERLINK("","")</f>
        <v/>
      </c>
      <c r="I1" s="13"/>
      <c r="J1" s="13"/>
    </row>
    <row r="2" spans="1:10" x14ac:dyDescent="0.2">
      <c r="A2" s="14"/>
      <c r="B2" s="15"/>
      <c r="C2" s="8"/>
      <c r="D2" s="9"/>
      <c r="E2" s="16"/>
      <c r="F2" s="16"/>
      <c r="G2" s="8"/>
      <c r="H2" s="17"/>
      <c r="I2" s="8"/>
      <c r="J2" s="8"/>
    </row>
    <row r="3" spans="1:10" x14ac:dyDescent="0.2">
      <c r="A3" s="18" t="s">
        <v>34</v>
      </c>
      <c r="B3" s="19" t="s">
        <v>35</v>
      </c>
      <c r="C3" s="20" t="s">
        <v>36</v>
      </c>
      <c r="D3" s="21" t="s">
        <v>37</v>
      </c>
      <c r="E3" s="22" t="s">
        <v>17</v>
      </c>
      <c r="F3" s="23" t="s">
        <v>38</v>
      </c>
      <c r="G3" s="21" t="s">
        <v>39</v>
      </c>
      <c r="H3" s="24" t="s">
        <v>40</v>
      </c>
      <c r="I3" s="20" t="s">
        <v>41</v>
      </c>
      <c r="J3" s="13"/>
    </row>
    <row r="4" spans="1:10" x14ac:dyDescent="0.2">
      <c r="A4" s="410" t="s">
        <v>376</v>
      </c>
      <c r="B4" s="454"/>
      <c r="C4" s="26"/>
      <c r="D4" s="26"/>
      <c r="E4" s="455"/>
      <c r="F4" s="26"/>
      <c r="G4" s="27"/>
      <c r="H4" s="456"/>
      <c r="I4" s="457"/>
      <c r="J4" s="25"/>
    </row>
    <row r="5" spans="1:10" x14ac:dyDescent="0.2">
      <c r="A5" s="929" t="s">
        <v>361</v>
      </c>
      <c r="B5" s="930" t="s">
        <v>44</v>
      </c>
      <c r="C5" s="931" t="s">
        <v>400</v>
      </c>
      <c r="D5" s="932" t="s">
        <v>42</v>
      </c>
      <c r="E5" s="928" t="str">
        <f>HYPERLINK("#V1!$A$5","V1")</f>
        <v>V1</v>
      </c>
      <c r="F5" s="957" t="str">
        <f>HYPERLINK("https://kaart.delfi.ee/?bookmark=236e0f8de3f3d8e7138807663f9b5d14","Voka petangihall")</f>
        <v>Voka petangihall</v>
      </c>
      <c r="G5" s="958" t="s">
        <v>43</v>
      </c>
      <c r="H5" s="959">
        <v>3</v>
      </c>
      <c r="I5" s="960">
        <f>V!Z115</f>
        <v>18</v>
      </c>
      <c r="J5" s="25"/>
    </row>
    <row r="6" spans="1:10" x14ac:dyDescent="0.2">
      <c r="A6" s="933" t="s">
        <v>366</v>
      </c>
      <c r="B6" s="934" t="s">
        <v>44</v>
      </c>
      <c r="C6" s="935" t="s">
        <v>401</v>
      </c>
      <c r="D6" s="936" t="s">
        <v>42</v>
      </c>
      <c r="E6" s="922" t="str">
        <f>HYPERLINK("#V2!$A$5","V2")</f>
        <v>V2</v>
      </c>
      <c r="F6" s="961" t="str">
        <f>HYPERLINK("https://kaart.delfi.ee/?bookmark=236e0f8de3f3d8e7138807663f9b5d14","Voka petangihall")</f>
        <v>Voka petangihall</v>
      </c>
      <c r="G6" s="962" t="s">
        <v>43</v>
      </c>
      <c r="H6" s="963">
        <v>3</v>
      </c>
      <c r="I6" s="964">
        <f>V!AA115</f>
        <v>21</v>
      </c>
      <c r="J6" s="25"/>
    </row>
    <row r="7" spans="1:10" x14ac:dyDescent="0.2">
      <c r="A7" s="672" t="s">
        <v>377</v>
      </c>
      <c r="B7" s="673"/>
      <c r="C7" s="664"/>
      <c r="D7" s="664"/>
      <c r="E7" s="438"/>
      <c r="F7" s="664"/>
      <c r="G7" s="665"/>
      <c r="H7" s="666"/>
      <c r="I7" s="667"/>
      <c r="J7" s="25"/>
    </row>
    <row r="8" spans="1:10" x14ac:dyDescent="0.2">
      <c r="A8" s="933" t="s">
        <v>367</v>
      </c>
      <c r="B8" s="934" t="s">
        <v>44</v>
      </c>
      <c r="C8" s="935" t="s">
        <v>402</v>
      </c>
      <c r="D8" s="936" t="s">
        <v>42</v>
      </c>
      <c r="E8" s="922" t="str">
        <f>HYPERLINK("#V3!$A$5","V3")</f>
        <v>V3</v>
      </c>
      <c r="F8" s="961" t="str">
        <f>HYPERLINK("https://kaart.delfi.ee/?bookmark=236e0f8de3f3d8e7138807663f9b5d14","Voka petangihall")</f>
        <v>Voka petangihall</v>
      </c>
      <c r="G8" s="962" t="s">
        <v>43</v>
      </c>
      <c r="H8" s="963">
        <v>3</v>
      </c>
      <c r="I8" s="964">
        <f>V!AB115</f>
        <v>16</v>
      </c>
      <c r="J8" s="25"/>
    </row>
    <row r="9" spans="1:10" x14ac:dyDescent="0.2">
      <c r="A9" s="933" t="s">
        <v>368</v>
      </c>
      <c r="B9" s="934" t="s">
        <v>44</v>
      </c>
      <c r="C9" s="935" t="s">
        <v>403</v>
      </c>
      <c r="D9" s="936" t="s">
        <v>42</v>
      </c>
      <c r="E9" s="922" t="str">
        <f>HYPERLINK("#V4!$A$5","V4")</f>
        <v>V4</v>
      </c>
      <c r="F9" s="961" t="str">
        <f>HYPERLINK("https://kaart.delfi.ee/?bookmark=236e0f8de3f3d8e7138807663f9b5d14","Voka petangihall")</f>
        <v>Voka petangihall</v>
      </c>
      <c r="G9" s="962" t="s">
        <v>43</v>
      </c>
      <c r="H9" s="963">
        <v>3</v>
      </c>
      <c r="I9" s="964">
        <f>V!AC115</f>
        <v>16</v>
      </c>
      <c r="J9" s="13"/>
    </row>
    <row r="10" spans="1:10" x14ac:dyDescent="0.2">
      <c r="A10" s="937" t="s">
        <v>447</v>
      </c>
      <c r="B10" s="938" t="s">
        <v>44</v>
      </c>
      <c r="C10" s="939" t="s">
        <v>419</v>
      </c>
      <c r="D10" s="940" t="s">
        <v>333</v>
      </c>
      <c r="E10" s="927" t="str">
        <f>HYPERLINK("#'V-jh'!$A$5","V-jh")</f>
        <v>V-jh</v>
      </c>
      <c r="F10" s="965" t="str">
        <f>HYPERLINK("https://kaart.delfi.ee/?bookmark=236e0f8de3f3d8e7138807663f9b5d14","Voka petangihall")</f>
        <v>Voka petangihall</v>
      </c>
      <c r="G10" s="966" t="s">
        <v>43</v>
      </c>
      <c r="H10" s="967">
        <v>2</v>
      </c>
      <c r="I10" s="968">
        <v>20</v>
      </c>
      <c r="J10" s="13"/>
    </row>
    <row r="11" spans="1:10" x14ac:dyDescent="0.2">
      <c r="A11" s="618"/>
      <c r="B11" s="618"/>
      <c r="C11" s="618"/>
      <c r="D11" s="618"/>
      <c r="E11" s="222"/>
      <c r="F11" s="618"/>
      <c r="G11" s="618"/>
      <c r="H11" s="618"/>
      <c r="I11" s="618"/>
      <c r="J11" s="13"/>
    </row>
    <row r="12" spans="1:10" x14ac:dyDescent="0.2">
      <c r="A12" s="674" t="s">
        <v>373</v>
      </c>
      <c r="B12" s="675"/>
      <c r="C12" s="668"/>
      <c r="D12" s="668"/>
      <c r="E12" s="652"/>
      <c r="F12" s="668"/>
      <c r="G12" s="669"/>
      <c r="H12" s="670"/>
      <c r="I12" s="671"/>
      <c r="J12" s="13"/>
    </row>
    <row r="13" spans="1:10" x14ac:dyDescent="0.2">
      <c r="A13" s="933" t="s">
        <v>369</v>
      </c>
      <c r="B13" s="934" t="s">
        <v>44</v>
      </c>
      <c r="C13" s="935" t="s">
        <v>404</v>
      </c>
      <c r="D13" s="936" t="s">
        <v>42</v>
      </c>
      <c r="E13" s="922" t="str">
        <f>HYPERLINK("#V5!$A$5","V5")</f>
        <v>V5</v>
      </c>
      <c r="F13" s="961" t="str">
        <f>HYPERLINK("https://kaart.delfi.ee/?bookmark=236e0f8de3f3d8e7138807663f9b5d14","Voka petangihall")</f>
        <v>Voka petangihall</v>
      </c>
      <c r="G13" s="962" t="s">
        <v>43</v>
      </c>
      <c r="H13" s="963">
        <v>3</v>
      </c>
      <c r="I13" s="964">
        <f>V!AD115</f>
        <v>24</v>
      </c>
      <c r="J13" s="13"/>
    </row>
    <row r="14" spans="1:10" x14ac:dyDescent="0.2">
      <c r="A14" s="941" t="s">
        <v>412</v>
      </c>
      <c r="B14" s="942" t="s">
        <v>411</v>
      </c>
      <c r="C14" s="943" t="s">
        <v>410</v>
      </c>
      <c r="D14" s="944"/>
      <c r="E14" s="926"/>
      <c r="F14" s="969" t="str">
        <f>HYPERLINK("https://kaart.delfi.ee/?bookmark=236e0f8de3f3d8e7138807663f9b5d14","Voka petangihall")</f>
        <v>Voka petangihall</v>
      </c>
      <c r="G14" s="970"/>
      <c r="H14" s="971"/>
      <c r="I14" s="972"/>
      <c r="J14" s="13"/>
    </row>
    <row r="15" spans="1:10" x14ac:dyDescent="0.2">
      <c r="A15" s="933" t="s">
        <v>409</v>
      </c>
      <c r="B15" s="934" t="s">
        <v>44</v>
      </c>
      <c r="C15" s="935" t="s">
        <v>405</v>
      </c>
      <c r="D15" s="936" t="s">
        <v>42</v>
      </c>
      <c r="E15" s="922" t="str">
        <f>HYPERLINK("#V6!$A$5","V6")</f>
        <v>V6</v>
      </c>
      <c r="F15" s="961" t="str">
        <f>HYPERLINK("https://kaart.delfi.ee/?bookmark=236e0f8de3f3d8e7138807663f9b5d14","Voka petangihall")</f>
        <v>Voka petangihall</v>
      </c>
      <c r="G15" s="962" t="s">
        <v>43</v>
      </c>
      <c r="H15" s="963">
        <v>3</v>
      </c>
      <c r="I15" s="964">
        <f>V!AE115</f>
        <v>26</v>
      </c>
      <c r="J15" s="13"/>
    </row>
    <row r="16" spans="1:10" x14ac:dyDescent="0.2">
      <c r="A16" s="674" t="s">
        <v>372</v>
      </c>
      <c r="B16" s="675"/>
      <c r="C16" s="668"/>
      <c r="D16" s="668"/>
      <c r="E16" s="652"/>
      <c r="F16" s="668"/>
      <c r="G16" s="669"/>
      <c r="H16" s="670"/>
      <c r="I16" s="671"/>
      <c r="J16" s="13"/>
    </row>
    <row r="17" spans="1:10" x14ac:dyDescent="0.2">
      <c r="A17" s="933" t="s">
        <v>418</v>
      </c>
      <c r="B17" s="934" t="s">
        <v>44</v>
      </c>
      <c r="C17" s="935" t="s">
        <v>406</v>
      </c>
      <c r="D17" s="936" t="s">
        <v>42</v>
      </c>
      <c r="E17" s="922" t="str">
        <f>HYPERLINK("#V7!$A$5","V7")</f>
        <v>V7</v>
      </c>
      <c r="F17" s="961" t="str">
        <f>HYPERLINK("https://kaart.delfi.ee/?bookmark=236e0f8de3f3d8e7138807663f9b5d14","Voka petangihall")</f>
        <v>Voka petangihall</v>
      </c>
      <c r="G17" s="962" t="s">
        <v>43</v>
      </c>
      <c r="H17" s="963">
        <v>3</v>
      </c>
      <c r="I17" s="964">
        <f>V!AF115</f>
        <v>26</v>
      </c>
      <c r="J17" s="25"/>
    </row>
    <row r="18" spans="1:10" x14ac:dyDescent="0.2">
      <c r="A18" s="945" t="s">
        <v>421</v>
      </c>
      <c r="B18" s="946" t="s">
        <v>44</v>
      </c>
      <c r="C18" s="947" t="s">
        <v>420</v>
      </c>
      <c r="D18" s="936" t="s">
        <v>42</v>
      </c>
      <c r="E18" s="923" t="str">
        <f>HYPERLINK("#V8!$A$5","V8")</f>
        <v>V8</v>
      </c>
      <c r="F18" s="973" t="str">
        <f>HYPERLINK("https://kaart.delfi.ee/?bookmark=236e0f8de3f3d8e7138807663f9b5d14","Voka petangihall")</f>
        <v>Voka petangihall</v>
      </c>
      <c r="G18" s="974" t="s">
        <v>43</v>
      </c>
      <c r="H18" s="975">
        <v>3</v>
      </c>
      <c r="I18" s="976">
        <f>V!AG115</f>
        <v>21</v>
      </c>
      <c r="J18" s="25"/>
    </row>
    <row r="19" spans="1:10" ht="15.75" x14ac:dyDescent="0.25">
      <c r="A19" s="955" t="s">
        <v>417</v>
      </c>
      <c r="B19" s="956" t="s">
        <v>44</v>
      </c>
      <c r="C19" s="924" t="s">
        <v>398</v>
      </c>
      <c r="D19" s="954" t="s">
        <v>42</v>
      </c>
      <c r="E19" s="925" t="str">
        <f>HYPERLINK("#EW!$A$5","EW")</f>
        <v>EW</v>
      </c>
      <c r="F19" s="977" t="str">
        <f>HYPERLINK("https://kaart.delfi.ee/?bookmark=236e0f8de3f3d8e7138807663f9b5d14","Voka petangihall")</f>
        <v>Voka petangihall</v>
      </c>
      <c r="G19" s="978" t="s">
        <v>43</v>
      </c>
      <c r="H19" s="979">
        <v>5</v>
      </c>
      <c r="I19" s="980">
        <v>25</v>
      </c>
      <c r="J19" s="25"/>
    </row>
    <row r="20" spans="1:10" x14ac:dyDescent="0.2">
      <c r="A20" s="410" t="s">
        <v>370</v>
      </c>
      <c r="B20" s="895"/>
      <c r="C20" s="26"/>
      <c r="D20" s="26"/>
      <c r="E20" s="652"/>
      <c r="F20" s="668"/>
      <c r="G20" s="669"/>
      <c r="H20" s="670"/>
      <c r="I20" s="671"/>
      <c r="J20" s="13"/>
    </row>
    <row r="21" spans="1:10" x14ac:dyDescent="0.2">
      <c r="A21" s="1039" t="s">
        <v>431</v>
      </c>
      <c r="B21" s="1041" t="s">
        <v>44</v>
      </c>
      <c r="C21" s="948" t="s">
        <v>446</v>
      </c>
      <c r="D21" s="1043" t="s">
        <v>42</v>
      </c>
      <c r="E21" s="912" t="str">
        <f>HYPERLINK("#V9!$A$5","V9")</f>
        <v>V9</v>
      </c>
      <c r="F21" s="1045" t="str">
        <f>HYPERLINK("https://kaart.delfi.ee/?bookmark=236e0f8de3f3d8e7138807663f9b5d14","Voka petangihall")</f>
        <v>Voka petangihall</v>
      </c>
      <c r="G21" s="1047" t="s">
        <v>43</v>
      </c>
      <c r="H21" s="1049">
        <v>3</v>
      </c>
      <c r="I21" s="1037">
        <f>V!AH115</f>
        <v>25</v>
      </c>
      <c r="J21" s="25"/>
    </row>
    <row r="22" spans="1:10" x14ac:dyDescent="0.2">
      <c r="A22" s="1040"/>
      <c r="B22" s="1042"/>
      <c r="C22" s="949" t="s">
        <v>430</v>
      </c>
      <c r="D22" s="1044"/>
      <c r="E22" s="677" t="str">
        <f>HYPERLINK("#T-MV-d!$A$5","T-MV-d")</f>
        <v>T-MV-d</v>
      </c>
      <c r="F22" s="1046"/>
      <c r="G22" s="1048"/>
      <c r="H22" s="1050"/>
      <c r="I22" s="1038"/>
      <c r="J22" s="25"/>
    </row>
    <row r="23" spans="1:10" x14ac:dyDescent="0.2">
      <c r="A23" s="950" t="s">
        <v>432</v>
      </c>
      <c r="B23" s="951" t="s">
        <v>44</v>
      </c>
      <c r="C23" s="952" t="s">
        <v>430</v>
      </c>
      <c r="D23" s="953" t="s">
        <v>434</v>
      </c>
      <c r="E23" s="913" t="str">
        <f>HYPERLINK("#T-MV-t!$A$5","T-MV-t")</f>
        <v>T-MV-t</v>
      </c>
      <c r="F23" s="981" t="str">
        <f>HYPERLINK("https://kaart.delfi.ee/?bookmark=236e0f8de3f3d8e7138807663f9b5d14","Voka petangihall")</f>
        <v>Voka petangihall</v>
      </c>
      <c r="G23" s="982" t="s">
        <v>43</v>
      </c>
      <c r="H23" s="983" t="s">
        <v>79</v>
      </c>
      <c r="I23" s="984">
        <v>18</v>
      </c>
      <c r="J23" s="25"/>
    </row>
    <row r="24" spans="1:10" s="1018" customFormat="1" x14ac:dyDescent="0.2">
      <c r="A24" s="914" t="s">
        <v>433</v>
      </c>
      <c r="B24" s="915" t="s">
        <v>44</v>
      </c>
      <c r="C24" s="916" t="s">
        <v>407</v>
      </c>
      <c r="D24" s="917" t="s">
        <v>42</v>
      </c>
      <c r="E24" s="918" t="str">
        <f>HYPERLINK("#V10!$A$5","V10")</f>
        <v>V10</v>
      </c>
      <c r="F24" s="919" t="str">
        <f>HYPERLINK("https://kaart.delfi.ee/?bookmark=236e0f8de3f3d8e7138807663f9b5d14","Voka petangihall")</f>
        <v>Voka petangihall</v>
      </c>
      <c r="G24" s="920" t="s">
        <v>43</v>
      </c>
      <c r="H24" s="921">
        <v>3</v>
      </c>
      <c r="I24" s="985">
        <f>V!AI115</f>
        <v>26</v>
      </c>
      <c r="J24" s="25"/>
    </row>
    <row r="25" spans="1:10" s="1018" customFormat="1" x14ac:dyDescent="0.2">
      <c r="A25" s="914" t="s">
        <v>456</v>
      </c>
      <c r="B25" s="915" t="s">
        <v>44</v>
      </c>
      <c r="C25" s="916" t="s">
        <v>455</v>
      </c>
      <c r="D25" s="917" t="s">
        <v>333</v>
      </c>
      <c r="E25" s="918" t="str">
        <f>HYPERLINK("#'V-lõp'!$A$5","V-lõp")</f>
        <v>V-lõp</v>
      </c>
      <c r="F25" s="919" t="str">
        <f>HYPERLINK("https://kaart.delfi.ee/?bookmark=236e0f8de3f3d8e7138807663f9b5d14","Voka petangihall")</f>
        <v>Voka petangihall</v>
      </c>
      <c r="G25" s="920" t="s">
        <v>43</v>
      </c>
      <c r="H25" s="921">
        <v>3</v>
      </c>
      <c r="I25" s="985">
        <v>24</v>
      </c>
      <c r="J25" s="25"/>
    </row>
    <row r="26" spans="1:10" x14ac:dyDescent="0.2">
      <c r="A26" s="914" t="s">
        <v>469</v>
      </c>
      <c r="B26" s="915" t="s">
        <v>44</v>
      </c>
      <c r="C26" s="916" t="s">
        <v>470</v>
      </c>
      <c r="D26" s="917" t="s">
        <v>42</v>
      </c>
      <c r="E26" s="918" t="str">
        <f>HYPERLINK("#I-V-d!$A$5","I-V-d")</f>
        <v>I-V-d</v>
      </c>
      <c r="F26" s="919" t="str">
        <f>HYPERLINK("https://kaart.delfi.ee/?bookmark=236e0f8de3f3d8e7138807663f9b5d14","Voka petangihall")</f>
        <v>Voka petangihall</v>
      </c>
      <c r="G26" s="920" t="s">
        <v>43</v>
      </c>
      <c r="H26" s="921">
        <v>3</v>
      </c>
      <c r="I26" s="985">
        <v>22</v>
      </c>
      <c r="J26" s="25"/>
    </row>
    <row r="27" spans="1:10" x14ac:dyDescent="0.2">
      <c r="A27" s="464"/>
      <c r="B27" s="465"/>
      <c r="C27" s="411"/>
      <c r="D27" s="27"/>
      <c r="E27" s="466"/>
      <c r="F27" s="467"/>
      <c r="G27" s="468"/>
      <c r="H27" s="469"/>
      <c r="I27" s="470"/>
      <c r="J27" s="25"/>
    </row>
    <row r="28" spans="1:10" x14ac:dyDescent="0.2">
      <c r="A28" s="32" t="s">
        <v>46</v>
      </c>
      <c r="B28" s="32"/>
      <c r="C28" s="32"/>
      <c r="D28" s="29"/>
      <c r="E28" s="31"/>
      <c r="F28" s="30"/>
      <c r="G28" s="29"/>
      <c r="H28" s="29"/>
      <c r="I28" s="33"/>
    </row>
    <row r="29" spans="1:10" x14ac:dyDescent="0.2">
      <c r="A29" s="32" t="s">
        <v>340</v>
      </c>
      <c r="B29" s="32"/>
      <c r="C29" s="32"/>
      <c r="D29" s="29"/>
      <c r="E29" s="31"/>
      <c r="F29" s="30"/>
      <c r="G29" s="29"/>
      <c r="H29" s="29"/>
      <c r="I29" s="33"/>
    </row>
    <row r="30" spans="1:10" x14ac:dyDescent="0.2">
      <c r="A30" s="34" t="s">
        <v>47</v>
      </c>
      <c r="F30" s="35"/>
      <c r="J30" s="13"/>
    </row>
    <row r="31" spans="1:10" x14ac:dyDescent="0.2">
      <c r="A31" s="36"/>
      <c r="B31" s="37"/>
      <c r="C31" s="13"/>
      <c r="D31" s="38"/>
      <c r="E31" s="10"/>
      <c r="F31" s="10"/>
      <c r="G31" s="13"/>
      <c r="H31" s="12"/>
      <c r="I31" s="13"/>
      <c r="J31" s="13"/>
    </row>
    <row r="32" spans="1:10" x14ac:dyDescent="0.2">
      <c r="A32" s="36"/>
      <c r="B32" s="37"/>
      <c r="C32" s="13"/>
      <c r="D32" s="38"/>
      <c r="E32" s="10"/>
      <c r="F32" s="10"/>
      <c r="G32" s="13"/>
      <c r="H32" s="12"/>
      <c r="I32" s="13"/>
      <c r="J32" s="13"/>
    </row>
  </sheetData>
  <mergeCells count="7">
    <mergeCell ref="I21:I22"/>
    <mergeCell ref="A21:A22"/>
    <mergeCell ref="B21:B22"/>
    <mergeCell ref="D21:D22"/>
    <mergeCell ref="F21:F22"/>
    <mergeCell ref="G21:G22"/>
    <mergeCell ref="H21:H22"/>
  </mergeCells>
  <conditionalFormatting sqref="I5:I23 I26">
    <cfRule type="top10" dxfId="2100" priority="1570" rank="1"/>
  </conditionalFormatting>
  <conditionalFormatting sqref="I24">
    <cfRule type="top10" dxfId="2099" priority="2" rank="1"/>
  </conditionalFormatting>
  <conditionalFormatting sqref="I25">
    <cfRule type="top10" dxfId="2098" priority="1" rank="1"/>
  </conditionalFormatting>
  <pageMargins left="0.59055118110236227" right="0.27559055118110237" top="0.78740157480314965" bottom="0.39370078740157483" header="0.59055118110236227" footer="0"/>
  <pageSetup paperSize="9" fitToHeight="0" orientation="portrait" verticalDpi="1200" r:id="rId1"/>
  <headerFooter>
    <oddHeader>&amp;R&amp;9&amp;P. leht &amp;N&amp; -st</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12"/>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2.1406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3.85546875" style="1" hidden="1" customWidth="1"/>
    <col min="35" max="35" width="9.140625" style="1" hidden="1" customWidth="1"/>
    <col min="36" max="36" width="18.28515625" style="1" hidden="1" customWidth="1"/>
    <col min="37" max="37" width="9.140625" style="1" hidden="1" customWidth="1"/>
    <col min="38" max="38" width="15.2851562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UPPER((Kalend!E15)&amp;" - "&amp;(Kalend!C15))&amp;" - "&amp;LOWER(Kalend!D15)&amp;" - "&amp;(Kalend!A15)&amp;" kell "&amp;(Kalend!B15)&amp;" - "&amp;(Kalend!F15)</f>
        <v>V6 - VOKA V SISE-KV 6. ETAPP - duo - P, 22.01.2023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254</v>
      </c>
      <c r="C7" s="392">
        <v>13</v>
      </c>
      <c r="D7" s="393" t="s">
        <v>302</v>
      </c>
      <c r="E7" s="394">
        <v>1</v>
      </c>
      <c r="F7" s="395" t="s">
        <v>413</v>
      </c>
      <c r="G7" s="392">
        <v>13</v>
      </c>
      <c r="H7" s="393" t="s">
        <v>302</v>
      </c>
      <c r="I7" s="394">
        <v>3</v>
      </c>
      <c r="J7" s="395" t="s">
        <v>380</v>
      </c>
      <c r="K7" s="392">
        <v>12</v>
      </c>
      <c r="L7" s="393" t="s">
        <v>302</v>
      </c>
      <c r="M7" s="394">
        <v>11</v>
      </c>
      <c r="N7" s="395" t="s">
        <v>393</v>
      </c>
      <c r="O7" s="392">
        <v>13</v>
      </c>
      <c r="P7" s="393" t="s">
        <v>302</v>
      </c>
      <c r="Q7" s="394">
        <v>5</v>
      </c>
      <c r="R7" s="395" t="s">
        <v>387</v>
      </c>
      <c r="S7" s="392"/>
      <c r="T7" s="393" t="s">
        <v>302</v>
      </c>
      <c r="U7" s="394"/>
      <c r="V7" s="395"/>
      <c r="W7" s="396">
        <f t="shared" ref="W7:W16" si="0">IF(C7&gt;E7,W$2,IF(C7&lt;E7,W$4,IF(ISNUMBER(C7),W$3,0)))+IF(G7&gt;I7,W$2,IF(G7&lt;I7,W$4,IF(ISNUMBER(G7),W$3,0)))+IF(K7&gt;M7,W$2,IF(K7&lt;M7,W$4,IF(ISNUMBER(K7),W$3,0)))+IF(O7&gt;Q7,W$2,IF(O7&lt;Q7,W$4,IF(ISNUMBER(O7),W$3,0)))+IF(S7&gt;U7,W$2,IF(S7&lt;U7,W$4,IF(ISNUMBER(S7),W$3,0)))</f>
        <v>4</v>
      </c>
      <c r="X7" s="397">
        <v>18</v>
      </c>
      <c r="Y7" s="707">
        <v>76</v>
      </c>
      <c r="Z7" s="392">
        <f t="shared" ref="Z7:Z19" si="1">C7+G7+K7+O7+S7</f>
        <v>51</v>
      </c>
      <c r="AA7" s="393" t="s">
        <v>302</v>
      </c>
      <c r="AB7" s="398">
        <f t="shared" ref="AB7:AB19" si="2">E7+I7+M7+Q7+U7</f>
        <v>20</v>
      </c>
      <c r="AC7" s="399">
        <f t="shared" ref="AC7:AC19" si="3">Z7-AB7</f>
        <v>31</v>
      </c>
      <c r="AD7" s="233">
        <f>SUM(AE7:AP7)</f>
        <v>124</v>
      </c>
      <c r="AE7" s="234">
        <f>IFERROR(INDEX(V!$R:$R,MATCH(AF7,V!$L:$L,0)),"")</f>
        <v>64</v>
      </c>
      <c r="AF7" s="235" t="str">
        <f>IFERROR(LEFT($B7,(FIND(",",$B7,1)-1)),"")</f>
        <v>Andres Veski</v>
      </c>
      <c r="AG7" s="234">
        <f>IFERROR(INDEX(V!$R:$R,MATCH(AH7,V!$L:$L,0)),"")</f>
        <v>60</v>
      </c>
      <c r="AH7" s="235" t="str">
        <f>IFERROR(MID($B7,FIND(", ",$B7)+2,256),"")</f>
        <v>Svetlana Veski</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393</v>
      </c>
      <c r="C8" s="392">
        <v>12</v>
      </c>
      <c r="D8" s="393" t="s">
        <v>302</v>
      </c>
      <c r="E8" s="394">
        <v>8</v>
      </c>
      <c r="F8" s="395" t="s">
        <v>259</v>
      </c>
      <c r="G8" s="392">
        <v>13</v>
      </c>
      <c r="H8" s="393" t="s">
        <v>302</v>
      </c>
      <c r="I8" s="394">
        <v>7</v>
      </c>
      <c r="J8" s="395" t="s">
        <v>414</v>
      </c>
      <c r="K8" s="392">
        <v>11</v>
      </c>
      <c r="L8" s="393" t="s">
        <v>302</v>
      </c>
      <c r="M8" s="394">
        <v>12</v>
      </c>
      <c r="N8" s="395" t="s">
        <v>254</v>
      </c>
      <c r="O8" s="392">
        <v>13</v>
      </c>
      <c r="P8" s="393" t="s">
        <v>302</v>
      </c>
      <c r="Q8" s="394">
        <v>1</v>
      </c>
      <c r="R8" s="395" t="s">
        <v>381</v>
      </c>
      <c r="S8" s="392"/>
      <c r="T8" s="393" t="s">
        <v>302</v>
      </c>
      <c r="U8" s="394"/>
      <c r="V8" s="395"/>
      <c r="W8" s="396">
        <f t="shared" si="0"/>
        <v>3</v>
      </c>
      <c r="X8" s="397">
        <v>20</v>
      </c>
      <c r="Y8" s="707">
        <v>70</v>
      </c>
      <c r="Z8" s="392">
        <f t="shared" si="1"/>
        <v>49</v>
      </c>
      <c r="AA8" s="393" t="s">
        <v>302</v>
      </c>
      <c r="AB8" s="398">
        <f t="shared" si="2"/>
        <v>28</v>
      </c>
      <c r="AC8" s="399">
        <f t="shared" si="3"/>
        <v>21</v>
      </c>
      <c r="AD8" s="233">
        <f t="shared" ref="AD8:AD11" si="4">SUM(AE8:AL8)</f>
        <v>290</v>
      </c>
      <c r="AE8" s="234">
        <f>IFERROR(INDEX(V!$R:$R,MATCH(AF8,V!$L:$L,0)),"")</f>
        <v>160</v>
      </c>
      <c r="AF8" s="235" t="str">
        <f t="shared" ref="AF8:AF19" si="5">IFERROR(LEFT($B8,(FIND(",",$B8,1)-1)),"")</f>
        <v>Olav Türk</v>
      </c>
      <c r="AG8" s="234">
        <f>IFERROR(INDEX(V!$R:$R,MATCH(AH8,V!$L:$L,0)),"")</f>
        <v>130</v>
      </c>
      <c r="AH8" s="235" t="str">
        <f t="shared" ref="AH8:AH19" si="6">IFERROR(MID($B8,FIND(", ",$B8)+2,256),"")</f>
        <v>Sirje Maala</v>
      </c>
      <c r="AI8" s="234" t="str">
        <f>IFERROR(INDEX(V!$R:$R,MATCH(AJ8,V!$L:$L,0)),"")</f>
        <v/>
      </c>
      <c r="AJ8" s="235" t="str">
        <f t="shared" ref="AJ8:AJ19" si="7">IFERROR(MID($B8,FIND("^",SUBSTITUTE($B8,", ","^",1))+2,FIND("^",SUBSTITUTE($B8,", ","^",2))-FIND("^",SUBSTITUTE($B8,", ","^",1))-2),"")</f>
        <v/>
      </c>
      <c r="AK8" s="234" t="str">
        <f>IFERROR(INDEX(V!$R:$R,MATCH(AL8,V!$L:$L,0)),"")</f>
        <v/>
      </c>
      <c r="AL8" s="235" t="str">
        <f t="shared" ref="AL8:AL19" si="8">IFERROR(MID($B8,FIND(", ",$B8,FIND(", ",$B8,FIND(", ",$B8))+1)+2,30000),"")</f>
        <v/>
      </c>
      <c r="AM8" s="234" t="str">
        <f>IFERROR(INDEX(V!$R:$R,MATCH(AN8,V!$L:$L,0)),"")</f>
        <v/>
      </c>
      <c r="AN8" s="235" t="str">
        <f t="shared" ref="AN8:AN19" si="9">IFERROR(MID($B8,FIND(", ",$B8,FIND(", ",$B8)+1)+2,FIND(", ",$B8,FIND(", ",$B8,FIND(", ",$B8)+1)+1)-FIND(", ",$B8,FIND(", ",$B8)+1)-2),"")</f>
        <v/>
      </c>
      <c r="AO8" s="234" t="str">
        <f>IFERROR(INDEX(V!$R:$R,MATCH(AP8,V!$L:$L,0)),"")</f>
        <v/>
      </c>
      <c r="AP8" s="235" t="str">
        <f t="shared" ref="AP8:AP19" si="10">IFERROR(MID($B8,FIND(", ",$B8,FIND(", ",$B8,FIND(", ",$B8)+1)+1)+2,30000),"")</f>
        <v/>
      </c>
    </row>
    <row r="9" spans="1:42" x14ac:dyDescent="0.2">
      <c r="A9" s="391">
        <v>3</v>
      </c>
      <c r="B9" s="304" t="s">
        <v>387</v>
      </c>
      <c r="C9" s="392">
        <v>12</v>
      </c>
      <c r="D9" s="393" t="s">
        <v>302</v>
      </c>
      <c r="E9" s="394">
        <v>11</v>
      </c>
      <c r="F9" s="395" t="s">
        <v>335</v>
      </c>
      <c r="G9" s="392">
        <v>13</v>
      </c>
      <c r="H9" s="393" t="s">
        <v>302</v>
      </c>
      <c r="I9" s="394">
        <v>2</v>
      </c>
      <c r="J9" s="395" t="s">
        <v>381</v>
      </c>
      <c r="K9" s="392">
        <v>13</v>
      </c>
      <c r="L9" s="393" t="s">
        <v>302</v>
      </c>
      <c r="M9" s="394">
        <v>12</v>
      </c>
      <c r="N9" s="395" t="s">
        <v>415</v>
      </c>
      <c r="O9" s="392">
        <v>5</v>
      </c>
      <c r="P9" s="393" t="s">
        <v>302</v>
      </c>
      <c r="Q9" s="394">
        <v>13</v>
      </c>
      <c r="R9" s="395" t="s">
        <v>254</v>
      </c>
      <c r="S9" s="392"/>
      <c r="T9" s="393" t="s">
        <v>302</v>
      </c>
      <c r="U9" s="394"/>
      <c r="V9" s="395"/>
      <c r="W9" s="396">
        <f t="shared" si="0"/>
        <v>3</v>
      </c>
      <c r="X9" s="397">
        <v>20</v>
      </c>
      <c r="Y9" s="707">
        <v>68</v>
      </c>
      <c r="Z9" s="392">
        <f t="shared" si="1"/>
        <v>43</v>
      </c>
      <c r="AA9" s="393" t="s">
        <v>302</v>
      </c>
      <c r="AB9" s="398">
        <f t="shared" si="2"/>
        <v>38</v>
      </c>
      <c r="AC9" s="399">
        <f t="shared" si="3"/>
        <v>5</v>
      </c>
      <c r="AD9" s="233">
        <f t="shared" si="4"/>
        <v>282</v>
      </c>
      <c r="AE9" s="234">
        <f>IFERROR(INDEX(V!$R:$R,MATCH(AF9,V!$L:$L,0)),"")</f>
        <v>140</v>
      </c>
      <c r="AF9" s="235" t="str">
        <f t="shared" si="5"/>
        <v>Oleg Rõndenkov</v>
      </c>
      <c r="AG9" s="234">
        <f>IFERROR(INDEX(V!$R:$R,MATCH(AH9,V!$L:$L,0)),"")</f>
        <v>142</v>
      </c>
      <c r="AH9" s="235" t="str">
        <f t="shared" si="6"/>
        <v>Sander Rose</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t="s">
        <v>350</v>
      </c>
      <c r="C10" s="392">
        <v>9</v>
      </c>
      <c r="D10" s="393" t="s">
        <v>302</v>
      </c>
      <c r="E10" s="394">
        <v>10</v>
      </c>
      <c r="F10" s="395" t="s">
        <v>381</v>
      </c>
      <c r="G10" s="392">
        <v>13</v>
      </c>
      <c r="H10" s="393" t="s">
        <v>302</v>
      </c>
      <c r="I10" s="394">
        <v>3</v>
      </c>
      <c r="J10" s="395" t="s">
        <v>335</v>
      </c>
      <c r="K10" s="392">
        <v>12</v>
      </c>
      <c r="L10" s="393" t="s">
        <v>302</v>
      </c>
      <c r="M10" s="394">
        <v>8</v>
      </c>
      <c r="N10" s="395" t="s">
        <v>413</v>
      </c>
      <c r="O10" s="392">
        <v>13</v>
      </c>
      <c r="P10" s="393" t="s">
        <v>302</v>
      </c>
      <c r="Q10" s="394">
        <v>12</v>
      </c>
      <c r="R10" s="395" t="s">
        <v>259</v>
      </c>
      <c r="S10" s="392"/>
      <c r="T10" s="393" t="s">
        <v>302</v>
      </c>
      <c r="U10" s="394"/>
      <c r="V10" s="395"/>
      <c r="W10" s="396">
        <f t="shared" si="0"/>
        <v>3</v>
      </c>
      <c r="X10" s="397">
        <v>14</v>
      </c>
      <c r="Y10" s="707">
        <v>72</v>
      </c>
      <c r="Z10" s="392">
        <f t="shared" si="1"/>
        <v>47</v>
      </c>
      <c r="AA10" s="393" t="s">
        <v>302</v>
      </c>
      <c r="AB10" s="398">
        <f t="shared" si="2"/>
        <v>33</v>
      </c>
      <c r="AC10" s="399">
        <f t="shared" si="3"/>
        <v>14</v>
      </c>
      <c r="AD10" s="233">
        <f t="shared" si="4"/>
        <v>148</v>
      </c>
      <c r="AE10" s="234">
        <f>IFERROR(INDEX(V!$R:$R,MATCH(AF10,V!$L:$L,0)),"")</f>
        <v>74</v>
      </c>
      <c r="AF10" s="235" t="str">
        <f t="shared" si="5"/>
        <v>Aigi Orro</v>
      </c>
      <c r="AG10" s="234">
        <f>IFERROR(INDEX(V!$R:$R,MATCH(AH10,V!$L:$L,0)),"")</f>
        <v>74</v>
      </c>
      <c r="AH10" s="235" t="str">
        <f t="shared" si="6"/>
        <v>Kalle Orro</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284" t="s">
        <v>415</v>
      </c>
      <c r="C11" s="392">
        <v>13</v>
      </c>
      <c r="D11" s="393" t="s">
        <v>302</v>
      </c>
      <c r="E11" s="394">
        <v>7</v>
      </c>
      <c r="F11" s="395" t="s">
        <v>348</v>
      </c>
      <c r="G11" s="392">
        <v>13</v>
      </c>
      <c r="H11" s="393" t="s">
        <v>302</v>
      </c>
      <c r="I11" s="394">
        <v>4</v>
      </c>
      <c r="J11" s="395" t="s">
        <v>355</v>
      </c>
      <c r="K11" s="392">
        <v>12</v>
      </c>
      <c r="L11" s="393" t="s">
        <v>302</v>
      </c>
      <c r="M11" s="394">
        <v>13</v>
      </c>
      <c r="N11" s="395" t="s">
        <v>387</v>
      </c>
      <c r="O11" s="392">
        <v>13</v>
      </c>
      <c r="P11" s="393" t="s">
        <v>302</v>
      </c>
      <c r="Q11" s="394">
        <v>1</v>
      </c>
      <c r="R11" s="395" t="s">
        <v>380</v>
      </c>
      <c r="S11" s="392"/>
      <c r="T11" s="393" t="s">
        <v>302</v>
      </c>
      <c r="U11" s="394"/>
      <c r="V11" s="395"/>
      <c r="W11" s="396">
        <f t="shared" si="0"/>
        <v>3</v>
      </c>
      <c r="X11" s="397">
        <v>10</v>
      </c>
      <c r="Y11" s="707">
        <v>52</v>
      </c>
      <c r="Z11" s="392">
        <f t="shared" si="1"/>
        <v>51</v>
      </c>
      <c r="AA11" s="393" t="s">
        <v>302</v>
      </c>
      <c r="AB11" s="398">
        <f t="shared" si="2"/>
        <v>25</v>
      </c>
      <c r="AC11" s="399">
        <f t="shared" si="3"/>
        <v>26</v>
      </c>
      <c r="AD11" s="233">
        <f t="shared" si="4"/>
        <v>180</v>
      </c>
      <c r="AE11" s="234">
        <f>IFERROR(INDEX(V!$R:$R,MATCH(AF11,V!$L:$L,0)),"")</f>
        <v>108</v>
      </c>
      <c r="AF11" s="235" t="str">
        <f t="shared" si="5"/>
        <v>Henri Mitt</v>
      </c>
      <c r="AG11" s="234">
        <f>IFERROR(INDEX(V!$R:$R,MATCH(AH11,V!$L:$L,0)),"")</f>
        <v>72</v>
      </c>
      <c r="AH11" s="235" t="str">
        <f t="shared" si="6"/>
        <v>Urmas Jõeäär</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t="s">
        <v>381</v>
      </c>
      <c r="C12" s="392">
        <v>10</v>
      </c>
      <c r="D12" s="393" t="s">
        <v>302</v>
      </c>
      <c r="E12" s="394">
        <v>9</v>
      </c>
      <c r="F12" s="395" t="s">
        <v>350</v>
      </c>
      <c r="G12" s="392">
        <v>2</v>
      </c>
      <c r="H12" s="393" t="s">
        <v>302</v>
      </c>
      <c r="I12" s="394">
        <v>13</v>
      </c>
      <c r="J12" s="395" t="s">
        <v>387</v>
      </c>
      <c r="K12" s="392">
        <v>12</v>
      </c>
      <c r="L12" s="393" t="s">
        <v>302</v>
      </c>
      <c r="M12" s="394">
        <v>10</v>
      </c>
      <c r="N12" s="395" t="s">
        <v>414</v>
      </c>
      <c r="O12" s="392">
        <v>1</v>
      </c>
      <c r="P12" s="393" t="s">
        <v>302</v>
      </c>
      <c r="Q12" s="394">
        <v>13</v>
      </c>
      <c r="R12" s="395" t="s">
        <v>393</v>
      </c>
      <c r="S12" s="392"/>
      <c r="T12" s="393" t="s">
        <v>302</v>
      </c>
      <c r="U12" s="394"/>
      <c r="V12" s="395"/>
      <c r="W12" s="396">
        <f t="shared" si="0"/>
        <v>2</v>
      </c>
      <c r="X12" s="397">
        <v>22</v>
      </c>
      <c r="Y12" s="707">
        <v>68</v>
      </c>
      <c r="Z12" s="392">
        <f t="shared" si="1"/>
        <v>25</v>
      </c>
      <c r="AA12" s="393" t="s">
        <v>302</v>
      </c>
      <c r="AB12" s="398">
        <f t="shared" si="2"/>
        <v>45</v>
      </c>
      <c r="AC12" s="399">
        <f t="shared" si="3"/>
        <v>-20</v>
      </c>
      <c r="AD12" s="233">
        <f t="shared" ref="AD12:AD13" si="11">SUM(AE12:AL12)</f>
        <v>168</v>
      </c>
      <c r="AE12" s="234">
        <f>IFERROR(INDEX(V!$R:$R,MATCH(AF12,V!$L:$L,0)),"")</f>
        <v>102</v>
      </c>
      <c r="AF12" s="235" t="str">
        <f t="shared" si="5"/>
        <v>Matti Vinni</v>
      </c>
      <c r="AG12" s="234">
        <f>IFERROR(INDEX(V!$R:$R,MATCH(AH12,V!$L:$L,0)),"")</f>
        <v>66</v>
      </c>
      <c r="AH12" s="235" t="str">
        <f t="shared" si="6"/>
        <v>Vello Vasser</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400" t="s">
        <v>259</v>
      </c>
      <c r="C13" s="392">
        <v>8</v>
      </c>
      <c r="D13" s="393" t="s">
        <v>302</v>
      </c>
      <c r="E13" s="394">
        <v>12</v>
      </c>
      <c r="F13" s="395" t="s">
        <v>393</v>
      </c>
      <c r="G13" s="392">
        <v>13</v>
      </c>
      <c r="H13" s="393" t="s">
        <v>302</v>
      </c>
      <c r="I13" s="394">
        <v>1</v>
      </c>
      <c r="J13" s="395" t="s">
        <v>334</v>
      </c>
      <c r="K13" s="392">
        <v>13</v>
      </c>
      <c r="L13" s="393" t="s">
        <v>302</v>
      </c>
      <c r="M13" s="394">
        <v>7</v>
      </c>
      <c r="N13" s="395" t="s">
        <v>380</v>
      </c>
      <c r="O13" s="392">
        <v>12</v>
      </c>
      <c r="P13" s="393" t="s">
        <v>302</v>
      </c>
      <c r="Q13" s="394">
        <v>13</v>
      </c>
      <c r="R13" s="395" t="s">
        <v>350</v>
      </c>
      <c r="S13" s="392"/>
      <c r="T13" s="393" t="s">
        <v>302</v>
      </c>
      <c r="U13" s="394"/>
      <c r="V13" s="395"/>
      <c r="W13" s="396">
        <f t="shared" si="0"/>
        <v>2</v>
      </c>
      <c r="X13" s="397">
        <v>16</v>
      </c>
      <c r="Y13" s="707">
        <v>64</v>
      </c>
      <c r="Z13" s="392">
        <f t="shared" si="1"/>
        <v>46</v>
      </c>
      <c r="AA13" s="393" t="s">
        <v>302</v>
      </c>
      <c r="AB13" s="398">
        <f t="shared" si="2"/>
        <v>33</v>
      </c>
      <c r="AC13" s="399">
        <f t="shared" si="3"/>
        <v>13</v>
      </c>
      <c r="AD13" s="233">
        <f t="shared" si="11"/>
        <v>96</v>
      </c>
      <c r="AE13" s="234">
        <f>IFERROR(INDEX(V!$R:$R,MATCH(AF13,V!$L:$L,0)),"")</f>
        <v>48</v>
      </c>
      <c r="AF13" s="235" t="str">
        <f t="shared" si="5"/>
        <v>Ljudmila Varendi</v>
      </c>
      <c r="AG13" s="234">
        <f>IFERROR(INDEX(V!$R:$R,MATCH(AH13,V!$L:$L,0)),"")</f>
        <v>48</v>
      </c>
      <c r="AH13" s="235" t="str">
        <f t="shared" si="6"/>
        <v>Viktor Švarõgin</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304" t="s">
        <v>413</v>
      </c>
      <c r="C14" s="392">
        <v>1</v>
      </c>
      <c r="D14" s="393" t="s">
        <v>302</v>
      </c>
      <c r="E14" s="394">
        <v>13</v>
      </c>
      <c r="F14" s="395" t="s">
        <v>254</v>
      </c>
      <c r="G14" s="392">
        <v>13</v>
      </c>
      <c r="H14" s="393" t="s">
        <v>302</v>
      </c>
      <c r="I14" s="394">
        <v>7</v>
      </c>
      <c r="J14" s="395" t="s">
        <v>348</v>
      </c>
      <c r="K14" s="392">
        <v>8</v>
      </c>
      <c r="L14" s="393" t="s">
        <v>302</v>
      </c>
      <c r="M14" s="394">
        <v>12</v>
      </c>
      <c r="N14" s="395" t="s">
        <v>350</v>
      </c>
      <c r="O14" s="392">
        <v>13</v>
      </c>
      <c r="P14" s="393" t="s">
        <v>302</v>
      </c>
      <c r="Q14" s="394">
        <v>1</v>
      </c>
      <c r="R14" s="395" t="s">
        <v>335</v>
      </c>
      <c r="S14" s="392"/>
      <c r="T14" s="393" t="s">
        <v>302</v>
      </c>
      <c r="U14" s="394"/>
      <c r="V14" s="395"/>
      <c r="W14" s="396">
        <f t="shared" si="0"/>
        <v>2</v>
      </c>
      <c r="X14" s="397">
        <v>16</v>
      </c>
      <c r="Y14" s="707">
        <v>50</v>
      </c>
      <c r="Z14" s="392">
        <f t="shared" si="1"/>
        <v>35</v>
      </c>
      <c r="AA14" s="393" t="s">
        <v>302</v>
      </c>
      <c r="AB14" s="398">
        <f t="shared" si="2"/>
        <v>33</v>
      </c>
      <c r="AC14" s="399">
        <f t="shared" si="3"/>
        <v>2</v>
      </c>
      <c r="AD14" s="233">
        <f t="shared" ref="AD14:AD16" si="12">SUM(AE14:AL14)</f>
        <v>226</v>
      </c>
      <c r="AE14" s="234">
        <f>IFERROR(INDEX(V!$R:$R,MATCH(AF14,V!$L:$L,0)),"")</f>
        <v>160</v>
      </c>
      <c r="AF14" s="235" t="str">
        <f t="shared" si="5"/>
        <v>Kenneth Muusikus</v>
      </c>
      <c r="AG14" s="234">
        <f>IFERROR(INDEX(V!$R:$R,MATCH(AH14,V!$L:$L,0)),"")</f>
        <v>66</v>
      </c>
      <c r="AH14" s="235" t="str">
        <f t="shared" si="6"/>
        <v>Peep Peenema</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391">
        <v>9</v>
      </c>
      <c r="B15" s="304" t="s">
        <v>414</v>
      </c>
      <c r="C15" s="392">
        <v>13</v>
      </c>
      <c r="D15" s="393" t="s">
        <v>302</v>
      </c>
      <c r="E15" s="394">
        <v>12</v>
      </c>
      <c r="F15" s="395" t="s">
        <v>355</v>
      </c>
      <c r="G15" s="392">
        <v>7</v>
      </c>
      <c r="H15" s="393" t="s">
        <v>302</v>
      </c>
      <c r="I15" s="394">
        <v>13</v>
      </c>
      <c r="J15" s="395" t="s">
        <v>393</v>
      </c>
      <c r="K15" s="392">
        <v>10</v>
      </c>
      <c r="L15" s="393" t="s">
        <v>302</v>
      </c>
      <c r="M15" s="394">
        <v>12</v>
      </c>
      <c r="N15" s="395" t="s">
        <v>381</v>
      </c>
      <c r="O15" s="392">
        <v>13</v>
      </c>
      <c r="P15" s="393" t="s">
        <v>302</v>
      </c>
      <c r="Q15" s="394">
        <v>11</v>
      </c>
      <c r="R15" s="395" t="s">
        <v>334</v>
      </c>
      <c r="S15" s="392"/>
      <c r="T15" s="393" t="s">
        <v>302</v>
      </c>
      <c r="U15" s="394"/>
      <c r="V15" s="395"/>
      <c r="W15" s="396">
        <f t="shared" si="0"/>
        <v>2</v>
      </c>
      <c r="X15" s="397">
        <v>14</v>
      </c>
      <c r="Y15" s="707">
        <v>64</v>
      </c>
      <c r="Z15" s="392">
        <f t="shared" si="1"/>
        <v>43</v>
      </c>
      <c r="AA15" s="393" t="s">
        <v>302</v>
      </c>
      <c r="AB15" s="398">
        <f t="shared" si="2"/>
        <v>48</v>
      </c>
      <c r="AC15" s="399">
        <f t="shared" si="3"/>
        <v>-5</v>
      </c>
      <c r="AD15" s="233">
        <f t="shared" si="12"/>
        <v>104</v>
      </c>
      <c r="AE15" s="234">
        <f>IFERROR(INDEX(V!$R:$R,MATCH(AF15,V!$L:$L,0)),"")</f>
        <v>84</v>
      </c>
      <c r="AF15" s="235" t="str">
        <f t="shared" si="5"/>
        <v>Jaan Saar</v>
      </c>
      <c r="AG15" s="234">
        <f>IFERROR(INDEX(V!$R:$R,MATCH(AH15,V!$L:$L,0)),"")</f>
        <v>20</v>
      </c>
      <c r="AH15" s="235" t="str">
        <f t="shared" si="6"/>
        <v>Liidia Põllu</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391">
        <v>10</v>
      </c>
      <c r="B16" s="400" t="s">
        <v>380</v>
      </c>
      <c r="C16" s="392">
        <v>13</v>
      </c>
      <c r="D16" s="393" t="s">
        <v>302</v>
      </c>
      <c r="E16" s="394">
        <v>5</v>
      </c>
      <c r="F16" s="395" t="s">
        <v>334</v>
      </c>
      <c r="G16" s="392">
        <v>3</v>
      </c>
      <c r="H16" s="393" t="s">
        <v>302</v>
      </c>
      <c r="I16" s="394">
        <v>13</v>
      </c>
      <c r="J16" s="395" t="s">
        <v>254</v>
      </c>
      <c r="K16" s="392">
        <v>7</v>
      </c>
      <c r="L16" s="393" t="s">
        <v>302</v>
      </c>
      <c r="M16" s="394">
        <v>13</v>
      </c>
      <c r="N16" s="395" t="s">
        <v>259</v>
      </c>
      <c r="O16" s="392">
        <v>1</v>
      </c>
      <c r="P16" s="393" t="s">
        <v>302</v>
      </c>
      <c r="Q16" s="394">
        <v>13</v>
      </c>
      <c r="R16" s="395" t="s">
        <v>415</v>
      </c>
      <c r="S16" s="392"/>
      <c r="T16" s="393" t="s">
        <v>302</v>
      </c>
      <c r="U16" s="394"/>
      <c r="V16" s="395"/>
      <c r="W16" s="396">
        <f t="shared" si="0"/>
        <v>1</v>
      </c>
      <c r="X16" s="397">
        <v>20</v>
      </c>
      <c r="Y16" s="707">
        <v>54</v>
      </c>
      <c r="Z16" s="392">
        <f t="shared" si="1"/>
        <v>24</v>
      </c>
      <c r="AA16" s="393" t="s">
        <v>302</v>
      </c>
      <c r="AB16" s="398">
        <f t="shared" si="2"/>
        <v>44</v>
      </c>
      <c r="AC16" s="399">
        <f t="shared" si="3"/>
        <v>-20</v>
      </c>
      <c r="AD16" s="233">
        <f t="shared" si="12"/>
        <v>180</v>
      </c>
      <c r="AE16" s="234">
        <f>IFERROR(INDEX(V!$R:$R,MATCH(AF16,V!$L:$L,0)),"")</f>
        <v>86</v>
      </c>
      <c r="AF16" s="235" t="str">
        <f t="shared" si="5"/>
        <v>Andrei Grintšak</v>
      </c>
      <c r="AG16" s="234">
        <f>IFERROR(INDEX(V!$R:$R,MATCH(AH16,V!$L:$L,0)),"")</f>
        <v>94</v>
      </c>
      <c r="AH16" s="235" t="str">
        <f t="shared" si="6"/>
        <v>Enn Tokman</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7" spans="1:42" x14ac:dyDescent="0.2">
      <c r="A17" s="391">
        <v>11</v>
      </c>
      <c r="B17" s="304" t="s">
        <v>335</v>
      </c>
      <c r="C17" s="392">
        <v>11</v>
      </c>
      <c r="D17" s="393" t="s">
        <v>302</v>
      </c>
      <c r="E17" s="394">
        <v>12</v>
      </c>
      <c r="F17" s="395" t="s">
        <v>387</v>
      </c>
      <c r="G17" s="392">
        <v>3</v>
      </c>
      <c r="H17" s="393" t="s">
        <v>302</v>
      </c>
      <c r="I17" s="394">
        <v>13</v>
      </c>
      <c r="J17" s="395" t="s">
        <v>350</v>
      </c>
      <c r="K17" s="392">
        <v>13</v>
      </c>
      <c r="L17" s="393" t="s">
        <v>302</v>
      </c>
      <c r="M17" s="394">
        <v>11</v>
      </c>
      <c r="N17" s="395" t="s">
        <v>355</v>
      </c>
      <c r="O17" s="392">
        <v>1</v>
      </c>
      <c r="P17" s="393" t="s">
        <v>302</v>
      </c>
      <c r="Q17" s="394">
        <v>13</v>
      </c>
      <c r="R17" s="395" t="s">
        <v>413</v>
      </c>
      <c r="S17" s="392"/>
      <c r="T17" s="393" t="s">
        <v>302</v>
      </c>
      <c r="U17" s="394"/>
      <c r="V17" s="395"/>
      <c r="W17" s="396">
        <f t="shared" ref="W17:W19" si="13">IF(C17&gt;E17,W$2,IF(C17&lt;E17,W$4,IF(ISNUMBER(C17),W$3,0)))+IF(G17&gt;I17,W$2,IF(G17&lt;I17,W$4,IF(ISNUMBER(G17),W$3,0)))+IF(K17&gt;M17,W$2,IF(K17&lt;M17,W$4,IF(ISNUMBER(K17),W$3,0)))+IF(O17&gt;Q17,W$2,IF(O17&lt;Q17,W$4,IF(ISNUMBER(O17),W$3,0)))+IF(S17&gt;U17,W$2,IF(S17&lt;U17,W$4,IF(ISNUMBER(S17),W$3,0)))</f>
        <v>1</v>
      </c>
      <c r="X17" s="397">
        <v>18</v>
      </c>
      <c r="Y17" s="707">
        <v>62</v>
      </c>
      <c r="Z17" s="392">
        <f t="shared" si="1"/>
        <v>28</v>
      </c>
      <c r="AA17" s="393" t="s">
        <v>302</v>
      </c>
      <c r="AB17" s="398">
        <f t="shared" si="2"/>
        <v>49</v>
      </c>
      <c r="AC17" s="399">
        <f t="shared" si="3"/>
        <v>-21</v>
      </c>
      <c r="AD17" s="233">
        <f t="shared" ref="AD17:AD19" si="14">SUM(AE17:AL17)</f>
        <v>68</v>
      </c>
      <c r="AE17" s="234">
        <f>IFERROR(INDEX(V!$R:$R,MATCH(AF17,V!$L:$L,0)),"")</f>
        <v>50</v>
      </c>
      <c r="AF17" s="235" t="str">
        <f t="shared" si="5"/>
        <v>Illar Tõnurist</v>
      </c>
      <c r="AG17" s="234">
        <f>IFERROR(INDEX(V!$R:$R,MATCH(AH17,V!$L:$L,0)),"")</f>
        <v>18</v>
      </c>
      <c r="AH17" s="235" t="str">
        <f t="shared" si="6"/>
        <v>Tarmo Bombe</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18" spans="1:42" x14ac:dyDescent="0.2">
      <c r="A18" s="391">
        <v>12</v>
      </c>
      <c r="B18" s="304" t="s">
        <v>355</v>
      </c>
      <c r="C18" s="392">
        <v>12</v>
      </c>
      <c r="D18" s="393" t="s">
        <v>302</v>
      </c>
      <c r="E18" s="394">
        <v>13</v>
      </c>
      <c r="F18" s="395" t="s">
        <v>414</v>
      </c>
      <c r="G18" s="392">
        <v>4</v>
      </c>
      <c r="H18" s="393" t="s">
        <v>302</v>
      </c>
      <c r="I18" s="394">
        <v>13</v>
      </c>
      <c r="J18" s="395" t="s">
        <v>415</v>
      </c>
      <c r="K18" s="392">
        <v>11</v>
      </c>
      <c r="L18" s="393" t="s">
        <v>302</v>
      </c>
      <c r="M18" s="394">
        <v>13</v>
      </c>
      <c r="N18" s="395" t="s">
        <v>335</v>
      </c>
      <c r="O18" s="392">
        <v>13</v>
      </c>
      <c r="P18" s="393" t="s">
        <v>302</v>
      </c>
      <c r="Q18" s="394">
        <v>7</v>
      </c>
      <c r="R18" s="395" t="s">
        <v>348</v>
      </c>
      <c r="S18" s="392"/>
      <c r="T18" s="393" t="s">
        <v>302</v>
      </c>
      <c r="U18" s="394"/>
      <c r="V18" s="395"/>
      <c r="W18" s="396">
        <f t="shared" si="13"/>
        <v>1</v>
      </c>
      <c r="X18" s="397">
        <v>12</v>
      </c>
      <c r="Y18" s="707">
        <v>42</v>
      </c>
      <c r="Z18" s="392">
        <f t="shared" si="1"/>
        <v>40</v>
      </c>
      <c r="AA18" s="393" t="s">
        <v>302</v>
      </c>
      <c r="AB18" s="398">
        <f t="shared" si="2"/>
        <v>46</v>
      </c>
      <c r="AC18" s="399">
        <f t="shared" si="3"/>
        <v>-6</v>
      </c>
      <c r="AD18" s="233">
        <f t="shared" si="14"/>
        <v>152</v>
      </c>
      <c r="AE18" s="234">
        <f>IFERROR(INDEX(V!$R:$R,MATCH(AF18,V!$L:$L,0)),"")</f>
        <v>76</v>
      </c>
      <c r="AF18" s="235" t="str">
        <f t="shared" si="5"/>
        <v>Boriss Klubov</v>
      </c>
      <c r="AG18" s="234">
        <f>IFERROR(INDEX(V!$R:$R,MATCH(AH18,V!$L:$L,0)),"")</f>
        <v>76</v>
      </c>
      <c r="AH18" s="235" t="str">
        <f t="shared" si="6"/>
        <v>Elmo Lageda</v>
      </c>
      <c r="AI18" s="234" t="str">
        <f>IFERROR(INDEX(V!$R:$R,MATCH(AJ18,V!$L:$L,0)),"")</f>
        <v/>
      </c>
      <c r="AJ18" s="235" t="str">
        <f t="shared" si="7"/>
        <v/>
      </c>
      <c r="AK18" s="234" t="str">
        <f>IFERROR(INDEX(V!$R:$R,MATCH(AL18,V!$L:$L,0)),"")</f>
        <v/>
      </c>
      <c r="AL18" s="235" t="str">
        <f t="shared" si="8"/>
        <v/>
      </c>
      <c r="AM18" s="234" t="str">
        <f>IFERROR(INDEX(V!$R:$R,MATCH(AN18,V!$L:$L,0)),"")</f>
        <v/>
      </c>
      <c r="AN18" s="235" t="str">
        <f t="shared" si="9"/>
        <v/>
      </c>
      <c r="AO18" s="234" t="str">
        <f>IFERROR(INDEX(V!$R:$R,MATCH(AP18,V!$L:$L,0)),"")</f>
        <v/>
      </c>
      <c r="AP18" s="235" t="str">
        <f t="shared" si="10"/>
        <v/>
      </c>
    </row>
    <row r="19" spans="1:42" x14ac:dyDescent="0.2">
      <c r="A19" s="391">
        <v>13</v>
      </c>
      <c r="B19" s="400" t="s">
        <v>334</v>
      </c>
      <c r="C19" s="392">
        <v>5</v>
      </c>
      <c r="D19" s="393" t="s">
        <v>302</v>
      </c>
      <c r="E19" s="394">
        <v>13</v>
      </c>
      <c r="F19" s="395" t="s">
        <v>380</v>
      </c>
      <c r="G19" s="392">
        <v>1</v>
      </c>
      <c r="H19" s="393" t="s">
        <v>302</v>
      </c>
      <c r="I19" s="394">
        <v>13</v>
      </c>
      <c r="J19" s="395" t="s">
        <v>259</v>
      </c>
      <c r="K19" s="392">
        <v>13</v>
      </c>
      <c r="L19" s="393" t="s">
        <v>302</v>
      </c>
      <c r="M19" s="394">
        <v>7</v>
      </c>
      <c r="N19" s="395" t="s">
        <v>348</v>
      </c>
      <c r="O19" s="392">
        <v>11</v>
      </c>
      <c r="P19" s="393" t="s">
        <v>302</v>
      </c>
      <c r="Q19" s="394">
        <v>13</v>
      </c>
      <c r="R19" s="395" t="s">
        <v>414</v>
      </c>
      <c r="S19" s="392"/>
      <c r="T19" s="393" t="s">
        <v>302</v>
      </c>
      <c r="U19" s="394"/>
      <c r="V19" s="395"/>
      <c r="W19" s="396">
        <f t="shared" si="13"/>
        <v>1</v>
      </c>
      <c r="X19" s="397">
        <v>10</v>
      </c>
      <c r="Y19" s="707">
        <v>50</v>
      </c>
      <c r="Z19" s="392">
        <f t="shared" si="1"/>
        <v>30</v>
      </c>
      <c r="AA19" s="393" t="s">
        <v>302</v>
      </c>
      <c r="AB19" s="398">
        <f t="shared" si="2"/>
        <v>46</v>
      </c>
      <c r="AC19" s="399">
        <f t="shared" si="3"/>
        <v>-16</v>
      </c>
      <c r="AD19" s="233">
        <f t="shared" si="14"/>
        <v>38</v>
      </c>
      <c r="AE19" s="234">
        <f>IFERROR(INDEX(V!$R:$R,MATCH(AF19,V!$L:$L,0)),"")</f>
        <v>24</v>
      </c>
      <c r="AF19" s="235" t="str">
        <f t="shared" si="5"/>
        <v>Lemmit Toomra</v>
      </c>
      <c r="AG19" s="234">
        <f>IFERROR(INDEX(V!$R:$R,MATCH(AH19,V!$L:$L,0)),"")</f>
        <v>14</v>
      </c>
      <c r="AH19" s="235" t="str">
        <f t="shared" si="6"/>
        <v>Tõnu Kapper</v>
      </c>
      <c r="AI19" s="234" t="str">
        <f>IFERROR(INDEX(V!$R:$R,MATCH(AJ19,V!$L:$L,0)),"")</f>
        <v/>
      </c>
      <c r="AJ19" s="235" t="str">
        <f t="shared" si="7"/>
        <v/>
      </c>
      <c r="AK19" s="234" t="str">
        <f>IFERROR(INDEX(V!$R:$R,MATCH(AL19,V!$L:$L,0)),"")</f>
        <v/>
      </c>
      <c r="AL19" s="235" t="str">
        <f t="shared" si="8"/>
        <v/>
      </c>
      <c r="AM19" s="234" t="str">
        <f>IFERROR(INDEX(V!$R:$R,MATCH(AN19,V!$L:$L,0)),"")</f>
        <v/>
      </c>
      <c r="AN19" s="235" t="str">
        <f t="shared" si="9"/>
        <v/>
      </c>
      <c r="AO19" s="234" t="str">
        <f>IFERROR(INDEX(V!$R:$R,MATCH(AP19,V!$L:$L,0)),"")</f>
        <v/>
      </c>
      <c r="AP19" s="235" t="str">
        <f t="shared" si="10"/>
        <v/>
      </c>
    </row>
    <row r="22" spans="1:42" hidden="1" x14ac:dyDescent="0.2"/>
    <row r="23" spans="1:42" hidden="1" x14ac:dyDescent="0.2"/>
    <row r="24" spans="1:42" hidden="1" x14ac:dyDescent="0.2"/>
    <row r="25" spans="1:42" hidden="1" x14ac:dyDescent="0.2"/>
    <row r="26" spans="1:42" hidden="1" x14ac:dyDescent="0.2"/>
    <row r="27" spans="1:42" hidden="1" x14ac:dyDescent="0.2"/>
    <row r="28" spans="1:42" hidden="1" x14ac:dyDescent="0.2"/>
    <row r="29" spans="1:42" hidden="1" x14ac:dyDescent="0.2"/>
    <row r="30" spans="1:42" hidden="1" x14ac:dyDescent="0.2"/>
    <row r="31" spans="1:42" hidden="1" x14ac:dyDescent="0.2"/>
    <row r="32" spans="1:4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IFERROR(INDEX(B$1:B$100,MATCH(A300,A$1:A$100,0)),"")</f>
        <v>Andres Veski, Svetlana Veski</v>
      </c>
      <c r="C300" s="323">
        <f t="shared" ref="C300:C311" si="15">LARGE(A300:A400,1)*2+2-A300*2</f>
        <v>26</v>
      </c>
      <c r="F300" s="649"/>
    </row>
    <row r="301" spans="1:6" x14ac:dyDescent="0.2">
      <c r="A301" s="351">
        <v>2</v>
      </c>
      <c r="B301" s="402" t="str">
        <f t="shared" ref="B301:B309" si="16">IFERROR(INDEX(B$1:B$100,MATCH(A301,A$1:A$100,0)),"")</f>
        <v>Olav Türk, Sirje Maala</v>
      </c>
      <c r="C301" s="323">
        <f t="shared" si="15"/>
        <v>24</v>
      </c>
      <c r="F301" s="649"/>
    </row>
    <row r="302" spans="1:6" x14ac:dyDescent="0.2">
      <c r="A302" s="351">
        <v>3</v>
      </c>
      <c r="B302" s="402" t="str">
        <f t="shared" si="16"/>
        <v>Oleg Rõndenkov, Sander Rose</v>
      </c>
      <c r="C302" s="323">
        <f t="shared" si="15"/>
        <v>22</v>
      </c>
      <c r="F302" s="649"/>
    </row>
    <row r="303" spans="1:6" x14ac:dyDescent="0.2">
      <c r="A303" s="351">
        <v>4</v>
      </c>
      <c r="B303" s="402" t="str">
        <f t="shared" si="16"/>
        <v>Aigi Orro, Kalle Orro</v>
      </c>
      <c r="C303" s="323">
        <f t="shared" si="15"/>
        <v>20</v>
      </c>
      <c r="F303" s="649"/>
    </row>
    <row r="304" spans="1:6" x14ac:dyDescent="0.2">
      <c r="A304" s="351">
        <v>5</v>
      </c>
      <c r="B304" s="402" t="str">
        <f t="shared" si="16"/>
        <v>Henri Mitt, Urmas Jõeäär</v>
      </c>
      <c r="C304" s="323">
        <f t="shared" si="15"/>
        <v>18</v>
      </c>
      <c r="F304" s="649"/>
    </row>
    <row r="305" spans="1:6" x14ac:dyDescent="0.2">
      <c r="A305" s="351">
        <v>6</v>
      </c>
      <c r="B305" s="402" t="str">
        <f t="shared" si="16"/>
        <v>Matti Vinni, Vello Vasser</v>
      </c>
      <c r="C305" s="323">
        <f t="shared" si="15"/>
        <v>16</v>
      </c>
      <c r="F305" s="649"/>
    </row>
    <row r="306" spans="1:6" x14ac:dyDescent="0.2">
      <c r="A306" s="351">
        <v>7</v>
      </c>
      <c r="B306" s="402" t="str">
        <f t="shared" si="16"/>
        <v>Ljudmila Varendi, Viktor Švarõgin</v>
      </c>
      <c r="C306" s="323">
        <f t="shared" si="15"/>
        <v>14</v>
      </c>
      <c r="F306" s="649"/>
    </row>
    <row r="307" spans="1:6" x14ac:dyDescent="0.2">
      <c r="A307" s="351">
        <v>8</v>
      </c>
      <c r="B307" s="402" t="str">
        <f t="shared" si="16"/>
        <v>Kenneth Muusikus, Peep Peenema</v>
      </c>
      <c r="C307" s="323">
        <f t="shared" si="15"/>
        <v>12</v>
      </c>
      <c r="F307" s="649"/>
    </row>
    <row r="308" spans="1:6" x14ac:dyDescent="0.2">
      <c r="A308" s="351">
        <v>9</v>
      </c>
      <c r="B308" s="402" t="str">
        <f t="shared" si="16"/>
        <v>Jaan Saar, Liidia Põllu</v>
      </c>
      <c r="C308" s="323">
        <f t="shared" si="15"/>
        <v>10</v>
      </c>
      <c r="F308" s="649"/>
    </row>
    <row r="309" spans="1:6" x14ac:dyDescent="0.2">
      <c r="A309" s="351">
        <v>10</v>
      </c>
      <c r="B309" s="402" t="str">
        <f t="shared" si="16"/>
        <v>Andrei Grintšak, Enn Tokman</v>
      </c>
      <c r="C309" s="323">
        <f t="shared" si="15"/>
        <v>8</v>
      </c>
      <c r="F309" s="649"/>
    </row>
    <row r="310" spans="1:6" x14ac:dyDescent="0.2">
      <c r="A310" s="351">
        <v>11</v>
      </c>
      <c r="B310" s="402" t="str">
        <f t="shared" ref="B310:B312" si="17">IFERROR(INDEX(B$1:B$100,MATCH(A310,A$1:A$100,0)),"")</f>
        <v>Illar Tõnurist, Tarmo Bombe</v>
      </c>
      <c r="C310" s="323">
        <f t="shared" si="15"/>
        <v>6</v>
      </c>
      <c r="F310" s="649"/>
    </row>
    <row r="311" spans="1:6" x14ac:dyDescent="0.2">
      <c r="A311" s="351">
        <v>12</v>
      </c>
      <c r="B311" s="402" t="str">
        <f t="shared" si="17"/>
        <v>Boriss Klubov, Elmo Lageda</v>
      </c>
      <c r="C311" s="323">
        <f t="shared" si="15"/>
        <v>4</v>
      </c>
      <c r="F311" s="649"/>
    </row>
    <row r="312" spans="1:6" x14ac:dyDescent="0.2">
      <c r="A312" s="351">
        <v>13</v>
      </c>
      <c r="B312" s="402" t="str">
        <f t="shared" si="17"/>
        <v>Lemmit Toomra, Tõnu Kapper</v>
      </c>
      <c r="C312" s="323">
        <f t="shared" ref="C312" si="18">LARGE(A312:A412,1)*2+2-A312*2</f>
        <v>2</v>
      </c>
      <c r="F312" s="649"/>
    </row>
  </sheetData>
  <conditionalFormatting sqref="C7:C19 G7:G19 K7:K19 O7:O19 S7:S19">
    <cfRule type="expression" dxfId="1434" priority="12">
      <formula>AND(C7=0,E7=13)</formula>
    </cfRule>
  </conditionalFormatting>
  <conditionalFormatting sqref="C7:C19">
    <cfRule type="expression" dxfId="1433" priority="26">
      <formula>IF($C7&gt;$E7,TRUE)</formula>
    </cfRule>
  </conditionalFormatting>
  <conditionalFormatting sqref="E7:E19">
    <cfRule type="expression" dxfId="1432" priority="27">
      <formula>IF($C7&lt;$E7,TRUE)</formula>
    </cfRule>
  </conditionalFormatting>
  <conditionalFormatting sqref="K7:K19">
    <cfRule type="expression" dxfId="1431" priority="34">
      <formula>IF($K7&gt;$M7,TRUE)</formula>
    </cfRule>
  </conditionalFormatting>
  <conditionalFormatting sqref="M7:M19">
    <cfRule type="expression" dxfId="1430" priority="35">
      <formula>IF($K7&lt;$M7,TRUE)</formula>
    </cfRule>
  </conditionalFormatting>
  <conditionalFormatting sqref="O7:O19">
    <cfRule type="expression" dxfId="1429" priority="38">
      <formula>IF($O7&gt;$Q7,TRUE)</formula>
    </cfRule>
  </conditionalFormatting>
  <conditionalFormatting sqref="Q7:Q19">
    <cfRule type="expression" dxfId="1428" priority="39">
      <formula>IF($O7&lt;$Q7,TRUE)</formula>
    </cfRule>
  </conditionalFormatting>
  <conditionalFormatting sqref="S7:S19">
    <cfRule type="expression" dxfId="1427" priority="42">
      <formula>IF($S7&gt;$U7,TRUE)</formula>
    </cfRule>
  </conditionalFormatting>
  <conditionalFormatting sqref="U7:U19">
    <cfRule type="expression" dxfId="1426" priority="43">
      <formula>IF($S7&lt;$U7,TRUE)</formula>
    </cfRule>
  </conditionalFormatting>
  <conditionalFormatting sqref="G7:G19">
    <cfRule type="expression" dxfId="1425" priority="30">
      <formula>IF($G7&gt;$I7,TRUE)</formula>
    </cfRule>
  </conditionalFormatting>
  <conditionalFormatting sqref="I7:I19">
    <cfRule type="expression" dxfId="1424" priority="31">
      <formula>IF($G7&lt;$I7,TRUE)</formula>
    </cfRule>
  </conditionalFormatting>
  <conditionalFormatting sqref="F7:F19">
    <cfRule type="containsText" dxfId="1423" priority="17" operator="containsText" text="vaba voor">
      <formula>NOT(ISERROR(SEARCH("vaba voor",F7)))</formula>
    </cfRule>
  </conditionalFormatting>
  <conditionalFormatting sqref="N7:N19">
    <cfRule type="containsText" dxfId="1422" priority="15" operator="containsText" text="vaba voor">
      <formula>NOT(ISERROR(SEARCH("vaba voor",N7)))</formula>
    </cfRule>
  </conditionalFormatting>
  <conditionalFormatting sqref="R7:R19">
    <cfRule type="containsText" dxfId="1421" priority="18" operator="containsText" text="vaba voor">
      <formula>NOT(ISERROR(SEARCH("vaba voor",R7)))</formula>
    </cfRule>
  </conditionalFormatting>
  <conditionalFormatting sqref="V7:V19">
    <cfRule type="containsText" dxfId="1420" priority="14" operator="containsText" text="vaba voor">
      <formula>NOT(ISERROR(SEARCH("vaba voor",V7)))</formula>
    </cfRule>
  </conditionalFormatting>
  <conditionalFormatting sqref="J7:J19">
    <cfRule type="containsText" dxfId="1419" priority="16" operator="containsText" text="vaba voor">
      <formula>NOT(ISERROR(SEARCH("vaba voor",J7)))</formula>
    </cfRule>
  </conditionalFormatting>
  <conditionalFormatting sqref="C7:F19">
    <cfRule type="expression" dxfId="1418" priority="22">
      <formula>IF(AND(ISNUMBER($C7),$C7=$E7),TRUE)</formula>
    </cfRule>
    <cfRule type="expression" dxfId="1417" priority="24">
      <formula>IF($C7&gt;$E7,TRUE)</formula>
    </cfRule>
    <cfRule type="expression" dxfId="1416" priority="25">
      <formula>IF($C7&lt;$E7,TRUE)</formula>
    </cfRule>
  </conditionalFormatting>
  <conditionalFormatting sqref="G7:J19">
    <cfRule type="expression" dxfId="1415" priority="23">
      <formula>IF(AND(ISNUMBER($G7),$G7=$I7),TRUE)</formula>
    </cfRule>
    <cfRule type="expression" dxfId="1414" priority="28">
      <formula>IF($G7&gt;$I7,TRUE)</formula>
    </cfRule>
    <cfRule type="expression" dxfId="1413" priority="29">
      <formula>IF($G7&lt;$I7,TRUE)</formula>
    </cfRule>
  </conditionalFormatting>
  <conditionalFormatting sqref="K7:N19">
    <cfRule type="expression" dxfId="1412" priority="21">
      <formula>IF(AND(ISNUMBER($K7),$K7=$M7),TRUE)</formula>
    </cfRule>
    <cfRule type="expression" dxfId="1411" priority="32">
      <formula>IF($K7&gt;$M7,TRUE)</formula>
    </cfRule>
    <cfRule type="expression" dxfId="1410" priority="33">
      <formula>IF($K7&lt;$M7,TRUE)</formula>
    </cfRule>
  </conditionalFormatting>
  <conditionalFormatting sqref="O7:R19">
    <cfRule type="expression" dxfId="1409" priority="20">
      <formula>IF(AND(ISNUMBER($O7),$O7=$Q7),TRUE)</formula>
    </cfRule>
    <cfRule type="expression" dxfId="1408" priority="36">
      <formula>IF($O7&gt;$Q7,TRUE)</formula>
    </cfRule>
    <cfRule type="expression" dxfId="1407" priority="37">
      <formula>IF($O7&lt;$Q7,TRUE)</formula>
    </cfRule>
  </conditionalFormatting>
  <conditionalFormatting sqref="S7:V19">
    <cfRule type="expression" dxfId="1406" priority="19">
      <formula>IF(AND(ISNUMBER($S7),$S7=$U7),TRUE)</formula>
    </cfRule>
    <cfRule type="expression" dxfId="1405" priority="40">
      <formula>IF($S7&gt;$U7,TRUE)</formula>
    </cfRule>
    <cfRule type="expression" dxfId="1404" priority="41">
      <formula>IF($S7&lt;$U7,TRUE)</formula>
    </cfRule>
  </conditionalFormatting>
  <conditionalFormatting sqref="E7:E19 I7:I19 M7:M19 Q7:Q19 U7:U19">
    <cfRule type="expression" dxfId="1403" priority="13">
      <formula>AND(E7=0,C7=13)</formula>
    </cfRule>
  </conditionalFormatting>
  <conditionalFormatting sqref="A7:A19">
    <cfRule type="duplicateValues" dxfId="1402" priority="44"/>
  </conditionalFormatting>
  <conditionalFormatting sqref="AJ7:AJ19">
    <cfRule type="expression" dxfId="1401" priority="5">
      <formula>AND(AI7="",FIND(",",AJ7))</formula>
    </cfRule>
    <cfRule type="expression" dxfId="1400" priority="7">
      <formula>AND(AI7="",COUNTIF(AJ7,"*,*")=0)</formula>
    </cfRule>
  </conditionalFormatting>
  <conditionalFormatting sqref="AH7:AH19">
    <cfRule type="expression" dxfId="1399" priority="8">
      <formula>AND(AG7="",FIND(",",AH7))</formula>
    </cfRule>
    <cfRule type="expression" dxfId="1398" priority="9">
      <formula>AND(AG7="",COUNTIF(AH7,"*,*")=0)</formula>
    </cfRule>
  </conditionalFormatting>
  <conditionalFormatting sqref="AL7:AL19">
    <cfRule type="expression" dxfId="1397" priority="10">
      <formula>AND(AK7="",FIND(",",AL7))</formula>
    </cfRule>
    <cfRule type="expression" dxfId="1396" priority="11">
      <formula>AND(AK7="",COUNTIF(AL7,"*,*")=0)</formula>
    </cfRule>
  </conditionalFormatting>
  <conditionalFormatting sqref="AF7:AF19">
    <cfRule type="expression" dxfId="1395" priority="6">
      <formula>AND(AE7="",COUNTIF(AF7,"*,*")=0)</formula>
    </cfRule>
  </conditionalFormatting>
  <conditionalFormatting sqref="AN7:AN19">
    <cfRule type="expression" dxfId="1394" priority="2">
      <formula>AND(AM7="",COUNTIF(AN7,"*,*")=0)</formula>
    </cfRule>
    <cfRule type="expression" dxfId="1393" priority="4">
      <formula>AND(AM7="",FIND(",",AN7))</formula>
    </cfRule>
  </conditionalFormatting>
  <conditionalFormatting sqref="AP7:AP19">
    <cfRule type="expression" dxfId="1392" priority="1">
      <formula>AND(AO7="",COUNTIF(AP7,"*,*")=0)</formula>
    </cfRule>
    <cfRule type="expression" dxfId="1391" priority="3">
      <formula>AND(AO7="",FIND(",",AP7))</formula>
    </cfRule>
  </conditionalFormatting>
  <conditionalFormatting sqref="B300:B312">
    <cfRule type="expression" dxfId="1390" priority="45">
      <formula>A300=3</formula>
    </cfRule>
    <cfRule type="expression" dxfId="1389" priority="46">
      <formula>A300=2</formula>
    </cfRule>
    <cfRule type="expression" dxfId="1388" priority="47">
      <formula>A300=1</formula>
    </cfRule>
    <cfRule type="containsBlanks" dxfId="1387" priority="48">
      <formula>LEN(TRIM(B300))=0</formula>
    </cfRule>
    <cfRule type="duplicateValues" dxfId="1386" priority="49"/>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12"/>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1.710937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3.85546875" style="1" hidden="1" customWidth="1"/>
    <col min="35" max="35" width="9.140625" style="1" hidden="1" customWidth="1"/>
    <col min="36" max="36" width="18.28515625" style="1" hidden="1" customWidth="1"/>
    <col min="37" max="37" width="9.140625" style="1" hidden="1" customWidth="1"/>
    <col min="38" max="38" width="15.2851562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UPPER((Kalend!E17)&amp;" - "&amp;(Kalend!C17))&amp;" - "&amp;LOWER(Kalend!D17)&amp;" - "&amp;(Kalend!A17)&amp;" kell "&amp;(Kalend!B17)&amp;" - "&amp;(Kalend!F17)</f>
        <v>V7 - VOKA V SISE-KV 7. ETAPP - duo - P, 05.02.2023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395</v>
      </c>
      <c r="C7" s="392">
        <v>13</v>
      </c>
      <c r="D7" s="393" t="s">
        <v>302</v>
      </c>
      <c r="E7" s="394">
        <v>2</v>
      </c>
      <c r="F7" s="395" t="s">
        <v>353</v>
      </c>
      <c r="G7" s="392">
        <v>13</v>
      </c>
      <c r="H7" s="393" t="s">
        <v>302</v>
      </c>
      <c r="I7" s="394">
        <v>2</v>
      </c>
      <c r="J7" s="395" t="s">
        <v>387</v>
      </c>
      <c r="K7" s="392">
        <v>13</v>
      </c>
      <c r="L7" s="393" t="s">
        <v>302</v>
      </c>
      <c r="M7" s="394">
        <v>7</v>
      </c>
      <c r="N7" s="395" t="s">
        <v>381</v>
      </c>
      <c r="O7" s="392">
        <v>13</v>
      </c>
      <c r="P7" s="393" t="s">
        <v>302</v>
      </c>
      <c r="Q7" s="394">
        <v>2</v>
      </c>
      <c r="R7" s="395" t="s">
        <v>393</v>
      </c>
      <c r="S7" s="392"/>
      <c r="T7" s="393" t="s">
        <v>302</v>
      </c>
      <c r="U7" s="394"/>
      <c r="V7" s="395"/>
      <c r="W7" s="396">
        <f t="shared" ref="W7:W19" si="0">IF(C7&gt;E7,W$2,IF(C7&lt;E7,W$4,IF(ISNUMBER(C7),W$3,0)))+IF(G7&gt;I7,W$2,IF(G7&lt;I7,W$4,IF(ISNUMBER(G7),W$3,0)))+IF(K7&gt;M7,W$2,IF(K7&lt;M7,W$4,IF(ISNUMBER(K7),W$3,0)))+IF(O7&gt;Q7,W$2,IF(O7&lt;Q7,W$4,IF(ISNUMBER(O7),W$3,0)))+IF(S7&gt;U7,W$2,IF(S7&lt;U7,W$4,IF(ISNUMBER(S7),W$3,0)))</f>
        <v>4</v>
      </c>
      <c r="X7" s="397">
        <v>20</v>
      </c>
      <c r="Y7" s="707">
        <v>72</v>
      </c>
      <c r="Z7" s="392">
        <f t="shared" ref="Z7:Z19" si="1">C7+G7+K7+O7+S7</f>
        <v>52</v>
      </c>
      <c r="AA7" s="393" t="s">
        <v>302</v>
      </c>
      <c r="AB7" s="398">
        <f t="shared" ref="AB7:AB19" si="2">E7+I7+M7+Q7+U7</f>
        <v>13</v>
      </c>
      <c r="AC7" s="399">
        <f t="shared" ref="AC7:AC19" si="3">Z7-AB7</f>
        <v>39</v>
      </c>
      <c r="AD7" s="233">
        <f>SUM(AE7:AP7)</f>
        <v>220</v>
      </c>
      <c r="AE7" s="234">
        <f>IFERROR(INDEX(V!$R:$R,MATCH(AF7,V!$L:$L,0)),"")</f>
        <v>160</v>
      </c>
      <c r="AF7" s="235" t="str">
        <f>IFERROR(LEFT($B7,(FIND(",",$B7,1)-1)),"")</f>
        <v>Kenneth Muusikus</v>
      </c>
      <c r="AG7" s="234">
        <f>IFERROR(INDEX(V!$R:$R,MATCH(AH7,V!$L:$L,0)),"")</f>
        <v>60</v>
      </c>
      <c r="AH7" s="235" t="str">
        <f>IFERROR(MID($B7,FIND(", ",$B7)+2,256),"")</f>
        <v>Tõnis Neiland</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387</v>
      </c>
      <c r="C8" s="392">
        <v>13</v>
      </c>
      <c r="D8" s="393" t="s">
        <v>302</v>
      </c>
      <c r="E8" s="394">
        <v>9</v>
      </c>
      <c r="F8" s="395" t="s">
        <v>335</v>
      </c>
      <c r="G8" s="392">
        <v>2</v>
      </c>
      <c r="H8" s="393" t="s">
        <v>302</v>
      </c>
      <c r="I8" s="394">
        <v>13</v>
      </c>
      <c r="J8" s="395" t="s">
        <v>395</v>
      </c>
      <c r="K8" s="392">
        <v>13</v>
      </c>
      <c r="L8" s="393" t="s">
        <v>302</v>
      </c>
      <c r="M8" s="394">
        <v>10</v>
      </c>
      <c r="N8" s="395" t="s">
        <v>253</v>
      </c>
      <c r="O8" s="392">
        <v>13</v>
      </c>
      <c r="P8" s="393" t="s">
        <v>302</v>
      </c>
      <c r="Q8" s="394">
        <v>5</v>
      </c>
      <c r="R8" s="395" t="s">
        <v>381</v>
      </c>
      <c r="S8" s="392"/>
      <c r="T8" s="393" t="s">
        <v>302</v>
      </c>
      <c r="U8" s="394"/>
      <c r="V8" s="395"/>
      <c r="W8" s="396">
        <f t="shared" si="0"/>
        <v>3</v>
      </c>
      <c r="X8" s="397">
        <v>16</v>
      </c>
      <c r="Y8" s="707">
        <v>78</v>
      </c>
      <c r="Z8" s="392">
        <f t="shared" si="1"/>
        <v>41</v>
      </c>
      <c r="AA8" s="393" t="s">
        <v>302</v>
      </c>
      <c r="AB8" s="398">
        <f t="shared" si="2"/>
        <v>37</v>
      </c>
      <c r="AC8" s="399">
        <f t="shared" si="3"/>
        <v>4</v>
      </c>
      <c r="AD8" s="233">
        <f t="shared" ref="AD8:AD11" si="4">SUM(AE8:AL8)</f>
        <v>282</v>
      </c>
      <c r="AE8" s="234">
        <f>IFERROR(INDEX(V!$R:$R,MATCH(AF8,V!$L:$L,0)),"")</f>
        <v>140</v>
      </c>
      <c r="AF8" s="235" t="str">
        <f t="shared" ref="AF8:AF19" si="5">IFERROR(LEFT($B8,(FIND(",",$B8,1)-1)),"")</f>
        <v>Oleg Rõndenkov</v>
      </c>
      <c r="AG8" s="234">
        <f>IFERROR(INDEX(V!$R:$R,MATCH(AH8,V!$L:$L,0)),"")</f>
        <v>142</v>
      </c>
      <c r="AH8" s="235" t="str">
        <f t="shared" ref="AH8:AH19" si="6">IFERROR(MID($B8,FIND(", ",$B8)+2,256),"")</f>
        <v>Sander Rose</v>
      </c>
      <c r="AI8" s="234" t="str">
        <f>IFERROR(INDEX(V!$R:$R,MATCH(AJ8,V!$L:$L,0)),"")</f>
        <v/>
      </c>
      <c r="AJ8" s="235" t="str">
        <f t="shared" ref="AJ8:AJ19" si="7">IFERROR(MID($B8,FIND("^",SUBSTITUTE($B8,", ","^",1))+2,FIND("^",SUBSTITUTE($B8,", ","^",2))-FIND("^",SUBSTITUTE($B8,", ","^",1))-2),"")</f>
        <v/>
      </c>
      <c r="AK8" s="234" t="str">
        <f>IFERROR(INDEX(V!$R:$R,MATCH(AL8,V!$L:$L,0)),"")</f>
        <v/>
      </c>
      <c r="AL8" s="235" t="str">
        <f t="shared" ref="AL8:AL19" si="8">IFERROR(MID($B8,FIND(", ",$B8,FIND(", ",$B8,FIND(", ",$B8))+1)+2,30000),"")</f>
        <v/>
      </c>
      <c r="AM8" s="234" t="str">
        <f>IFERROR(INDEX(V!$R:$R,MATCH(AN8,V!$L:$L,0)),"")</f>
        <v/>
      </c>
      <c r="AN8" s="235" t="str">
        <f t="shared" ref="AN8:AN19" si="9">IFERROR(MID($B8,FIND(", ",$B8,FIND(", ",$B8)+1)+2,FIND(", ",$B8,FIND(", ",$B8,FIND(", ",$B8)+1)+1)-FIND(", ",$B8,FIND(", ",$B8)+1)-2),"")</f>
        <v/>
      </c>
      <c r="AO8" s="234" t="str">
        <f>IFERROR(INDEX(V!$R:$R,MATCH(AP8,V!$L:$L,0)),"")</f>
        <v/>
      </c>
      <c r="AP8" s="235" t="str">
        <f t="shared" ref="AP8:AP19" si="10">IFERROR(MID($B8,FIND(", ",$B8,FIND(", ",$B8,FIND(", ",$B8)+1)+1)+2,30000),"")</f>
        <v/>
      </c>
    </row>
    <row r="9" spans="1:42" x14ac:dyDescent="0.2">
      <c r="A9" s="391">
        <v>3</v>
      </c>
      <c r="B9" s="304" t="s">
        <v>350</v>
      </c>
      <c r="C9" s="392">
        <v>9</v>
      </c>
      <c r="D9" s="393" t="s">
        <v>302</v>
      </c>
      <c r="E9" s="394">
        <v>11</v>
      </c>
      <c r="F9" s="395" t="s">
        <v>381</v>
      </c>
      <c r="G9" s="392">
        <v>13</v>
      </c>
      <c r="H9" s="393" t="s">
        <v>302</v>
      </c>
      <c r="I9" s="394">
        <v>10</v>
      </c>
      <c r="J9" s="395" t="s">
        <v>422</v>
      </c>
      <c r="K9" s="392">
        <v>13</v>
      </c>
      <c r="L9" s="393" t="s">
        <v>302</v>
      </c>
      <c r="M9" s="394">
        <v>6</v>
      </c>
      <c r="N9" s="395" t="s">
        <v>259</v>
      </c>
      <c r="O9" s="392">
        <v>13</v>
      </c>
      <c r="P9" s="393" t="s">
        <v>302</v>
      </c>
      <c r="Q9" s="394">
        <v>12</v>
      </c>
      <c r="R9" s="395" t="s">
        <v>355</v>
      </c>
      <c r="S9" s="392"/>
      <c r="T9" s="393" t="s">
        <v>302</v>
      </c>
      <c r="U9" s="394"/>
      <c r="V9" s="395"/>
      <c r="W9" s="396">
        <f t="shared" si="0"/>
        <v>3</v>
      </c>
      <c r="X9" s="397">
        <v>14</v>
      </c>
      <c r="Y9" s="707">
        <v>74</v>
      </c>
      <c r="Z9" s="392">
        <f t="shared" si="1"/>
        <v>48</v>
      </c>
      <c r="AA9" s="393" t="s">
        <v>302</v>
      </c>
      <c r="AB9" s="398">
        <f t="shared" si="2"/>
        <v>39</v>
      </c>
      <c r="AC9" s="399">
        <f t="shared" si="3"/>
        <v>9</v>
      </c>
      <c r="AD9" s="233">
        <f t="shared" si="4"/>
        <v>148</v>
      </c>
      <c r="AE9" s="234">
        <f>IFERROR(INDEX(V!$R:$R,MATCH(AF9,V!$L:$L,0)),"")</f>
        <v>74</v>
      </c>
      <c r="AF9" s="235" t="str">
        <f t="shared" si="5"/>
        <v>Aigi Orro</v>
      </c>
      <c r="AG9" s="234">
        <f>IFERROR(INDEX(V!$R:$R,MATCH(AH9,V!$L:$L,0)),"")</f>
        <v>74</v>
      </c>
      <c r="AH9" s="235" t="str">
        <f t="shared" si="6"/>
        <v>Kalle Orro</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t="s">
        <v>353</v>
      </c>
      <c r="C10" s="392">
        <v>2</v>
      </c>
      <c r="D10" s="393" t="s">
        <v>302</v>
      </c>
      <c r="E10" s="394">
        <v>13</v>
      </c>
      <c r="F10" s="395" t="s">
        <v>395</v>
      </c>
      <c r="G10" s="392">
        <v>13</v>
      </c>
      <c r="H10" s="393" t="s">
        <v>302</v>
      </c>
      <c r="I10" s="394">
        <v>7</v>
      </c>
      <c r="J10" s="395" t="s">
        <v>348</v>
      </c>
      <c r="K10" s="392">
        <v>13</v>
      </c>
      <c r="L10" s="393" t="s">
        <v>302</v>
      </c>
      <c r="M10" s="394">
        <v>4</v>
      </c>
      <c r="N10" s="395" t="s">
        <v>380</v>
      </c>
      <c r="O10" s="392">
        <v>13</v>
      </c>
      <c r="P10" s="393" t="s">
        <v>302</v>
      </c>
      <c r="Q10" s="394">
        <v>5</v>
      </c>
      <c r="R10" s="395" t="s">
        <v>253</v>
      </c>
      <c r="S10" s="392"/>
      <c r="T10" s="393" t="s">
        <v>302</v>
      </c>
      <c r="U10" s="394"/>
      <c r="V10" s="395"/>
      <c r="W10" s="396">
        <f t="shared" si="0"/>
        <v>3</v>
      </c>
      <c r="X10" s="397">
        <v>14</v>
      </c>
      <c r="Y10" s="707">
        <v>50</v>
      </c>
      <c r="Z10" s="392">
        <f t="shared" si="1"/>
        <v>41</v>
      </c>
      <c r="AA10" s="393" t="s">
        <v>302</v>
      </c>
      <c r="AB10" s="398">
        <f t="shared" si="2"/>
        <v>29</v>
      </c>
      <c r="AC10" s="399">
        <f t="shared" si="3"/>
        <v>12</v>
      </c>
      <c r="AD10" s="233">
        <f t="shared" si="4"/>
        <v>186</v>
      </c>
      <c r="AE10" s="234">
        <f>IFERROR(INDEX(V!$R:$R,MATCH(AF10,V!$L:$L,0)),"")</f>
        <v>102</v>
      </c>
      <c r="AF10" s="235" t="str">
        <f t="shared" si="5"/>
        <v>Hillar Neiland</v>
      </c>
      <c r="AG10" s="234">
        <f>IFERROR(INDEX(V!$R:$R,MATCH(AH10,V!$L:$L,0)),"")</f>
        <v>84</v>
      </c>
      <c r="AH10" s="235" t="str">
        <f t="shared" si="6"/>
        <v>Kaspar Mänd</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284" t="s">
        <v>381</v>
      </c>
      <c r="C11" s="392">
        <v>11</v>
      </c>
      <c r="D11" s="393" t="s">
        <v>302</v>
      </c>
      <c r="E11" s="394">
        <v>9</v>
      </c>
      <c r="F11" s="395" t="s">
        <v>350</v>
      </c>
      <c r="G11" s="392">
        <v>13</v>
      </c>
      <c r="H11" s="393" t="s">
        <v>302</v>
      </c>
      <c r="I11" s="394">
        <v>9</v>
      </c>
      <c r="J11" s="395" t="s">
        <v>393</v>
      </c>
      <c r="K11" s="392">
        <v>7</v>
      </c>
      <c r="L11" s="393" t="s">
        <v>302</v>
      </c>
      <c r="M11" s="394">
        <v>13</v>
      </c>
      <c r="N11" s="395" t="s">
        <v>395</v>
      </c>
      <c r="O11" s="392">
        <v>5</v>
      </c>
      <c r="P11" s="393" t="s">
        <v>302</v>
      </c>
      <c r="Q11" s="394">
        <v>13</v>
      </c>
      <c r="R11" s="395" t="s">
        <v>387</v>
      </c>
      <c r="S11" s="392"/>
      <c r="T11" s="393" t="s">
        <v>302</v>
      </c>
      <c r="U11" s="394"/>
      <c r="V11" s="395"/>
      <c r="W11" s="396">
        <f t="shared" si="0"/>
        <v>2</v>
      </c>
      <c r="X11" s="397">
        <v>24</v>
      </c>
      <c r="Y11" s="707">
        <v>68</v>
      </c>
      <c r="Z11" s="392">
        <f t="shared" si="1"/>
        <v>36</v>
      </c>
      <c r="AA11" s="393" t="s">
        <v>302</v>
      </c>
      <c r="AB11" s="398">
        <f t="shared" si="2"/>
        <v>44</v>
      </c>
      <c r="AC11" s="399">
        <f t="shared" si="3"/>
        <v>-8</v>
      </c>
      <c r="AD11" s="233">
        <f t="shared" si="4"/>
        <v>168</v>
      </c>
      <c r="AE11" s="234">
        <f>IFERROR(INDEX(V!$R:$R,MATCH(AF11,V!$L:$L,0)),"")</f>
        <v>102</v>
      </c>
      <c r="AF11" s="235" t="str">
        <f t="shared" si="5"/>
        <v>Matti Vinni</v>
      </c>
      <c r="AG11" s="234">
        <f>IFERROR(INDEX(V!$R:$R,MATCH(AH11,V!$L:$L,0)),"")</f>
        <v>66</v>
      </c>
      <c r="AH11" s="235" t="str">
        <f t="shared" si="6"/>
        <v>Vello Vasser</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t="s">
        <v>393</v>
      </c>
      <c r="C12" s="392">
        <v>11</v>
      </c>
      <c r="D12" s="393" t="s">
        <v>302</v>
      </c>
      <c r="E12" s="394">
        <v>10</v>
      </c>
      <c r="F12" s="395" t="s">
        <v>253</v>
      </c>
      <c r="G12" s="392">
        <v>9</v>
      </c>
      <c r="H12" s="393" t="s">
        <v>302</v>
      </c>
      <c r="I12" s="394">
        <v>13</v>
      </c>
      <c r="J12" s="395" t="s">
        <v>381</v>
      </c>
      <c r="K12" s="392">
        <v>13</v>
      </c>
      <c r="L12" s="393" t="s">
        <v>302</v>
      </c>
      <c r="M12" s="394">
        <v>6</v>
      </c>
      <c r="N12" s="395" t="s">
        <v>355</v>
      </c>
      <c r="O12" s="392">
        <v>2</v>
      </c>
      <c r="P12" s="393" t="s">
        <v>302</v>
      </c>
      <c r="Q12" s="394">
        <v>13</v>
      </c>
      <c r="R12" s="395" t="s">
        <v>395</v>
      </c>
      <c r="S12" s="392"/>
      <c r="T12" s="393" t="s">
        <v>302</v>
      </c>
      <c r="U12" s="394"/>
      <c r="V12" s="395"/>
      <c r="W12" s="396">
        <f t="shared" si="0"/>
        <v>2</v>
      </c>
      <c r="X12" s="397">
        <v>18</v>
      </c>
      <c r="Y12" s="707">
        <v>80</v>
      </c>
      <c r="Z12" s="392">
        <f t="shared" si="1"/>
        <v>35</v>
      </c>
      <c r="AA12" s="393" t="s">
        <v>302</v>
      </c>
      <c r="AB12" s="398">
        <f t="shared" si="2"/>
        <v>42</v>
      </c>
      <c r="AC12" s="399">
        <f t="shared" si="3"/>
        <v>-7</v>
      </c>
      <c r="AD12" s="233">
        <f t="shared" ref="AD12:AD13" si="11">SUM(AE12:AL12)</f>
        <v>290</v>
      </c>
      <c r="AE12" s="234">
        <f>IFERROR(INDEX(V!$R:$R,MATCH(AF12,V!$L:$L,0)),"")</f>
        <v>160</v>
      </c>
      <c r="AF12" s="235" t="str">
        <f t="shared" si="5"/>
        <v>Olav Türk</v>
      </c>
      <c r="AG12" s="234">
        <f>IFERROR(INDEX(V!$R:$R,MATCH(AH12,V!$L:$L,0)),"")</f>
        <v>130</v>
      </c>
      <c r="AH12" s="235" t="str">
        <f t="shared" si="6"/>
        <v>Sirje Maala</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400" t="s">
        <v>355</v>
      </c>
      <c r="C13" s="392">
        <v>13</v>
      </c>
      <c r="D13" s="393" t="s">
        <v>302</v>
      </c>
      <c r="E13" s="394">
        <v>11</v>
      </c>
      <c r="F13" s="395" t="s">
        <v>422</v>
      </c>
      <c r="G13" s="392">
        <v>13</v>
      </c>
      <c r="H13" s="393" t="s">
        <v>302</v>
      </c>
      <c r="I13" s="394">
        <v>7</v>
      </c>
      <c r="J13" s="395" t="s">
        <v>259</v>
      </c>
      <c r="K13" s="392">
        <v>6</v>
      </c>
      <c r="L13" s="393" t="s">
        <v>302</v>
      </c>
      <c r="M13" s="394">
        <v>13</v>
      </c>
      <c r="N13" s="395" t="s">
        <v>393</v>
      </c>
      <c r="O13" s="392">
        <v>12</v>
      </c>
      <c r="P13" s="393" t="s">
        <v>302</v>
      </c>
      <c r="Q13" s="394">
        <v>13</v>
      </c>
      <c r="R13" s="395" t="s">
        <v>350</v>
      </c>
      <c r="S13" s="392"/>
      <c r="T13" s="393" t="s">
        <v>302</v>
      </c>
      <c r="U13" s="394"/>
      <c r="V13" s="395"/>
      <c r="W13" s="396">
        <f t="shared" si="0"/>
        <v>2</v>
      </c>
      <c r="X13" s="397">
        <v>16</v>
      </c>
      <c r="Y13" s="707">
        <v>66</v>
      </c>
      <c r="Z13" s="392">
        <f t="shared" si="1"/>
        <v>44</v>
      </c>
      <c r="AA13" s="393" t="s">
        <v>302</v>
      </c>
      <c r="AB13" s="398">
        <f t="shared" si="2"/>
        <v>44</v>
      </c>
      <c r="AC13" s="399">
        <f t="shared" si="3"/>
        <v>0</v>
      </c>
      <c r="AD13" s="233">
        <f t="shared" si="11"/>
        <v>152</v>
      </c>
      <c r="AE13" s="234">
        <f>IFERROR(INDEX(V!$R:$R,MATCH(AF13,V!$L:$L,0)),"")</f>
        <v>76</v>
      </c>
      <c r="AF13" s="235" t="str">
        <f t="shared" si="5"/>
        <v>Boriss Klubov</v>
      </c>
      <c r="AG13" s="234">
        <f>IFERROR(INDEX(V!$R:$R,MATCH(AH13,V!$L:$L,0)),"")</f>
        <v>76</v>
      </c>
      <c r="AH13" s="235" t="str">
        <f t="shared" si="6"/>
        <v>Elmo Lageda</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304" t="s">
        <v>422</v>
      </c>
      <c r="C14" s="392">
        <v>11</v>
      </c>
      <c r="D14" s="393" t="s">
        <v>302</v>
      </c>
      <c r="E14" s="394">
        <v>13</v>
      </c>
      <c r="F14" s="395" t="s">
        <v>355</v>
      </c>
      <c r="G14" s="392">
        <v>10</v>
      </c>
      <c r="H14" s="393" t="s">
        <v>302</v>
      </c>
      <c r="I14" s="394">
        <v>13</v>
      </c>
      <c r="J14" s="395" t="s">
        <v>350</v>
      </c>
      <c r="K14" s="392">
        <v>13</v>
      </c>
      <c r="L14" s="393" t="s">
        <v>302</v>
      </c>
      <c r="M14" s="394">
        <v>12</v>
      </c>
      <c r="N14" s="395" t="s">
        <v>254</v>
      </c>
      <c r="O14" s="392">
        <v>13</v>
      </c>
      <c r="P14" s="393" t="s">
        <v>302</v>
      </c>
      <c r="Q14" s="394">
        <v>12</v>
      </c>
      <c r="R14" s="395" t="s">
        <v>259</v>
      </c>
      <c r="S14" s="392"/>
      <c r="T14" s="393" t="s">
        <v>302</v>
      </c>
      <c r="U14" s="394"/>
      <c r="V14" s="395"/>
      <c r="W14" s="396">
        <f t="shared" si="0"/>
        <v>2</v>
      </c>
      <c r="X14" s="397">
        <v>16</v>
      </c>
      <c r="Y14" s="707">
        <v>56</v>
      </c>
      <c r="Z14" s="392">
        <f t="shared" si="1"/>
        <v>47</v>
      </c>
      <c r="AA14" s="393" t="s">
        <v>302</v>
      </c>
      <c r="AB14" s="398">
        <f t="shared" si="2"/>
        <v>50</v>
      </c>
      <c r="AC14" s="399">
        <f t="shared" si="3"/>
        <v>-3</v>
      </c>
      <c r="AD14" s="233">
        <f t="shared" ref="AD14:AD16" si="12">SUM(AE14:AL14)</f>
        <v>150</v>
      </c>
      <c r="AE14" s="234">
        <f>IFERROR(INDEX(V!$R:$R,MATCH(AF14,V!$L:$L,0)),"")</f>
        <v>84</v>
      </c>
      <c r="AF14" s="235" t="str">
        <f t="shared" si="5"/>
        <v>Jaan Saar</v>
      </c>
      <c r="AG14" s="234">
        <f>IFERROR(INDEX(V!$R:$R,MATCH(AH14,V!$L:$L,0)),"")</f>
        <v>66</v>
      </c>
      <c r="AH14" s="235" t="str">
        <f t="shared" si="6"/>
        <v>Peep Peenema</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391">
        <v>9</v>
      </c>
      <c r="B15" s="304" t="s">
        <v>380</v>
      </c>
      <c r="C15" s="392">
        <v>9</v>
      </c>
      <c r="D15" s="393" t="s">
        <v>302</v>
      </c>
      <c r="E15" s="394">
        <v>13</v>
      </c>
      <c r="F15" s="395" t="s">
        <v>259</v>
      </c>
      <c r="G15" s="392">
        <v>13</v>
      </c>
      <c r="H15" s="393" t="s">
        <v>302</v>
      </c>
      <c r="I15" s="394">
        <v>7</v>
      </c>
      <c r="J15" s="395" t="s">
        <v>335</v>
      </c>
      <c r="K15" s="392">
        <v>4</v>
      </c>
      <c r="L15" s="393" t="s">
        <v>302</v>
      </c>
      <c r="M15" s="394">
        <v>13</v>
      </c>
      <c r="N15" s="395" t="s">
        <v>353</v>
      </c>
      <c r="O15" s="392">
        <v>13</v>
      </c>
      <c r="P15" s="393" t="s">
        <v>302</v>
      </c>
      <c r="Q15" s="394">
        <v>7</v>
      </c>
      <c r="R15" s="395" t="s">
        <v>348</v>
      </c>
      <c r="S15" s="392"/>
      <c r="T15" s="393" t="s">
        <v>302</v>
      </c>
      <c r="U15" s="394"/>
      <c r="V15" s="395"/>
      <c r="W15" s="396">
        <f t="shared" si="0"/>
        <v>2</v>
      </c>
      <c r="X15" s="397">
        <v>10</v>
      </c>
      <c r="Y15" s="707">
        <v>46</v>
      </c>
      <c r="Z15" s="392">
        <f t="shared" si="1"/>
        <v>39</v>
      </c>
      <c r="AA15" s="393" t="s">
        <v>302</v>
      </c>
      <c r="AB15" s="398">
        <f t="shared" si="2"/>
        <v>40</v>
      </c>
      <c r="AC15" s="399">
        <f t="shared" si="3"/>
        <v>-1</v>
      </c>
      <c r="AD15" s="233">
        <f t="shared" si="12"/>
        <v>180</v>
      </c>
      <c r="AE15" s="234">
        <f>IFERROR(INDEX(V!$R:$R,MATCH(AF15,V!$L:$L,0)),"")</f>
        <v>86</v>
      </c>
      <c r="AF15" s="235" t="str">
        <f t="shared" si="5"/>
        <v>Andrei Grintšak</v>
      </c>
      <c r="AG15" s="234">
        <f>IFERROR(INDEX(V!$R:$R,MATCH(AH15,V!$L:$L,0)),"")</f>
        <v>94</v>
      </c>
      <c r="AH15" s="235" t="str">
        <f t="shared" si="6"/>
        <v>Enn Tokman</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391">
        <v>10</v>
      </c>
      <c r="B16" s="400" t="s">
        <v>254</v>
      </c>
      <c r="C16" s="392">
        <v>13</v>
      </c>
      <c r="D16" s="393" t="s">
        <v>302</v>
      </c>
      <c r="E16" s="394">
        <v>7</v>
      </c>
      <c r="F16" s="395" t="s">
        <v>348</v>
      </c>
      <c r="G16" s="392">
        <v>7</v>
      </c>
      <c r="H16" s="393" t="s">
        <v>302</v>
      </c>
      <c r="I16" s="394">
        <v>13</v>
      </c>
      <c r="J16" s="395" t="s">
        <v>253</v>
      </c>
      <c r="K16" s="392">
        <v>12</v>
      </c>
      <c r="L16" s="393" t="s">
        <v>302</v>
      </c>
      <c r="M16" s="394">
        <v>13</v>
      </c>
      <c r="N16" s="395" t="s">
        <v>422</v>
      </c>
      <c r="O16" s="392">
        <v>13</v>
      </c>
      <c r="P16" s="393" t="s">
        <v>302</v>
      </c>
      <c r="Q16" s="394">
        <v>3</v>
      </c>
      <c r="R16" s="395" t="s">
        <v>335</v>
      </c>
      <c r="S16" s="392"/>
      <c r="T16" s="393" t="s">
        <v>302</v>
      </c>
      <c r="U16" s="394"/>
      <c r="V16" s="395"/>
      <c r="W16" s="396">
        <f t="shared" si="0"/>
        <v>2</v>
      </c>
      <c r="X16" s="397">
        <v>8</v>
      </c>
      <c r="Y16" s="707">
        <v>50</v>
      </c>
      <c r="Z16" s="392">
        <f t="shared" si="1"/>
        <v>45</v>
      </c>
      <c r="AA16" s="393" t="s">
        <v>302</v>
      </c>
      <c r="AB16" s="398">
        <f t="shared" si="2"/>
        <v>36</v>
      </c>
      <c r="AC16" s="399">
        <f t="shared" si="3"/>
        <v>9</v>
      </c>
      <c r="AD16" s="233">
        <f t="shared" si="12"/>
        <v>124</v>
      </c>
      <c r="AE16" s="234">
        <f>IFERROR(INDEX(V!$R:$R,MATCH(AF16,V!$L:$L,0)),"")</f>
        <v>64</v>
      </c>
      <c r="AF16" s="235" t="str">
        <f t="shared" si="5"/>
        <v>Andres Veski</v>
      </c>
      <c r="AG16" s="234">
        <f>IFERROR(INDEX(V!$R:$R,MATCH(AH16,V!$L:$L,0)),"")</f>
        <v>60</v>
      </c>
      <c r="AH16" s="235" t="str">
        <f t="shared" si="6"/>
        <v>Svetlana Veski</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7" spans="1:42" x14ac:dyDescent="0.2">
      <c r="A17" s="391">
        <v>11</v>
      </c>
      <c r="B17" s="304" t="s">
        <v>253</v>
      </c>
      <c r="C17" s="392">
        <v>10</v>
      </c>
      <c r="D17" s="393" t="s">
        <v>302</v>
      </c>
      <c r="E17" s="394">
        <v>11</v>
      </c>
      <c r="F17" s="395" t="s">
        <v>393</v>
      </c>
      <c r="G17" s="392">
        <v>13</v>
      </c>
      <c r="H17" s="393" t="s">
        <v>302</v>
      </c>
      <c r="I17" s="394">
        <v>7</v>
      </c>
      <c r="J17" s="395" t="s">
        <v>254</v>
      </c>
      <c r="K17" s="392">
        <v>10</v>
      </c>
      <c r="L17" s="393" t="s">
        <v>302</v>
      </c>
      <c r="M17" s="394">
        <v>13</v>
      </c>
      <c r="N17" s="395" t="s">
        <v>387</v>
      </c>
      <c r="O17" s="392">
        <v>5</v>
      </c>
      <c r="P17" s="393" t="s">
        <v>302</v>
      </c>
      <c r="Q17" s="394">
        <v>13</v>
      </c>
      <c r="R17" s="395" t="s">
        <v>353</v>
      </c>
      <c r="S17" s="392"/>
      <c r="T17" s="393" t="s">
        <v>302</v>
      </c>
      <c r="U17" s="394"/>
      <c r="V17" s="395"/>
      <c r="W17" s="396">
        <f t="shared" si="0"/>
        <v>1</v>
      </c>
      <c r="X17" s="397">
        <v>20</v>
      </c>
      <c r="Y17" s="707">
        <v>56</v>
      </c>
      <c r="Z17" s="392">
        <f t="shared" si="1"/>
        <v>38</v>
      </c>
      <c r="AA17" s="393" t="s">
        <v>302</v>
      </c>
      <c r="AB17" s="398">
        <f t="shared" si="2"/>
        <v>44</v>
      </c>
      <c r="AC17" s="399">
        <f t="shared" si="3"/>
        <v>-6</v>
      </c>
      <c r="AD17" s="233">
        <f t="shared" ref="AD17:AD19" si="13">SUM(AE17:AL17)</f>
        <v>12</v>
      </c>
      <c r="AE17" s="234">
        <f>IFERROR(INDEX(V!$R:$R,MATCH(AF17,V!$L:$L,0)),"")</f>
        <v>6</v>
      </c>
      <c r="AF17" s="235" t="str">
        <f t="shared" si="5"/>
        <v>Jaan Sepp</v>
      </c>
      <c r="AG17" s="234">
        <f>IFERROR(INDEX(V!$R:$R,MATCH(AH17,V!$L:$L,0)),"")</f>
        <v>6</v>
      </c>
      <c r="AH17" s="235" t="str">
        <f t="shared" si="6"/>
        <v>Oskar Sepp</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18" spans="1:42" x14ac:dyDescent="0.2">
      <c r="A18" s="391">
        <v>12</v>
      </c>
      <c r="B18" s="304" t="s">
        <v>259</v>
      </c>
      <c r="C18" s="392">
        <v>13</v>
      </c>
      <c r="D18" s="393" t="s">
        <v>302</v>
      </c>
      <c r="E18" s="394">
        <v>9</v>
      </c>
      <c r="F18" s="395" t="s">
        <v>380</v>
      </c>
      <c r="G18" s="392">
        <v>7</v>
      </c>
      <c r="H18" s="393" t="s">
        <v>302</v>
      </c>
      <c r="I18" s="394">
        <v>13</v>
      </c>
      <c r="J18" s="395" t="s">
        <v>355</v>
      </c>
      <c r="K18" s="392">
        <v>6</v>
      </c>
      <c r="L18" s="393" t="s">
        <v>302</v>
      </c>
      <c r="M18" s="394">
        <v>13</v>
      </c>
      <c r="N18" s="395" t="s">
        <v>350</v>
      </c>
      <c r="O18" s="392">
        <v>12</v>
      </c>
      <c r="P18" s="393" t="s">
        <v>302</v>
      </c>
      <c r="Q18" s="394">
        <v>13</v>
      </c>
      <c r="R18" s="395" t="s">
        <v>422</v>
      </c>
      <c r="S18" s="392"/>
      <c r="T18" s="393" t="s">
        <v>302</v>
      </c>
      <c r="U18" s="394"/>
      <c r="V18" s="395"/>
      <c r="W18" s="396">
        <f t="shared" si="0"/>
        <v>1</v>
      </c>
      <c r="X18" s="397">
        <v>18</v>
      </c>
      <c r="Y18" s="707">
        <v>56</v>
      </c>
      <c r="Z18" s="392">
        <f t="shared" si="1"/>
        <v>38</v>
      </c>
      <c r="AA18" s="393" t="s">
        <v>302</v>
      </c>
      <c r="AB18" s="398">
        <f t="shared" si="2"/>
        <v>48</v>
      </c>
      <c r="AC18" s="399">
        <f t="shared" si="3"/>
        <v>-10</v>
      </c>
      <c r="AD18" s="233">
        <f t="shared" si="13"/>
        <v>96</v>
      </c>
      <c r="AE18" s="234">
        <f>IFERROR(INDEX(V!$R:$R,MATCH(AF18,V!$L:$L,0)),"")</f>
        <v>48</v>
      </c>
      <c r="AF18" s="235" t="str">
        <f t="shared" si="5"/>
        <v>Ljudmila Varendi</v>
      </c>
      <c r="AG18" s="234">
        <f>IFERROR(INDEX(V!$R:$R,MATCH(AH18,V!$L:$L,0)),"")</f>
        <v>48</v>
      </c>
      <c r="AH18" s="235" t="str">
        <f t="shared" si="6"/>
        <v>Viktor Švarõgin</v>
      </c>
      <c r="AI18" s="234" t="str">
        <f>IFERROR(INDEX(V!$R:$R,MATCH(AJ18,V!$L:$L,0)),"")</f>
        <v/>
      </c>
      <c r="AJ18" s="235" t="str">
        <f t="shared" si="7"/>
        <v/>
      </c>
      <c r="AK18" s="234" t="str">
        <f>IFERROR(INDEX(V!$R:$R,MATCH(AL18,V!$L:$L,0)),"")</f>
        <v/>
      </c>
      <c r="AL18" s="235" t="str">
        <f t="shared" si="8"/>
        <v/>
      </c>
      <c r="AM18" s="234" t="str">
        <f>IFERROR(INDEX(V!$R:$R,MATCH(AN18,V!$L:$L,0)),"")</f>
        <v/>
      </c>
      <c r="AN18" s="235" t="str">
        <f t="shared" si="9"/>
        <v/>
      </c>
      <c r="AO18" s="234" t="str">
        <f>IFERROR(INDEX(V!$R:$R,MATCH(AP18,V!$L:$L,0)),"")</f>
        <v/>
      </c>
      <c r="AP18" s="235" t="str">
        <f t="shared" si="10"/>
        <v/>
      </c>
    </row>
    <row r="19" spans="1:42" x14ac:dyDescent="0.2">
      <c r="A19" s="391">
        <v>13</v>
      </c>
      <c r="B19" s="400" t="s">
        <v>335</v>
      </c>
      <c r="C19" s="392">
        <v>9</v>
      </c>
      <c r="D19" s="393" t="s">
        <v>302</v>
      </c>
      <c r="E19" s="394">
        <v>13</v>
      </c>
      <c r="F19" s="395" t="s">
        <v>387</v>
      </c>
      <c r="G19" s="392">
        <v>7</v>
      </c>
      <c r="H19" s="393" t="s">
        <v>302</v>
      </c>
      <c r="I19" s="394">
        <v>13</v>
      </c>
      <c r="J19" s="395" t="s">
        <v>380</v>
      </c>
      <c r="K19" s="392">
        <v>13</v>
      </c>
      <c r="L19" s="393" t="s">
        <v>302</v>
      </c>
      <c r="M19" s="394">
        <v>7</v>
      </c>
      <c r="N19" s="395" t="s">
        <v>348</v>
      </c>
      <c r="O19" s="392">
        <v>3</v>
      </c>
      <c r="P19" s="393" t="s">
        <v>302</v>
      </c>
      <c r="Q19" s="394">
        <v>13</v>
      </c>
      <c r="R19" s="395" t="s">
        <v>254</v>
      </c>
      <c r="S19" s="392"/>
      <c r="T19" s="393" t="s">
        <v>302</v>
      </c>
      <c r="U19" s="394"/>
      <c r="V19" s="395"/>
      <c r="W19" s="396">
        <f t="shared" si="0"/>
        <v>1</v>
      </c>
      <c r="X19" s="397">
        <v>14</v>
      </c>
      <c r="Y19" s="707">
        <v>34</v>
      </c>
      <c r="Z19" s="392">
        <f t="shared" si="1"/>
        <v>32</v>
      </c>
      <c r="AA19" s="393" t="s">
        <v>302</v>
      </c>
      <c r="AB19" s="398">
        <f t="shared" si="2"/>
        <v>46</v>
      </c>
      <c r="AC19" s="399">
        <f t="shared" si="3"/>
        <v>-14</v>
      </c>
      <c r="AD19" s="233">
        <f t="shared" si="13"/>
        <v>68</v>
      </c>
      <c r="AE19" s="234">
        <f>IFERROR(INDEX(V!$R:$R,MATCH(AF19,V!$L:$L,0)),"")</f>
        <v>50</v>
      </c>
      <c r="AF19" s="235" t="str">
        <f t="shared" si="5"/>
        <v>Illar Tõnurist</v>
      </c>
      <c r="AG19" s="234">
        <f>IFERROR(INDEX(V!$R:$R,MATCH(AH19,V!$L:$L,0)),"")</f>
        <v>18</v>
      </c>
      <c r="AH19" s="235" t="str">
        <f t="shared" si="6"/>
        <v>Tarmo Bombe</v>
      </c>
      <c r="AI19" s="234" t="str">
        <f>IFERROR(INDEX(V!$R:$R,MATCH(AJ19,V!$L:$L,0)),"")</f>
        <v/>
      </c>
      <c r="AJ19" s="235" t="str">
        <f t="shared" si="7"/>
        <v/>
      </c>
      <c r="AK19" s="234" t="str">
        <f>IFERROR(INDEX(V!$R:$R,MATCH(AL19,V!$L:$L,0)),"")</f>
        <v/>
      </c>
      <c r="AL19" s="235" t="str">
        <f t="shared" si="8"/>
        <v/>
      </c>
      <c r="AM19" s="234" t="str">
        <f>IFERROR(INDEX(V!$R:$R,MATCH(AN19,V!$L:$L,0)),"")</f>
        <v/>
      </c>
      <c r="AN19" s="235" t="str">
        <f t="shared" si="9"/>
        <v/>
      </c>
      <c r="AO19" s="234" t="str">
        <f>IFERROR(INDEX(V!$R:$R,MATCH(AP19,V!$L:$L,0)),"")</f>
        <v/>
      </c>
      <c r="AP19" s="235" t="str">
        <f t="shared" si="10"/>
        <v/>
      </c>
    </row>
    <row r="22" spans="1:42" hidden="1" x14ac:dyDescent="0.2"/>
    <row r="23" spans="1:42" hidden="1" x14ac:dyDescent="0.2"/>
    <row r="24" spans="1:42" hidden="1" x14ac:dyDescent="0.2"/>
    <row r="25" spans="1:42" hidden="1" x14ac:dyDescent="0.2"/>
    <row r="26" spans="1:42" hidden="1" x14ac:dyDescent="0.2"/>
    <row r="27" spans="1:42" hidden="1" x14ac:dyDescent="0.2"/>
    <row r="28" spans="1:42" hidden="1" x14ac:dyDescent="0.2"/>
    <row r="29" spans="1:42" hidden="1" x14ac:dyDescent="0.2"/>
    <row r="30" spans="1:42" hidden="1" x14ac:dyDescent="0.2"/>
    <row r="31" spans="1:42" hidden="1" x14ac:dyDescent="0.2"/>
    <row r="32" spans="1:4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IFERROR(INDEX(B$1:B$100,MATCH(A300,A$1:A$100,0)),"")</f>
        <v>Kenneth Muusikus, Tõnis Neiland</v>
      </c>
      <c r="C300" s="323">
        <f t="shared" ref="C300:C312" si="14">LARGE(A300:A400,1)*2+2-A300*2</f>
        <v>26</v>
      </c>
      <c r="F300" s="649"/>
    </row>
    <row r="301" spans="1:6" x14ac:dyDescent="0.2">
      <c r="A301" s="351">
        <v>2</v>
      </c>
      <c r="B301" s="402" t="str">
        <f t="shared" ref="B301:B312" si="15">IFERROR(INDEX(B$1:B$100,MATCH(A301,A$1:A$100,0)),"")</f>
        <v>Oleg Rõndenkov, Sander Rose</v>
      </c>
      <c r="C301" s="323">
        <f t="shared" si="14"/>
        <v>24</v>
      </c>
      <c r="F301" s="649"/>
    </row>
    <row r="302" spans="1:6" x14ac:dyDescent="0.2">
      <c r="A302" s="351">
        <v>3</v>
      </c>
      <c r="B302" s="402" t="str">
        <f t="shared" si="15"/>
        <v>Aigi Orro, Kalle Orro</v>
      </c>
      <c r="C302" s="323">
        <f t="shared" si="14"/>
        <v>22</v>
      </c>
      <c r="F302" s="649"/>
    </row>
    <row r="303" spans="1:6" x14ac:dyDescent="0.2">
      <c r="A303" s="351">
        <v>4</v>
      </c>
      <c r="B303" s="402" t="str">
        <f t="shared" si="15"/>
        <v>Hillar Neiland, Kaspar Mänd</v>
      </c>
      <c r="C303" s="323">
        <f t="shared" si="14"/>
        <v>20</v>
      </c>
      <c r="F303" s="649"/>
    </row>
    <row r="304" spans="1:6" x14ac:dyDescent="0.2">
      <c r="A304" s="351">
        <v>5</v>
      </c>
      <c r="B304" s="402" t="str">
        <f t="shared" si="15"/>
        <v>Matti Vinni, Vello Vasser</v>
      </c>
      <c r="C304" s="323">
        <f t="shared" si="14"/>
        <v>18</v>
      </c>
      <c r="F304" s="649"/>
    </row>
    <row r="305" spans="1:6" x14ac:dyDescent="0.2">
      <c r="A305" s="351">
        <v>6</v>
      </c>
      <c r="B305" s="402" t="str">
        <f t="shared" si="15"/>
        <v>Olav Türk, Sirje Maala</v>
      </c>
      <c r="C305" s="323">
        <f t="shared" si="14"/>
        <v>16</v>
      </c>
      <c r="F305" s="649"/>
    </row>
    <row r="306" spans="1:6" x14ac:dyDescent="0.2">
      <c r="A306" s="351">
        <v>7</v>
      </c>
      <c r="B306" s="402" t="str">
        <f t="shared" si="15"/>
        <v>Boriss Klubov, Elmo Lageda</v>
      </c>
      <c r="C306" s="323">
        <f t="shared" si="14"/>
        <v>14</v>
      </c>
      <c r="F306" s="649"/>
    </row>
    <row r="307" spans="1:6" x14ac:dyDescent="0.2">
      <c r="A307" s="351">
        <v>8</v>
      </c>
      <c r="B307" s="402" t="str">
        <f t="shared" si="15"/>
        <v>Jaan Saar, Peep Peenema</v>
      </c>
      <c r="C307" s="323">
        <f t="shared" si="14"/>
        <v>12</v>
      </c>
      <c r="F307" s="649"/>
    </row>
    <row r="308" spans="1:6" x14ac:dyDescent="0.2">
      <c r="A308" s="351">
        <v>9</v>
      </c>
      <c r="B308" s="402" t="str">
        <f t="shared" si="15"/>
        <v>Andrei Grintšak, Enn Tokman</v>
      </c>
      <c r="C308" s="323">
        <f t="shared" si="14"/>
        <v>10</v>
      </c>
      <c r="F308" s="649"/>
    </row>
    <row r="309" spans="1:6" x14ac:dyDescent="0.2">
      <c r="A309" s="351">
        <v>10</v>
      </c>
      <c r="B309" s="402" t="str">
        <f t="shared" si="15"/>
        <v>Andres Veski, Svetlana Veski</v>
      </c>
      <c r="C309" s="323">
        <f t="shared" si="14"/>
        <v>8</v>
      </c>
      <c r="F309" s="649"/>
    </row>
    <row r="310" spans="1:6" x14ac:dyDescent="0.2">
      <c r="A310" s="351">
        <v>11</v>
      </c>
      <c r="B310" s="402" t="str">
        <f t="shared" si="15"/>
        <v>Jaan Sepp, Oskar Sepp</v>
      </c>
      <c r="C310" s="323">
        <f t="shared" si="14"/>
        <v>6</v>
      </c>
      <c r="F310" s="649"/>
    </row>
    <row r="311" spans="1:6" x14ac:dyDescent="0.2">
      <c r="A311" s="351">
        <v>12</v>
      </c>
      <c r="B311" s="402" t="str">
        <f t="shared" si="15"/>
        <v>Ljudmila Varendi, Viktor Švarõgin</v>
      </c>
      <c r="C311" s="323">
        <f t="shared" si="14"/>
        <v>4</v>
      </c>
      <c r="F311" s="649"/>
    </row>
    <row r="312" spans="1:6" x14ac:dyDescent="0.2">
      <c r="A312" s="351">
        <v>13</v>
      </c>
      <c r="B312" s="402" t="str">
        <f t="shared" si="15"/>
        <v>Illar Tõnurist, Tarmo Bombe</v>
      </c>
      <c r="C312" s="323">
        <f t="shared" si="14"/>
        <v>2</v>
      </c>
      <c r="F312" s="649"/>
    </row>
  </sheetData>
  <conditionalFormatting sqref="C7:C19 G7:G19 K7:K19 O7:O19 S7:S19">
    <cfRule type="expression" dxfId="1385" priority="12">
      <formula>AND(C7=0,E7=13)</formula>
    </cfRule>
  </conditionalFormatting>
  <conditionalFormatting sqref="C7:C19">
    <cfRule type="expression" dxfId="1384" priority="26">
      <formula>IF($C7&gt;$E7,TRUE)</formula>
    </cfRule>
  </conditionalFormatting>
  <conditionalFormatting sqref="E7:E19">
    <cfRule type="expression" dxfId="1383" priority="27">
      <formula>IF($C7&lt;$E7,TRUE)</formula>
    </cfRule>
  </conditionalFormatting>
  <conditionalFormatting sqref="K7:K19">
    <cfRule type="expression" dxfId="1382" priority="34">
      <formula>IF($K7&gt;$M7,TRUE)</formula>
    </cfRule>
  </conditionalFormatting>
  <conditionalFormatting sqref="M7:M19">
    <cfRule type="expression" dxfId="1381" priority="35">
      <formula>IF($K7&lt;$M7,TRUE)</formula>
    </cfRule>
  </conditionalFormatting>
  <conditionalFormatting sqref="O7:O19">
    <cfRule type="expression" dxfId="1380" priority="38">
      <formula>IF($O7&gt;$Q7,TRUE)</formula>
    </cfRule>
  </conditionalFormatting>
  <conditionalFormatting sqref="Q7:Q19">
    <cfRule type="expression" dxfId="1379" priority="39">
      <formula>IF($O7&lt;$Q7,TRUE)</formula>
    </cfRule>
  </conditionalFormatting>
  <conditionalFormatting sqref="S7:S19">
    <cfRule type="expression" dxfId="1378" priority="42">
      <formula>IF($S7&gt;$U7,TRUE)</formula>
    </cfRule>
  </conditionalFormatting>
  <conditionalFormatting sqref="U7:U19">
    <cfRule type="expression" dxfId="1377" priority="43">
      <formula>IF($S7&lt;$U7,TRUE)</formula>
    </cfRule>
  </conditionalFormatting>
  <conditionalFormatting sqref="G7:G19">
    <cfRule type="expression" dxfId="1376" priority="30">
      <formula>IF($G7&gt;$I7,TRUE)</formula>
    </cfRule>
  </conditionalFormatting>
  <conditionalFormatting sqref="I7:I19">
    <cfRule type="expression" dxfId="1375" priority="31">
      <formula>IF($G7&lt;$I7,TRUE)</formula>
    </cfRule>
  </conditionalFormatting>
  <conditionalFormatting sqref="F7:F19">
    <cfRule type="containsText" dxfId="1374" priority="17" operator="containsText" text="vaba voor">
      <formula>NOT(ISERROR(SEARCH("vaba voor",F7)))</formula>
    </cfRule>
  </conditionalFormatting>
  <conditionalFormatting sqref="N7:N19">
    <cfRule type="containsText" dxfId="1373" priority="15" operator="containsText" text="vaba voor">
      <formula>NOT(ISERROR(SEARCH("vaba voor",N7)))</formula>
    </cfRule>
  </conditionalFormatting>
  <conditionalFormatting sqref="R7:R19">
    <cfRule type="containsText" dxfId="1372" priority="18" operator="containsText" text="vaba voor">
      <formula>NOT(ISERROR(SEARCH("vaba voor",R7)))</formula>
    </cfRule>
  </conditionalFormatting>
  <conditionalFormatting sqref="V7:V19">
    <cfRule type="containsText" dxfId="1371" priority="14" operator="containsText" text="vaba voor">
      <formula>NOT(ISERROR(SEARCH("vaba voor",V7)))</formula>
    </cfRule>
  </conditionalFormatting>
  <conditionalFormatting sqref="J7:J19">
    <cfRule type="containsText" dxfId="1370" priority="16" operator="containsText" text="vaba voor">
      <formula>NOT(ISERROR(SEARCH("vaba voor",J7)))</formula>
    </cfRule>
  </conditionalFormatting>
  <conditionalFormatting sqref="C7:F19">
    <cfRule type="expression" dxfId="1369" priority="22">
      <formula>IF(AND(ISNUMBER($C7),$C7=$E7),TRUE)</formula>
    </cfRule>
    <cfRule type="expression" dxfId="1368" priority="24">
      <formula>IF($C7&gt;$E7,TRUE)</formula>
    </cfRule>
    <cfRule type="expression" dxfId="1367" priority="25">
      <formula>IF($C7&lt;$E7,TRUE)</formula>
    </cfRule>
  </conditionalFormatting>
  <conditionalFormatting sqref="G7:J19">
    <cfRule type="expression" dxfId="1366" priority="23">
      <formula>IF(AND(ISNUMBER($G7),$G7=$I7),TRUE)</formula>
    </cfRule>
    <cfRule type="expression" dxfId="1365" priority="28">
      <formula>IF($G7&gt;$I7,TRUE)</formula>
    </cfRule>
    <cfRule type="expression" dxfId="1364" priority="29">
      <formula>IF($G7&lt;$I7,TRUE)</formula>
    </cfRule>
  </conditionalFormatting>
  <conditionalFormatting sqref="K7:N19">
    <cfRule type="expression" dxfId="1363" priority="21">
      <formula>IF(AND(ISNUMBER($K7),$K7=$M7),TRUE)</formula>
    </cfRule>
    <cfRule type="expression" dxfId="1362" priority="32">
      <formula>IF($K7&gt;$M7,TRUE)</formula>
    </cfRule>
    <cfRule type="expression" dxfId="1361" priority="33">
      <formula>IF($K7&lt;$M7,TRUE)</formula>
    </cfRule>
  </conditionalFormatting>
  <conditionalFormatting sqref="O7:R19">
    <cfRule type="expression" dxfId="1360" priority="20">
      <formula>IF(AND(ISNUMBER($O7),$O7=$Q7),TRUE)</formula>
    </cfRule>
    <cfRule type="expression" dxfId="1359" priority="36">
      <formula>IF($O7&gt;$Q7,TRUE)</formula>
    </cfRule>
    <cfRule type="expression" dxfId="1358" priority="37">
      <formula>IF($O7&lt;$Q7,TRUE)</formula>
    </cfRule>
  </conditionalFormatting>
  <conditionalFormatting sqref="S7:V19">
    <cfRule type="expression" dxfId="1357" priority="19">
      <formula>IF(AND(ISNUMBER($S7),$S7=$U7),TRUE)</formula>
    </cfRule>
    <cfRule type="expression" dxfId="1356" priority="40">
      <formula>IF($S7&gt;$U7,TRUE)</formula>
    </cfRule>
    <cfRule type="expression" dxfId="1355" priority="41">
      <formula>IF($S7&lt;$U7,TRUE)</formula>
    </cfRule>
  </conditionalFormatting>
  <conditionalFormatting sqref="E7:E19 I7:I19 M7:M19 Q7:Q19 U7:U19">
    <cfRule type="expression" dxfId="1354" priority="13">
      <formula>AND(E7=0,C7=13)</formula>
    </cfRule>
  </conditionalFormatting>
  <conditionalFormatting sqref="A7:A19">
    <cfRule type="duplicateValues" dxfId="1353" priority="44"/>
  </conditionalFormatting>
  <conditionalFormatting sqref="AJ7:AJ19">
    <cfRule type="expression" dxfId="1352" priority="5">
      <formula>AND(AI7="",FIND(",",AJ7))</formula>
    </cfRule>
    <cfRule type="expression" dxfId="1351" priority="7">
      <formula>AND(AI7="",COUNTIF(AJ7,"*,*")=0)</formula>
    </cfRule>
  </conditionalFormatting>
  <conditionalFormatting sqref="AH7:AH19">
    <cfRule type="expression" dxfId="1350" priority="8">
      <formula>AND(AG7="",FIND(",",AH7))</formula>
    </cfRule>
    <cfRule type="expression" dxfId="1349" priority="9">
      <formula>AND(AG7="",COUNTIF(AH7,"*,*")=0)</formula>
    </cfRule>
  </conditionalFormatting>
  <conditionalFormatting sqref="AL7:AL19">
    <cfRule type="expression" dxfId="1348" priority="10">
      <formula>AND(AK7="",FIND(",",AL7))</formula>
    </cfRule>
    <cfRule type="expression" dxfId="1347" priority="11">
      <formula>AND(AK7="",COUNTIF(AL7,"*,*")=0)</formula>
    </cfRule>
  </conditionalFormatting>
  <conditionalFormatting sqref="AF7:AF19">
    <cfRule type="expression" dxfId="1346" priority="6">
      <formula>AND(AE7="",COUNTIF(AF7,"*,*")=0)</formula>
    </cfRule>
  </conditionalFormatting>
  <conditionalFormatting sqref="AN7:AN19">
    <cfRule type="expression" dxfId="1345" priority="2">
      <formula>AND(AM7="",COUNTIF(AN7,"*,*")=0)</formula>
    </cfRule>
    <cfRule type="expression" dxfId="1344" priority="4">
      <formula>AND(AM7="",FIND(",",AN7))</formula>
    </cfRule>
  </conditionalFormatting>
  <conditionalFormatting sqref="AP7:AP19">
    <cfRule type="expression" dxfId="1343" priority="1">
      <formula>AND(AO7="",COUNTIF(AP7,"*,*")=0)</formula>
    </cfRule>
    <cfRule type="expression" dxfId="1342" priority="3">
      <formula>AND(AO7="",FIND(",",AP7))</formula>
    </cfRule>
  </conditionalFormatting>
  <conditionalFormatting sqref="B300:B312">
    <cfRule type="expression" dxfId="1341" priority="45">
      <formula>A300=3</formula>
    </cfRule>
    <cfRule type="expression" dxfId="1340" priority="46">
      <formula>A300=2</formula>
    </cfRule>
    <cfRule type="expression" dxfId="1339" priority="47">
      <formula>A300=1</formula>
    </cfRule>
    <cfRule type="containsBlanks" dxfId="1338" priority="48">
      <formula>LEN(TRIM(B300))=0</formula>
    </cfRule>
    <cfRule type="duplicateValues" dxfId="1337" priority="49"/>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09"/>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9.285156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27.28515625" style="1" hidden="1" customWidth="1"/>
    <col min="35" max="35" width="9.140625" style="1" hidden="1" customWidth="1"/>
    <col min="36" max="36" width="18.28515625" style="1" hidden="1" customWidth="1"/>
    <col min="37" max="37" width="9.140625" style="1" hidden="1" customWidth="1"/>
    <col min="38" max="38" width="15.710937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UPPER((Kalend!E18)&amp;" - "&amp;(Kalend!C18))&amp;" - "&amp;LOWER(Kalend!D18)&amp;" - "&amp;(Kalend!A18)&amp;" kell "&amp;(Kalend!B18)&amp;" - "&amp;(Kalend!F18)</f>
        <v>V8 - VOKA V SISE-KV 8. ETAPP - duo - P, 12.02.2023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415</v>
      </c>
      <c r="C7" s="392">
        <v>13</v>
      </c>
      <c r="D7" s="393" t="s">
        <v>302</v>
      </c>
      <c r="E7" s="394">
        <v>10</v>
      </c>
      <c r="F7" s="395" t="s">
        <v>355</v>
      </c>
      <c r="G7" s="392">
        <v>13</v>
      </c>
      <c r="H7" s="393" t="s">
        <v>302</v>
      </c>
      <c r="I7" s="394">
        <v>5</v>
      </c>
      <c r="J7" s="395" t="s">
        <v>393</v>
      </c>
      <c r="K7" s="392">
        <v>13</v>
      </c>
      <c r="L7" s="393" t="s">
        <v>302</v>
      </c>
      <c r="M7" s="394">
        <v>11</v>
      </c>
      <c r="N7" s="395" t="s">
        <v>423</v>
      </c>
      <c r="O7" s="392">
        <v>13</v>
      </c>
      <c r="P7" s="393" t="s">
        <v>302</v>
      </c>
      <c r="Q7" s="394">
        <v>3</v>
      </c>
      <c r="R7" s="395" t="s">
        <v>387</v>
      </c>
      <c r="S7" s="392"/>
      <c r="T7" s="393" t="s">
        <v>302</v>
      </c>
      <c r="U7" s="394"/>
      <c r="V7" s="395"/>
      <c r="W7" s="396">
        <f t="shared" ref="W7:W16" si="0">IF(C7&gt;E7,W$2,IF(C7&lt;E7,W$4,IF(ISNUMBER(C7),W$3,0)))+IF(G7&gt;I7,W$2,IF(G7&lt;I7,W$4,IF(ISNUMBER(G7),W$3,0)))+IF(K7&gt;M7,W$2,IF(K7&lt;M7,W$4,IF(ISNUMBER(K7),W$3,0)))+IF(O7&gt;Q7,W$2,IF(O7&lt;Q7,W$4,IF(ISNUMBER(O7),W$3,0)))+IF(S7&gt;U7,W$2,IF(S7&lt;U7,W$4,IF(ISNUMBER(S7),W$3,0)))</f>
        <v>4</v>
      </c>
      <c r="X7" s="397">
        <v>16</v>
      </c>
      <c r="Y7" s="707">
        <v>82</v>
      </c>
      <c r="Z7" s="392">
        <f t="shared" ref="Z7:Z16" si="1">C7+G7+K7+O7+S7</f>
        <v>52</v>
      </c>
      <c r="AA7" s="393" t="s">
        <v>302</v>
      </c>
      <c r="AB7" s="398">
        <f t="shared" ref="AB7:AB16" si="2">E7+I7+M7+Q7+U7</f>
        <v>29</v>
      </c>
      <c r="AC7" s="399">
        <f t="shared" ref="AC7:AC16" si="3">Z7-AB7</f>
        <v>23</v>
      </c>
      <c r="AD7" s="233">
        <f>SUM(AE7:AP7)</f>
        <v>180</v>
      </c>
      <c r="AE7" s="234">
        <f>IFERROR(INDEX(V!$R:$R,MATCH(AF7,V!$L:$L,0)),"")</f>
        <v>108</v>
      </c>
      <c r="AF7" s="235" t="str">
        <f>IFERROR(LEFT($B7,(FIND(",",$B7,1)-1)),"")</f>
        <v>Henri Mitt</v>
      </c>
      <c r="AG7" s="234">
        <f>IFERROR(INDEX(V!$R:$R,MATCH(AH7,V!$L:$L,0)),"")</f>
        <v>72</v>
      </c>
      <c r="AH7" s="235" t="str">
        <f>IFERROR(MID($B7,FIND(", ",$B7)+2,256),"")</f>
        <v>Urmas Jõeäär</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423</v>
      </c>
      <c r="C8" s="392">
        <v>13</v>
      </c>
      <c r="D8" s="393" t="s">
        <v>302</v>
      </c>
      <c r="E8" s="394">
        <v>5</v>
      </c>
      <c r="F8" s="395" t="s">
        <v>424</v>
      </c>
      <c r="G8" s="392">
        <v>13</v>
      </c>
      <c r="H8" s="393" t="s">
        <v>302</v>
      </c>
      <c r="I8" s="394">
        <v>12</v>
      </c>
      <c r="J8" s="395" t="s">
        <v>387</v>
      </c>
      <c r="K8" s="392">
        <v>11</v>
      </c>
      <c r="L8" s="393" t="s">
        <v>302</v>
      </c>
      <c r="M8" s="394">
        <v>13</v>
      </c>
      <c r="N8" s="395" t="s">
        <v>415</v>
      </c>
      <c r="O8" s="392">
        <v>13</v>
      </c>
      <c r="P8" s="393" t="s">
        <v>302</v>
      </c>
      <c r="Q8" s="394">
        <v>1</v>
      </c>
      <c r="R8" s="395" t="s">
        <v>393</v>
      </c>
      <c r="S8" s="392"/>
      <c r="T8" s="393" t="s">
        <v>302</v>
      </c>
      <c r="U8" s="394"/>
      <c r="V8" s="395"/>
      <c r="W8" s="396">
        <f t="shared" si="0"/>
        <v>3</v>
      </c>
      <c r="X8" s="397">
        <v>18</v>
      </c>
      <c r="Y8" s="707">
        <v>74</v>
      </c>
      <c r="Z8" s="392">
        <f t="shared" si="1"/>
        <v>50</v>
      </c>
      <c r="AA8" s="393" t="s">
        <v>302</v>
      </c>
      <c r="AB8" s="398">
        <f t="shared" si="2"/>
        <v>31</v>
      </c>
      <c r="AC8" s="399">
        <f t="shared" si="3"/>
        <v>19</v>
      </c>
      <c r="AD8" s="233">
        <f t="shared" ref="AD8:AD11" si="4">SUM(AE8:AL8)</f>
        <v>262</v>
      </c>
      <c r="AE8" s="234">
        <f>IFERROR(INDEX(V!$R:$R,MATCH(AF8,V!$L:$L,0)),"")</f>
        <v>102</v>
      </c>
      <c r="AF8" s="235" t="str">
        <f t="shared" ref="AF8:AF16" si="5">IFERROR(LEFT($B8,(FIND(",",$B8,1)-1)),"")</f>
        <v>Hillar Neiland</v>
      </c>
      <c r="AG8" s="234">
        <f>IFERROR(INDEX(V!$R:$R,MATCH(AH8,V!$L:$L,0)),"")</f>
        <v>160</v>
      </c>
      <c r="AH8" s="235" t="str">
        <f t="shared" ref="AH8:AH16" si="6">IFERROR(MID($B8,FIND(", ",$B8)+2,256),"")</f>
        <v>Kenneth Muusikus</v>
      </c>
      <c r="AI8" s="234" t="str">
        <f>IFERROR(INDEX(V!$R:$R,MATCH(AJ8,V!$L:$L,0)),"")</f>
        <v/>
      </c>
      <c r="AJ8" s="235" t="str">
        <f t="shared" ref="AJ8:AJ16" si="7">IFERROR(MID($B8,FIND("^",SUBSTITUTE($B8,", ","^",1))+2,FIND("^",SUBSTITUTE($B8,", ","^",2))-FIND("^",SUBSTITUTE($B8,", ","^",1))-2),"")</f>
        <v/>
      </c>
      <c r="AK8" s="234" t="str">
        <f>IFERROR(INDEX(V!$R:$R,MATCH(AL8,V!$L:$L,0)),"")</f>
        <v/>
      </c>
      <c r="AL8" s="235" t="str">
        <f t="shared" ref="AL8:AL16" si="8">IFERROR(MID($B8,FIND(", ",$B8,FIND(", ",$B8,FIND(", ",$B8))+1)+2,30000),"")</f>
        <v/>
      </c>
      <c r="AM8" s="234" t="str">
        <f>IFERROR(INDEX(V!$R:$R,MATCH(AN8,V!$L:$L,0)),"")</f>
        <v/>
      </c>
      <c r="AN8" s="235" t="str">
        <f t="shared" ref="AN8:AN16" si="9">IFERROR(MID($B8,FIND(", ",$B8,FIND(", ",$B8)+1)+2,FIND(", ",$B8,FIND(", ",$B8,FIND(", ",$B8)+1)+1)-FIND(", ",$B8,FIND(", ",$B8)+1)-2),"")</f>
        <v/>
      </c>
      <c r="AO8" s="234" t="str">
        <f>IFERROR(INDEX(V!$R:$R,MATCH(AP8,V!$L:$L,0)),"")</f>
        <v/>
      </c>
      <c r="AP8" s="235" t="str">
        <f t="shared" ref="AP8:AP16" si="10">IFERROR(MID($B8,FIND(", ",$B8,FIND(", ",$B8,FIND(", ",$B8)+1)+1)+2,30000),"")</f>
        <v/>
      </c>
    </row>
    <row r="9" spans="1:42" x14ac:dyDescent="0.2">
      <c r="A9" s="391">
        <v>3</v>
      </c>
      <c r="B9" s="304" t="s">
        <v>259</v>
      </c>
      <c r="C9" s="392">
        <v>7</v>
      </c>
      <c r="D9" s="393" t="s">
        <v>302</v>
      </c>
      <c r="E9" s="394">
        <v>11</v>
      </c>
      <c r="F9" s="395" t="s">
        <v>393</v>
      </c>
      <c r="G9" s="392">
        <v>13</v>
      </c>
      <c r="H9" s="393" t="s">
        <v>302</v>
      </c>
      <c r="I9" s="394">
        <v>6</v>
      </c>
      <c r="J9" s="395" t="s">
        <v>424</v>
      </c>
      <c r="K9" s="392">
        <v>13</v>
      </c>
      <c r="L9" s="393" t="s">
        <v>302</v>
      </c>
      <c r="M9" s="394">
        <v>6</v>
      </c>
      <c r="N9" s="395" t="s">
        <v>422</v>
      </c>
      <c r="O9" s="392">
        <v>13</v>
      </c>
      <c r="P9" s="393" t="s">
        <v>302</v>
      </c>
      <c r="Q9" s="394">
        <v>2</v>
      </c>
      <c r="R9" s="395" t="s">
        <v>355</v>
      </c>
      <c r="S9" s="392"/>
      <c r="T9" s="393" t="s">
        <v>302</v>
      </c>
      <c r="U9" s="394"/>
      <c r="V9" s="395"/>
      <c r="W9" s="396">
        <f t="shared" si="0"/>
        <v>3</v>
      </c>
      <c r="X9" s="397">
        <v>10</v>
      </c>
      <c r="Y9" s="707">
        <v>74</v>
      </c>
      <c r="Z9" s="392">
        <f t="shared" si="1"/>
        <v>46</v>
      </c>
      <c r="AA9" s="393" t="s">
        <v>302</v>
      </c>
      <c r="AB9" s="398">
        <f t="shared" si="2"/>
        <v>25</v>
      </c>
      <c r="AC9" s="399">
        <f t="shared" si="3"/>
        <v>21</v>
      </c>
      <c r="AD9" s="233">
        <f t="shared" si="4"/>
        <v>96</v>
      </c>
      <c r="AE9" s="234">
        <f>IFERROR(INDEX(V!$R:$R,MATCH(AF9,V!$L:$L,0)),"")</f>
        <v>48</v>
      </c>
      <c r="AF9" s="235" t="str">
        <f t="shared" si="5"/>
        <v>Ljudmila Varendi</v>
      </c>
      <c r="AG9" s="234">
        <f>IFERROR(INDEX(V!$R:$R,MATCH(AH9,V!$L:$L,0)),"")</f>
        <v>48</v>
      </c>
      <c r="AH9" s="235" t="str">
        <f t="shared" si="6"/>
        <v>Viktor Švarõgin</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t="s">
        <v>393</v>
      </c>
      <c r="C10" s="392">
        <v>11</v>
      </c>
      <c r="D10" s="393" t="s">
        <v>302</v>
      </c>
      <c r="E10" s="394">
        <v>7</v>
      </c>
      <c r="F10" s="395" t="s">
        <v>425</v>
      </c>
      <c r="G10" s="392">
        <v>5</v>
      </c>
      <c r="H10" s="393" t="s">
        <v>302</v>
      </c>
      <c r="I10" s="394">
        <v>13</v>
      </c>
      <c r="J10" s="395" t="s">
        <v>415</v>
      </c>
      <c r="K10" s="392">
        <v>13</v>
      </c>
      <c r="L10" s="393" t="s">
        <v>302</v>
      </c>
      <c r="M10" s="394">
        <v>6</v>
      </c>
      <c r="N10" s="395" t="s">
        <v>355</v>
      </c>
      <c r="O10" s="392">
        <v>1</v>
      </c>
      <c r="P10" s="393" t="s">
        <v>302</v>
      </c>
      <c r="Q10" s="394">
        <v>13</v>
      </c>
      <c r="R10" s="395" t="s">
        <v>423</v>
      </c>
      <c r="S10" s="392"/>
      <c r="T10" s="393" t="s">
        <v>302</v>
      </c>
      <c r="U10" s="394"/>
      <c r="V10" s="395"/>
      <c r="W10" s="396">
        <f t="shared" si="0"/>
        <v>2</v>
      </c>
      <c r="X10" s="397">
        <v>22</v>
      </c>
      <c r="Y10" s="707">
        <v>66</v>
      </c>
      <c r="Z10" s="392">
        <f t="shared" si="1"/>
        <v>30</v>
      </c>
      <c r="AA10" s="393" t="s">
        <v>302</v>
      </c>
      <c r="AB10" s="398">
        <f t="shared" si="2"/>
        <v>39</v>
      </c>
      <c r="AC10" s="399">
        <f t="shared" si="3"/>
        <v>-9</v>
      </c>
      <c r="AD10" s="233">
        <f t="shared" si="4"/>
        <v>290</v>
      </c>
      <c r="AE10" s="234">
        <f>IFERROR(INDEX(V!$R:$R,MATCH(AF10,V!$L:$L,0)),"")</f>
        <v>160</v>
      </c>
      <c r="AF10" s="235" t="str">
        <f t="shared" si="5"/>
        <v>Olav Türk</v>
      </c>
      <c r="AG10" s="234">
        <f>IFERROR(INDEX(V!$R:$R,MATCH(AH10,V!$L:$L,0)),"")</f>
        <v>130</v>
      </c>
      <c r="AH10" s="235" t="str">
        <f t="shared" si="6"/>
        <v>Sirje Maala</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284" t="s">
        <v>387</v>
      </c>
      <c r="C11" s="392">
        <v>13</v>
      </c>
      <c r="D11" s="393" t="s">
        <v>302</v>
      </c>
      <c r="E11" s="394">
        <v>9</v>
      </c>
      <c r="F11" s="395" t="s">
        <v>354</v>
      </c>
      <c r="G11" s="392">
        <v>12</v>
      </c>
      <c r="H11" s="393" t="s">
        <v>302</v>
      </c>
      <c r="I11" s="394">
        <v>13</v>
      </c>
      <c r="J11" s="395" t="s">
        <v>423</v>
      </c>
      <c r="K11" s="392">
        <v>13</v>
      </c>
      <c r="L11" s="393" t="s">
        <v>302</v>
      </c>
      <c r="M11" s="394">
        <v>8</v>
      </c>
      <c r="N11" s="395" t="s">
        <v>426</v>
      </c>
      <c r="O11" s="392">
        <v>3</v>
      </c>
      <c r="P11" s="393" t="s">
        <v>302</v>
      </c>
      <c r="Q11" s="394">
        <v>13</v>
      </c>
      <c r="R11" s="395" t="s">
        <v>415</v>
      </c>
      <c r="S11" s="392"/>
      <c r="T11" s="393" t="s">
        <v>302</v>
      </c>
      <c r="U11" s="394"/>
      <c r="V11" s="395"/>
      <c r="W11" s="396">
        <f t="shared" si="0"/>
        <v>2</v>
      </c>
      <c r="X11" s="397">
        <v>20</v>
      </c>
      <c r="Y11" s="707">
        <v>56</v>
      </c>
      <c r="Z11" s="392">
        <f t="shared" si="1"/>
        <v>41</v>
      </c>
      <c r="AA11" s="393" t="s">
        <v>302</v>
      </c>
      <c r="AB11" s="398">
        <f t="shared" si="2"/>
        <v>43</v>
      </c>
      <c r="AC11" s="399">
        <f t="shared" si="3"/>
        <v>-2</v>
      </c>
      <c r="AD11" s="233">
        <f t="shared" si="4"/>
        <v>282</v>
      </c>
      <c r="AE11" s="234">
        <f>IFERROR(INDEX(V!$R:$R,MATCH(AF11,V!$L:$L,0)),"")</f>
        <v>140</v>
      </c>
      <c r="AF11" s="235" t="str">
        <f t="shared" si="5"/>
        <v>Oleg Rõndenkov</v>
      </c>
      <c r="AG11" s="234">
        <f>IFERROR(INDEX(V!$R:$R,MATCH(AH11,V!$L:$L,0)),"")</f>
        <v>142</v>
      </c>
      <c r="AH11" s="235" t="str">
        <f t="shared" si="6"/>
        <v>Sander Rose</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t="s">
        <v>350</v>
      </c>
      <c r="C12" s="392">
        <v>13</v>
      </c>
      <c r="D12" s="393" t="s">
        <v>302</v>
      </c>
      <c r="E12" s="394">
        <v>12</v>
      </c>
      <c r="F12" s="395" t="s">
        <v>422</v>
      </c>
      <c r="G12" s="392">
        <v>8</v>
      </c>
      <c r="H12" s="393" t="s">
        <v>302</v>
      </c>
      <c r="I12" s="394">
        <v>13</v>
      </c>
      <c r="J12" s="395" t="s">
        <v>355</v>
      </c>
      <c r="K12" s="392">
        <v>8</v>
      </c>
      <c r="L12" s="393" t="s">
        <v>302</v>
      </c>
      <c r="M12" s="394">
        <v>13</v>
      </c>
      <c r="N12" s="395" t="s">
        <v>387</v>
      </c>
      <c r="O12" s="392">
        <v>13</v>
      </c>
      <c r="P12" s="393" t="s">
        <v>302</v>
      </c>
      <c r="Q12" s="394">
        <v>5</v>
      </c>
      <c r="R12" s="395" t="s">
        <v>354</v>
      </c>
      <c r="S12" s="392"/>
      <c r="T12" s="393" t="s">
        <v>302</v>
      </c>
      <c r="U12" s="394"/>
      <c r="V12" s="395"/>
      <c r="W12" s="396">
        <f t="shared" si="0"/>
        <v>2</v>
      </c>
      <c r="X12" s="397">
        <v>10</v>
      </c>
      <c r="Y12" s="707">
        <v>68</v>
      </c>
      <c r="Z12" s="392">
        <f t="shared" si="1"/>
        <v>42</v>
      </c>
      <c r="AA12" s="393" t="s">
        <v>302</v>
      </c>
      <c r="AB12" s="398">
        <f t="shared" si="2"/>
        <v>43</v>
      </c>
      <c r="AC12" s="399">
        <f t="shared" si="3"/>
        <v>-1</v>
      </c>
      <c r="AD12" s="233">
        <f t="shared" ref="AD12:AD13" si="11">SUM(AE12:AL12)</f>
        <v>148</v>
      </c>
      <c r="AE12" s="234">
        <f>IFERROR(INDEX(V!$R:$R,MATCH(AF12,V!$L:$L,0)),"")</f>
        <v>74</v>
      </c>
      <c r="AF12" s="235" t="str">
        <f t="shared" si="5"/>
        <v>Aigi Orro</v>
      </c>
      <c r="AG12" s="234">
        <f>IFERROR(INDEX(V!$R:$R,MATCH(AH12,V!$L:$L,0)),"")</f>
        <v>74</v>
      </c>
      <c r="AH12" s="235" t="str">
        <f t="shared" si="6"/>
        <v>Kalle Orro</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400" t="s">
        <v>355</v>
      </c>
      <c r="C13" s="392">
        <v>10</v>
      </c>
      <c r="D13" s="393" t="s">
        <v>302</v>
      </c>
      <c r="E13" s="394">
        <v>13</v>
      </c>
      <c r="F13" s="395" t="s">
        <v>415</v>
      </c>
      <c r="G13" s="392">
        <v>13</v>
      </c>
      <c r="H13" s="393" t="s">
        <v>302</v>
      </c>
      <c r="I13" s="394">
        <v>8</v>
      </c>
      <c r="J13" s="395" t="s">
        <v>426</v>
      </c>
      <c r="K13" s="392">
        <v>6</v>
      </c>
      <c r="L13" s="393" t="s">
        <v>302</v>
      </c>
      <c r="M13" s="394">
        <v>13</v>
      </c>
      <c r="N13" s="395" t="s">
        <v>393</v>
      </c>
      <c r="O13" s="392">
        <v>2</v>
      </c>
      <c r="P13" s="393" t="s">
        <v>302</v>
      </c>
      <c r="Q13" s="394">
        <v>13</v>
      </c>
      <c r="R13" s="395" t="s">
        <v>425</v>
      </c>
      <c r="S13" s="392"/>
      <c r="T13" s="393" t="s">
        <v>302</v>
      </c>
      <c r="U13" s="394"/>
      <c r="V13" s="395"/>
      <c r="W13" s="396">
        <f t="shared" si="0"/>
        <v>1</v>
      </c>
      <c r="X13" s="397">
        <v>22</v>
      </c>
      <c r="Y13" s="707">
        <v>58</v>
      </c>
      <c r="Z13" s="392">
        <f t="shared" si="1"/>
        <v>31</v>
      </c>
      <c r="AA13" s="393" t="s">
        <v>302</v>
      </c>
      <c r="AB13" s="398">
        <f t="shared" si="2"/>
        <v>47</v>
      </c>
      <c r="AC13" s="399">
        <f t="shared" si="3"/>
        <v>-16</v>
      </c>
      <c r="AD13" s="233">
        <f t="shared" si="11"/>
        <v>152</v>
      </c>
      <c r="AE13" s="234">
        <f>IFERROR(INDEX(V!$R:$R,MATCH(AF13,V!$L:$L,0)),"")</f>
        <v>76</v>
      </c>
      <c r="AF13" s="235" t="str">
        <f t="shared" si="5"/>
        <v>Boriss Klubov</v>
      </c>
      <c r="AG13" s="234">
        <f>IFERROR(INDEX(V!$R:$R,MATCH(AH13,V!$L:$L,0)),"")</f>
        <v>76</v>
      </c>
      <c r="AH13" s="235" t="str">
        <f t="shared" si="6"/>
        <v>Elmo Lageda</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304" t="s">
        <v>424</v>
      </c>
      <c r="C14" s="392">
        <v>5</v>
      </c>
      <c r="D14" s="393" t="s">
        <v>302</v>
      </c>
      <c r="E14" s="394">
        <v>13</v>
      </c>
      <c r="F14" s="395" t="s">
        <v>423</v>
      </c>
      <c r="G14" s="392">
        <v>6</v>
      </c>
      <c r="H14" s="393" t="s">
        <v>302</v>
      </c>
      <c r="I14" s="394">
        <v>13</v>
      </c>
      <c r="J14" s="395" t="s">
        <v>425</v>
      </c>
      <c r="K14" s="392">
        <v>1</v>
      </c>
      <c r="L14" s="393" t="s">
        <v>302</v>
      </c>
      <c r="M14" s="394">
        <v>13</v>
      </c>
      <c r="N14" s="395" t="s">
        <v>354</v>
      </c>
      <c r="O14" s="392">
        <v>13</v>
      </c>
      <c r="P14" s="393" t="s">
        <v>302</v>
      </c>
      <c r="Q14" s="394">
        <v>11</v>
      </c>
      <c r="R14" s="395" t="s">
        <v>422</v>
      </c>
      <c r="S14" s="392"/>
      <c r="T14" s="393" t="s">
        <v>302</v>
      </c>
      <c r="U14" s="394"/>
      <c r="V14" s="395"/>
      <c r="W14" s="396">
        <f t="shared" si="0"/>
        <v>1</v>
      </c>
      <c r="X14" s="397">
        <v>16</v>
      </c>
      <c r="Y14" s="707">
        <v>54</v>
      </c>
      <c r="Z14" s="392">
        <f t="shared" si="1"/>
        <v>25</v>
      </c>
      <c r="AA14" s="393" t="s">
        <v>302</v>
      </c>
      <c r="AB14" s="398">
        <f t="shared" si="2"/>
        <v>50</v>
      </c>
      <c r="AC14" s="399">
        <f t="shared" si="3"/>
        <v>-25</v>
      </c>
      <c r="AD14" s="233">
        <f t="shared" ref="AD14:AD16" si="12">SUM(AE14:AL14)</f>
        <v>170</v>
      </c>
      <c r="AE14" s="234">
        <f>IFERROR(INDEX(V!$R:$R,MATCH(AF14,V!$L:$L,0)),"")</f>
        <v>94</v>
      </c>
      <c r="AF14" s="235" t="str">
        <f t="shared" si="5"/>
        <v>Enn Tokman</v>
      </c>
      <c r="AG14" s="234" t="str">
        <f>IFERROR(INDEX(V!$R:$R,MATCH(AH14,V!$L:$L,0)),"")</f>
        <v/>
      </c>
      <c r="AH14" s="235" t="str">
        <f t="shared" si="6"/>
        <v>Illar Tõnurist, Johannes Neiland</v>
      </c>
      <c r="AI14" s="234">
        <f>IFERROR(INDEX(V!$R:$R,MATCH(AJ14,V!$L:$L,0)),"")</f>
        <v>50</v>
      </c>
      <c r="AJ14" s="235" t="str">
        <f t="shared" si="7"/>
        <v>Illar Tõnurist</v>
      </c>
      <c r="AK14" s="234">
        <f>IFERROR(INDEX(V!$R:$R,MATCH(AL14,V!$L:$L,0)),"")</f>
        <v>26</v>
      </c>
      <c r="AL14" s="235" t="str">
        <f t="shared" si="8"/>
        <v>Johannes Neiland</v>
      </c>
      <c r="AM14" s="234" t="str">
        <f>IFERROR(INDEX(V!$R:$R,MATCH(AN14,V!$L:$L,0)),"")</f>
        <v/>
      </c>
      <c r="AN14" s="235" t="str">
        <f t="shared" si="9"/>
        <v/>
      </c>
      <c r="AO14" s="234" t="str">
        <f>IFERROR(INDEX(V!$R:$R,MATCH(AP14,V!$L:$L,0)),"")</f>
        <v/>
      </c>
      <c r="AP14" s="235" t="str">
        <f t="shared" si="10"/>
        <v/>
      </c>
    </row>
    <row r="15" spans="1:42" x14ac:dyDescent="0.2">
      <c r="A15" s="391">
        <v>9</v>
      </c>
      <c r="B15" s="304" t="s">
        <v>422</v>
      </c>
      <c r="C15" s="392">
        <v>12</v>
      </c>
      <c r="D15" s="393" t="s">
        <v>302</v>
      </c>
      <c r="E15" s="394">
        <v>13</v>
      </c>
      <c r="F15" s="395" t="s">
        <v>426</v>
      </c>
      <c r="G15" s="392">
        <v>13</v>
      </c>
      <c r="H15" s="393" t="s">
        <v>302</v>
      </c>
      <c r="I15" s="394">
        <v>2</v>
      </c>
      <c r="J15" s="395" t="s">
        <v>354</v>
      </c>
      <c r="K15" s="392">
        <v>6</v>
      </c>
      <c r="L15" s="393" t="s">
        <v>302</v>
      </c>
      <c r="M15" s="394">
        <v>13</v>
      </c>
      <c r="N15" s="395" t="s">
        <v>425</v>
      </c>
      <c r="O15" s="392">
        <v>11</v>
      </c>
      <c r="P15" s="393" t="s">
        <v>302</v>
      </c>
      <c r="Q15" s="394">
        <v>13</v>
      </c>
      <c r="R15" s="395" t="s">
        <v>424</v>
      </c>
      <c r="S15" s="392"/>
      <c r="T15" s="393" t="s">
        <v>302</v>
      </c>
      <c r="U15" s="394"/>
      <c r="V15" s="395"/>
      <c r="W15" s="396">
        <f t="shared" si="0"/>
        <v>1</v>
      </c>
      <c r="X15" s="397">
        <v>14</v>
      </c>
      <c r="Y15" s="707">
        <v>48</v>
      </c>
      <c r="Z15" s="392">
        <f t="shared" si="1"/>
        <v>42</v>
      </c>
      <c r="AA15" s="393" t="s">
        <v>302</v>
      </c>
      <c r="AB15" s="398">
        <f t="shared" si="2"/>
        <v>41</v>
      </c>
      <c r="AC15" s="399">
        <f t="shared" si="3"/>
        <v>1</v>
      </c>
      <c r="AD15" s="233">
        <f t="shared" si="12"/>
        <v>150</v>
      </c>
      <c r="AE15" s="234">
        <f>IFERROR(INDEX(V!$R:$R,MATCH(AF15,V!$L:$L,0)),"")</f>
        <v>84</v>
      </c>
      <c r="AF15" s="235" t="str">
        <f t="shared" si="5"/>
        <v>Jaan Saar</v>
      </c>
      <c r="AG15" s="234">
        <f>IFERROR(INDEX(V!$R:$R,MATCH(AH15,V!$L:$L,0)),"")</f>
        <v>66</v>
      </c>
      <c r="AH15" s="235" t="str">
        <f t="shared" si="6"/>
        <v>Peep Peenema</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391">
        <v>10</v>
      </c>
      <c r="B16" s="400" t="s">
        <v>354</v>
      </c>
      <c r="C16" s="392">
        <v>9</v>
      </c>
      <c r="D16" s="393" t="s">
        <v>302</v>
      </c>
      <c r="E16" s="394">
        <v>13</v>
      </c>
      <c r="F16" s="395" t="s">
        <v>387</v>
      </c>
      <c r="G16" s="392">
        <v>2</v>
      </c>
      <c r="H16" s="393" t="s">
        <v>302</v>
      </c>
      <c r="I16" s="394">
        <v>13</v>
      </c>
      <c r="J16" s="395" t="s">
        <v>422</v>
      </c>
      <c r="K16" s="392">
        <v>13</v>
      </c>
      <c r="L16" s="393" t="s">
        <v>302</v>
      </c>
      <c r="M16" s="394">
        <v>1</v>
      </c>
      <c r="N16" s="395" t="s">
        <v>424</v>
      </c>
      <c r="O16" s="392">
        <v>5</v>
      </c>
      <c r="P16" s="393" t="s">
        <v>302</v>
      </c>
      <c r="Q16" s="394">
        <v>13</v>
      </c>
      <c r="R16" s="395" t="s">
        <v>426</v>
      </c>
      <c r="S16" s="392"/>
      <c r="T16" s="393" t="s">
        <v>302</v>
      </c>
      <c r="U16" s="394"/>
      <c r="V16" s="395"/>
      <c r="W16" s="396">
        <f t="shared" si="0"/>
        <v>1</v>
      </c>
      <c r="X16" s="397">
        <v>12</v>
      </c>
      <c r="Y16" s="707">
        <v>60</v>
      </c>
      <c r="Z16" s="392">
        <f t="shared" si="1"/>
        <v>29</v>
      </c>
      <c r="AA16" s="393" t="s">
        <v>302</v>
      </c>
      <c r="AB16" s="398">
        <f t="shared" si="2"/>
        <v>40</v>
      </c>
      <c r="AC16" s="399">
        <f t="shared" si="3"/>
        <v>-11</v>
      </c>
      <c r="AD16" s="233">
        <f t="shared" si="12"/>
        <v>30</v>
      </c>
      <c r="AE16" s="234">
        <f>IFERROR(INDEX(V!$R:$R,MATCH(AF16,V!$L:$L,0)),"")</f>
        <v>20</v>
      </c>
      <c r="AF16" s="235" t="str">
        <f t="shared" si="5"/>
        <v>Liidia Põllu</v>
      </c>
      <c r="AG16" s="234">
        <f>IFERROR(INDEX(V!$R:$R,MATCH(AH16,V!$L:$L,0)),"")</f>
        <v>10</v>
      </c>
      <c r="AH16" s="235" t="str">
        <f t="shared" si="6"/>
        <v>Veronika Pirk</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IFERROR(INDEX(B$1:B$100,MATCH(A300,A$1:A$100,0)),"")</f>
        <v>Henri Mitt, Urmas Jõeäär</v>
      </c>
      <c r="C300" s="323">
        <f t="shared" ref="C300:C309" si="13">LARGE(A300:A397,1)*2+2-A300*2</f>
        <v>20</v>
      </c>
      <c r="F300" s="649"/>
    </row>
    <row r="301" spans="1:6" x14ac:dyDescent="0.2">
      <c r="A301" s="351">
        <v>2</v>
      </c>
      <c r="B301" s="402" t="str">
        <f t="shared" ref="B301:B309" si="14">IFERROR(INDEX(B$1:B$100,MATCH(A301,A$1:A$100,0)),"")</f>
        <v>Hillar Neiland, Kenneth Muusikus</v>
      </c>
      <c r="C301" s="323">
        <f t="shared" si="13"/>
        <v>18</v>
      </c>
      <c r="F301" s="649"/>
    </row>
    <row r="302" spans="1:6" x14ac:dyDescent="0.2">
      <c r="A302" s="351">
        <v>3</v>
      </c>
      <c r="B302" s="402" t="str">
        <f t="shared" si="14"/>
        <v>Ljudmila Varendi, Viktor Švarõgin</v>
      </c>
      <c r="C302" s="323">
        <f t="shared" si="13"/>
        <v>16</v>
      </c>
      <c r="F302" s="649"/>
    </row>
    <row r="303" spans="1:6" x14ac:dyDescent="0.2">
      <c r="A303" s="351">
        <v>4</v>
      </c>
      <c r="B303" s="402" t="str">
        <f t="shared" si="14"/>
        <v>Olav Türk, Sirje Maala</v>
      </c>
      <c r="C303" s="323">
        <f t="shared" si="13"/>
        <v>14</v>
      </c>
      <c r="F303" s="649"/>
    </row>
    <row r="304" spans="1:6" x14ac:dyDescent="0.2">
      <c r="A304" s="351">
        <v>5</v>
      </c>
      <c r="B304" s="402" t="str">
        <f t="shared" si="14"/>
        <v>Oleg Rõndenkov, Sander Rose</v>
      </c>
      <c r="C304" s="323">
        <f t="shared" si="13"/>
        <v>12</v>
      </c>
      <c r="F304" s="649"/>
    </row>
    <row r="305" spans="1:6" x14ac:dyDescent="0.2">
      <c r="A305" s="351">
        <v>6</v>
      </c>
      <c r="B305" s="402" t="str">
        <f t="shared" si="14"/>
        <v>Aigi Orro, Kalle Orro</v>
      </c>
      <c r="C305" s="323">
        <f t="shared" si="13"/>
        <v>10</v>
      </c>
      <c r="F305" s="649"/>
    </row>
    <row r="306" spans="1:6" x14ac:dyDescent="0.2">
      <c r="A306" s="351">
        <v>7</v>
      </c>
      <c r="B306" s="402" t="str">
        <f t="shared" si="14"/>
        <v>Boriss Klubov, Elmo Lageda</v>
      </c>
      <c r="C306" s="323">
        <f t="shared" si="13"/>
        <v>8</v>
      </c>
      <c r="F306" s="649"/>
    </row>
    <row r="307" spans="1:6" x14ac:dyDescent="0.2">
      <c r="A307" s="351">
        <v>8</v>
      </c>
      <c r="B307" s="402" t="str">
        <f t="shared" si="14"/>
        <v>Enn Tokman, Illar Tõnurist, Johannes Neiland</v>
      </c>
      <c r="C307" s="323">
        <f t="shared" si="13"/>
        <v>6</v>
      </c>
      <c r="F307" s="649"/>
    </row>
    <row r="308" spans="1:6" x14ac:dyDescent="0.2">
      <c r="A308" s="351">
        <v>9</v>
      </c>
      <c r="B308" s="402" t="str">
        <f t="shared" si="14"/>
        <v>Jaan Saar, Peep Peenema</v>
      </c>
      <c r="C308" s="323">
        <f t="shared" si="13"/>
        <v>4</v>
      </c>
      <c r="F308" s="649"/>
    </row>
    <row r="309" spans="1:6" x14ac:dyDescent="0.2">
      <c r="A309" s="351">
        <v>10</v>
      </c>
      <c r="B309" s="402" t="str">
        <f t="shared" si="14"/>
        <v>Liidia Põllu, Veronika Pirk</v>
      </c>
      <c r="C309" s="323">
        <f t="shared" si="13"/>
        <v>2</v>
      </c>
      <c r="F309" s="649"/>
    </row>
  </sheetData>
  <conditionalFormatting sqref="C7:C16 G7:G16 K7:K16 O7:O16 S7:S16">
    <cfRule type="expression" dxfId="1336" priority="12">
      <formula>AND(C7=0,E7=13)</formula>
    </cfRule>
  </conditionalFormatting>
  <conditionalFormatting sqref="C7:C16">
    <cfRule type="expression" dxfId="1335" priority="26">
      <formula>IF($C7&gt;$E7,TRUE)</formula>
    </cfRule>
  </conditionalFormatting>
  <conditionalFormatting sqref="E7:E16">
    <cfRule type="expression" dxfId="1334" priority="27">
      <formula>IF($C7&lt;$E7,TRUE)</formula>
    </cfRule>
  </conditionalFormatting>
  <conditionalFormatting sqref="K7:K16">
    <cfRule type="expression" dxfId="1333" priority="34">
      <formula>IF($K7&gt;$M7,TRUE)</formula>
    </cfRule>
  </conditionalFormatting>
  <conditionalFormatting sqref="M7:M16">
    <cfRule type="expression" dxfId="1332" priority="35">
      <formula>IF($K7&lt;$M7,TRUE)</formula>
    </cfRule>
  </conditionalFormatting>
  <conditionalFormatting sqref="O7:O16">
    <cfRule type="expression" dxfId="1331" priority="38">
      <formula>IF($O7&gt;$Q7,TRUE)</formula>
    </cfRule>
  </conditionalFormatting>
  <conditionalFormatting sqref="Q7:Q16">
    <cfRule type="expression" dxfId="1330" priority="39">
      <formula>IF($O7&lt;$Q7,TRUE)</formula>
    </cfRule>
  </conditionalFormatting>
  <conditionalFormatting sqref="S7:S16">
    <cfRule type="expression" dxfId="1329" priority="42">
      <formula>IF($S7&gt;$U7,TRUE)</formula>
    </cfRule>
  </conditionalFormatting>
  <conditionalFormatting sqref="U7:U16">
    <cfRule type="expression" dxfId="1328" priority="43">
      <formula>IF($S7&lt;$U7,TRUE)</formula>
    </cfRule>
  </conditionalFormatting>
  <conditionalFormatting sqref="G7:G16">
    <cfRule type="expression" dxfId="1327" priority="30">
      <formula>IF($G7&gt;$I7,TRUE)</formula>
    </cfRule>
  </conditionalFormatting>
  <conditionalFormatting sqref="I7:I16">
    <cfRule type="expression" dxfId="1326" priority="31">
      <formula>IF($G7&lt;$I7,TRUE)</formula>
    </cfRule>
  </conditionalFormatting>
  <conditionalFormatting sqref="F7:F16">
    <cfRule type="containsText" dxfId="1325" priority="17" operator="containsText" text="vaba voor">
      <formula>NOT(ISERROR(SEARCH("vaba voor",F7)))</formula>
    </cfRule>
  </conditionalFormatting>
  <conditionalFormatting sqref="N7:N16">
    <cfRule type="containsText" dxfId="1324" priority="15" operator="containsText" text="vaba voor">
      <formula>NOT(ISERROR(SEARCH("vaba voor",N7)))</formula>
    </cfRule>
  </conditionalFormatting>
  <conditionalFormatting sqref="R7:R16">
    <cfRule type="containsText" dxfId="1323" priority="18" operator="containsText" text="vaba voor">
      <formula>NOT(ISERROR(SEARCH("vaba voor",R7)))</formula>
    </cfRule>
  </conditionalFormatting>
  <conditionalFormatting sqref="V7:V16">
    <cfRule type="containsText" dxfId="1322" priority="14" operator="containsText" text="vaba voor">
      <formula>NOT(ISERROR(SEARCH("vaba voor",V7)))</formula>
    </cfRule>
  </conditionalFormatting>
  <conditionalFormatting sqref="J7:J16">
    <cfRule type="containsText" dxfId="1321" priority="16" operator="containsText" text="vaba voor">
      <formula>NOT(ISERROR(SEARCH("vaba voor",J7)))</formula>
    </cfRule>
  </conditionalFormatting>
  <conditionalFormatting sqref="C7:F16">
    <cfRule type="expression" dxfId="1320" priority="22">
      <formula>IF(AND(ISNUMBER($C7),$C7=$E7),TRUE)</formula>
    </cfRule>
    <cfRule type="expression" dxfId="1319" priority="24">
      <formula>IF($C7&gt;$E7,TRUE)</formula>
    </cfRule>
    <cfRule type="expression" dxfId="1318" priority="25">
      <formula>IF($C7&lt;$E7,TRUE)</formula>
    </cfRule>
  </conditionalFormatting>
  <conditionalFormatting sqref="G7:J16">
    <cfRule type="expression" dxfId="1317" priority="23">
      <formula>IF(AND(ISNUMBER($G7),$G7=$I7),TRUE)</formula>
    </cfRule>
    <cfRule type="expression" dxfId="1316" priority="28">
      <formula>IF($G7&gt;$I7,TRUE)</formula>
    </cfRule>
    <cfRule type="expression" dxfId="1315" priority="29">
      <formula>IF($G7&lt;$I7,TRUE)</formula>
    </cfRule>
  </conditionalFormatting>
  <conditionalFormatting sqref="K7:N16">
    <cfRule type="expression" dxfId="1314" priority="21">
      <formula>IF(AND(ISNUMBER($K7),$K7=$M7),TRUE)</formula>
    </cfRule>
    <cfRule type="expression" dxfId="1313" priority="32">
      <formula>IF($K7&gt;$M7,TRUE)</formula>
    </cfRule>
    <cfRule type="expression" dxfId="1312" priority="33">
      <formula>IF($K7&lt;$M7,TRUE)</formula>
    </cfRule>
  </conditionalFormatting>
  <conditionalFormatting sqref="O7:R16">
    <cfRule type="expression" dxfId="1311" priority="20">
      <formula>IF(AND(ISNUMBER($O7),$O7=$Q7),TRUE)</formula>
    </cfRule>
    <cfRule type="expression" dxfId="1310" priority="36">
      <formula>IF($O7&gt;$Q7,TRUE)</formula>
    </cfRule>
    <cfRule type="expression" dxfId="1309" priority="37">
      <formula>IF($O7&lt;$Q7,TRUE)</formula>
    </cfRule>
  </conditionalFormatting>
  <conditionalFormatting sqref="S7:V16">
    <cfRule type="expression" dxfId="1308" priority="19">
      <formula>IF(AND(ISNUMBER($S7),$S7=$U7),TRUE)</formula>
    </cfRule>
    <cfRule type="expression" dxfId="1307" priority="40">
      <formula>IF($S7&gt;$U7,TRUE)</formula>
    </cfRule>
    <cfRule type="expression" dxfId="1306" priority="41">
      <formula>IF($S7&lt;$U7,TRUE)</formula>
    </cfRule>
  </conditionalFormatting>
  <conditionalFormatting sqref="E7:E16 I7:I16 M7:M16 Q7:Q16 U7:U16">
    <cfRule type="expression" dxfId="1305" priority="13">
      <formula>AND(E7=0,C7=13)</formula>
    </cfRule>
  </conditionalFormatting>
  <conditionalFormatting sqref="A7:A16">
    <cfRule type="duplicateValues" dxfId="1304" priority="44"/>
  </conditionalFormatting>
  <conditionalFormatting sqref="AJ7:AJ16">
    <cfRule type="expression" dxfId="1303" priority="5">
      <formula>AND(AI7="",FIND(",",AJ7))</formula>
    </cfRule>
    <cfRule type="expression" dxfId="1302" priority="7">
      <formula>AND(AI7="",COUNTIF(AJ7,"*,*")=0)</formula>
    </cfRule>
  </conditionalFormatting>
  <conditionalFormatting sqref="AH7:AH16">
    <cfRule type="expression" dxfId="1301" priority="8">
      <formula>AND(AG7="",FIND(",",AH7))</formula>
    </cfRule>
    <cfRule type="expression" dxfId="1300" priority="9">
      <formula>AND(AG7="",COUNTIF(AH7,"*,*")=0)</formula>
    </cfRule>
  </conditionalFormatting>
  <conditionalFormatting sqref="AL7:AL16">
    <cfRule type="expression" dxfId="1299" priority="10">
      <formula>AND(AK7="",FIND(",",AL7))</formula>
    </cfRule>
    <cfRule type="expression" dxfId="1298" priority="11">
      <formula>AND(AK7="",COUNTIF(AL7,"*,*")=0)</formula>
    </cfRule>
  </conditionalFormatting>
  <conditionalFormatting sqref="AF7:AF16">
    <cfRule type="expression" dxfId="1297" priority="6">
      <formula>AND(AE7="",COUNTIF(AF7,"*,*")=0)</formula>
    </cfRule>
  </conditionalFormatting>
  <conditionalFormatting sqref="AN7:AN16">
    <cfRule type="expression" dxfId="1296" priority="2">
      <formula>AND(AM7="",COUNTIF(AN7,"*,*")=0)</formula>
    </cfRule>
    <cfRule type="expression" dxfId="1295" priority="4">
      <formula>AND(AM7="",FIND(",",AN7))</formula>
    </cfRule>
  </conditionalFormatting>
  <conditionalFormatting sqref="AP7:AP16">
    <cfRule type="expression" dxfId="1294" priority="1">
      <formula>AND(AO7="",COUNTIF(AP7,"*,*")=0)</formula>
    </cfRule>
    <cfRule type="expression" dxfId="1293" priority="3">
      <formula>AND(AO7="",FIND(",",AP7))</formula>
    </cfRule>
  </conditionalFormatting>
  <conditionalFormatting sqref="B300:B309">
    <cfRule type="expression" dxfId="1292" priority="1552">
      <formula>A300=3</formula>
    </cfRule>
    <cfRule type="expression" dxfId="1291" priority="1553">
      <formula>A300=2</formula>
    </cfRule>
    <cfRule type="expression" dxfId="1290" priority="1554">
      <formula>A300=1</formula>
    </cfRule>
    <cfRule type="containsBlanks" dxfId="1289" priority="1555">
      <formula>LEN(TRIM(B300))=0</formula>
    </cfRule>
    <cfRule type="duplicateValues" dxfId="1288" priority="1556"/>
  </conditionalFormatting>
  <pageMargins left="0.78740157480314965" right="0.39370078740157483" top="0.78740157480314965" bottom="0.39370078740157483" header="0.78740157480314965" footer="0"/>
  <pageSetup paperSize="9" scale="98" fitToHeight="0" orientation="landscape" verticalDpi="1200" r:id="rId1"/>
  <headerFooter>
    <oddHeader>&amp;R&amp;P. leht &amp;N&amp; -st</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P311"/>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9.285156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hidden="1" customWidth="1"/>
    <col min="16" max="16" width="1.140625" style="1" hidden="1" customWidth="1"/>
    <col min="17" max="17" width="2.7109375" style="1" hidden="1" customWidth="1"/>
    <col min="18" max="18" width="0" style="1" hidden="1" customWidth="1"/>
    <col min="19" max="19" width="2.7109375" style="1" hidden="1" customWidth="1"/>
    <col min="20" max="20" width="1.140625" style="1" hidden="1" customWidth="1"/>
    <col min="21" max="21" width="2.7109375" style="1" hidden="1" customWidth="1"/>
    <col min="22" max="22" width="0" style="1" hidden="1" customWidth="1"/>
    <col min="23" max="23" width="5.7109375" style="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27.28515625" style="1" hidden="1" customWidth="1"/>
    <col min="35" max="35" width="9.140625" style="1" hidden="1" customWidth="1"/>
    <col min="36" max="36" width="17.28515625" style="1" hidden="1" customWidth="1"/>
    <col min="37" max="37" width="9.140625" style="1" hidden="1" customWidth="1"/>
    <col min="38" max="38" width="15.710937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UPPER((Kalend!E19)&amp;" - "&amp;(Kalend!C19))&amp;" - "&amp;LOWER(Kalend!D19)&amp;" - "&amp;(Kalend!A19)&amp;" kell "&amp;(Kalend!B19)&amp;" - "&amp;(Kalend!F19)</f>
        <v>EW - EESTI WABARIIK 105 - duo - R, 24.02.2023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A2" s="689"/>
      <c r="F2" s="158"/>
      <c r="L2" s="693"/>
      <c r="M2" s="693"/>
      <c r="N2" s="693"/>
      <c r="O2" s="694"/>
      <c r="P2" s="694"/>
      <c r="Q2" s="694"/>
      <c r="R2" s="690" t="s">
        <v>236</v>
      </c>
      <c r="S2" s="694"/>
      <c r="T2" s="693"/>
      <c r="U2" s="693"/>
      <c r="V2" s="693"/>
      <c r="W2" s="691">
        <v>1</v>
      </c>
      <c r="X2" s="692" t="s">
        <v>237</v>
      </c>
      <c r="Y2" s="694"/>
      <c r="Z2" s="694"/>
      <c r="AA2" s="694"/>
      <c r="AB2" s="694"/>
      <c r="AE2" s="158"/>
      <c r="AG2" s="158"/>
      <c r="AH2" s="158"/>
      <c r="AI2" s="158"/>
      <c r="AJ2" s="158"/>
      <c r="AK2" s="158"/>
      <c r="AL2" s="158"/>
      <c r="AM2" s="158"/>
      <c r="AN2" s="158"/>
    </row>
    <row r="3" spans="1:42" x14ac:dyDescent="0.2">
      <c r="A3" s="689"/>
      <c r="F3" s="158"/>
      <c r="L3" s="694"/>
      <c r="M3" s="694"/>
      <c r="N3" s="694"/>
      <c r="O3" s="694"/>
      <c r="P3" s="694"/>
      <c r="Q3" s="694"/>
      <c r="R3" s="695" t="s">
        <v>238</v>
      </c>
      <c r="S3" s="694"/>
      <c r="T3" s="694"/>
      <c r="U3" s="694"/>
      <c r="V3" s="694"/>
      <c r="W3" s="691">
        <v>0.5</v>
      </c>
      <c r="X3" s="692" t="s">
        <v>237</v>
      </c>
      <c r="Y3" s="694"/>
      <c r="Z3" s="694"/>
      <c r="AA3" s="694"/>
      <c r="AB3" s="694"/>
      <c r="AE3" s="236"/>
      <c r="AF3" s="236"/>
      <c r="AG3" s="236"/>
      <c r="AH3" s="227"/>
      <c r="AI3" s="236"/>
      <c r="AJ3" s="236"/>
      <c r="AK3" s="236"/>
      <c r="AL3" s="236"/>
      <c r="AM3" s="236"/>
      <c r="AN3" s="236"/>
      <c r="AO3" s="236"/>
      <c r="AP3" s="236"/>
    </row>
    <row r="4" spans="1:42" x14ac:dyDescent="0.2">
      <c r="F4" s="158"/>
      <c r="L4" s="694"/>
      <c r="M4" s="694"/>
      <c r="N4" s="694"/>
      <c r="O4" s="694"/>
      <c r="P4" s="694"/>
      <c r="Q4" s="694"/>
      <c r="R4" s="696" t="s">
        <v>239</v>
      </c>
      <c r="S4" s="694"/>
      <c r="T4" s="694"/>
      <c r="U4" s="694"/>
      <c r="V4" s="694"/>
      <c r="W4" s="691">
        <v>0</v>
      </c>
      <c r="X4" s="692" t="s">
        <v>237</v>
      </c>
      <c r="Y4" s="694"/>
      <c r="Z4" s="694"/>
      <c r="AA4" s="694"/>
      <c r="AB4" s="694"/>
    </row>
    <row r="5" spans="1:42" x14ac:dyDescent="0.2">
      <c r="F5" s="158"/>
      <c r="L5" s="158"/>
      <c r="M5" s="158"/>
      <c r="N5" s="158"/>
      <c r="O5" s="158"/>
      <c r="P5" s="158"/>
      <c r="Q5" s="158"/>
      <c r="R5" s="158"/>
      <c r="S5" s="158"/>
      <c r="T5" s="158"/>
      <c r="U5" s="158"/>
      <c r="W5" s="158"/>
      <c r="X5" s="158"/>
      <c r="Y5" s="158"/>
      <c r="Z5" s="158"/>
      <c r="AA5" s="158"/>
      <c r="AB5" s="416" t="s">
        <v>313</v>
      </c>
      <c r="AD5" s="413" t="s">
        <v>216</v>
      </c>
    </row>
    <row r="6" spans="1:42" x14ac:dyDescent="0.2">
      <c r="A6" s="697" t="s">
        <v>10</v>
      </c>
      <c r="B6" s="697" t="s">
        <v>58</v>
      </c>
      <c r="C6" s="698" t="s">
        <v>173</v>
      </c>
      <c r="D6" s="699"/>
      <c r="E6" s="699"/>
      <c r="F6" s="700"/>
      <c r="G6" s="698" t="s">
        <v>176</v>
      </c>
      <c r="H6" s="699"/>
      <c r="I6" s="699"/>
      <c r="J6" s="700"/>
      <c r="K6" s="698" t="s">
        <v>179</v>
      </c>
      <c r="L6" s="699"/>
      <c r="M6" s="699"/>
      <c r="N6" s="700"/>
      <c r="O6" s="698" t="s">
        <v>182</v>
      </c>
      <c r="P6" s="699"/>
      <c r="Q6" s="699"/>
      <c r="R6" s="700"/>
      <c r="S6" s="698" t="s">
        <v>184</v>
      </c>
      <c r="T6" s="699"/>
      <c r="U6" s="699"/>
      <c r="V6" s="700"/>
      <c r="W6" s="697" t="s">
        <v>81</v>
      </c>
      <c r="X6" s="701" t="s">
        <v>300</v>
      </c>
      <c r="Y6" s="702" t="s">
        <v>360</v>
      </c>
      <c r="Z6" s="701"/>
      <c r="AA6" s="703" t="s">
        <v>301</v>
      </c>
      <c r="AB6" s="704"/>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681">
        <v>1</v>
      </c>
      <c r="B7" s="682" t="s">
        <v>362</v>
      </c>
      <c r="C7" s="392">
        <v>13</v>
      </c>
      <c r="D7" s="685" t="s">
        <v>302</v>
      </c>
      <c r="E7" s="685">
        <v>1</v>
      </c>
      <c r="F7" s="686" t="s">
        <v>354</v>
      </c>
      <c r="G7" s="392">
        <v>13</v>
      </c>
      <c r="H7" s="685" t="s">
        <v>302</v>
      </c>
      <c r="I7" s="685">
        <v>11</v>
      </c>
      <c r="J7" s="686" t="s">
        <v>353</v>
      </c>
      <c r="K7" s="392">
        <v>13</v>
      </c>
      <c r="L7" s="685" t="s">
        <v>302</v>
      </c>
      <c r="M7" s="685">
        <v>4</v>
      </c>
      <c r="N7" s="686" t="s">
        <v>393</v>
      </c>
      <c r="O7" s="392"/>
      <c r="P7" s="685"/>
      <c r="Q7" s="685"/>
      <c r="R7" s="686"/>
      <c r="S7" s="392"/>
      <c r="T7" s="685" t="s">
        <v>302</v>
      </c>
      <c r="U7" s="685"/>
      <c r="V7" s="686"/>
      <c r="W7" s="706">
        <f t="shared" ref="W7:W18" si="0">IF(C7&gt;E7,W$2,IF(C7&lt;E7,W$4,IF(ISNUMBER(C7),W$3,0)))+IF(G7&gt;I7,W$2,IF(G7&lt;I7,W$4,IF(ISNUMBER(G7),W$3,0)))+IF(K7&gt;M7,W$2,IF(K7&lt;M7,W$4,IF(ISNUMBER(K7),W$3,0)))+IF(O7&gt;Q7,W$2,IF(O7&lt;Q7,W$4,IF(ISNUMBER(O7),W$3,0)))+IF(S7&gt;U7,W$2,IF(S7&lt;U7,W$4,IF(ISNUMBER(S7),W$3,0)))</f>
        <v>3</v>
      </c>
      <c r="X7" s="707">
        <v>8</v>
      </c>
      <c r="Y7" s="707">
        <v>34</v>
      </c>
      <c r="Z7" s="683">
        <f t="shared" ref="Z7" si="1">C7+G7+K7+O7+S7</f>
        <v>39</v>
      </c>
      <c r="AA7" s="684" t="s">
        <v>302</v>
      </c>
      <c r="AB7" s="708">
        <f t="shared" ref="AB7" si="2">E7+I7+M7+Q7+U7</f>
        <v>16</v>
      </c>
      <c r="AC7" s="399">
        <f t="shared" ref="AC7" si="3">Z7-AB7</f>
        <v>23</v>
      </c>
      <c r="AD7" s="233">
        <f t="shared" ref="AD7:AD10" si="4">SUM(AE7:AL7)</f>
        <v>232</v>
      </c>
      <c r="AE7" s="234">
        <f>IFERROR(INDEX(V!$R:$R,MATCH(AF7,V!$L:$L,0)),"")</f>
        <v>160</v>
      </c>
      <c r="AF7" s="235" t="str">
        <f t="shared" ref="AF7:AF18" si="5">IFERROR(LEFT($B7,(FIND(",",$B7,1)-1)),"")</f>
        <v>Kenneth Muusikus</v>
      </c>
      <c r="AG7" s="234">
        <f>IFERROR(INDEX(V!$R:$R,MATCH(AH7,V!$L:$L,0)),"")</f>
        <v>72</v>
      </c>
      <c r="AH7" s="235" t="str">
        <f t="shared" ref="AH7:AH18" si="6">IFERROR(MID($B7,FIND(", ",$B7)+2,256),"")</f>
        <v>Urmas Jõeäär</v>
      </c>
      <c r="AI7" s="234" t="str">
        <f>IFERROR(INDEX(V!$R:$R,MATCH(AJ7,V!$L:$L,0)),"")</f>
        <v/>
      </c>
      <c r="AJ7" s="235" t="str">
        <f t="shared" ref="AJ7:AJ18" si="7">IFERROR(MID($B7,FIND("^",SUBSTITUTE($B7,", ","^",1))+2,FIND("^",SUBSTITUTE($B7,", ","^",2))-FIND("^",SUBSTITUTE($B7,", ","^",1))-2),"")</f>
        <v/>
      </c>
      <c r="AK7" s="234" t="str">
        <f>IFERROR(INDEX(V!$R:$R,MATCH(AL7,V!$L:$L,0)),"")</f>
        <v/>
      </c>
      <c r="AL7" s="235" t="str">
        <f t="shared" ref="AL7:AL18" si="8">IFERROR(MID($B7,FIND(", ",$B7,FIND(", ",$B7,FIND(", ",$B7))+1)+2,30000),"")</f>
        <v/>
      </c>
      <c r="AM7" s="234" t="str">
        <f>IFERROR(INDEX(V!$R:$R,MATCH(AN7,V!$L:$L,0)),"")</f>
        <v/>
      </c>
      <c r="AN7" s="235" t="str">
        <f t="shared" ref="AN7:AN18" si="9">IFERROR(MID($B7,FIND(", ",$B7,FIND(", ",$B7)+1)+2,FIND(", ",$B7,FIND(", ",$B7,FIND(", ",$B7)+1)+1)-FIND(", ",$B7,FIND(", ",$B7)+1)-2),"")</f>
        <v/>
      </c>
      <c r="AO7" s="234" t="str">
        <f>IFERROR(INDEX(V!$R:$R,MATCH(AP7,V!$L:$L,0)),"")</f>
        <v/>
      </c>
      <c r="AP7" s="235" t="str">
        <f t="shared" ref="AP7:AP18" si="10">IFERROR(MID($B7,FIND(", ",$B7,FIND(", ",$B7,FIND(", ",$B7)+1)+1)+2,30000),"")</f>
        <v/>
      </c>
    </row>
    <row r="8" spans="1:42" x14ac:dyDescent="0.2">
      <c r="A8" s="681">
        <v>2</v>
      </c>
      <c r="B8" s="682" t="s">
        <v>393</v>
      </c>
      <c r="C8" s="392">
        <v>13</v>
      </c>
      <c r="D8" s="685" t="s">
        <v>302</v>
      </c>
      <c r="E8" s="685">
        <v>7</v>
      </c>
      <c r="F8" s="686" t="s">
        <v>254</v>
      </c>
      <c r="G8" s="392">
        <v>13</v>
      </c>
      <c r="H8" s="685" t="s">
        <v>302</v>
      </c>
      <c r="I8" s="685">
        <v>1</v>
      </c>
      <c r="J8" s="686" t="s">
        <v>428</v>
      </c>
      <c r="K8" s="392">
        <v>4</v>
      </c>
      <c r="L8" s="685" t="s">
        <v>302</v>
      </c>
      <c r="M8" s="685">
        <v>13</v>
      </c>
      <c r="N8" s="686" t="s">
        <v>362</v>
      </c>
      <c r="O8" s="392"/>
      <c r="P8" s="685"/>
      <c r="Q8" s="685"/>
      <c r="R8" s="686"/>
      <c r="S8" s="392"/>
      <c r="T8" s="685" t="s">
        <v>302</v>
      </c>
      <c r="U8" s="685"/>
      <c r="V8" s="686"/>
      <c r="W8" s="706">
        <f t="shared" si="0"/>
        <v>2</v>
      </c>
      <c r="X8" s="707">
        <v>12</v>
      </c>
      <c r="Y8" s="707">
        <v>26</v>
      </c>
      <c r="Z8" s="683">
        <f t="shared" ref="Z8:Z18" si="11">C8+G8+K8+O8+S8</f>
        <v>30</v>
      </c>
      <c r="AA8" s="684" t="s">
        <v>302</v>
      </c>
      <c r="AB8" s="708">
        <f t="shared" ref="AB8:AB18" si="12">E8+I8+M8+Q8+U8</f>
        <v>21</v>
      </c>
      <c r="AC8" s="399">
        <f t="shared" ref="AC8:AC18" si="13">Z8-AB8</f>
        <v>9</v>
      </c>
      <c r="AD8" s="233">
        <f t="shared" si="4"/>
        <v>290</v>
      </c>
      <c r="AE8" s="234">
        <f>IFERROR(INDEX(V!$R:$R,MATCH(AF8,V!$L:$L,0)),"")</f>
        <v>160</v>
      </c>
      <c r="AF8" s="235" t="str">
        <f t="shared" si="5"/>
        <v>Olav Türk</v>
      </c>
      <c r="AG8" s="234">
        <f>IFERROR(INDEX(V!$R:$R,MATCH(AH8,V!$L:$L,0)),"")</f>
        <v>130</v>
      </c>
      <c r="AH8" s="235" t="str">
        <f t="shared" si="6"/>
        <v>Sirje Maala</v>
      </c>
      <c r="AI8" s="234" t="str">
        <f>IFERROR(INDEX(V!$R:$R,MATCH(AJ8,V!$L:$L,0)),"")</f>
        <v/>
      </c>
      <c r="AJ8" s="235" t="str">
        <f t="shared" si="7"/>
        <v/>
      </c>
      <c r="AK8" s="234" t="str">
        <f>IFERROR(INDEX(V!$R:$R,MATCH(AL8,V!$L:$L,0)),"")</f>
        <v/>
      </c>
      <c r="AL8" s="235" t="str">
        <f t="shared" si="8"/>
        <v/>
      </c>
      <c r="AM8" s="234" t="str">
        <f>IFERROR(INDEX(V!$R:$R,MATCH(AN8,V!$L:$L,0)),"")</f>
        <v/>
      </c>
      <c r="AN8" s="235" t="str">
        <f t="shared" si="9"/>
        <v/>
      </c>
      <c r="AO8" s="234" t="str">
        <f>IFERROR(INDEX(V!$R:$R,MATCH(AP8,V!$L:$L,0)),"")</f>
        <v/>
      </c>
      <c r="AP8" s="235" t="str">
        <f t="shared" si="10"/>
        <v/>
      </c>
    </row>
    <row r="9" spans="1:42" x14ac:dyDescent="0.2">
      <c r="A9" s="681">
        <v>3</v>
      </c>
      <c r="B9" s="687" t="s">
        <v>353</v>
      </c>
      <c r="C9" s="392">
        <v>13</v>
      </c>
      <c r="D9" s="685" t="s">
        <v>302</v>
      </c>
      <c r="E9" s="685">
        <v>5</v>
      </c>
      <c r="F9" s="686" t="s">
        <v>429</v>
      </c>
      <c r="G9" s="392">
        <v>11</v>
      </c>
      <c r="H9" s="685" t="s">
        <v>302</v>
      </c>
      <c r="I9" s="685">
        <v>13</v>
      </c>
      <c r="J9" s="686" t="s">
        <v>362</v>
      </c>
      <c r="K9" s="392">
        <v>13</v>
      </c>
      <c r="L9" s="685" t="s">
        <v>302</v>
      </c>
      <c r="M9" s="685">
        <v>4</v>
      </c>
      <c r="N9" s="686" t="s">
        <v>259</v>
      </c>
      <c r="O9" s="392"/>
      <c r="P9" s="685"/>
      <c r="Q9" s="685"/>
      <c r="R9" s="686"/>
      <c r="S9" s="392"/>
      <c r="T9" s="685" t="s">
        <v>302</v>
      </c>
      <c r="U9" s="685"/>
      <c r="V9" s="686"/>
      <c r="W9" s="706">
        <f t="shared" si="0"/>
        <v>2</v>
      </c>
      <c r="X9" s="707">
        <v>12</v>
      </c>
      <c r="Y9" s="707">
        <v>22</v>
      </c>
      <c r="Z9" s="683">
        <f t="shared" si="11"/>
        <v>37</v>
      </c>
      <c r="AA9" s="684" t="s">
        <v>302</v>
      </c>
      <c r="AB9" s="708">
        <f t="shared" si="12"/>
        <v>22</v>
      </c>
      <c r="AC9" s="399">
        <f t="shared" si="13"/>
        <v>15</v>
      </c>
      <c r="AD9" s="233">
        <f t="shared" si="4"/>
        <v>186</v>
      </c>
      <c r="AE9" s="234">
        <f>IFERROR(INDEX(V!$R:$R,MATCH(AF9,V!$L:$L,0)),"")</f>
        <v>102</v>
      </c>
      <c r="AF9" s="235" t="str">
        <f t="shared" si="5"/>
        <v>Hillar Neiland</v>
      </c>
      <c r="AG9" s="234">
        <f>IFERROR(INDEX(V!$R:$R,MATCH(AH9,V!$L:$L,0)),"")</f>
        <v>84</v>
      </c>
      <c r="AH9" s="235" t="str">
        <f t="shared" si="6"/>
        <v>Kaspar Mänd</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681">
        <v>4</v>
      </c>
      <c r="B10" s="687" t="s">
        <v>428</v>
      </c>
      <c r="C10" s="392">
        <v>13</v>
      </c>
      <c r="D10" s="685" t="s">
        <v>302</v>
      </c>
      <c r="E10" s="685">
        <v>7</v>
      </c>
      <c r="F10" s="686" t="s">
        <v>422</v>
      </c>
      <c r="G10" s="392">
        <v>1</v>
      </c>
      <c r="H10" s="685" t="s">
        <v>302</v>
      </c>
      <c r="I10" s="685">
        <v>13</v>
      </c>
      <c r="J10" s="686" t="s">
        <v>393</v>
      </c>
      <c r="K10" s="392">
        <v>13</v>
      </c>
      <c r="L10" s="685" t="s">
        <v>302</v>
      </c>
      <c r="M10" s="685">
        <v>2</v>
      </c>
      <c r="N10" s="686" t="s">
        <v>355</v>
      </c>
      <c r="O10" s="392"/>
      <c r="P10" s="685"/>
      <c r="Q10" s="685"/>
      <c r="R10" s="686"/>
      <c r="S10" s="392"/>
      <c r="T10" s="685" t="s">
        <v>302</v>
      </c>
      <c r="U10" s="685"/>
      <c r="V10" s="686"/>
      <c r="W10" s="706">
        <f t="shared" si="0"/>
        <v>2</v>
      </c>
      <c r="X10" s="707">
        <v>10</v>
      </c>
      <c r="Y10" s="707">
        <v>30</v>
      </c>
      <c r="Z10" s="683">
        <f t="shared" si="11"/>
        <v>27</v>
      </c>
      <c r="AA10" s="684" t="s">
        <v>302</v>
      </c>
      <c r="AB10" s="708">
        <f t="shared" si="12"/>
        <v>22</v>
      </c>
      <c r="AC10" s="399">
        <f t="shared" si="13"/>
        <v>5</v>
      </c>
      <c r="AD10" s="233">
        <f t="shared" si="4"/>
        <v>148</v>
      </c>
      <c r="AE10" s="234">
        <f>IFERROR(INDEX(V!$R:$R,MATCH(AF10,V!$L:$L,0)),"")</f>
        <v>6</v>
      </c>
      <c r="AF10" s="235" t="str">
        <f t="shared" si="5"/>
        <v>Jaan Sepp</v>
      </c>
      <c r="AG10" s="234">
        <f>IFERROR(INDEX(V!$R:$R,MATCH(AH10,V!$L:$L,0)),"")</f>
        <v>142</v>
      </c>
      <c r="AH10" s="235" t="str">
        <f t="shared" si="6"/>
        <v>Sander Rose</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681">
        <v>5</v>
      </c>
      <c r="B11" s="682" t="s">
        <v>259</v>
      </c>
      <c r="C11" s="392">
        <v>13</v>
      </c>
      <c r="D11" s="685" t="s">
        <v>302</v>
      </c>
      <c r="E11" s="685">
        <v>8</v>
      </c>
      <c r="F11" s="686" t="s">
        <v>424</v>
      </c>
      <c r="G11" s="392">
        <v>13</v>
      </c>
      <c r="H11" s="685" t="s">
        <v>302</v>
      </c>
      <c r="I11" s="685">
        <v>11</v>
      </c>
      <c r="J11" s="686" t="s">
        <v>355</v>
      </c>
      <c r="K11" s="392">
        <v>4</v>
      </c>
      <c r="L11" s="685" t="s">
        <v>302</v>
      </c>
      <c r="M11" s="685">
        <v>13</v>
      </c>
      <c r="N11" s="686" t="s">
        <v>353</v>
      </c>
      <c r="O11" s="392"/>
      <c r="P11" s="685"/>
      <c r="Q11" s="685"/>
      <c r="R11" s="686"/>
      <c r="S11" s="392"/>
      <c r="T11" s="685" t="s">
        <v>302</v>
      </c>
      <c r="U11" s="685"/>
      <c r="V11" s="686"/>
      <c r="W11" s="706">
        <f t="shared" si="0"/>
        <v>2</v>
      </c>
      <c r="X11" s="707">
        <v>8</v>
      </c>
      <c r="Y11" s="707">
        <v>30</v>
      </c>
      <c r="Z11" s="683">
        <f t="shared" si="11"/>
        <v>30</v>
      </c>
      <c r="AA11" s="684" t="s">
        <v>302</v>
      </c>
      <c r="AB11" s="708">
        <f t="shared" si="12"/>
        <v>32</v>
      </c>
      <c r="AC11" s="399">
        <f t="shared" si="13"/>
        <v>-2</v>
      </c>
      <c r="AD11" s="233">
        <f t="shared" ref="AD11:AD18" si="14">SUM(AE11:AL11)</f>
        <v>96</v>
      </c>
      <c r="AE11" s="234">
        <f>IFERROR(INDEX(V!$R:$R,MATCH(AF11,V!$L:$L,0)),"")</f>
        <v>48</v>
      </c>
      <c r="AF11" s="235" t="str">
        <f t="shared" si="5"/>
        <v>Ljudmila Varendi</v>
      </c>
      <c r="AG11" s="234">
        <f>IFERROR(INDEX(V!$R:$R,MATCH(AH11,V!$L:$L,0)),"")</f>
        <v>48</v>
      </c>
      <c r="AH11" s="235" t="str">
        <f t="shared" si="6"/>
        <v>Viktor Švarõgin</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681">
        <v>6</v>
      </c>
      <c r="B12" s="687" t="s">
        <v>422</v>
      </c>
      <c r="C12" s="392">
        <v>7</v>
      </c>
      <c r="D12" s="685" t="s">
        <v>302</v>
      </c>
      <c r="E12" s="685">
        <v>13</v>
      </c>
      <c r="F12" s="686" t="s">
        <v>428</v>
      </c>
      <c r="G12" s="392">
        <v>13</v>
      </c>
      <c r="H12" s="685" t="s">
        <v>302</v>
      </c>
      <c r="I12" s="685">
        <v>1</v>
      </c>
      <c r="J12" s="686" t="s">
        <v>254</v>
      </c>
      <c r="K12" s="392">
        <v>13</v>
      </c>
      <c r="L12" s="685" t="s">
        <v>302</v>
      </c>
      <c r="M12" s="685">
        <v>4</v>
      </c>
      <c r="N12" s="686" t="s">
        <v>388</v>
      </c>
      <c r="O12" s="392"/>
      <c r="P12" s="685"/>
      <c r="Q12" s="685"/>
      <c r="R12" s="686"/>
      <c r="S12" s="392"/>
      <c r="T12" s="685" t="s">
        <v>302</v>
      </c>
      <c r="U12" s="685"/>
      <c r="V12" s="686"/>
      <c r="W12" s="706">
        <f t="shared" si="0"/>
        <v>2</v>
      </c>
      <c r="X12" s="707">
        <v>8</v>
      </c>
      <c r="Y12" s="707">
        <v>26</v>
      </c>
      <c r="Z12" s="683">
        <f t="shared" si="11"/>
        <v>33</v>
      </c>
      <c r="AA12" s="684" t="s">
        <v>302</v>
      </c>
      <c r="AB12" s="708">
        <f t="shared" si="12"/>
        <v>18</v>
      </c>
      <c r="AC12" s="399">
        <f t="shared" si="13"/>
        <v>15</v>
      </c>
      <c r="AD12" s="233">
        <f t="shared" si="14"/>
        <v>150</v>
      </c>
      <c r="AE12" s="234">
        <f>IFERROR(INDEX(V!$R:$R,MATCH(AF12,V!$L:$L,0)),"")</f>
        <v>84</v>
      </c>
      <c r="AF12" s="235" t="str">
        <f t="shared" si="5"/>
        <v>Jaan Saar</v>
      </c>
      <c r="AG12" s="234">
        <f>IFERROR(INDEX(V!$R:$R,MATCH(AH12,V!$L:$L,0)),"")</f>
        <v>66</v>
      </c>
      <c r="AH12" s="235" t="str">
        <f t="shared" si="6"/>
        <v>Peep Peenema</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681">
        <v>7</v>
      </c>
      <c r="B13" s="688" t="s">
        <v>355</v>
      </c>
      <c r="C13" s="392">
        <v>13</v>
      </c>
      <c r="D13" s="685" t="s">
        <v>302</v>
      </c>
      <c r="E13" s="685">
        <v>10</v>
      </c>
      <c r="F13" s="686" t="s">
        <v>388</v>
      </c>
      <c r="G13" s="392">
        <v>11</v>
      </c>
      <c r="H13" s="685" t="s">
        <v>302</v>
      </c>
      <c r="I13" s="685">
        <v>13</v>
      </c>
      <c r="J13" s="686" t="s">
        <v>259</v>
      </c>
      <c r="K13" s="392">
        <v>2</v>
      </c>
      <c r="L13" s="685" t="s">
        <v>302</v>
      </c>
      <c r="M13" s="685">
        <v>13</v>
      </c>
      <c r="N13" s="686" t="s">
        <v>428</v>
      </c>
      <c r="O13" s="392"/>
      <c r="P13" s="685"/>
      <c r="Q13" s="685"/>
      <c r="R13" s="686"/>
      <c r="S13" s="392"/>
      <c r="T13" s="685" t="s">
        <v>302</v>
      </c>
      <c r="U13" s="685"/>
      <c r="V13" s="686"/>
      <c r="W13" s="706">
        <f t="shared" si="0"/>
        <v>1</v>
      </c>
      <c r="X13" s="707">
        <v>10</v>
      </c>
      <c r="Y13" s="707">
        <v>26</v>
      </c>
      <c r="Z13" s="683">
        <f t="shared" si="11"/>
        <v>26</v>
      </c>
      <c r="AA13" s="684" t="s">
        <v>302</v>
      </c>
      <c r="AB13" s="708">
        <f t="shared" si="12"/>
        <v>36</v>
      </c>
      <c r="AC13" s="399">
        <f t="shared" si="13"/>
        <v>-10</v>
      </c>
      <c r="AD13" s="233">
        <f>SUM(AE19:AL19)</f>
        <v>0</v>
      </c>
      <c r="AE13" s="234">
        <f>IFERROR(INDEX(V!$R:$R,MATCH(AF13,V!$L:$L,0)),"")</f>
        <v>76</v>
      </c>
      <c r="AF13" s="235" t="str">
        <f t="shared" si="5"/>
        <v>Boriss Klubov</v>
      </c>
      <c r="AG13" s="234">
        <f>IFERROR(INDEX(V!$R:$R,MATCH(AH13,V!$L:$L,0)),"")</f>
        <v>76</v>
      </c>
      <c r="AH13" s="235" t="str">
        <f t="shared" si="6"/>
        <v>Elmo Lageda</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681">
        <v>8</v>
      </c>
      <c r="B14" s="688" t="s">
        <v>254</v>
      </c>
      <c r="C14" s="392">
        <v>7</v>
      </c>
      <c r="D14" s="685" t="s">
        <v>302</v>
      </c>
      <c r="E14" s="685">
        <v>13</v>
      </c>
      <c r="F14" s="686" t="s">
        <v>393</v>
      </c>
      <c r="G14" s="392">
        <v>1</v>
      </c>
      <c r="H14" s="685" t="s">
        <v>302</v>
      </c>
      <c r="I14" s="685">
        <v>13</v>
      </c>
      <c r="J14" s="686" t="s">
        <v>422</v>
      </c>
      <c r="K14" s="392">
        <v>13</v>
      </c>
      <c r="L14" s="685" t="s">
        <v>302</v>
      </c>
      <c r="M14" s="685">
        <v>1</v>
      </c>
      <c r="N14" s="686" t="s">
        <v>354</v>
      </c>
      <c r="O14" s="392"/>
      <c r="P14" s="685"/>
      <c r="Q14" s="685"/>
      <c r="R14" s="686"/>
      <c r="S14" s="392"/>
      <c r="T14" s="685" t="s">
        <v>302</v>
      </c>
      <c r="U14" s="685"/>
      <c r="V14" s="686"/>
      <c r="W14" s="706">
        <f t="shared" si="0"/>
        <v>1</v>
      </c>
      <c r="X14" s="707">
        <v>8</v>
      </c>
      <c r="Y14" s="707">
        <v>30</v>
      </c>
      <c r="Z14" s="683">
        <f t="shared" si="11"/>
        <v>21</v>
      </c>
      <c r="AA14" s="684" t="s">
        <v>302</v>
      </c>
      <c r="AB14" s="708">
        <f t="shared" si="12"/>
        <v>27</v>
      </c>
      <c r="AC14" s="399">
        <f t="shared" si="13"/>
        <v>-6</v>
      </c>
      <c r="AD14" s="233">
        <f t="shared" si="14"/>
        <v>124</v>
      </c>
      <c r="AE14" s="234">
        <f>IFERROR(INDEX(V!$R:$R,MATCH(AF14,V!$L:$L,0)),"")</f>
        <v>64</v>
      </c>
      <c r="AF14" s="235" t="str">
        <f t="shared" si="5"/>
        <v>Andres Veski</v>
      </c>
      <c r="AG14" s="234">
        <f>IFERROR(INDEX(V!$R:$R,MATCH(AH14,V!$L:$L,0)),"")</f>
        <v>60</v>
      </c>
      <c r="AH14" s="235" t="str">
        <f t="shared" si="6"/>
        <v>Svetlana Veski</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681">
        <v>9</v>
      </c>
      <c r="B15" s="688" t="s">
        <v>388</v>
      </c>
      <c r="C15" s="392">
        <v>10</v>
      </c>
      <c r="D15" s="685" t="s">
        <v>302</v>
      </c>
      <c r="E15" s="685">
        <v>13</v>
      </c>
      <c r="F15" s="686" t="s">
        <v>355</v>
      </c>
      <c r="G15" s="392">
        <v>13</v>
      </c>
      <c r="H15" s="685" t="s">
        <v>302</v>
      </c>
      <c r="I15" s="685">
        <v>9</v>
      </c>
      <c r="J15" s="686" t="s">
        <v>424</v>
      </c>
      <c r="K15" s="392">
        <v>4</v>
      </c>
      <c r="L15" s="685" t="s">
        <v>302</v>
      </c>
      <c r="M15" s="685">
        <v>13</v>
      </c>
      <c r="N15" s="686" t="s">
        <v>422</v>
      </c>
      <c r="O15" s="392"/>
      <c r="P15" s="685"/>
      <c r="Q15" s="685"/>
      <c r="R15" s="686"/>
      <c r="S15" s="392"/>
      <c r="T15" s="685" t="s">
        <v>302</v>
      </c>
      <c r="U15" s="685"/>
      <c r="V15" s="686"/>
      <c r="W15" s="706">
        <f t="shared" si="0"/>
        <v>1</v>
      </c>
      <c r="X15" s="707">
        <v>8</v>
      </c>
      <c r="Y15" s="707">
        <v>26</v>
      </c>
      <c r="Z15" s="683">
        <f t="shared" si="11"/>
        <v>27</v>
      </c>
      <c r="AA15" s="684" t="s">
        <v>302</v>
      </c>
      <c r="AB15" s="708">
        <f t="shared" si="12"/>
        <v>35</v>
      </c>
      <c r="AC15" s="399">
        <f t="shared" si="13"/>
        <v>-8</v>
      </c>
      <c r="AD15" s="233">
        <f t="shared" si="14"/>
        <v>124</v>
      </c>
      <c r="AE15" s="234">
        <f>IFERROR(INDEX(V!$R:$R,MATCH(AF15,V!$L:$L,0)),"")</f>
        <v>58</v>
      </c>
      <c r="AF15" s="235" t="str">
        <f t="shared" si="5"/>
        <v>Kristel Tihhonjuk</v>
      </c>
      <c r="AG15" s="234">
        <f>IFERROR(INDEX(V!$R:$R,MATCH(AH15,V!$L:$L,0)),"")</f>
        <v>66</v>
      </c>
      <c r="AH15" s="235" t="str">
        <f t="shared" si="6"/>
        <v>Vadim Tihhonjuk</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681">
        <v>10</v>
      </c>
      <c r="B16" s="688" t="s">
        <v>424</v>
      </c>
      <c r="C16" s="392">
        <v>8</v>
      </c>
      <c r="D16" s="685" t="s">
        <v>302</v>
      </c>
      <c r="E16" s="685">
        <v>13</v>
      </c>
      <c r="F16" s="686" t="s">
        <v>259</v>
      </c>
      <c r="G16" s="392">
        <v>9</v>
      </c>
      <c r="H16" s="685" t="s">
        <v>302</v>
      </c>
      <c r="I16" s="685">
        <v>13</v>
      </c>
      <c r="J16" s="686" t="s">
        <v>388</v>
      </c>
      <c r="K16" s="392">
        <v>13</v>
      </c>
      <c r="L16" s="685" t="s">
        <v>302</v>
      </c>
      <c r="M16" s="685">
        <v>6</v>
      </c>
      <c r="N16" s="686" t="s">
        <v>429</v>
      </c>
      <c r="O16" s="392"/>
      <c r="P16" s="685"/>
      <c r="Q16" s="685"/>
      <c r="R16" s="686"/>
      <c r="S16" s="392"/>
      <c r="T16" s="685" t="s">
        <v>302</v>
      </c>
      <c r="U16" s="685"/>
      <c r="V16" s="686"/>
      <c r="W16" s="706">
        <f t="shared" si="0"/>
        <v>1</v>
      </c>
      <c r="X16" s="707">
        <v>8</v>
      </c>
      <c r="Y16" s="707">
        <v>22</v>
      </c>
      <c r="Z16" s="683">
        <f t="shared" si="11"/>
        <v>30</v>
      </c>
      <c r="AA16" s="684" t="s">
        <v>302</v>
      </c>
      <c r="AB16" s="708">
        <f t="shared" si="12"/>
        <v>32</v>
      </c>
      <c r="AC16" s="399">
        <f t="shared" si="13"/>
        <v>-2</v>
      </c>
      <c r="AD16" s="233">
        <f t="shared" si="14"/>
        <v>170</v>
      </c>
      <c r="AE16" s="234">
        <f>IFERROR(INDEX(V!$R:$R,MATCH(AF16,V!$L:$L,0)),"")</f>
        <v>94</v>
      </c>
      <c r="AF16" s="235" t="str">
        <f t="shared" si="5"/>
        <v>Enn Tokman</v>
      </c>
      <c r="AG16" s="234" t="str">
        <f>IFERROR(INDEX(V!$R:$R,MATCH(AH16,V!$L:$L,0)),"")</f>
        <v/>
      </c>
      <c r="AH16" s="235" t="str">
        <f t="shared" si="6"/>
        <v>Illar Tõnurist, Johannes Neiland</v>
      </c>
      <c r="AI16" s="234">
        <f>IFERROR(INDEX(V!$R:$R,MATCH(AJ16,V!$L:$L,0)),"")</f>
        <v>50</v>
      </c>
      <c r="AJ16" s="235" t="str">
        <f t="shared" si="7"/>
        <v>Illar Tõnurist</v>
      </c>
      <c r="AK16" s="234">
        <f>IFERROR(INDEX(V!$R:$R,MATCH(AL16,V!$L:$L,0)),"")</f>
        <v>26</v>
      </c>
      <c r="AL16" s="235" t="str">
        <f t="shared" si="8"/>
        <v>Johannes Neiland</v>
      </c>
      <c r="AM16" s="234" t="str">
        <f>IFERROR(INDEX(V!$R:$R,MATCH(AN16,V!$L:$L,0)),"")</f>
        <v/>
      </c>
      <c r="AN16" s="235" t="str">
        <f t="shared" si="9"/>
        <v/>
      </c>
      <c r="AO16" s="234" t="str">
        <f>IFERROR(INDEX(V!$R:$R,MATCH(AP16,V!$L:$L,0)),"")</f>
        <v/>
      </c>
      <c r="AP16" s="235" t="str">
        <f t="shared" si="10"/>
        <v/>
      </c>
    </row>
    <row r="17" spans="1:42" x14ac:dyDescent="0.2">
      <c r="A17" s="681">
        <v>11</v>
      </c>
      <c r="B17" s="688" t="s">
        <v>429</v>
      </c>
      <c r="C17" s="392">
        <v>5</v>
      </c>
      <c r="D17" s="685" t="s">
        <v>302</v>
      </c>
      <c r="E17" s="685">
        <v>13</v>
      </c>
      <c r="F17" s="686" t="s">
        <v>353</v>
      </c>
      <c r="G17" s="392">
        <v>13</v>
      </c>
      <c r="H17" s="685" t="s">
        <v>302</v>
      </c>
      <c r="I17" s="685">
        <v>6</v>
      </c>
      <c r="J17" s="686" t="s">
        <v>354</v>
      </c>
      <c r="K17" s="392">
        <v>6</v>
      </c>
      <c r="L17" s="685" t="s">
        <v>302</v>
      </c>
      <c r="M17" s="685">
        <v>13</v>
      </c>
      <c r="N17" s="686" t="s">
        <v>424</v>
      </c>
      <c r="O17" s="392"/>
      <c r="P17" s="685"/>
      <c r="Q17" s="685"/>
      <c r="R17" s="686"/>
      <c r="S17" s="392"/>
      <c r="T17" s="685" t="s">
        <v>302</v>
      </c>
      <c r="U17" s="685"/>
      <c r="V17" s="686"/>
      <c r="W17" s="706">
        <f t="shared" si="0"/>
        <v>1</v>
      </c>
      <c r="X17" s="707">
        <v>6</v>
      </c>
      <c r="Y17" s="707">
        <v>30</v>
      </c>
      <c r="Z17" s="683">
        <f t="shared" si="11"/>
        <v>24</v>
      </c>
      <c r="AA17" s="684" t="s">
        <v>302</v>
      </c>
      <c r="AB17" s="708">
        <f t="shared" si="12"/>
        <v>32</v>
      </c>
      <c r="AC17" s="399">
        <f t="shared" si="13"/>
        <v>-8</v>
      </c>
      <c r="AD17" s="233">
        <f t="shared" si="14"/>
        <v>36</v>
      </c>
      <c r="AE17" s="234">
        <f>IFERROR(INDEX(V!$R:$R,MATCH(AF17,V!$L:$L,0)),"")</f>
        <v>36</v>
      </c>
      <c r="AF17" s="235" t="str">
        <f t="shared" si="5"/>
        <v>Ivar Viljaste</v>
      </c>
      <c r="AG17" s="234">
        <f>IFERROR(INDEX(V!$R:$R,MATCH(AH17,V!$L:$L,0)),"")</f>
        <v>0</v>
      </c>
      <c r="AH17" s="235" t="str">
        <f t="shared" si="6"/>
        <v>Sirje Viljaste</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18" spans="1:42" x14ac:dyDescent="0.2">
      <c r="A18" s="681">
        <v>12</v>
      </c>
      <c r="B18" s="688" t="s">
        <v>354</v>
      </c>
      <c r="C18" s="392">
        <v>1</v>
      </c>
      <c r="D18" s="685" t="s">
        <v>302</v>
      </c>
      <c r="E18" s="685">
        <v>13</v>
      </c>
      <c r="F18" s="686" t="s">
        <v>362</v>
      </c>
      <c r="G18" s="392">
        <v>6</v>
      </c>
      <c r="H18" s="685" t="s">
        <v>302</v>
      </c>
      <c r="I18" s="685">
        <v>13</v>
      </c>
      <c r="J18" s="686" t="s">
        <v>429</v>
      </c>
      <c r="K18" s="392">
        <v>1</v>
      </c>
      <c r="L18" s="685" t="s">
        <v>302</v>
      </c>
      <c r="M18" s="685">
        <v>13</v>
      </c>
      <c r="N18" s="686" t="s">
        <v>254</v>
      </c>
      <c r="O18" s="392"/>
      <c r="P18" s="685"/>
      <c r="Q18" s="685"/>
      <c r="R18" s="686"/>
      <c r="S18" s="392"/>
      <c r="T18" s="685" t="s">
        <v>302</v>
      </c>
      <c r="U18" s="685"/>
      <c r="V18" s="686"/>
      <c r="W18" s="706">
        <f t="shared" si="0"/>
        <v>0</v>
      </c>
      <c r="X18" s="707">
        <v>10</v>
      </c>
      <c r="Y18" s="707">
        <v>22</v>
      </c>
      <c r="Z18" s="683">
        <f t="shared" si="11"/>
        <v>8</v>
      </c>
      <c r="AA18" s="684" t="s">
        <v>302</v>
      </c>
      <c r="AB18" s="708">
        <f t="shared" si="12"/>
        <v>39</v>
      </c>
      <c r="AC18" s="399">
        <f t="shared" si="13"/>
        <v>-31</v>
      </c>
      <c r="AD18" s="233">
        <f t="shared" si="14"/>
        <v>30</v>
      </c>
      <c r="AE18" s="234">
        <f>IFERROR(INDEX(V!$R:$R,MATCH(AF18,V!$L:$L,0)),"")</f>
        <v>20</v>
      </c>
      <c r="AF18" s="235" t="str">
        <f t="shared" si="5"/>
        <v>Liidia Põllu</v>
      </c>
      <c r="AG18" s="234">
        <f>IFERROR(INDEX(V!$R:$R,MATCH(AH18,V!$L:$L,0)),"")</f>
        <v>10</v>
      </c>
      <c r="AH18" s="235" t="str">
        <f t="shared" si="6"/>
        <v>Veronika Pirk</v>
      </c>
      <c r="AI18" s="234" t="str">
        <f>IFERROR(INDEX(V!$R:$R,MATCH(AJ18,V!$L:$L,0)),"")</f>
        <v/>
      </c>
      <c r="AJ18" s="235" t="str">
        <f t="shared" si="7"/>
        <v/>
      </c>
      <c r="AK18" s="234" t="str">
        <f>IFERROR(INDEX(V!$R:$R,MATCH(AL18,V!$L:$L,0)),"")</f>
        <v/>
      </c>
      <c r="AL18" s="235" t="str">
        <f t="shared" si="8"/>
        <v/>
      </c>
      <c r="AM18" s="234" t="str">
        <f>IFERROR(INDEX(V!$R:$R,MATCH(AN18,V!$L:$L,0)),"")</f>
        <v/>
      </c>
      <c r="AN18" s="235" t="str">
        <f t="shared" si="9"/>
        <v/>
      </c>
      <c r="AO18" s="234" t="str">
        <f>IFERROR(INDEX(V!$R:$R,MATCH(AP18,V!$L:$L,0)),"")</f>
        <v/>
      </c>
      <c r="AP18" s="235" t="str">
        <f t="shared" si="10"/>
        <v/>
      </c>
    </row>
    <row r="20" spans="1:42" hidden="1" x14ac:dyDescent="0.2"/>
    <row r="21" spans="1:42" ht="12.75" hidden="1" customHeight="1" x14ac:dyDescent="0.2"/>
    <row r="22" spans="1:42" ht="12.75" hidden="1" customHeight="1" x14ac:dyDescent="0.2"/>
    <row r="23" spans="1:42" ht="12.75" hidden="1" customHeight="1" x14ac:dyDescent="0.2"/>
    <row r="24" spans="1:42" ht="12.75" hidden="1" customHeight="1" x14ac:dyDescent="0.2"/>
    <row r="25" spans="1:42" ht="12.75" hidden="1" customHeight="1" x14ac:dyDescent="0.2"/>
    <row r="26" spans="1:42" ht="12.75" hidden="1" customHeight="1" x14ac:dyDescent="0.2"/>
    <row r="27" spans="1:42" ht="12.75" hidden="1" customHeight="1" x14ac:dyDescent="0.2"/>
    <row r="28" spans="1:42" ht="12.75" hidden="1" customHeight="1" x14ac:dyDescent="0.2"/>
    <row r="29" spans="1:42" ht="12.75" hidden="1" customHeight="1" x14ac:dyDescent="0.2"/>
    <row r="30" spans="1:42" ht="12.75" hidden="1" customHeight="1" x14ac:dyDescent="0.2"/>
    <row r="31" spans="1:42" ht="12.75" hidden="1" customHeight="1" x14ac:dyDescent="0.2"/>
    <row r="32" spans="1:4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spans="1:11" ht="12.75" hidden="1" customHeight="1" x14ac:dyDescent="0.2"/>
    <row r="98" spans="1:11" ht="12.75" hidden="1" customHeight="1" x14ac:dyDescent="0.2"/>
    <row r="99" spans="1:11" ht="12.75" hidden="1" customHeight="1" x14ac:dyDescent="0.2"/>
    <row r="100" spans="1:11" ht="12.75" customHeight="1" x14ac:dyDescent="0.2">
      <c r="A100" s="847" t="s">
        <v>352</v>
      </c>
      <c r="B100" s="44"/>
      <c r="C100" s="44"/>
      <c r="D100" s="44"/>
      <c r="E100" s="44"/>
      <c r="F100" s="44"/>
      <c r="G100" s="44"/>
      <c r="H100" s="845"/>
      <c r="I100" s="845"/>
    </row>
    <row r="101" spans="1:11" ht="12.75" customHeight="1" x14ac:dyDescent="0.2">
      <c r="A101" s="44"/>
      <c r="B101" s="44"/>
      <c r="C101" s="44"/>
      <c r="D101" s="44"/>
      <c r="E101" s="44"/>
      <c r="F101" s="44"/>
      <c r="G101" s="44"/>
      <c r="H101" s="845"/>
      <c r="I101" s="845"/>
    </row>
    <row r="102" spans="1:11" ht="12.75" customHeight="1" x14ac:dyDescent="0.2">
      <c r="A102" s="848">
        <v>1</v>
      </c>
      <c r="B102" s="849" t="str">
        <f>IF(A102="-","-",IFERROR(INDEX(B$1:B$100,MATCH(A102,A$1:A$100,0)),""))</f>
        <v>Kenneth Muusikus, Urmas Jõeäär</v>
      </c>
      <c r="C102" s="850">
        <v>13</v>
      </c>
      <c r="E102" s="850"/>
      <c r="F102" s="851"/>
      <c r="H102" s="850"/>
      <c r="I102" s="846"/>
    </row>
    <row r="103" spans="1:11" ht="12.75" customHeight="1" x14ac:dyDescent="0.2">
      <c r="A103" s="848"/>
      <c r="B103" s="852"/>
      <c r="C103" s="860" t="str">
        <f>IF(COUNT(C102,C104)=2,IF(C102&gt;C104,B102,B104),"")</f>
        <v>Kenneth Muusikus, Urmas Jõeäär</v>
      </c>
      <c r="H103" s="851"/>
      <c r="I103" s="850">
        <v>13</v>
      </c>
      <c r="J103" s="851"/>
    </row>
    <row r="104" spans="1:11" ht="12.75" customHeight="1" x14ac:dyDescent="0.2">
      <c r="A104" s="848">
        <v>4</v>
      </c>
      <c r="B104" s="854" t="str">
        <f>IF(A104="-","-",IFERROR(INDEX(B$1:B$100,MATCH(A104,A$1:A$100,0)),""))</f>
        <v>Jaan Sepp, Sander Rose</v>
      </c>
      <c r="C104" s="875">
        <v>7</v>
      </c>
      <c r="D104" s="876"/>
      <c r="E104" s="876"/>
      <c r="F104" s="876"/>
      <c r="G104" s="876"/>
      <c r="H104" s="856"/>
      <c r="I104" s="851"/>
      <c r="J104" s="851"/>
    </row>
    <row r="105" spans="1:11" ht="12.75" customHeight="1" thickBot="1" x14ac:dyDescent="0.25">
      <c r="A105" s="848"/>
      <c r="B105" s="857"/>
      <c r="C105" s="858"/>
      <c r="D105" s="222"/>
      <c r="E105" s="222"/>
      <c r="F105" s="222"/>
      <c r="G105" s="222"/>
      <c r="H105" s="859"/>
      <c r="I105" s="860"/>
      <c r="J105" s="861" t="str">
        <f>IF(COUNT(I103,I107)=2,IF(I103&gt;I107,C103,C107),"")</f>
        <v>Kenneth Muusikus, Urmas Jõeäär</v>
      </c>
    </row>
    <row r="106" spans="1:11" ht="12.75" customHeight="1" x14ac:dyDescent="0.2">
      <c r="A106" s="848">
        <v>2</v>
      </c>
      <c r="B106" s="849" t="str">
        <f>IF(A106="-","-",IFERROR(INDEX(B$1:B$100,MATCH(A106,A$1:A$100,0)),""))</f>
        <v>Olav Türk, Sirje Maala</v>
      </c>
      <c r="C106" s="858">
        <v>13</v>
      </c>
      <c r="D106" s="222"/>
      <c r="E106" s="222"/>
      <c r="F106" s="222"/>
      <c r="G106" s="222"/>
      <c r="H106" s="859"/>
      <c r="I106" s="862"/>
      <c r="J106" s="863" t="s">
        <v>187</v>
      </c>
      <c r="K106" s="864"/>
    </row>
    <row r="107" spans="1:11" ht="12.75" customHeight="1" x14ac:dyDescent="0.2">
      <c r="A107" s="848"/>
      <c r="B107" s="852"/>
      <c r="C107" s="853" t="str">
        <f>IF(COUNT(C106,C108)=2,IF(C106&gt;C108,B106,B108),"")</f>
        <v>Olav Türk, Sirje Maala</v>
      </c>
      <c r="D107" s="877"/>
      <c r="E107" s="877"/>
      <c r="F107" s="877"/>
      <c r="G107" s="877"/>
      <c r="H107" s="865"/>
      <c r="I107" s="855">
        <v>7</v>
      </c>
      <c r="J107" s="866"/>
      <c r="K107" s="222"/>
    </row>
    <row r="108" spans="1:11" ht="12.75" customHeight="1" thickBot="1" x14ac:dyDescent="0.25">
      <c r="A108" s="848">
        <v>3</v>
      </c>
      <c r="B108" s="854" t="str">
        <f>IF(A108="-","-",IFERROR(INDEX(B$1:B$100,MATCH(A108,A$1:A$100,0)),""))</f>
        <v>Hillar Neiland, Kaspar Mänd</v>
      </c>
      <c r="C108" s="855">
        <v>7</v>
      </c>
      <c r="H108" s="850"/>
      <c r="I108" s="858"/>
      <c r="J108" s="867" t="str">
        <f>IF(COUNT(I103,I107)=2,IF(I103&lt;I107,C103,C107),"")</f>
        <v>Olav Türk, Sirje Maala</v>
      </c>
      <c r="K108" s="868"/>
    </row>
    <row r="109" spans="1:11" ht="12.75" customHeight="1" x14ac:dyDescent="0.2">
      <c r="A109" s="44"/>
      <c r="B109" s="850"/>
      <c r="C109" s="850"/>
      <c r="H109" s="850"/>
      <c r="I109" s="858"/>
      <c r="J109" s="869" t="s">
        <v>188</v>
      </c>
    </row>
    <row r="110" spans="1:11" ht="12.75" customHeight="1" x14ac:dyDescent="0.2">
      <c r="A110" s="44"/>
      <c r="B110" s="850"/>
      <c r="C110" s="861" t="str">
        <f>IF(COUNT(C102,C104)=2,IF(C102&lt;C104,B102,B104),"")</f>
        <v>Jaan Sepp, Sander Rose</v>
      </c>
      <c r="H110" s="851"/>
      <c r="I110" s="858">
        <v>5</v>
      </c>
      <c r="J110" s="866"/>
    </row>
    <row r="111" spans="1:11" ht="12.75" customHeight="1" thickBot="1" x14ac:dyDescent="0.25">
      <c r="A111" s="44"/>
      <c r="B111" s="850"/>
      <c r="C111" s="870"/>
      <c r="D111" s="876"/>
      <c r="E111" s="876"/>
      <c r="F111" s="876"/>
      <c r="G111" s="876"/>
      <c r="H111" s="871"/>
      <c r="I111" s="872"/>
      <c r="J111" s="861" t="str">
        <f>IF(COUNT(I110,I112)=2,IF(I110&gt;I112,C110,C112),"")</f>
        <v>Hillar Neiland, Kaspar Mänd</v>
      </c>
    </row>
    <row r="112" spans="1:11" ht="12.75" customHeight="1" x14ac:dyDescent="0.2">
      <c r="A112" s="44"/>
      <c r="B112" s="850"/>
      <c r="C112" s="873" t="str">
        <f>IF(COUNT(C106,C108)=2,IF(C106&lt;C108,B106,B108),"")</f>
        <v>Hillar Neiland, Kaspar Mänd</v>
      </c>
      <c r="D112" s="877"/>
      <c r="E112" s="877"/>
      <c r="F112" s="877"/>
      <c r="G112" s="877"/>
      <c r="H112" s="865"/>
      <c r="I112" s="855">
        <v>13</v>
      </c>
      <c r="J112" s="863" t="s">
        <v>189</v>
      </c>
      <c r="K112" s="864"/>
    </row>
    <row r="113" spans="1:11" ht="12.75" customHeight="1" x14ac:dyDescent="0.2">
      <c r="A113" s="44"/>
      <c r="B113" s="851"/>
      <c r="C113" s="851"/>
      <c r="H113" s="851"/>
      <c r="I113" s="851"/>
      <c r="J113" s="866"/>
      <c r="K113" s="222"/>
    </row>
    <row r="114" spans="1:11" ht="12.75" customHeight="1" thickBot="1" x14ac:dyDescent="0.25">
      <c r="A114" s="44"/>
      <c r="B114" s="851"/>
      <c r="C114" s="866"/>
      <c r="H114" s="866"/>
      <c r="I114" s="851"/>
      <c r="J114" s="874" t="str">
        <f>IF(COUNT(I110,I112)=2,IF(I110&lt;I112,C110,C112),"")</f>
        <v>Jaan Sepp, Sander Rose</v>
      </c>
      <c r="K114" s="868"/>
    </row>
    <row r="115" spans="1:11" ht="12.75" customHeight="1" x14ac:dyDescent="0.2">
      <c r="A115" s="44"/>
      <c r="B115" s="851"/>
      <c r="C115" s="866"/>
      <c r="D115" s="866"/>
      <c r="I115" s="851"/>
      <c r="J115" s="869" t="s">
        <v>190</v>
      </c>
    </row>
    <row r="116" spans="1:11" ht="12.75" customHeight="1" x14ac:dyDescent="0.2">
      <c r="A116" s="44"/>
      <c r="H116" s="846"/>
      <c r="I116" s="846"/>
    </row>
    <row r="117" spans="1:11" ht="12.75" customHeight="1" x14ac:dyDescent="0.2">
      <c r="A117" s="847" t="s">
        <v>427</v>
      </c>
      <c r="H117" s="846"/>
      <c r="I117" s="846"/>
    </row>
    <row r="118" spans="1:11" ht="12.75" customHeight="1" x14ac:dyDescent="0.2">
      <c r="H118" s="846"/>
      <c r="I118" s="846"/>
    </row>
    <row r="119" spans="1:11" ht="12.75" customHeight="1" x14ac:dyDescent="0.2">
      <c r="A119" s="848">
        <v>5</v>
      </c>
      <c r="B119" s="849" t="str">
        <f>IF(A119="-","-",IFERROR(INDEX(B$1:B$100,MATCH(A119,A$1:A$100,0)),""))</f>
        <v>Ljudmila Varendi, Viktor Švarõgin</v>
      </c>
      <c r="C119" s="850">
        <v>3</v>
      </c>
      <c r="H119" s="850"/>
      <c r="I119" s="850"/>
      <c r="J119" s="851"/>
    </row>
    <row r="120" spans="1:11" ht="12.75" customHeight="1" x14ac:dyDescent="0.2">
      <c r="A120" s="848"/>
      <c r="B120" s="852"/>
      <c r="C120" s="860" t="str">
        <f>IF(COUNT(C119,C121)=2,IF(C119&gt;C121,B119,B121),"")</f>
        <v>Andres Veski, Svetlana Veski</v>
      </c>
      <c r="H120" s="851"/>
      <c r="I120" s="850">
        <v>7</v>
      </c>
      <c r="J120" s="851"/>
    </row>
    <row r="121" spans="1:11" ht="12.75" customHeight="1" x14ac:dyDescent="0.2">
      <c r="A121" s="848">
        <v>8</v>
      </c>
      <c r="B121" s="854" t="str">
        <f>IF(A121="-","-",IFERROR(INDEX(B$1:B$100,MATCH(A121,A$1:A$100,0)),""))</f>
        <v>Andres Veski, Svetlana Veski</v>
      </c>
      <c r="C121" s="875">
        <v>13</v>
      </c>
      <c r="D121" s="876"/>
      <c r="E121" s="876"/>
      <c r="F121" s="876"/>
      <c r="G121" s="876"/>
      <c r="H121" s="856"/>
      <c r="I121" s="851"/>
      <c r="J121" s="851"/>
    </row>
    <row r="122" spans="1:11" ht="12.75" customHeight="1" thickBot="1" x14ac:dyDescent="0.25">
      <c r="A122" s="848"/>
      <c r="B122" s="857"/>
      <c r="C122" s="858"/>
      <c r="D122" s="222"/>
      <c r="E122" s="222"/>
      <c r="F122" s="222"/>
      <c r="G122" s="222"/>
      <c r="H122" s="859"/>
      <c r="I122" s="860"/>
      <c r="J122" s="861" t="str">
        <f>IF(COUNT(I120,I124)=2,IF(I120&gt;I124,C120,C124),"")</f>
        <v>Jaan Saar, Peep Peenema</v>
      </c>
    </row>
    <row r="123" spans="1:11" ht="12.75" customHeight="1" x14ac:dyDescent="0.2">
      <c r="A123" s="848">
        <v>6</v>
      </c>
      <c r="B123" s="849" t="str">
        <f>IF(A123="-","-",IFERROR(INDEX(B$1:B$100,MATCH(A123,A$1:A$100,0)),""))</f>
        <v>Jaan Saar, Peep Peenema</v>
      </c>
      <c r="C123" s="858">
        <v>13</v>
      </c>
      <c r="D123" s="222"/>
      <c r="E123" s="222"/>
      <c r="F123" s="222"/>
      <c r="G123" s="222"/>
      <c r="H123" s="859"/>
      <c r="I123" s="862"/>
      <c r="J123" s="863" t="s">
        <v>191</v>
      </c>
      <c r="K123" s="864"/>
    </row>
    <row r="124" spans="1:11" ht="12.75" customHeight="1" x14ac:dyDescent="0.2">
      <c r="A124" s="848"/>
      <c r="B124" s="852"/>
      <c r="C124" s="853" t="str">
        <f>IF(COUNT(C123,C125)=2,IF(C123&gt;C125,B123,B125),"")</f>
        <v>Jaan Saar, Peep Peenema</v>
      </c>
      <c r="D124" s="877"/>
      <c r="E124" s="877"/>
      <c r="F124" s="877"/>
      <c r="G124" s="877"/>
      <c r="H124" s="865"/>
      <c r="I124" s="855">
        <v>13</v>
      </c>
      <c r="J124" s="866"/>
      <c r="K124" s="222"/>
    </row>
    <row r="125" spans="1:11" ht="12.75" customHeight="1" thickBot="1" x14ac:dyDescent="0.25">
      <c r="A125" s="848">
        <v>7</v>
      </c>
      <c r="B125" s="854" t="str">
        <f>IF(A125="-","-",IFERROR(INDEX(B$1:B$100,MATCH(A125,A$1:A$100,0)),""))</f>
        <v>Boriss Klubov, Elmo Lageda</v>
      </c>
      <c r="C125" s="855">
        <v>7</v>
      </c>
      <c r="H125" s="850"/>
      <c r="I125" s="858"/>
      <c r="J125" s="867" t="str">
        <f>IF(COUNT(I120,I124)=2,IF(I120&lt;I124,C120,C124),"")</f>
        <v>Andres Veski, Svetlana Veski</v>
      </c>
      <c r="K125" s="868"/>
    </row>
    <row r="126" spans="1:11" ht="12.75" customHeight="1" x14ac:dyDescent="0.2">
      <c r="A126" s="44"/>
      <c r="B126" s="850"/>
      <c r="C126" s="850"/>
      <c r="H126" s="850"/>
      <c r="I126" s="858"/>
      <c r="J126" s="869" t="s">
        <v>192</v>
      </c>
    </row>
    <row r="127" spans="1:11" ht="12.75" customHeight="1" x14ac:dyDescent="0.2">
      <c r="A127" s="44"/>
      <c r="B127" s="850"/>
      <c r="C127" s="861" t="str">
        <f>IF(COUNT(C119,C121)=2,IF(C119&lt;C121,B119,B121),"")</f>
        <v>Ljudmila Varendi, Viktor Švarõgin</v>
      </c>
      <c r="H127" s="851"/>
      <c r="I127" s="858">
        <v>1</v>
      </c>
      <c r="J127" s="866"/>
    </row>
    <row r="128" spans="1:11" ht="12.75" customHeight="1" thickBot="1" x14ac:dyDescent="0.25">
      <c r="A128" s="44"/>
      <c r="B128" s="850"/>
      <c r="C128" s="870"/>
      <c r="D128" s="876"/>
      <c r="E128" s="876"/>
      <c r="F128" s="876"/>
      <c r="G128" s="876"/>
      <c r="H128" s="871"/>
      <c r="I128" s="872"/>
      <c r="J128" s="861" t="str">
        <f>IF(COUNT(I127,I129)=2,IF(I127&gt;I129,C127,C129),"")</f>
        <v>Boriss Klubov, Elmo Lageda</v>
      </c>
    </row>
    <row r="129" spans="1:11" ht="12.75" customHeight="1" x14ac:dyDescent="0.2">
      <c r="A129" s="44"/>
      <c r="B129" s="850"/>
      <c r="C129" s="873" t="str">
        <f>IF(COUNT(C123,C125)=2,IF(C123&lt;C125,B123,B125),"")</f>
        <v>Boriss Klubov, Elmo Lageda</v>
      </c>
      <c r="D129" s="877"/>
      <c r="E129" s="877"/>
      <c r="F129" s="877"/>
      <c r="G129" s="877"/>
      <c r="H129" s="865"/>
      <c r="I129" s="855">
        <v>13</v>
      </c>
      <c r="J129" s="863" t="s">
        <v>203</v>
      </c>
      <c r="K129" s="864"/>
    </row>
    <row r="130" spans="1:11" ht="12.75" customHeight="1" x14ac:dyDescent="0.2">
      <c r="A130" s="44"/>
      <c r="B130" s="851"/>
      <c r="C130" s="851"/>
      <c r="H130" s="851"/>
      <c r="I130" s="851"/>
      <c r="J130" s="866"/>
      <c r="K130" s="222"/>
    </row>
    <row r="131" spans="1:11" ht="12.75" customHeight="1" thickBot="1" x14ac:dyDescent="0.25">
      <c r="A131" s="44"/>
      <c r="B131" s="851"/>
      <c r="C131" s="866"/>
      <c r="H131" s="866"/>
      <c r="I131" s="851"/>
      <c r="J131" s="874" t="str">
        <f>IF(COUNT(I127,I129)=2,IF(I127&lt;I129,C127,C129),"")</f>
        <v>Ljudmila Varendi, Viktor Švarõgin</v>
      </c>
      <c r="K131" s="868"/>
    </row>
    <row r="132" spans="1:11" ht="12.75" customHeight="1" x14ac:dyDescent="0.2">
      <c r="A132" s="44"/>
      <c r="B132" s="851"/>
      <c r="C132" s="866"/>
      <c r="H132" s="866"/>
      <c r="I132" s="851"/>
      <c r="J132" s="863" t="s">
        <v>204</v>
      </c>
    </row>
    <row r="133" spans="1:11" ht="12.75" customHeight="1" x14ac:dyDescent="0.2">
      <c r="A133" s="846"/>
      <c r="B133" s="846"/>
      <c r="C133" s="846"/>
      <c r="D133" s="846"/>
      <c r="E133" s="846"/>
      <c r="F133" s="846"/>
      <c r="G133" s="846"/>
      <c r="H133" s="846"/>
      <c r="I133" s="846"/>
    </row>
    <row r="134" spans="1:11" ht="12.75" customHeight="1" x14ac:dyDescent="0.2">
      <c r="A134" s="844" t="s">
        <v>260</v>
      </c>
      <c r="B134" s="846"/>
      <c r="C134" s="846"/>
      <c r="D134" s="846"/>
      <c r="E134" s="846"/>
      <c r="F134" s="846"/>
      <c r="G134" s="846"/>
      <c r="H134" s="846"/>
      <c r="I134" s="846"/>
    </row>
    <row r="135" spans="1:11" ht="12.75" customHeight="1" x14ac:dyDescent="0.2">
      <c r="H135" s="846"/>
      <c r="I135" s="846"/>
    </row>
    <row r="136" spans="1:11" ht="12.75" customHeight="1" x14ac:dyDescent="0.2">
      <c r="A136" s="848">
        <v>9</v>
      </c>
      <c r="B136" s="849" t="str">
        <f>IF(A136="-","-",IFERROR(INDEX(B$1:B$100,MATCH(A136,A$1:A$100,0)),""))</f>
        <v>Kristel Tihhonjuk, Vadim Tihhonjuk</v>
      </c>
      <c r="C136" s="850">
        <v>13</v>
      </c>
      <c r="H136" s="850"/>
      <c r="I136" s="850"/>
      <c r="J136" s="851"/>
    </row>
    <row r="137" spans="1:11" ht="12.75" customHeight="1" x14ac:dyDescent="0.2">
      <c r="A137" s="848"/>
      <c r="B137" s="852"/>
      <c r="C137" s="860" t="str">
        <f>IF(COUNT(C136,C138)=2,IF(C136&gt;C138,B136,B138),"")</f>
        <v>Kristel Tihhonjuk, Vadim Tihhonjuk</v>
      </c>
      <c r="H137" s="851"/>
      <c r="I137" s="850">
        <v>3</v>
      </c>
      <c r="J137" s="851"/>
    </row>
    <row r="138" spans="1:11" ht="12.75" customHeight="1" x14ac:dyDescent="0.2">
      <c r="A138" s="848">
        <v>12</v>
      </c>
      <c r="B138" s="854" t="str">
        <f>IF(A138="-","-",IFERROR(INDEX(B$1:B$100,MATCH(A138,A$1:A$100,0)),""))</f>
        <v>Liidia Põllu, Veronika Pirk</v>
      </c>
      <c r="C138" s="875">
        <v>4</v>
      </c>
      <c r="D138" s="876"/>
      <c r="E138" s="876"/>
      <c r="F138" s="876"/>
      <c r="G138" s="876"/>
      <c r="H138" s="856"/>
      <c r="I138" s="851"/>
      <c r="J138" s="851"/>
    </row>
    <row r="139" spans="1:11" ht="12.75" customHeight="1" thickBot="1" x14ac:dyDescent="0.25">
      <c r="A139" s="848"/>
      <c r="B139" s="857"/>
      <c r="C139" s="858"/>
      <c r="D139" s="222"/>
      <c r="E139" s="222"/>
      <c r="F139" s="222"/>
      <c r="G139" s="222"/>
      <c r="H139" s="859"/>
      <c r="I139" s="860"/>
      <c r="J139" s="861" t="str">
        <f>IF(COUNT(I137,I141)=2,IF(I137&gt;I141,C137,C141),"")</f>
        <v>Ivar Viljaste, Sirje Viljaste</v>
      </c>
    </row>
    <row r="140" spans="1:11" ht="12.75" customHeight="1" x14ac:dyDescent="0.2">
      <c r="A140" s="848">
        <v>10</v>
      </c>
      <c r="B140" s="849" t="str">
        <f>IF(A140="-","-",IFERROR(INDEX(B$1:B$100,MATCH(A140,A$1:A$100,0)),""))</f>
        <v>Enn Tokman, Illar Tõnurist, Johannes Neiland</v>
      </c>
      <c r="C140" s="858">
        <v>12</v>
      </c>
      <c r="D140" s="222"/>
      <c r="E140" s="222"/>
      <c r="F140" s="222"/>
      <c r="G140" s="222"/>
      <c r="H140" s="859"/>
      <c r="I140" s="862"/>
      <c r="J140" s="863" t="s">
        <v>209</v>
      </c>
      <c r="K140" s="864"/>
    </row>
    <row r="141" spans="1:11" ht="12.75" customHeight="1" x14ac:dyDescent="0.2">
      <c r="A141" s="848"/>
      <c r="B141" s="852"/>
      <c r="C141" s="853" t="str">
        <f>IF(COUNT(C140,C142)=2,IF(C140&gt;C142,B140,B142),"")</f>
        <v>Ivar Viljaste, Sirje Viljaste</v>
      </c>
      <c r="D141" s="877"/>
      <c r="E141" s="877"/>
      <c r="F141" s="877"/>
      <c r="G141" s="877"/>
      <c r="H141" s="865"/>
      <c r="I141" s="855">
        <v>13</v>
      </c>
      <c r="J141" s="866"/>
      <c r="K141" s="222"/>
    </row>
    <row r="142" spans="1:11" ht="12.75" customHeight="1" thickBot="1" x14ac:dyDescent="0.25">
      <c r="A142" s="848">
        <v>11</v>
      </c>
      <c r="B142" s="854" t="str">
        <f>IF(A142="-","-",IFERROR(INDEX(B$1:B$100,MATCH(A142,A$1:A$100,0)),""))</f>
        <v>Ivar Viljaste, Sirje Viljaste</v>
      </c>
      <c r="C142" s="855">
        <v>13</v>
      </c>
      <c r="H142" s="850"/>
      <c r="I142" s="858"/>
      <c r="J142" s="867" t="str">
        <f>IF(COUNT(I137,I141)=2,IF(I137&lt;I141,C137,C141),"")</f>
        <v>Kristel Tihhonjuk, Vadim Tihhonjuk</v>
      </c>
      <c r="K142" s="868"/>
    </row>
    <row r="143" spans="1:11" ht="12.75" customHeight="1" x14ac:dyDescent="0.2">
      <c r="A143" s="44"/>
      <c r="B143" s="850"/>
      <c r="C143" s="850"/>
      <c r="H143" s="850"/>
      <c r="I143" s="858"/>
      <c r="J143" s="869" t="s">
        <v>211</v>
      </c>
    </row>
    <row r="144" spans="1:11" ht="12.75" customHeight="1" x14ac:dyDescent="0.2">
      <c r="A144" s="44"/>
      <c r="B144" s="850"/>
      <c r="C144" s="861" t="str">
        <f>IF(COUNT(C136,C138)=2,IF(C136&lt;C138,B136,B138),"")</f>
        <v>Liidia Põllu, Veronika Pirk</v>
      </c>
      <c r="H144" s="851"/>
      <c r="I144" s="858">
        <v>7</v>
      </c>
      <c r="J144" s="866"/>
    </row>
    <row r="145" spans="1:11" ht="12.75" customHeight="1" thickBot="1" x14ac:dyDescent="0.25">
      <c r="A145" s="44"/>
      <c r="B145" s="850"/>
      <c r="C145" s="870"/>
      <c r="D145" s="876"/>
      <c r="E145" s="876"/>
      <c r="F145" s="876"/>
      <c r="G145" s="876"/>
      <c r="H145" s="871"/>
      <c r="I145" s="872"/>
      <c r="J145" s="861" t="str">
        <f>IF(COUNT(I144,I146)=2,IF(I144&gt;I146,C144,C146),"")</f>
        <v>Enn Tokman, Illar Tõnurist, Johannes Neiland</v>
      </c>
    </row>
    <row r="146" spans="1:11" ht="12.75" customHeight="1" x14ac:dyDescent="0.2">
      <c r="A146" s="44"/>
      <c r="B146" s="850"/>
      <c r="C146" s="873" t="str">
        <f>IF(COUNT(C140,C142)=2,IF(C140&lt;C142,B140,B142),"")</f>
        <v>Enn Tokman, Illar Tõnurist, Johannes Neiland</v>
      </c>
      <c r="D146" s="877"/>
      <c r="E146" s="877"/>
      <c r="F146" s="877"/>
      <c r="G146" s="877"/>
      <c r="H146" s="865"/>
      <c r="I146" s="855">
        <v>13</v>
      </c>
      <c r="J146" s="863" t="s">
        <v>212</v>
      </c>
      <c r="K146" s="864"/>
    </row>
    <row r="147" spans="1:11" ht="12.75" customHeight="1" x14ac:dyDescent="0.2">
      <c r="A147" s="44"/>
      <c r="B147" s="851"/>
      <c r="C147" s="851"/>
      <c r="H147" s="851"/>
      <c r="I147" s="851"/>
      <c r="J147" s="866"/>
      <c r="K147" s="222"/>
    </row>
    <row r="148" spans="1:11" ht="12.75" customHeight="1" thickBot="1" x14ac:dyDescent="0.25">
      <c r="A148" s="44"/>
      <c r="B148" s="851"/>
      <c r="C148" s="866"/>
      <c r="H148" s="866"/>
      <c r="I148" s="851"/>
      <c r="J148" s="874" t="str">
        <f>IF(COUNT(I144,I146)=2,IF(I144&lt;I146,C144,C146),"")</f>
        <v>Liidia Põllu, Veronika Pirk</v>
      </c>
      <c r="K148" s="868"/>
    </row>
    <row r="149" spans="1:11" ht="12.75" customHeight="1" x14ac:dyDescent="0.2">
      <c r="A149" s="44"/>
      <c r="B149" s="851"/>
      <c r="C149" s="866"/>
      <c r="H149" s="866"/>
      <c r="I149" s="851"/>
      <c r="J149" s="863" t="s">
        <v>213</v>
      </c>
    </row>
    <row r="150" spans="1:11" ht="12.75" customHeight="1" x14ac:dyDescent="0.2"/>
    <row r="151" spans="1:11" ht="12.75" hidden="1" customHeight="1" x14ac:dyDescent="0.2"/>
    <row r="152" spans="1:11" ht="12.75" hidden="1" customHeight="1" x14ac:dyDescent="0.2"/>
    <row r="153" spans="1:11" ht="12.75" hidden="1" customHeight="1" x14ac:dyDescent="0.2"/>
    <row r="154" spans="1:11" ht="12.75" hidden="1" customHeight="1" x14ac:dyDescent="0.2"/>
    <row r="155" spans="1:11" ht="12.75" hidden="1" customHeight="1" x14ac:dyDescent="0.2"/>
    <row r="156" spans="1:11" ht="12.75" hidden="1" customHeight="1" x14ac:dyDescent="0.2"/>
    <row r="157" spans="1:11" ht="12.75" hidden="1" customHeight="1" x14ac:dyDescent="0.2"/>
    <row r="158" spans="1:11" ht="12.75" hidden="1" customHeight="1" x14ac:dyDescent="0.2"/>
    <row r="159" spans="1:11" ht="12.75" hidden="1" customHeight="1" x14ac:dyDescent="0.2"/>
    <row r="160" spans="1:11"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spans="1:6" ht="12.75" hidden="1" customHeight="1" x14ac:dyDescent="0.2"/>
    <row r="290" spans="1:6" ht="12.75" hidden="1" customHeight="1" x14ac:dyDescent="0.2"/>
    <row r="291" spans="1:6" ht="12.75" hidden="1" customHeight="1" x14ac:dyDescent="0.2"/>
    <row r="292" spans="1:6" ht="12.75" hidden="1" customHeight="1" x14ac:dyDescent="0.2"/>
    <row r="293" spans="1:6" ht="12.75" hidden="1" customHeight="1" x14ac:dyDescent="0.2"/>
    <row r="294" spans="1:6" ht="12.75" hidden="1" customHeight="1" x14ac:dyDescent="0.2"/>
    <row r="295" spans="1:6" ht="12.75" hidden="1" customHeight="1" x14ac:dyDescent="0.2"/>
    <row r="296" spans="1:6" ht="12.75" hidden="1" customHeight="1" x14ac:dyDescent="0.2"/>
    <row r="297" spans="1:6" ht="12.75" hidden="1" customHeight="1" x14ac:dyDescent="0.2"/>
    <row r="298" spans="1:6" ht="12.75" hidden="1" customHeight="1" x14ac:dyDescent="0.2"/>
    <row r="299" spans="1:6" hidden="1" x14ac:dyDescent="0.2">
      <c r="A299" s="158"/>
      <c r="B299" s="158"/>
      <c r="C299" s="229"/>
      <c r="F299" s="649"/>
    </row>
    <row r="300" spans="1:6" x14ac:dyDescent="0.2">
      <c r="A300" s="351">
        <v>1</v>
      </c>
      <c r="B300" s="402" t="str">
        <f>IFERROR(INDEX(J$100:J$300,MATCH(A300&amp;". koht",J$101:J$301,0)),"")</f>
        <v>Kenneth Muusikus, Urmas Jõeäär</v>
      </c>
      <c r="C300" s="323"/>
      <c r="F300" s="649"/>
    </row>
    <row r="301" spans="1:6" x14ac:dyDescent="0.2">
      <c r="A301" s="351">
        <v>2</v>
      </c>
      <c r="B301" s="402" t="str">
        <f t="shared" ref="B301:B311" si="15">IFERROR(INDEX(J$100:J$300,MATCH(A301&amp;". koht",J$101:J$301,0)),"")</f>
        <v>Olav Türk, Sirje Maala</v>
      </c>
      <c r="C301" s="323"/>
      <c r="F301" s="649"/>
    </row>
    <row r="302" spans="1:6" x14ac:dyDescent="0.2">
      <c r="A302" s="351">
        <v>3</v>
      </c>
      <c r="B302" s="402" t="str">
        <f t="shared" si="15"/>
        <v>Hillar Neiland, Kaspar Mänd</v>
      </c>
      <c r="C302" s="323"/>
      <c r="F302" s="649"/>
    </row>
    <row r="303" spans="1:6" x14ac:dyDescent="0.2">
      <c r="A303" s="351">
        <v>4</v>
      </c>
      <c r="B303" s="402" t="str">
        <f t="shared" si="15"/>
        <v>Jaan Sepp, Sander Rose</v>
      </c>
      <c r="C303" s="323"/>
      <c r="F303" s="649"/>
    </row>
    <row r="304" spans="1:6" x14ac:dyDescent="0.2">
      <c r="A304" s="351">
        <v>5</v>
      </c>
      <c r="B304" s="402" t="str">
        <f t="shared" si="15"/>
        <v>Jaan Saar, Peep Peenema</v>
      </c>
      <c r="C304" s="323"/>
      <c r="F304" s="649"/>
    </row>
    <row r="305" spans="1:6" x14ac:dyDescent="0.2">
      <c r="A305" s="351">
        <v>6</v>
      </c>
      <c r="B305" s="402" t="str">
        <f t="shared" si="15"/>
        <v>Andres Veski, Svetlana Veski</v>
      </c>
      <c r="C305" s="323"/>
      <c r="F305" s="649"/>
    </row>
    <row r="306" spans="1:6" x14ac:dyDescent="0.2">
      <c r="A306" s="351">
        <v>7</v>
      </c>
      <c r="B306" s="402" t="str">
        <f t="shared" si="15"/>
        <v>Boriss Klubov, Elmo Lageda</v>
      </c>
      <c r="C306" s="323"/>
      <c r="F306" s="649"/>
    </row>
    <row r="307" spans="1:6" x14ac:dyDescent="0.2">
      <c r="A307" s="351">
        <v>8</v>
      </c>
      <c r="B307" s="402" t="str">
        <f t="shared" si="15"/>
        <v>Ljudmila Varendi, Viktor Švarõgin</v>
      </c>
      <c r="C307" s="323"/>
      <c r="F307" s="649"/>
    </row>
    <row r="308" spans="1:6" x14ac:dyDescent="0.2">
      <c r="A308" s="351">
        <v>9</v>
      </c>
      <c r="B308" s="402" t="str">
        <f t="shared" si="15"/>
        <v>Ivar Viljaste, Sirje Viljaste</v>
      </c>
      <c r="C308" s="323"/>
    </row>
    <row r="309" spans="1:6" x14ac:dyDescent="0.2">
      <c r="A309" s="351">
        <v>10</v>
      </c>
      <c r="B309" s="402" t="str">
        <f t="shared" si="15"/>
        <v>Kristel Tihhonjuk, Vadim Tihhonjuk</v>
      </c>
      <c r="C309" s="323"/>
    </row>
    <row r="310" spans="1:6" x14ac:dyDescent="0.2">
      <c r="A310" s="351">
        <v>11</v>
      </c>
      <c r="B310" s="402" t="str">
        <f t="shared" si="15"/>
        <v>Enn Tokman, Illar Tõnurist, Johannes Neiland</v>
      </c>
      <c r="C310" s="323"/>
    </row>
    <row r="311" spans="1:6" x14ac:dyDescent="0.2">
      <c r="A311" s="351">
        <v>12</v>
      </c>
      <c r="B311" s="402" t="str">
        <f t="shared" si="15"/>
        <v>Liidia Põllu, Veronika Pirk</v>
      </c>
      <c r="C311" s="323"/>
    </row>
  </sheetData>
  <conditionalFormatting sqref="AJ7:AJ18 AH7:AH18 AL7:AL18">
    <cfRule type="expression" dxfId="1287" priority="124">
      <formula>AND(AG7="",FIND(",",AH7))</formula>
    </cfRule>
    <cfRule type="expression" dxfId="1286" priority="126">
      <formula>AND(AG7="",COUNTIF(AH7,"*,*")=0)</formula>
    </cfRule>
  </conditionalFormatting>
  <conditionalFormatting sqref="AF7:AF18">
    <cfRule type="expression" dxfId="1285" priority="125">
      <formula>AND(AE7="",COUNTIF(AF7,"*,*")=0)</formula>
    </cfRule>
  </conditionalFormatting>
  <conditionalFormatting sqref="AN7:AN18 AP7:AP18">
    <cfRule type="expression" dxfId="1284" priority="122">
      <formula>AND(AM7="",COUNTIF(AN7,"*,*")=0)</formula>
    </cfRule>
    <cfRule type="expression" dxfId="1283" priority="123">
      <formula>AND(AM7="",FIND(",",AN7))</formula>
    </cfRule>
  </conditionalFormatting>
  <conditionalFormatting sqref="A7:A18">
    <cfRule type="duplicateValues" dxfId="1282" priority="121"/>
  </conditionalFormatting>
  <conditionalFormatting sqref="B300:B311">
    <cfRule type="expression" dxfId="1281" priority="127">
      <formula>A300=3</formula>
    </cfRule>
    <cfRule type="expression" dxfId="1280" priority="128">
      <formula>A300=2</formula>
    </cfRule>
    <cfRule type="expression" dxfId="1279" priority="129">
      <formula>A300=1</formula>
    </cfRule>
    <cfRule type="containsBlanks" dxfId="1278" priority="130">
      <formula>LEN(TRIM(B300))=0</formula>
    </cfRule>
    <cfRule type="duplicateValues" dxfId="1277" priority="131"/>
  </conditionalFormatting>
  <conditionalFormatting sqref="I110 I112">
    <cfRule type="containsBlanks" dxfId="1276" priority="56">
      <formula>LEN(TRIM(I110))=0</formula>
    </cfRule>
  </conditionalFormatting>
  <conditionalFormatting sqref="I103:K115 B100:G101 E102:G102 B115:D115 B102:C114 H102:H114 B116:G118 B119:C132 H119:K132 B135:G135 B136:C149 H136:K149">
    <cfRule type="containsText" dxfId="1275" priority="64" operator="containsText" text="I-Viru">
      <formula>NOT(ISERROR(SEARCH("I-Viru",B100)))</formula>
    </cfRule>
  </conditionalFormatting>
  <conditionalFormatting sqref="C102 C104">
    <cfRule type="containsBlanks" dxfId="1274" priority="60">
      <formula>LEN(TRIM(C102))=0</formula>
    </cfRule>
    <cfRule type="aboveAverage" dxfId="1273" priority="61"/>
  </conditionalFormatting>
  <conditionalFormatting sqref="C106 C108">
    <cfRule type="containsBlanks" dxfId="1272" priority="58">
      <formula>LEN(TRIM(C106))=0</formula>
    </cfRule>
    <cfRule type="aboveAverage" dxfId="1271" priority="59"/>
  </conditionalFormatting>
  <conditionalFormatting sqref="I110 I112">
    <cfRule type="aboveAverage" dxfId="1270" priority="57"/>
  </conditionalFormatting>
  <conditionalFormatting sqref="C119 C121">
    <cfRule type="containsBlanks" dxfId="1269" priority="54">
      <formula>LEN(TRIM(C119))=0</formula>
    </cfRule>
    <cfRule type="aboveAverage" dxfId="1268" priority="55"/>
  </conditionalFormatting>
  <conditionalFormatting sqref="C123 C125">
    <cfRule type="containsBlanks" dxfId="1267" priority="52">
      <formula>LEN(TRIM(C123))=0</formula>
    </cfRule>
    <cfRule type="aboveAverage" dxfId="1266" priority="53"/>
  </conditionalFormatting>
  <conditionalFormatting sqref="I103 I107">
    <cfRule type="containsBlanks" dxfId="1265" priority="62">
      <formula>LEN(TRIM(I103))=0</formula>
    </cfRule>
    <cfRule type="aboveAverage" dxfId="1264" priority="63"/>
  </conditionalFormatting>
  <conditionalFormatting sqref="I127 I129">
    <cfRule type="aboveAverage" dxfId="1263" priority="49"/>
  </conditionalFormatting>
  <conditionalFormatting sqref="I127 I129">
    <cfRule type="containsBlanks" dxfId="1262" priority="48">
      <formula>LEN(TRIM(I127))=0</formula>
    </cfRule>
  </conditionalFormatting>
  <conditionalFormatting sqref="I120 I124">
    <cfRule type="containsBlanks" dxfId="1261" priority="50">
      <formula>LEN(TRIM(I120))=0</formula>
    </cfRule>
    <cfRule type="aboveAverage" dxfId="1260" priority="51"/>
  </conditionalFormatting>
  <conditionalFormatting sqref="A102:A108">
    <cfRule type="cellIs" dxfId="1259" priority="46" operator="equal">
      <formula>"-"</formula>
    </cfRule>
    <cfRule type="duplicateValues" dxfId="1258" priority="47"/>
  </conditionalFormatting>
  <conditionalFormatting sqref="A119:A125">
    <cfRule type="cellIs" dxfId="1257" priority="44" operator="equal">
      <formula>"-"</formula>
    </cfRule>
    <cfRule type="duplicateValues" dxfId="1256" priority="45"/>
  </conditionalFormatting>
  <conditionalFormatting sqref="C136 C138">
    <cfRule type="containsBlanks" dxfId="1255" priority="41">
      <formula>LEN(TRIM(C136))=0</formula>
    </cfRule>
    <cfRule type="aboveAverage" dxfId="1254" priority="42"/>
  </conditionalFormatting>
  <conditionalFormatting sqref="C140 C142">
    <cfRule type="containsBlanks" dxfId="1253" priority="39">
      <formula>LEN(TRIM(C140))=0</formula>
    </cfRule>
    <cfRule type="aboveAverage" dxfId="1252" priority="40"/>
  </conditionalFormatting>
  <conditionalFormatting sqref="I144 I146">
    <cfRule type="aboveAverage" dxfId="1251" priority="36"/>
  </conditionalFormatting>
  <conditionalFormatting sqref="I144 I146">
    <cfRule type="containsBlanks" dxfId="1250" priority="35">
      <formula>LEN(TRIM(I144))=0</formula>
    </cfRule>
  </conditionalFormatting>
  <conditionalFormatting sqref="I137 I141">
    <cfRule type="containsBlanks" dxfId="1249" priority="37">
      <formula>LEN(TRIM(I137))=0</formula>
    </cfRule>
    <cfRule type="aboveAverage" dxfId="1248" priority="38"/>
  </conditionalFormatting>
  <conditionalFormatting sqref="A136:A142">
    <cfRule type="cellIs" dxfId="1247" priority="33" operator="equal">
      <formula>"-"</formula>
    </cfRule>
    <cfRule type="duplicateValues" dxfId="1246" priority="34"/>
  </conditionalFormatting>
  <conditionalFormatting sqref="C7:C18">
    <cfRule type="expression" dxfId="1245" priority="15">
      <formula>IF($C7&gt;$E7,TRUE)</formula>
    </cfRule>
  </conditionalFormatting>
  <conditionalFormatting sqref="E7:E18">
    <cfRule type="expression" dxfId="1244" priority="16">
      <formula>IF($C7&lt;$E7,TRUE)</formula>
    </cfRule>
  </conditionalFormatting>
  <conditionalFormatting sqref="K7:K18">
    <cfRule type="expression" dxfId="1243" priority="23">
      <formula>IF($K7&gt;$M7,TRUE)</formula>
    </cfRule>
  </conditionalFormatting>
  <conditionalFormatting sqref="M7:M18">
    <cfRule type="expression" dxfId="1242" priority="24">
      <formula>IF($K7&lt;$M7,TRUE)</formula>
    </cfRule>
  </conditionalFormatting>
  <conditionalFormatting sqref="O7:O18">
    <cfRule type="expression" dxfId="1241" priority="27">
      <formula>IF($O7&gt;$Q7,TRUE)</formula>
    </cfRule>
  </conditionalFormatting>
  <conditionalFormatting sqref="Q7:Q18">
    <cfRule type="expression" dxfId="1240" priority="28">
      <formula>IF($O7&lt;$Q7,TRUE)</formula>
    </cfRule>
  </conditionalFormatting>
  <conditionalFormatting sqref="S7:S18">
    <cfRule type="expression" dxfId="1239" priority="31">
      <formula>IF($S7&gt;$U7,TRUE)</formula>
    </cfRule>
  </conditionalFormatting>
  <conditionalFormatting sqref="U7:U18">
    <cfRule type="expression" dxfId="1238" priority="32">
      <formula>IF($S7&lt;$U7,TRUE)</formula>
    </cfRule>
  </conditionalFormatting>
  <conditionalFormatting sqref="G7:G18">
    <cfRule type="expression" dxfId="1237" priority="19">
      <formula>IF($G7&gt;$I7,TRUE)</formula>
    </cfRule>
  </conditionalFormatting>
  <conditionalFormatting sqref="I7:I18">
    <cfRule type="expression" dxfId="1236" priority="20">
      <formula>IF($G7&lt;$I7,TRUE)</formula>
    </cfRule>
  </conditionalFormatting>
  <conditionalFormatting sqref="F7:F18">
    <cfRule type="containsText" dxfId="1235" priority="6" operator="containsText" text="vaba voor">
      <formula>NOT(ISERROR(SEARCH("vaba voor",F7)))</formula>
    </cfRule>
  </conditionalFormatting>
  <conditionalFormatting sqref="N7:N18">
    <cfRule type="containsText" dxfId="1234" priority="4" operator="containsText" text="vaba voor">
      <formula>NOT(ISERROR(SEARCH("vaba voor",N7)))</formula>
    </cfRule>
  </conditionalFormatting>
  <conditionalFormatting sqref="R7:R18">
    <cfRule type="containsText" dxfId="1233" priority="7" operator="containsText" text="vaba voor">
      <formula>NOT(ISERROR(SEARCH("vaba voor",R7)))</formula>
    </cfRule>
  </conditionalFormatting>
  <conditionalFormatting sqref="V7:V18">
    <cfRule type="containsText" dxfId="1232" priority="3" operator="containsText" text="vaba voor">
      <formula>NOT(ISERROR(SEARCH("vaba voor",V7)))</formula>
    </cfRule>
  </conditionalFormatting>
  <conditionalFormatting sqref="J7:J18">
    <cfRule type="containsText" dxfId="1231" priority="5" operator="containsText" text="vaba voor">
      <formula>NOT(ISERROR(SEARCH("vaba voor",J7)))</formula>
    </cfRule>
  </conditionalFormatting>
  <conditionalFormatting sqref="C7:F18">
    <cfRule type="expression" dxfId="1230" priority="11">
      <formula>IF(AND(ISNUMBER($C7),$C7=$E7),TRUE)</formula>
    </cfRule>
    <cfRule type="expression" dxfId="1229" priority="13">
      <formula>IF($C7&gt;$E7,TRUE)</formula>
    </cfRule>
    <cfRule type="expression" dxfId="1228" priority="14">
      <formula>IF($C7&lt;$E7,TRUE)</formula>
    </cfRule>
  </conditionalFormatting>
  <conditionalFormatting sqref="G7:J18">
    <cfRule type="expression" dxfId="1227" priority="12">
      <formula>IF(AND(ISNUMBER($G7),$G7=$I7),TRUE)</formula>
    </cfRule>
    <cfRule type="expression" dxfId="1226" priority="17">
      <formula>IF($G7&gt;$I7,TRUE)</formula>
    </cfRule>
    <cfRule type="expression" dxfId="1225" priority="18">
      <formula>IF($G7&lt;$I7,TRUE)</formula>
    </cfRule>
  </conditionalFormatting>
  <conditionalFormatting sqref="K7:N18">
    <cfRule type="expression" dxfId="1224" priority="10">
      <formula>IF(AND(ISNUMBER($K7),$K7=$M7),TRUE)</formula>
    </cfRule>
    <cfRule type="expression" dxfId="1223" priority="21">
      <formula>IF($K7&gt;$M7,TRUE)</formula>
    </cfRule>
    <cfRule type="expression" dxfId="1222" priority="22">
      <formula>IF($K7&lt;$M7,TRUE)</formula>
    </cfRule>
  </conditionalFormatting>
  <conditionalFormatting sqref="O7:R18">
    <cfRule type="expression" dxfId="1221" priority="9">
      <formula>IF(AND(ISNUMBER($O7),$O7=$Q7),TRUE)</formula>
    </cfRule>
    <cfRule type="expression" dxfId="1220" priority="25">
      <formula>IF($O7&gt;$Q7,TRUE)</formula>
    </cfRule>
    <cfRule type="expression" dxfId="1219" priority="26">
      <formula>IF($O7&lt;$Q7,TRUE)</formula>
    </cfRule>
  </conditionalFormatting>
  <conditionalFormatting sqref="S7:V18">
    <cfRule type="expression" dxfId="1218" priority="8">
      <formula>IF(AND(ISNUMBER($S7),$S7=$U7),TRUE)</formula>
    </cfRule>
    <cfRule type="expression" dxfId="1217" priority="29">
      <formula>IF($S7&gt;$U7,TRUE)</formula>
    </cfRule>
    <cfRule type="expression" dxfId="1216" priority="30">
      <formula>IF($S7&lt;$U7,TRUE)</formula>
    </cfRule>
  </conditionalFormatting>
  <conditionalFormatting sqref="C7:C18 G7:G18 K7:K18 O7:O18 S7:S18">
    <cfRule type="expression" dxfId="1215" priority="1">
      <formula>AND(C7=0,E7=13)</formula>
    </cfRule>
  </conditionalFormatting>
  <conditionalFormatting sqref="E7:E18 I7:I18 M7:M18 Q7:Q18 U7:U18">
    <cfRule type="expression" dxfId="1214" priority="2">
      <formula>AND(E7=0,C7=13)</formula>
    </cfRule>
  </conditionalFormatting>
  <pageMargins left="0.6692913385826772" right="0.39370078740157483" top="0.78740157480314965" bottom="0.39370078740157483" header="0.78740157480314965" footer="0"/>
  <pageSetup paperSize="9" fitToHeight="0" orientation="landscape" verticalDpi="1200" r:id="rId1"/>
  <headerFooter>
    <oddHeader>&amp;R&amp;P. leht &amp;N&amp; -st</oddHeader>
  </headerFooter>
  <rowBreaks count="2" manualBreakCount="2">
    <brk id="115" max="16383" man="1"/>
    <brk id="149"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12"/>
  <sheetViews>
    <sheetView showGridLines="0" showRowColHeaders="0" workbookViewId="0">
      <pane ySplit="1" topLeftCell="A2" activePane="bottomLeft" state="frozen"/>
      <selection pane="bottomLeft" activeCell="A5" sqref="A5"/>
    </sheetView>
  </sheetViews>
  <sheetFormatPr defaultRowHeight="12.75" x14ac:dyDescent="0.2"/>
  <cols>
    <col min="1" max="1" width="4.7109375" style="1" customWidth="1"/>
    <col min="2" max="2" width="35.57031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26.140625" style="1" hidden="1" customWidth="1"/>
    <col min="35" max="35" width="9.140625" style="1" hidden="1" customWidth="1"/>
    <col min="36" max="36" width="18.28515625" style="1" hidden="1" customWidth="1"/>
    <col min="37" max="37" width="9.140625" style="1" hidden="1" customWidth="1"/>
    <col min="38" max="38" width="15.2851562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UPPER((Kalend!E21)&amp;" - "&amp;(Kalend!C21))&amp;" - "&amp;LOWER(Kalend!D21)&amp;" - "&amp;(Kalend!A21)&amp;" kell "&amp;(Kalend!B21)&amp;" - "&amp;(Kalend!F21)</f>
        <v>V9 - VOKA V SISE-KV 9. ETAPP - duo - P, 12.03.2023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413</v>
      </c>
      <c r="C7" s="392">
        <v>13</v>
      </c>
      <c r="D7" s="393" t="s">
        <v>302</v>
      </c>
      <c r="E7" s="394">
        <v>7</v>
      </c>
      <c r="F7" s="395" t="s">
        <v>259</v>
      </c>
      <c r="G7" s="392">
        <v>13</v>
      </c>
      <c r="H7" s="393" t="s">
        <v>302</v>
      </c>
      <c r="I7" s="394">
        <v>8</v>
      </c>
      <c r="J7" s="395" t="s">
        <v>318</v>
      </c>
      <c r="K7" s="392" t="s">
        <v>79</v>
      </c>
      <c r="L7" s="393"/>
      <c r="M7" s="394" t="s">
        <v>79</v>
      </c>
      <c r="N7" s="395"/>
      <c r="O7" s="392"/>
      <c r="P7" s="393"/>
      <c r="Q7" s="394"/>
      <c r="R7" s="395"/>
      <c r="S7" s="392"/>
      <c r="T7" s="393" t="s">
        <v>302</v>
      </c>
      <c r="U7" s="394"/>
      <c r="V7" s="395"/>
      <c r="W7" s="396"/>
      <c r="X7" s="397"/>
      <c r="Y7" s="707"/>
      <c r="Z7" s="392"/>
      <c r="AA7" s="393"/>
      <c r="AB7" s="398"/>
      <c r="AC7" s="399"/>
      <c r="AD7" s="233">
        <f>SUM(AE7:AP7)</f>
        <v>226</v>
      </c>
      <c r="AE7" s="234">
        <f>IFERROR(INDEX(V!$R:$R,MATCH(AF7,V!$L:$L,0)),"")</f>
        <v>160</v>
      </c>
      <c r="AF7" s="235" t="str">
        <f>IFERROR(LEFT($B7,(FIND(",",$B7,1)-1)),"")</f>
        <v>Kenneth Muusikus</v>
      </c>
      <c r="AG7" s="234">
        <f>IFERROR(INDEX(V!$R:$R,MATCH(AH7,V!$L:$L,0)),"")</f>
        <v>66</v>
      </c>
      <c r="AH7" s="235" t="str">
        <f>IFERROR(MID($B7,FIND(", ",$B7)+2,256),"")</f>
        <v>Peep Peenema</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388</v>
      </c>
      <c r="C8" s="392">
        <v>5</v>
      </c>
      <c r="D8" s="393" t="s">
        <v>302</v>
      </c>
      <c r="E8" s="394">
        <v>13</v>
      </c>
      <c r="F8" s="395" t="s">
        <v>393</v>
      </c>
      <c r="G8" s="392">
        <v>13</v>
      </c>
      <c r="H8" s="393" t="s">
        <v>302</v>
      </c>
      <c r="I8" s="394">
        <v>1</v>
      </c>
      <c r="J8" s="395" t="s">
        <v>259</v>
      </c>
      <c r="K8" s="392" t="s">
        <v>79</v>
      </c>
      <c r="L8" s="393"/>
      <c r="M8" s="394" t="s">
        <v>79</v>
      </c>
      <c r="N8" s="395"/>
      <c r="O8" s="392"/>
      <c r="P8" s="393"/>
      <c r="Q8" s="394"/>
      <c r="R8" s="395"/>
      <c r="S8" s="392"/>
      <c r="T8" s="393" t="s">
        <v>302</v>
      </c>
      <c r="U8" s="394"/>
      <c r="V8" s="395"/>
      <c r="W8" s="396"/>
      <c r="X8" s="397"/>
      <c r="Y8" s="707"/>
      <c r="Z8" s="392"/>
      <c r="AA8" s="393"/>
      <c r="AB8" s="398"/>
      <c r="AC8" s="399"/>
      <c r="AD8" s="233">
        <f t="shared" ref="AD8:AD11" si="0">SUM(AE8:AL8)</f>
        <v>124</v>
      </c>
      <c r="AE8" s="234">
        <f>IFERROR(INDEX(V!$R:$R,MATCH(AF8,V!$L:$L,0)),"")</f>
        <v>58</v>
      </c>
      <c r="AF8" s="235" t="str">
        <f t="shared" ref="AF8:AF19" si="1">IFERROR(LEFT($B8,(FIND(",",$B8,1)-1)),"")</f>
        <v>Kristel Tihhonjuk</v>
      </c>
      <c r="AG8" s="234">
        <f>IFERROR(INDEX(V!$R:$R,MATCH(AH8,V!$L:$L,0)),"")</f>
        <v>66</v>
      </c>
      <c r="AH8" s="235" t="str">
        <f t="shared" ref="AH8:AH19" si="2">IFERROR(MID($B8,FIND(", ",$B8)+2,256),"")</f>
        <v>Vadim Tihhonjuk</v>
      </c>
      <c r="AI8" s="234" t="str">
        <f>IFERROR(INDEX(V!$R:$R,MATCH(AJ8,V!$L:$L,0)),"")</f>
        <v/>
      </c>
      <c r="AJ8" s="235" t="str">
        <f t="shared" ref="AJ8:AJ19" si="3">IFERROR(MID($B8,FIND("^",SUBSTITUTE($B8,", ","^",1))+2,FIND("^",SUBSTITUTE($B8,", ","^",2))-FIND("^",SUBSTITUTE($B8,", ","^",1))-2),"")</f>
        <v/>
      </c>
      <c r="AK8" s="234" t="str">
        <f>IFERROR(INDEX(V!$R:$R,MATCH(AL8,V!$L:$L,0)),"")</f>
        <v/>
      </c>
      <c r="AL8" s="235" t="str">
        <f t="shared" ref="AL8:AL19" si="4">IFERROR(MID($B8,FIND(", ",$B8,FIND(", ",$B8,FIND(", ",$B8))+1)+2,30000),"")</f>
        <v/>
      </c>
      <c r="AM8" s="234" t="str">
        <f>IFERROR(INDEX(V!$R:$R,MATCH(AN8,V!$L:$L,0)),"")</f>
        <v/>
      </c>
      <c r="AN8" s="235" t="str">
        <f t="shared" ref="AN8:AN19" si="5">IFERROR(MID($B8,FIND(", ",$B8,FIND(", ",$B8)+1)+2,FIND(", ",$B8,FIND(", ",$B8,FIND(", ",$B8)+1)+1)-FIND(", ",$B8,FIND(", ",$B8)+1)-2),"")</f>
        <v/>
      </c>
      <c r="AO8" s="234" t="str">
        <f>IFERROR(INDEX(V!$R:$R,MATCH(AP8,V!$L:$L,0)),"")</f>
        <v/>
      </c>
      <c r="AP8" s="235" t="str">
        <f t="shared" ref="AP8:AP19" si="6">IFERROR(MID($B8,FIND(", ",$B8,FIND(", ",$B8,FIND(", ",$B8)+1)+1)+2,30000),"")</f>
        <v/>
      </c>
    </row>
    <row r="9" spans="1:42" x14ac:dyDescent="0.2">
      <c r="A9" s="391">
        <v>3</v>
      </c>
      <c r="B9" s="304" t="s">
        <v>435</v>
      </c>
      <c r="C9" s="392">
        <v>13</v>
      </c>
      <c r="D9" s="393" t="s">
        <v>302</v>
      </c>
      <c r="E9" s="394">
        <v>12</v>
      </c>
      <c r="F9" s="395" t="s">
        <v>350</v>
      </c>
      <c r="G9" s="392">
        <v>13</v>
      </c>
      <c r="H9" s="393" t="s">
        <v>302</v>
      </c>
      <c r="I9" s="394">
        <v>2</v>
      </c>
      <c r="J9" s="395" t="s">
        <v>437</v>
      </c>
      <c r="K9" s="392" t="s">
        <v>79</v>
      </c>
      <c r="L9" s="393"/>
      <c r="M9" s="394" t="s">
        <v>79</v>
      </c>
      <c r="N9" s="395"/>
      <c r="O9" s="392"/>
      <c r="P9" s="393"/>
      <c r="Q9" s="394"/>
      <c r="R9" s="395"/>
      <c r="S9" s="392"/>
      <c r="T9" s="393" t="s">
        <v>302</v>
      </c>
      <c r="U9" s="394"/>
      <c r="V9" s="395"/>
      <c r="W9" s="396"/>
      <c r="X9" s="397"/>
      <c r="Y9" s="707"/>
      <c r="Z9" s="392"/>
      <c r="AA9" s="393"/>
      <c r="AB9" s="398"/>
      <c r="AC9" s="399"/>
      <c r="AD9" s="233">
        <f t="shared" si="0"/>
        <v>134</v>
      </c>
      <c r="AE9" s="234">
        <f>IFERROR(INDEX(V!$R:$R,MATCH(AF9,V!$L:$L,0)),"")</f>
        <v>50</v>
      </c>
      <c r="AF9" s="235" t="str">
        <f t="shared" si="1"/>
        <v>Illar Tõnurist</v>
      </c>
      <c r="AG9" s="234">
        <f>IFERROR(INDEX(V!$R:$R,MATCH(AH9,V!$L:$L,0)),"")</f>
        <v>84</v>
      </c>
      <c r="AH9" s="235" t="str">
        <f t="shared" si="2"/>
        <v>Jaan Saar</v>
      </c>
      <c r="AI9" s="234" t="str">
        <f>IFERROR(INDEX(V!$R:$R,MATCH(AJ9,V!$L:$L,0)),"")</f>
        <v/>
      </c>
      <c r="AJ9" s="235" t="str">
        <f t="shared" si="3"/>
        <v/>
      </c>
      <c r="AK9" s="234" t="str">
        <f>IFERROR(INDEX(V!$R:$R,MATCH(AL9,V!$L:$L,0)),"")</f>
        <v/>
      </c>
      <c r="AL9" s="235" t="str">
        <f t="shared" si="4"/>
        <v/>
      </c>
      <c r="AM9" s="234" t="str">
        <f>IFERROR(INDEX(V!$R:$R,MATCH(AN9,V!$L:$L,0)),"")</f>
        <v/>
      </c>
      <c r="AN9" s="235" t="str">
        <f t="shared" si="5"/>
        <v/>
      </c>
      <c r="AO9" s="234" t="str">
        <f>IFERROR(INDEX(V!$R:$R,MATCH(AP9,V!$L:$L,0)),"")</f>
        <v/>
      </c>
      <c r="AP9" s="235" t="str">
        <f t="shared" si="6"/>
        <v/>
      </c>
    </row>
    <row r="10" spans="1:42" x14ac:dyDescent="0.2">
      <c r="A10" s="391">
        <v>4</v>
      </c>
      <c r="B10" s="304" t="s">
        <v>353</v>
      </c>
      <c r="C10" s="392">
        <v>13</v>
      </c>
      <c r="D10" s="393" t="s">
        <v>302</v>
      </c>
      <c r="E10" s="394">
        <v>7</v>
      </c>
      <c r="F10" s="395" t="s">
        <v>348</v>
      </c>
      <c r="G10" s="392">
        <v>13</v>
      </c>
      <c r="H10" s="393" t="s">
        <v>302</v>
      </c>
      <c r="I10" s="394">
        <v>9</v>
      </c>
      <c r="J10" s="395" t="s">
        <v>350</v>
      </c>
      <c r="K10" s="392" t="s">
        <v>79</v>
      </c>
      <c r="L10" s="393"/>
      <c r="M10" s="394" t="s">
        <v>79</v>
      </c>
      <c r="N10" s="395"/>
      <c r="O10" s="392"/>
      <c r="P10" s="393"/>
      <c r="Q10" s="394"/>
      <c r="R10" s="395"/>
      <c r="S10" s="392"/>
      <c r="T10" s="393" t="s">
        <v>302</v>
      </c>
      <c r="U10" s="394"/>
      <c r="V10" s="395"/>
      <c r="W10" s="396"/>
      <c r="X10" s="397"/>
      <c r="Y10" s="707"/>
      <c r="Z10" s="392"/>
      <c r="AA10" s="393"/>
      <c r="AB10" s="398"/>
      <c r="AC10" s="399"/>
      <c r="AD10" s="233">
        <f t="shared" si="0"/>
        <v>186</v>
      </c>
      <c r="AE10" s="234">
        <f>IFERROR(INDEX(V!$R:$R,MATCH(AF10,V!$L:$L,0)),"")</f>
        <v>102</v>
      </c>
      <c r="AF10" s="235" t="str">
        <f t="shared" si="1"/>
        <v>Hillar Neiland</v>
      </c>
      <c r="AG10" s="234">
        <f>IFERROR(INDEX(V!$R:$R,MATCH(AH10,V!$L:$L,0)),"")</f>
        <v>84</v>
      </c>
      <c r="AH10" s="235" t="str">
        <f t="shared" si="2"/>
        <v>Kaspar Mänd</v>
      </c>
      <c r="AI10" s="234" t="str">
        <f>IFERROR(INDEX(V!$R:$R,MATCH(AJ10,V!$L:$L,0)),"")</f>
        <v/>
      </c>
      <c r="AJ10" s="235" t="str">
        <f t="shared" si="3"/>
        <v/>
      </c>
      <c r="AK10" s="234" t="str">
        <f>IFERROR(INDEX(V!$R:$R,MATCH(AL10,V!$L:$L,0)),"")</f>
        <v/>
      </c>
      <c r="AL10" s="235" t="str">
        <f t="shared" si="4"/>
        <v/>
      </c>
      <c r="AM10" s="234" t="str">
        <f>IFERROR(INDEX(V!$R:$R,MATCH(AN10,V!$L:$L,0)),"")</f>
        <v/>
      </c>
      <c r="AN10" s="235" t="str">
        <f t="shared" si="5"/>
        <v/>
      </c>
      <c r="AO10" s="234" t="str">
        <f>IFERROR(INDEX(V!$R:$R,MATCH(AP10,V!$L:$L,0)),"")</f>
        <v/>
      </c>
      <c r="AP10" s="235" t="str">
        <f t="shared" si="6"/>
        <v/>
      </c>
    </row>
    <row r="11" spans="1:42" x14ac:dyDescent="0.2">
      <c r="A11" s="391">
        <v>5</v>
      </c>
      <c r="B11" s="284" t="s">
        <v>436</v>
      </c>
      <c r="C11" s="392">
        <v>5</v>
      </c>
      <c r="D11" s="393" t="s">
        <v>302</v>
      </c>
      <c r="E11" s="394">
        <v>13</v>
      </c>
      <c r="F11" s="395" t="s">
        <v>387</v>
      </c>
      <c r="G11" s="392">
        <v>13</v>
      </c>
      <c r="H11" s="393" t="s">
        <v>302</v>
      </c>
      <c r="I11" s="394">
        <v>7</v>
      </c>
      <c r="J11" s="395" t="s">
        <v>348</v>
      </c>
      <c r="K11" s="392" t="s">
        <v>79</v>
      </c>
      <c r="L11" s="393"/>
      <c r="M11" s="394" t="s">
        <v>79</v>
      </c>
      <c r="N11" s="395"/>
      <c r="O11" s="392"/>
      <c r="P11" s="393"/>
      <c r="Q11" s="394"/>
      <c r="R11" s="395"/>
      <c r="S11" s="392"/>
      <c r="T11" s="393" t="s">
        <v>302</v>
      </c>
      <c r="U11" s="394"/>
      <c r="V11" s="395"/>
      <c r="W11" s="396"/>
      <c r="X11" s="397"/>
      <c r="Y11" s="707"/>
      <c r="Z11" s="392"/>
      <c r="AA11" s="393"/>
      <c r="AB11" s="398"/>
      <c r="AC11" s="399"/>
      <c r="AD11" s="233">
        <f t="shared" si="0"/>
        <v>138</v>
      </c>
      <c r="AE11" s="234">
        <f>IFERROR(INDEX(V!$R:$R,MATCH(AF11,V!$L:$L,0)),"")</f>
        <v>36</v>
      </c>
      <c r="AF11" s="235" t="str">
        <f t="shared" si="1"/>
        <v>Ivar Viljaste</v>
      </c>
      <c r="AG11" s="234">
        <f>IFERROR(INDEX(V!$R:$R,MATCH(AH11,V!$L:$L,0)),"")</f>
        <v>102</v>
      </c>
      <c r="AH11" s="235" t="str">
        <f t="shared" si="2"/>
        <v>Matti Vinni</v>
      </c>
      <c r="AI11" s="234" t="str">
        <f>IFERROR(INDEX(V!$R:$R,MATCH(AJ11,V!$L:$L,0)),"")</f>
        <v/>
      </c>
      <c r="AJ11" s="235" t="str">
        <f t="shared" si="3"/>
        <v/>
      </c>
      <c r="AK11" s="234" t="str">
        <f>IFERROR(INDEX(V!$R:$R,MATCH(AL11,V!$L:$L,0)),"")</f>
        <v/>
      </c>
      <c r="AL11" s="235" t="str">
        <f t="shared" si="4"/>
        <v/>
      </c>
      <c r="AM11" s="234" t="str">
        <f>IFERROR(INDEX(V!$R:$R,MATCH(AN11,V!$L:$L,0)),"")</f>
        <v/>
      </c>
      <c r="AN11" s="235" t="str">
        <f t="shared" si="5"/>
        <v/>
      </c>
      <c r="AO11" s="234" t="str">
        <f>IFERROR(INDEX(V!$R:$R,MATCH(AP11,V!$L:$L,0)),"")</f>
        <v/>
      </c>
      <c r="AP11" s="235" t="str">
        <f t="shared" si="6"/>
        <v/>
      </c>
    </row>
    <row r="12" spans="1:42" x14ac:dyDescent="0.2">
      <c r="A12" s="391">
        <v>6</v>
      </c>
      <c r="B12" s="304" t="s">
        <v>393</v>
      </c>
      <c r="C12" s="392">
        <v>13</v>
      </c>
      <c r="D12" s="393" t="s">
        <v>302</v>
      </c>
      <c r="E12" s="394">
        <v>5</v>
      </c>
      <c r="F12" s="395" t="s">
        <v>388</v>
      </c>
      <c r="G12" s="392">
        <v>13</v>
      </c>
      <c r="H12" s="393" t="s">
        <v>302</v>
      </c>
      <c r="I12" s="394">
        <v>5</v>
      </c>
      <c r="J12" s="395" t="s">
        <v>387</v>
      </c>
      <c r="K12" s="392" t="s">
        <v>79</v>
      </c>
      <c r="L12" s="393"/>
      <c r="M12" s="394" t="s">
        <v>79</v>
      </c>
      <c r="N12" s="395"/>
      <c r="O12" s="392"/>
      <c r="P12" s="393"/>
      <c r="Q12" s="394"/>
      <c r="R12" s="395"/>
      <c r="S12" s="392"/>
      <c r="T12" s="393" t="s">
        <v>302</v>
      </c>
      <c r="U12" s="394"/>
      <c r="V12" s="395"/>
      <c r="W12" s="396"/>
      <c r="X12" s="397"/>
      <c r="Y12" s="707"/>
      <c r="Z12" s="392"/>
      <c r="AA12" s="393"/>
      <c r="AB12" s="398"/>
      <c r="AC12" s="399"/>
      <c r="AD12" s="233">
        <f t="shared" ref="AD12:AD13" si="7">SUM(AE12:AL12)</f>
        <v>290</v>
      </c>
      <c r="AE12" s="234">
        <f>IFERROR(INDEX(V!$R:$R,MATCH(AF12,V!$L:$L,0)),"")</f>
        <v>160</v>
      </c>
      <c r="AF12" s="235" t="str">
        <f t="shared" si="1"/>
        <v>Olav Türk</v>
      </c>
      <c r="AG12" s="234">
        <f>IFERROR(INDEX(V!$R:$R,MATCH(AH12,V!$L:$L,0)),"")</f>
        <v>130</v>
      </c>
      <c r="AH12" s="235" t="str">
        <f t="shared" si="2"/>
        <v>Sirje Maala</v>
      </c>
      <c r="AI12" s="234" t="str">
        <f>IFERROR(INDEX(V!$R:$R,MATCH(AJ12,V!$L:$L,0)),"")</f>
        <v/>
      </c>
      <c r="AJ12" s="235" t="str">
        <f t="shared" si="3"/>
        <v/>
      </c>
      <c r="AK12" s="234" t="str">
        <f>IFERROR(INDEX(V!$R:$R,MATCH(AL12,V!$L:$L,0)),"")</f>
        <v/>
      </c>
      <c r="AL12" s="235" t="str">
        <f t="shared" si="4"/>
        <v/>
      </c>
      <c r="AM12" s="234" t="str">
        <f>IFERROR(INDEX(V!$R:$R,MATCH(AN12,V!$L:$L,0)),"")</f>
        <v/>
      </c>
      <c r="AN12" s="235" t="str">
        <f t="shared" si="5"/>
        <v/>
      </c>
      <c r="AO12" s="234" t="str">
        <f>IFERROR(INDEX(V!$R:$R,MATCH(AP12,V!$L:$L,0)),"")</f>
        <v/>
      </c>
      <c r="AP12" s="235" t="str">
        <f t="shared" si="6"/>
        <v/>
      </c>
    </row>
    <row r="13" spans="1:42" x14ac:dyDescent="0.2">
      <c r="A13" s="391">
        <v>7</v>
      </c>
      <c r="B13" s="400" t="s">
        <v>387</v>
      </c>
      <c r="C13" s="392">
        <v>13</v>
      </c>
      <c r="D13" s="393" t="s">
        <v>302</v>
      </c>
      <c r="E13" s="394">
        <v>5</v>
      </c>
      <c r="F13" s="395" t="s">
        <v>436</v>
      </c>
      <c r="G13" s="392">
        <v>5</v>
      </c>
      <c r="H13" s="393" t="s">
        <v>302</v>
      </c>
      <c r="I13" s="394">
        <v>13</v>
      </c>
      <c r="J13" s="395" t="s">
        <v>393</v>
      </c>
      <c r="K13" s="392" t="s">
        <v>79</v>
      </c>
      <c r="L13" s="393"/>
      <c r="M13" s="394" t="s">
        <v>79</v>
      </c>
      <c r="N13" s="395"/>
      <c r="O13" s="392"/>
      <c r="P13" s="393"/>
      <c r="Q13" s="394"/>
      <c r="R13" s="395"/>
      <c r="S13" s="392"/>
      <c r="T13" s="393" t="s">
        <v>302</v>
      </c>
      <c r="U13" s="394"/>
      <c r="V13" s="395"/>
      <c r="W13" s="396"/>
      <c r="X13" s="397"/>
      <c r="Y13" s="707"/>
      <c r="Z13" s="392"/>
      <c r="AA13" s="393"/>
      <c r="AB13" s="398"/>
      <c r="AC13" s="399"/>
      <c r="AD13" s="233">
        <f t="shared" si="7"/>
        <v>282</v>
      </c>
      <c r="AE13" s="234">
        <f>IFERROR(INDEX(V!$R:$R,MATCH(AF13,V!$L:$L,0)),"")</f>
        <v>140</v>
      </c>
      <c r="AF13" s="235" t="str">
        <f t="shared" si="1"/>
        <v>Oleg Rõndenkov</v>
      </c>
      <c r="AG13" s="234">
        <f>IFERROR(INDEX(V!$R:$R,MATCH(AH13,V!$L:$L,0)),"")</f>
        <v>142</v>
      </c>
      <c r="AH13" s="235" t="str">
        <f t="shared" si="2"/>
        <v>Sander Rose</v>
      </c>
      <c r="AI13" s="234" t="str">
        <f>IFERROR(INDEX(V!$R:$R,MATCH(AJ13,V!$L:$L,0)),"")</f>
        <v/>
      </c>
      <c r="AJ13" s="235" t="str">
        <f t="shared" si="3"/>
        <v/>
      </c>
      <c r="AK13" s="234" t="str">
        <f>IFERROR(INDEX(V!$R:$R,MATCH(AL13,V!$L:$L,0)),"")</f>
        <v/>
      </c>
      <c r="AL13" s="235" t="str">
        <f t="shared" si="4"/>
        <v/>
      </c>
      <c r="AM13" s="234" t="str">
        <f>IFERROR(INDEX(V!$R:$R,MATCH(AN13,V!$L:$L,0)),"")</f>
        <v/>
      </c>
      <c r="AN13" s="235" t="str">
        <f t="shared" si="5"/>
        <v/>
      </c>
      <c r="AO13" s="234" t="str">
        <f>IFERROR(INDEX(V!$R:$R,MATCH(AP13,V!$L:$L,0)),"")</f>
        <v/>
      </c>
      <c r="AP13" s="235" t="str">
        <f t="shared" si="6"/>
        <v/>
      </c>
    </row>
    <row r="14" spans="1:42" x14ac:dyDescent="0.2">
      <c r="A14" s="391">
        <v>8</v>
      </c>
      <c r="B14" s="304" t="s">
        <v>259</v>
      </c>
      <c r="C14" s="392">
        <v>7</v>
      </c>
      <c r="D14" s="393" t="s">
        <v>302</v>
      </c>
      <c r="E14" s="394">
        <v>13</v>
      </c>
      <c r="F14" s="395" t="s">
        <v>413</v>
      </c>
      <c r="G14" s="392">
        <v>1</v>
      </c>
      <c r="H14" s="393" t="s">
        <v>302</v>
      </c>
      <c r="I14" s="394">
        <v>13</v>
      </c>
      <c r="J14" s="395" t="s">
        <v>388</v>
      </c>
      <c r="K14" s="392" t="s">
        <v>79</v>
      </c>
      <c r="L14" s="393"/>
      <c r="M14" s="394" t="s">
        <v>79</v>
      </c>
      <c r="N14" s="395"/>
      <c r="O14" s="392"/>
      <c r="P14" s="393"/>
      <c r="Q14" s="394"/>
      <c r="R14" s="395"/>
      <c r="S14" s="392"/>
      <c r="T14" s="393" t="s">
        <v>302</v>
      </c>
      <c r="U14" s="394"/>
      <c r="V14" s="395"/>
      <c r="W14" s="396"/>
      <c r="X14" s="397"/>
      <c r="Y14" s="707"/>
      <c r="Z14" s="392"/>
      <c r="AA14" s="393"/>
      <c r="AB14" s="398"/>
      <c r="AC14" s="399"/>
      <c r="AD14" s="233">
        <f t="shared" ref="AD14:AD16" si="8">SUM(AE14:AL14)</f>
        <v>96</v>
      </c>
      <c r="AE14" s="234">
        <f>IFERROR(INDEX(V!$R:$R,MATCH(AF14,V!$L:$L,0)),"")</f>
        <v>48</v>
      </c>
      <c r="AF14" s="235" t="str">
        <f t="shared" si="1"/>
        <v>Ljudmila Varendi</v>
      </c>
      <c r="AG14" s="234">
        <f>IFERROR(INDEX(V!$R:$R,MATCH(AH14,V!$L:$L,0)),"")</f>
        <v>48</v>
      </c>
      <c r="AH14" s="235" t="str">
        <f t="shared" si="2"/>
        <v>Viktor Švarõgin</v>
      </c>
      <c r="AI14" s="234" t="str">
        <f>IFERROR(INDEX(V!$R:$R,MATCH(AJ14,V!$L:$L,0)),"")</f>
        <v/>
      </c>
      <c r="AJ14" s="235" t="str">
        <f t="shared" si="3"/>
        <v/>
      </c>
      <c r="AK14" s="234" t="str">
        <f>IFERROR(INDEX(V!$R:$R,MATCH(AL14,V!$L:$L,0)),"")</f>
        <v/>
      </c>
      <c r="AL14" s="235" t="str">
        <f t="shared" si="4"/>
        <v/>
      </c>
      <c r="AM14" s="234" t="str">
        <f>IFERROR(INDEX(V!$R:$R,MATCH(AN14,V!$L:$L,0)),"")</f>
        <v/>
      </c>
      <c r="AN14" s="235" t="str">
        <f t="shared" si="5"/>
        <v/>
      </c>
      <c r="AO14" s="234" t="str">
        <f>IFERROR(INDEX(V!$R:$R,MATCH(AP14,V!$L:$L,0)),"")</f>
        <v/>
      </c>
      <c r="AP14" s="235" t="str">
        <f t="shared" si="6"/>
        <v/>
      </c>
    </row>
    <row r="15" spans="1:42" x14ac:dyDescent="0.2">
      <c r="A15" s="391">
        <v>9</v>
      </c>
      <c r="B15" s="304" t="s">
        <v>437</v>
      </c>
      <c r="C15" s="392">
        <v>13</v>
      </c>
      <c r="D15" s="393" t="s">
        <v>302</v>
      </c>
      <c r="E15" s="394">
        <v>11</v>
      </c>
      <c r="F15" s="395" t="s">
        <v>355</v>
      </c>
      <c r="G15" s="392">
        <v>2</v>
      </c>
      <c r="H15" s="393" t="s">
        <v>302</v>
      </c>
      <c r="I15" s="394">
        <v>13</v>
      </c>
      <c r="J15" s="395" t="s">
        <v>435</v>
      </c>
      <c r="K15" s="392" t="s">
        <v>79</v>
      </c>
      <c r="L15" s="393"/>
      <c r="M15" s="394" t="s">
        <v>79</v>
      </c>
      <c r="N15" s="395"/>
      <c r="O15" s="392"/>
      <c r="P15" s="393"/>
      <c r="Q15" s="394"/>
      <c r="R15" s="395"/>
      <c r="S15" s="392"/>
      <c r="T15" s="393" t="s">
        <v>302</v>
      </c>
      <c r="U15" s="394"/>
      <c r="V15" s="395"/>
      <c r="W15" s="396"/>
      <c r="X15" s="397"/>
      <c r="Y15" s="707"/>
      <c r="Z15" s="392"/>
      <c r="AA15" s="393"/>
      <c r="AB15" s="398"/>
      <c r="AC15" s="399"/>
      <c r="AD15" s="233">
        <f t="shared" si="8"/>
        <v>132</v>
      </c>
      <c r="AE15" s="234">
        <f>IFERROR(INDEX(V!$R:$R,MATCH(AF15,V!$L:$L,0)),"")</f>
        <v>8</v>
      </c>
      <c r="AF15" s="235" t="str">
        <f t="shared" si="1"/>
        <v>Airi Veski</v>
      </c>
      <c r="AG15" s="234" t="str">
        <f>IFERROR(INDEX(V!$R:$R,MATCH(AH15,V!$L:$L,0)),"")</f>
        <v/>
      </c>
      <c r="AH15" s="235" t="str">
        <f t="shared" si="2"/>
        <v>Andres Veski, Svetlana Veski</v>
      </c>
      <c r="AI15" s="234">
        <f>IFERROR(INDEX(V!$R:$R,MATCH(AJ15,V!$L:$L,0)),"")</f>
        <v>64</v>
      </c>
      <c r="AJ15" s="235" t="str">
        <f t="shared" si="3"/>
        <v>Andres Veski</v>
      </c>
      <c r="AK15" s="234">
        <f>IFERROR(INDEX(V!$R:$R,MATCH(AL15,V!$L:$L,0)),"")</f>
        <v>60</v>
      </c>
      <c r="AL15" s="235" t="str">
        <f t="shared" si="4"/>
        <v>Svetlana Veski</v>
      </c>
      <c r="AM15" s="234" t="str">
        <f>IFERROR(INDEX(V!$R:$R,MATCH(AN15,V!$L:$L,0)),"")</f>
        <v/>
      </c>
      <c r="AN15" s="235" t="str">
        <f t="shared" si="5"/>
        <v/>
      </c>
      <c r="AO15" s="234" t="str">
        <f>IFERROR(INDEX(V!$R:$R,MATCH(AP15,V!$L:$L,0)),"")</f>
        <v/>
      </c>
      <c r="AP15" s="235" t="str">
        <f t="shared" si="6"/>
        <v/>
      </c>
    </row>
    <row r="16" spans="1:42" x14ac:dyDescent="0.2">
      <c r="A16" s="391">
        <v>10</v>
      </c>
      <c r="B16" s="400" t="s">
        <v>318</v>
      </c>
      <c r="C16" s="392">
        <v>13</v>
      </c>
      <c r="D16" s="393" t="s">
        <v>302</v>
      </c>
      <c r="E16" s="394">
        <v>9</v>
      </c>
      <c r="F16" s="395" t="s">
        <v>380</v>
      </c>
      <c r="G16" s="392">
        <v>8</v>
      </c>
      <c r="H16" s="393" t="s">
        <v>302</v>
      </c>
      <c r="I16" s="394">
        <v>13</v>
      </c>
      <c r="J16" s="395" t="s">
        <v>413</v>
      </c>
      <c r="K16" s="392" t="s">
        <v>79</v>
      </c>
      <c r="L16" s="393"/>
      <c r="M16" s="394" t="s">
        <v>79</v>
      </c>
      <c r="N16" s="395"/>
      <c r="O16" s="392"/>
      <c r="P16" s="393"/>
      <c r="Q16" s="394"/>
      <c r="R16" s="395"/>
      <c r="S16" s="392"/>
      <c r="T16" s="393" t="s">
        <v>302</v>
      </c>
      <c r="U16" s="394"/>
      <c r="V16" s="395"/>
      <c r="W16" s="396"/>
      <c r="X16" s="397"/>
      <c r="Y16" s="707"/>
      <c r="Z16" s="392"/>
      <c r="AA16" s="393"/>
      <c r="AB16" s="398"/>
      <c r="AC16" s="399"/>
      <c r="AD16" s="233">
        <f t="shared" si="8"/>
        <v>130</v>
      </c>
      <c r="AE16" s="234">
        <f>IFERROR(INDEX(V!$R:$R,MATCH(AF16,V!$L:$L,0)),"")</f>
        <v>108</v>
      </c>
      <c r="AF16" s="235" t="str">
        <f t="shared" si="1"/>
        <v>Henri Mitt</v>
      </c>
      <c r="AG16" s="234">
        <f>IFERROR(INDEX(V!$R:$R,MATCH(AH16,V!$L:$L,0)),"")</f>
        <v>22</v>
      </c>
      <c r="AH16" s="235" t="str">
        <f t="shared" si="2"/>
        <v>Urmas Randlaine</v>
      </c>
      <c r="AI16" s="234" t="str">
        <f>IFERROR(INDEX(V!$R:$R,MATCH(AJ16,V!$L:$L,0)),"")</f>
        <v/>
      </c>
      <c r="AJ16" s="235" t="str">
        <f t="shared" si="3"/>
        <v/>
      </c>
      <c r="AK16" s="234" t="str">
        <f>IFERROR(INDEX(V!$R:$R,MATCH(AL16,V!$L:$L,0)),"")</f>
        <v/>
      </c>
      <c r="AL16" s="235" t="str">
        <f t="shared" si="4"/>
        <v/>
      </c>
      <c r="AM16" s="234" t="str">
        <f>IFERROR(INDEX(V!$R:$R,MATCH(AN16,V!$L:$L,0)),"")</f>
        <v/>
      </c>
      <c r="AN16" s="235" t="str">
        <f t="shared" si="5"/>
        <v/>
      </c>
      <c r="AO16" s="234" t="str">
        <f>IFERROR(INDEX(V!$R:$R,MATCH(AP16,V!$L:$L,0)),"")</f>
        <v/>
      </c>
      <c r="AP16" s="235" t="str">
        <f t="shared" si="6"/>
        <v/>
      </c>
    </row>
    <row r="17" spans="1:42" x14ac:dyDescent="0.2">
      <c r="A17" s="391">
        <v>11</v>
      </c>
      <c r="B17" s="304" t="s">
        <v>355</v>
      </c>
      <c r="C17" s="392">
        <v>11</v>
      </c>
      <c r="D17" s="393" t="s">
        <v>302</v>
      </c>
      <c r="E17" s="394">
        <v>13</v>
      </c>
      <c r="F17" s="395" t="s">
        <v>437</v>
      </c>
      <c r="G17" s="392">
        <v>13</v>
      </c>
      <c r="H17" s="393" t="s">
        <v>302</v>
      </c>
      <c r="I17" s="394">
        <v>11</v>
      </c>
      <c r="J17" s="395" t="s">
        <v>380</v>
      </c>
      <c r="K17" s="392" t="s">
        <v>79</v>
      </c>
      <c r="L17" s="393"/>
      <c r="M17" s="394" t="s">
        <v>79</v>
      </c>
      <c r="N17" s="395"/>
      <c r="O17" s="392"/>
      <c r="P17" s="393"/>
      <c r="Q17" s="394"/>
      <c r="R17" s="395"/>
      <c r="S17" s="392"/>
      <c r="T17" s="393" t="s">
        <v>302</v>
      </c>
      <c r="U17" s="394"/>
      <c r="V17" s="395"/>
      <c r="W17" s="396"/>
      <c r="X17" s="397"/>
      <c r="Y17" s="707"/>
      <c r="Z17" s="392"/>
      <c r="AA17" s="393"/>
      <c r="AB17" s="398"/>
      <c r="AC17" s="399"/>
      <c r="AD17" s="233">
        <f t="shared" ref="AD17:AD19" si="9">SUM(AE17:AL17)</f>
        <v>152</v>
      </c>
      <c r="AE17" s="234">
        <f>IFERROR(INDEX(V!$R:$R,MATCH(AF17,V!$L:$L,0)),"")</f>
        <v>76</v>
      </c>
      <c r="AF17" s="235" t="str">
        <f t="shared" si="1"/>
        <v>Boriss Klubov</v>
      </c>
      <c r="AG17" s="234">
        <f>IFERROR(INDEX(V!$R:$R,MATCH(AH17,V!$L:$L,0)),"")</f>
        <v>76</v>
      </c>
      <c r="AH17" s="235" t="str">
        <f t="shared" si="2"/>
        <v>Elmo Lageda</v>
      </c>
      <c r="AI17" s="234" t="str">
        <f>IFERROR(INDEX(V!$R:$R,MATCH(AJ17,V!$L:$L,0)),"")</f>
        <v/>
      </c>
      <c r="AJ17" s="235" t="str">
        <f t="shared" si="3"/>
        <v/>
      </c>
      <c r="AK17" s="234" t="str">
        <f>IFERROR(INDEX(V!$R:$R,MATCH(AL17,V!$L:$L,0)),"")</f>
        <v/>
      </c>
      <c r="AL17" s="235" t="str">
        <f t="shared" si="4"/>
        <v/>
      </c>
      <c r="AM17" s="234" t="str">
        <f>IFERROR(INDEX(V!$R:$R,MATCH(AN17,V!$L:$L,0)),"")</f>
        <v/>
      </c>
      <c r="AN17" s="235" t="str">
        <f t="shared" si="5"/>
        <v/>
      </c>
      <c r="AO17" s="234" t="str">
        <f>IFERROR(INDEX(V!$R:$R,MATCH(AP17,V!$L:$L,0)),"")</f>
        <v/>
      </c>
      <c r="AP17" s="235" t="str">
        <f t="shared" si="6"/>
        <v/>
      </c>
    </row>
    <row r="18" spans="1:42" x14ac:dyDescent="0.2">
      <c r="A18" s="391">
        <v>12</v>
      </c>
      <c r="B18" s="304" t="s">
        <v>380</v>
      </c>
      <c r="C18" s="392">
        <v>9</v>
      </c>
      <c r="D18" s="393" t="s">
        <v>302</v>
      </c>
      <c r="E18" s="394">
        <v>13</v>
      </c>
      <c r="F18" s="395" t="s">
        <v>318</v>
      </c>
      <c r="G18" s="392">
        <v>11</v>
      </c>
      <c r="H18" s="393" t="s">
        <v>302</v>
      </c>
      <c r="I18" s="394">
        <v>13</v>
      </c>
      <c r="J18" s="395" t="s">
        <v>355</v>
      </c>
      <c r="K18" s="392" t="s">
        <v>79</v>
      </c>
      <c r="L18" s="393"/>
      <c r="M18" s="394" t="s">
        <v>79</v>
      </c>
      <c r="N18" s="395"/>
      <c r="O18" s="392"/>
      <c r="P18" s="393"/>
      <c r="Q18" s="394"/>
      <c r="R18" s="395"/>
      <c r="S18" s="392"/>
      <c r="T18" s="393" t="s">
        <v>302</v>
      </c>
      <c r="U18" s="394"/>
      <c r="V18" s="395"/>
      <c r="W18" s="396"/>
      <c r="X18" s="397"/>
      <c r="Y18" s="707"/>
      <c r="Z18" s="392"/>
      <c r="AA18" s="393"/>
      <c r="AB18" s="398"/>
      <c r="AC18" s="399"/>
      <c r="AD18" s="233">
        <f t="shared" si="9"/>
        <v>180</v>
      </c>
      <c r="AE18" s="234">
        <f>IFERROR(INDEX(V!$R:$R,MATCH(AF18,V!$L:$L,0)),"")</f>
        <v>86</v>
      </c>
      <c r="AF18" s="235" t="str">
        <f t="shared" si="1"/>
        <v>Andrei Grintšak</v>
      </c>
      <c r="AG18" s="234">
        <f>IFERROR(INDEX(V!$R:$R,MATCH(AH18,V!$L:$L,0)),"")</f>
        <v>94</v>
      </c>
      <c r="AH18" s="235" t="str">
        <f t="shared" si="2"/>
        <v>Enn Tokman</v>
      </c>
      <c r="AI18" s="234" t="str">
        <f>IFERROR(INDEX(V!$R:$R,MATCH(AJ18,V!$L:$L,0)),"")</f>
        <v/>
      </c>
      <c r="AJ18" s="235" t="str">
        <f t="shared" si="3"/>
        <v/>
      </c>
      <c r="AK18" s="234" t="str">
        <f>IFERROR(INDEX(V!$R:$R,MATCH(AL18,V!$L:$L,0)),"")</f>
        <v/>
      </c>
      <c r="AL18" s="235" t="str">
        <f t="shared" si="4"/>
        <v/>
      </c>
      <c r="AM18" s="234" t="str">
        <f>IFERROR(INDEX(V!$R:$R,MATCH(AN18,V!$L:$L,0)),"")</f>
        <v/>
      </c>
      <c r="AN18" s="235" t="str">
        <f t="shared" si="5"/>
        <v/>
      </c>
      <c r="AO18" s="234" t="str">
        <f>IFERROR(INDEX(V!$R:$R,MATCH(AP18,V!$L:$L,0)),"")</f>
        <v/>
      </c>
      <c r="AP18" s="235" t="str">
        <f t="shared" si="6"/>
        <v/>
      </c>
    </row>
    <row r="19" spans="1:42" x14ac:dyDescent="0.2">
      <c r="A19" s="910" t="s">
        <v>445</v>
      </c>
      <c r="B19" s="400" t="s">
        <v>350</v>
      </c>
      <c r="C19" s="392">
        <v>12</v>
      </c>
      <c r="D19" s="393" t="s">
        <v>302</v>
      </c>
      <c r="E19" s="394">
        <v>13</v>
      </c>
      <c r="F19" s="395" t="s">
        <v>435</v>
      </c>
      <c r="G19" s="392">
        <v>9</v>
      </c>
      <c r="H19" s="393" t="s">
        <v>302</v>
      </c>
      <c r="I19" s="394">
        <v>13</v>
      </c>
      <c r="J19" s="395" t="s">
        <v>353</v>
      </c>
      <c r="K19" s="392" t="s">
        <v>79</v>
      </c>
      <c r="L19" s="393"/>
      <c r="M19" s="394" t="s">
        <v>79</v>
      </c>
      <c r="N19" s="395"/>
      <c r="O19" s="392"/>
      <c r="P19" s="393"/>
      <c r="Q19" s="394"/>
      <c r="R19" s="395"/>
      <c r="S19" s="392"/>
      <c r="T19" s="393" t="s">
        <v>302</v>
      </c>
      <c r="U19" s="394"/>
      <c r="V19" s="395"/>
      <c r="W19" s="396"/>
      <c r="X19" s="397"/>
      <c r="Y19" s="707"/>
      <c r="Z19" s="392"/>
      <c r="AA19" s="393"/>
      <c r="AB19" s="398"/>
      <c r="AC19" s="399"/>
      <c r="AD19" s="233">
        <f t="shared" si="9"/>
        <v>148</v>
      </c>
      <c r="AE19" s="234">
        <f>IFERROR(INDEX(V!$R:$R,MATCH(AF19,V!$L:$L,0)),"")</f>
        <v>74</v>
      </c>
      <c r="AF19" s="235" t="str">
        <f t="shared" si="1"/>
        <v>Aigi Orro</v>
      </c>
      <c r="AG19" s="234">
        <f>IFERROR(INDEX(V!$R:$R,MATCH(AH19,V!$L:$L,0)),"")</f>
        <v>74</v>
      </c>
      <c r="AH19" s="235" t="str">
        <f t="shared" si="2"/>
        <v>Kalle Orro</v>
      </c>
      <c r="AI19" s="234" t="str">
        <f>IFERROR(INDEX(V!$R:$R,MATCH(AJ19,V!$L:$L,0)),"")</f>
        <v/>
      </c>
      <c r="AJ19" s="235" t="str">
        <f t="shared" si="3"/>
        <v/>
      </c>
      <c r="AK19" s="234" t="str">
        <f>IFERROR(INDEX(V!$R:$R,MATCH(AL19,V!$L:$L,0)),"")</f>
        <v/>
      </c>
      <c r="AL19" s="235" t="str">
        <f t="shared" si="4"/>
        <v/>
      </c>
      <c r="AM19" s="234" t="str">
        <f>IFERROR(INDEX(V!$R:$R,MATCH(AN19,V!$L:$L,0)),"")</f>
        <v/>
      </c>
      <c r="AN19" s="235" t="str">
        <f t="shared" si="5"/>
        <v/>
      </c>
      <c r="AO19" s="234" t="str">
        <f>IFERROR(INDEX(V!$R:$R,MATCH(AP19,V!$L:$L,0)),"")</f>
        <v/>
      </c>
      <c r="AP19" s="235" t="str">
        <f t="shared" si="6"/>
        <v/>
      </c>
    </row>
    <row r="22" spans="1:42" hidden="1" x14ac:dyDescent="0.2"/>
    <row r="23" spans="1:42" hidden="1" x14ac:dyDescent="0.2"/>
    <row r="24" spans="1:42" hidden="1" x14ac:dyDescent="0.2"/>
    <row r="25" spans="1:42" hidden="1" x14ac:dyDescent="0.2"/>
    <row r="26" spans="1:42" hidden="1" x14ac:dyDescent="0.2"/>
    <row r="27" spans="1:42" hidden="1" x14ac:dyDescent="0.2"/>
    <row r="28" spans="1:42" hidden="1" x14ac:dyDescent="0.2"/>
    <row r="29" spans="1:42" hidden="1" x14ac:dyDescent="0.2"/>
    <row r="30" spans="1:42" hidden="1" x14ac:dyDescent="0.2"/>
    <row r="31" spans="1:42" hidden="1" x14ac:dyDescent="0.2"/>
    <row r="32" spans="1:4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IFERROR(INDEX(B$1:B$100,MATCH(A300,A$1:A$100,0)),"")</f>
        <v>Kenneth Muusikus, Peep Peenema</v>
      </c>
      <c r="C300" s="323">
        <f t="shared" ref="C300:C311" si="10">LARGE(A300:A399,1)*2+2-A300*2</f>
        <v>24</v>
      </c>
      <c r="F300" s="649"/>
    </row>
    <row r="301" spans="1:6" x14ac:dyDescent="0.2">
      <c r="A301" s="351">
        <v>2</v>
      </c>
      <c r="B301" s="402" t="str">
        <f t="shared" ref="B301:B311" si="11">IFERROR(INDEX(B$1:B$100,MATCH(A301,A$1:A$100,0)),"")</f>
        <v>Kristel Tihhonjuk, Vadim Tihhonjuk</v>
      </c>
      <c r="C301" s="323">
        <f t="shared" si="10"/>
        <v>22</v>
      </c>
      <c r="F301" s="649"/>
    </row>
    <row r="302" spans="1:6" x14ac:dyDescent="0.2">
      <c r="A302" s="351">
        <v>3</v>
      </c>
      <c r="B302" s="402" t="str">
        <f t="shared" si="11"/>
        <v>Illar Tõnurist, Jaan Saar</v>
      </c>
      <c r="C302" s="323">
        <f t="shared" si="10"/>
        <v>20</v>
      </c>
      <c r="F302" s="649"/>
    </row>
    <row r="303" spans="1:6" x14ac:dyDescent="0.2">
      <c r="A303" s="351">
        <v>4</v>
      </c>
      <c r="B303" s="402" t="str">
        <f t="shared" si="11"/>
        <v>Hillar Neiland, Kaspar Mänd</v>
      </c>
      <c r="C303" s="323">
        <f t="shared" si="10"/>
        <v>18</v>
      </c>
      <c r="F303" s="649"/>
    </row>
    <row r="304" spans="1:6" x14ac:dyDescent="0.2">
      <c r="A304" s="351">
        <v>5</v>
      </c>
      <c r="B304" s="402" t="str">
        <f t="shared" si="11"/>
        <v>Ivar Viljaste, Matti Vinni</v>
      </c>
      <c r="C304" s="323">
        <f t="shared" si="10"/>
        <v>16</v>
      </c>
      <c r="F304" s="649"/>
    </row>
    <row r="305" spans="1:6" x14ac:dyDescent="0.2">
      <c r="A305" s="351">
        <v>6</v>
      </c>
      <c r="B305" s="402" t="str">
        <f t="shared" si="11"/>
        <v>Olav Türk, Sirje Maala</v>
      </c>
      <c r="C305" s="323">
        <f t="shared" si="10"/>
        <v>14</v>
      </c>
      <c r="F305" s="649"/>
    </row>
    <row r="306" spans="1:6" x14ac:dyDescent="0.2">
      <c r="A306" s="351">
        <v>7</v>
      </c>
      <c r="B306" s="402" t="str">
        <f t="shared" si="11"/>
        <v>Oleg Rõndenkov, Sander Rose</v>
      </c>
      <c r="C306" s="323">
        <f t="shared" si="10"/>
        <v>12</v>
      </c>
      <c r="F306" s="649"/>
    </row>
    <row r="307" spans="1:6" x14ac:dyDescent="0.2">
      <c r="A307" s="351">
        <v>8</v>
      </c>
      <c r="B307" s="402" t="str">
        <f t="shared" si="11"/>
        <v>Ljudmila Varendi, Viktor Švarõgin</v>
      </c>
      <c r="C307" s="323">
        <f t="shared" si="10"/>
        <v>10</v>
      </c>
      <c r="F307" s="649"/>
    </row>
    <row r="308" spans="1:6" x14ac:dyDescent="0.2">
      <c r="A308" s="351">
        <v>9</v>
      </c>
      <c r="B308" s="402" t="str">
        <f t="shared" si="11"/>
        <v>Airi Veski, Andres Veski, Svetlana Veski</v>
      </c>
      <c r="C308" s="323">
        <f t="shared" si="10"/>
        <v>8</v>
      </c>
      <c r="F308" s="649"/>
    </row>
    <row r="309" spans="1:6" x14ac:dyDescent="0.2">
      <c r="A309" s="351">
        <v>10</v>
      </c>
      <c r="B309" s="402" t="str">
        <f t="shared" si="11"/>
        <v>Henri Mitt, Urmas Randlaine</v>
      </c>
      <c r="C309" s="323">
        <f t="shared" si="10"/>
        <v>6</v>
      </c>
      <c r="F309" s="649"/>
    </row>
    <row r="310" spans="1:6" x14ac:dyDescent="0.2">
      <c r="A310" s="351">
        <v>11</v>
      </c>
      <c r="B310" s="402" t="str">
        <f t="shared" si="11"/>
        <v>Boriss Klubov, Elmo Lageda</v>
      </c>
      <c r="C310" s="323">
        <f t="shared" si="10"/>
        <v>4</v>
      </c>
      <c r="F310" s="649"/>
    </row>
    <row r="311" spans="1:6" x14ac:dyDescent="0.2">
      <c r="A311" s="351">
        <v>12</v>
      </c>
      <c r="B311" s="402" t="str">
        <f t="shared" si="11"/>
        <v>Andrei Grintšak, Enn Tokman</v>
      </c>
      <c r="C311" s="323">
        <f t="shared" si="10"/>
        <v>2</v>
      </c>
      <c r="F311" s="649"/>
    </row>
    <row r="312" spans="1:6" x14ac:dyDescent="0.2">
      <c r="A312" s="911" t="s">
        <v>445</v>
      </c>
      <c r="B312" s="402" t="str">
        <f t="shared" ref="B312" si="12">IFERROR(INDEX(B$1:B$100,MATCH(A312,A$1:A$100,0)),"")</f>
        <v>Aigi Orro, Kalle Orro</v>
      </c>
    </row>
  </sheetData>
  <conditionalFormatting sqref="C7:C19 G7:G19 O7:O19 S7:S19 K7:K19">
    <cfRule type="expression" dxfId="1213" priority="13">
      <formula>AND(C7=0,E7=13)</formula>
    </cfRule>
  </conditionalFormatting>
  <conditionalFormatting sqref="C7:C19">
    <cfRule type="expression" dxfId="1212" priority="27">
      <formula>IF($C7&gt;$E7,TRUE)</formula>
    </cfRule>
  </conditionalFormatting>
  <conditionalFormatting sqref="E7:E19">
    <cfRule type="expression" dxfId="1211" priority="28">
      <formula>IF($C7&lt;$E7,TRUE)</formula>
    </cfRule>
  </conditionalFormatting>
  <conditionalFormatting sqref="K7:K19">
    <cfRule type="expression" dxfId="1210" priority="35">
      <formula>IF($K7&gt;$M7,TRUE)</formula>
    </cfRule>
  </conditionalFormatting>
  <conditionalFormatting sqref="M7:M19">
    <cfRule type="expression" dxfId="1209" priority="36">
      <formula>IF($K7&lt;$M7,TRUE)</formula>
    </cfRule>
  </conditionalFormatting>
  <conditionalFormatting sqref="O7:O19">
    <cfRule type="expression" dxfId="1208" priority="39">
      <formula>IF($O7&gt;$Q7,TRUE)</formula>
    </cfRule>
  </conditionalFormatting>
  <conditionalFormatting sqref="Q7:Q19">
    <cfRule type="expression" dxfId="1207" priority="40">
      <formula>IF($O7&lt;$Q7,TRUE)</formula>
    </cfRule>
  </conditionalFormatting>
  <conditionalFormatting sqref="S7:S19">
    <cfRule type="expression" dxfId="1206" priority="43">
      <formula>IF($S7&gt;$U7,TRUE)</formula>
    </cfRule>
  </conditionalFormatting>
  <conditionalFormatting sqref="U7:U19">
    <cfRule type="expression" dxfId="1205" priority="44">
      <formula>IF($S7&lt;$U7,TRUE)</formula>
    </cfRule>
  </conditionalFormatting>
  <conditionalFormatting sqref="G7:G19">
    <cfRule type="expression" dxfId="1204" priority="31">
      <formula>IF($G7&gt;$I7,TRUE)</formula>
    </cfRule>
  </conditionalFormatting>
  <conditionalFormatting sqref="I7:I19">
    <cfRule type="expression" dxfId="1203" priority="32">
      <formula>IF($G7&lt;$I7,TRUE)</formula>
    </cfRule>
  </conditionalFormatting>
  <conditionalFormatting sqref="F7:F19">
    <cfRule type="containsText" dxfId="1202" priority="18" operator="containsText" text="vaba voor">
      <formula>NOT(ISERROR(SEARCH("vaba voor",F7)))</formula>
    </cfRule>
  </conditionalFormatting>
  <conditionalFormatting sqref="N7:N19">
    <cfRule type="containsText" dxfId="1201" priority="16" operator="containsText" text="vaba voor">
      <formula>NOT(ISERROR(SEARCH("vaba voor",N7)))</formula>
    </cfRule>
  </conditionalFormatting>
  <conditionalFormatting sqref="R7:R19">
    <cfRule type="containsText" dxfId="1200" priority="19" operator="containsText" text="vaba voor">
      <formula>NOT(ISERROR(SEARCH("vaba voor",R7)))</formula>
    </cfRule>
  </conditionalFormatting>
  <conditionalFormatting sqref="V7:V19">
    <cfRule type="containsText" dxfId="1199" priority="15" operator="containsText" text="vaba voor">
      <formula>NOT(ISERROR(SEARCH("vaba voor",V7)))</formula>
    </cfRule>
  </conditionalFormatting>
  <conditionalFormatting sqref="J7:J19">
    <cfRule type="containsText" dxfId="1198" priority="17" operator="containsText" text="vaba voor">
      <formula>NOT(ISERROR(SEARCH("vaba voor",J7)))</formula>
    </cfRule>
  </conditionalFormatting>
  <conditionalFormatting sqref="C7:F19">
    <cfRule type="expression" dxfId="1197" priority="23">
      <formula>IF(AND(ISNUMBER($C7),$C7=$E7),TRUE)</formula>
    </cfRule>
    <cfRule type="expression" dxfId="1196" priority="25">
      <formula>IF($C7&gt;$E7,TRUE)</formula>
    </cfRule>
    <cfRule type="expression" dxfId="1195" priority="26">
      <formula>IF($C7&lt;$E7,TRUE)</formula>
    </cfRule>
  </conditionalFormatting>
  <conditionalFormatting sqref="G7:J19">
    <cfRule type="expression" dxfId="1194" priority="24">
      <formula>IF(AND(ISNUMBER($G7),$G7=$I7),TRUE)</formula>
    </cfRule>
    <cfRule type="expression" dxfId="1193" priority="29">
      <formula>IF($G7&gt;$I7,TRUE)</formula>
    </cfRule>
    <cfRule type="expression" dxfId="1192" priority="30">
      <formula>IF($G7&lt;$I7,TRUE)</formula>
    </cfRule>
  </conditionalFormatting>
  <conditionalFormatting sqref="K7:N19">
    <cfRule type="expression" dxfId="1191" priority="22">
      <formula>IF(AND(ISNUMBER($K7),$K7=$M7),TRUE)</formula>
    </cfRule>
    <cfRule type="expression" dxfId="1190" priority="33">
      <formula>IF($K7&gt;$M7,TRUE)</formula>
    </cfRule>
    <cfRule type="expression" dxfId="1189" priority="34">
      <formula>IF($K7&lt;$M7,TRUE)</formula>
    </cfRule>
  </conditionalFormatting>
  <conditionalFormatting sqref="O7:R19">
    <cfRule type="expression" dxfId="1188" priority="21">
      <formula>IF(AND(ISNUMBER($O7),$O7=$Q7),TRUE)</formula>
    </cfRule>
    <cfRule type="expression" dxfId="1187" priority="37">
      <formula>IF($O7&gt;$Q7,TRUE)</formula>
    </cfRule>
    <cfRule type="expression" dxfId="1186" priority="38">
      <formula>IF($O7&lt;$Q7,TRUE)</formula>
    </cfRule>
  </conditionalFormatting>
  <conditionalFormatting sqref="S7:V19">
    <cfRule type="expression" dxfId="1185" priority="20">
      <formula>IF(AND(ISNUMBER($S7),$S7=$U7),TRUE)</formula>
    </cfRule>
    <cfRule type="expression" dxfId="1184" priority="41">
      <formula>IF($S7&gt;$U7,TRUE)</formula>
    </cfRule>
    <cfRule type="expression" dxfId="1183" priority="42">
      <formula>IF($S7&lt;$U7,TRUE)</formula>
    </cfRule>
  </conditionalFormatting>
  <conditionalFormatting sqref="E7:E19 I7:I19 Q7:Q19 U7:U19 M7:M19">
    <cfRule type="expression" dxfId="1182" priority="14">
      <formula>AND(E7=0,C7=13)</formula>
    </cfRule>
  </conditionalFormatting>
  <conditionalFormatting sqref="A7:A18">
    <cfRule type="duplicateValues" dxfId="1181" priority="45"/>
  </conditionalFormatting>
  <conditionalFormatting sqref="AJ7:AJ19">
    <cfRule type="expression" dxfId="1180" priority="6">
      <formula>AND(AI7="",FIND(",",AJ7))</formula>
    </cfRule>
    <cfRule type="expression" dxfId="1179" priority="8">
      <formula>AND(AI7="",COUNTIF(AJ7,"*,*")=0)</formula>
    </cfRule>
  </conditionalFormatting>
  <conditionalFormatting sqref="AH7:AH19">
    <cfRule type="expression" dxfId="1178" priority="9">
      <formula>AND(AG7="",FIND(",",AH7))</formula>
    </cfRule>
    <cfRule type="expression" dxfId="1177" priority="10">
      <formula>AND(AG7="",COUNTIF(AH7,"*,*")=0)</formula>
    </cfRule>
  </conditionalFormatting>
  <conditionalFormatting sqref="AL7:AL19">
    <cfRule type="expression" dxfId="1176" priority="11">
      <formula>AND(AK7="",FIND(",",AL7))</formula>
    </cfRule>
    <cfRule type="expression" dxfId="1175" priority="12">
      <formula>AND(AK7="",COUNTIF(AL7,"*,*")=0)</formula>
    </cfRule>
  </conditionalFormatting>
  <conditionalFormatting sqref="AF7:AF19">
    <cfRule type="expression" dxfId="1174" priority="7">
      <formula>AND(AE7="",COUNTIF(AF7,"*,*")=0)</formula>
    </cfRule>
  </conditionalFormatting>
  <conditionalFormatting sqref="AN7:AN19">
    <cfRule type="expression" dxfId="1173" priority="3">
      <formula>AND(AM7="",COUNTIF(AN7,"*,*")=0)</formula>
    </cfRule>
    <cfRule type="expression" dxfId="1172" priority="5">
      <formula>AND(AM7="",FIND(",",AN7))</formula>
    </cfRule>
  </conditionalFormatting>
  <conditionalFormatting sqref="AP7:AP19">
    <cfRule type="expression" dxfId="1171" priority="2">
      <formula>AND(AO7="",COUNTIF(AP7,"*,*")=0)</formula>
    </cfRule>
    <cfRule type="expression" dxfId="1170" priority="4">
      <formula>AND(AO7="",FIND(",",AP7))</formula>
    </cfRule>
  </conditionalFormatting>
  <conditionalFormatting sqref="B300:B312">
    <cfRule type="expression" dxfId="1169" priority="1558">
      <formula>A300=3</formula>
    </cfRule>
    <cfRule type="expression" dxfId="1168" priority="1559">
      <formula>A300=2</formula>
    </cfRule>
    <cfRule type="expression" dxfId="1167" priority="1560">
      <formula>A300=1</formula>
    </cfRule>
    <cfRule type="containsBlanks" dxfId="1166" priority="1561">
      <formula>LEN(TRIM(B300))=0</formula>
    </cfRule>
    <cfRule type="duplicateValues" dxfId="1165" priority="1562"/>
  </conditionalFormatting>
  <conditionalFormatting sqref="A19">
    <cfRule type="duplicateValues" dxfId="1164" priority="1"/>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P312"/>
  <sheetViews>
    <sheetView showGridLines="0" showRowColHeaders="0" workbookViewId="0">
      <pane ySplit="1" topLeftCell="A2" activePane="bottomLeft" state="frozen"/>
      <selection activeCell="A5" sqref="A5"/>
      <selection pane="bottomLeft" activeCell="A5" sqref="A5"/>
    </sheetView>
  </sheetViews>
  <sheetFormatPr defaultRowHeight="12.75" x14ac:dyDescent="0.2"/>
  <cols>
    <col min="1" max="1" width="4.7109375" style="1" customWidth="1"/>
    <col min="2" max="2" width="35.57031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26.140625" style="1" hidden="1" customWidth="1"/>
    <col min="35" max="35" width="9.140625" style="1" hidden="1" customWidth="1"/>
    <col min="36" max="36" width="18.28515625" style="1" hidden="1" customWidth="1"/>
    <col min="37" max="37" width="9.140625" style="1" hidden="1" customWidth="1"/>
    <col min="38" max="38" width="15.2851562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UPPER((Kalend!E22)&amp;" - "&amp;(Kalend!C22))&amp;" - "&amp;LOWER(Kalend!D21)&amp;" - "&amp;(Kalend!A21)&amp;" kell "&amp;(Kalend!B21)&amp;" - "&amp;(Kalend!F21)</f>
        <v>T-MV-D - TOILA VALLA LAHTISED SISE-MV - duo - P, 12.03.2023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413</v>
      </c>
      <c r="C7" s="392">
        <v>13</v>
      </c>
      <c r="D7" s="393" t="s">
        <v>302</v>
      </c>
      <c r="E7" s="394">
        <v>7</v>
      </c>
      <c r="F7" s="395" t="s">
        <v>259</v>
      </c>
      <c r="G7" s="392">
        <v>13</v>
      </c>
      <c r="H7" s="393" t="s">
        <v>302</v>
      </c>
      <c r="I7" s="394">
        <v>8</v>
      </c>
      <c r="J7" s="395" t="s">
        <v>318</v>
      </c>
      <c r="K7" s="392" t="s">
        <v>79</v>
      </c>
      <c r="L7" s="393"/>
      <c r="M7" s="394" t="s">
        <v>79</v>
      </c>
      <c r="N7" s="395"/>
      <c r="O7" s="392"/>
      <c r="P7" s="393"/>
      <c r="Q7" s="394"/>
      <c r="R7" s="395"/>
      <c r="S7" s="392"/>
      <c r="T7" s="393" t="s">
        <v>302</v>
      </c>
      <c r="U7" s="394"/>
      <c r="V7" s="395"/>
      <c r="W7" s="396"/>
      <c r="X7" s="397"/>
      <c r="Y7" s="707"/>
      <c r="Z7" s="392"/>
      <c r="AA7" s="393"/>
      <c r="AB7" s="398"/>
      <c r="AC7" s="399"/>
      <c r="AD7" s="233">
        <f>SUM(AE7:AP7)</f>
        <v>226</v>
      </c>
      <c r="AE7" s="234">
        <f>IFERROR(INDEX(V!$R:$R,MATCH(AF7,V!$L:$L,0)),"")</f>
        <v>160</v>
      </c>
      <c r="AF7" s="235" t="str">
        <f>IFERROR(LEFT($B7,(FIND(",",$B7,1)-1)),"")</f>
        <v>Kenneth Muusikus</v>
      </c>
      <c r="AG7" s="234">
        <f>IFERROR(INDEX(V!$R:$R,MATCH(AH7,V!$L:$L,0)),"")</f>
        <v>66</v>
      </c>
      <c r="AH7" s="235" t="str">
        <f>IFERROR(MID($B7,FIND(", ",$B7)+2,256),"")</f>
        <v>Peep Peenema</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388</v>
      </c>
      <c r="C8" s="392">
        <v>5</v>
      </c>
      <c r="D8" s="393" t="s">
        <v>302</v>
      </c>
      <c r="E8" s="394">
        <v>13</v>
      </c>
      <c r="F8" s="395" t="s">
        <v>393</v>
      </c>
      <c r="G8" s="392">
        <v>13</v>
      </c>
      <c r="H8" s="393" t="s">
        <v>302</v>
      </c>
      <c r="I8" s="394">
        <v>1</v>
      </c>
      <c r="J8" s="395" t="s">
        <v>259</v>
      </c>
      <c r="K8" s="392" t="s">
        <v>79</v>
      </c>
      <c r="L8" s="393"/>
      <c r="M8" s="394" t="s">
        <v>79</v>
      </c>
      <c r="N8" s="395"/>
      <c r="O8" s="392"/>
      <c r="P8" s="393"/>
      <c r="Q8" s="394"/>
      <c r="R8" s="395"/>
      <c r="S8" s="392"/>
      <c r="T8" s="393" t="s">
        <v>302</v>
      </c>
      <c r="U8" s="394"/>
      <c r="V8" s="395"/>
      <c r="W8" s="396"/>
      <c r="X8" s="397"/>
      <c r="Y8" s="707"/>
      <c r="Z8" s="392"/>
      <c r="AA8" s="393"/>
      <c r="AB8" s="398"/>
      <c r="AC8" s="399"/>
      <c r="AD8" s="233">
        <f t="shared" ref="AD8:AD11" si="0">SUM(AE8:AL8)</f>
        <v>124</v>
      </c>
      <c r="AE8" s="234">
        <f>IFERROR(INDEX(V!$R:$R,MATCH(AF8,V!$L:$L,0)),"")</f>
        <v>58</v>
      </c>
      <c r="AF8" s="235" t="str">
        <f t="shared" ref="AF8:AF19" si="1">IFERROR(LEFT($B8,(FIND(",",$B8,1)-1)),"")</f>
        <v>Kristel Tihhonjuk</v>
      </c>
      <c r="AG8" s="234">
        <f>IFERROR(INDEX(V!$R:$R,MATCH(AH8,V!$L:$L,0)),"")</f>
        <v>66</v>
      </c>
      <c r="AH8" s="235" t="str">
        <f t="shared" ref="AH8:AH19" si="2">IFERROR(MID($B8,FIND(", ",$B8)+2,256),"")</f>
        <v>Vadim Tihhonjuk</v>
      </c>
      <c r="AI8" s="234" t="str">
        <f>IFERROR(INDEX(V!$R:$R,MATCH(AJ8,V!$L:$L,0)),"")</f>
        <v/>
      </c>
      <c r="AJ8" s="235" t="str">
        <f t="shared" ref="AJ8:AJ19" si="3">IFERROR(MID($B8,FIND("^",SUBSTITUTE($B8,", ","^",1))+2,FIND("^",SUBSTITUTE($B8,", ","^",2))-FIND("^",SUBSTITUTE($B8,", ","^",1))-2),"")</f>
        <v/>
      </c>
      <c r="AK8" s="234" t="str">
        <f>IFERROR(INDEX(V!$R:$R,MATCH(AL8,V!$L:$L,0)),"")</f>
        <v/>
      </c>
      <c r="AL8" s="235" t="str">
        <f t="shared" ref="AL8:AL19" si="4">IFERROR(MID($B8,FIND(", ",$B8,FIND(", ",$B8,FIND(", ",$B8))+1)+2,30000),"")</f>
        <v/>
      </c>
      <c r="AM8" s="234" t="str">
        <f>IFERROR(INDEX(V!$R:$R,MATCH(AN8,V!$L:$L,0)),"")</f>
        <v/>
      </c>
      <c r="AN8" s="235" t="str">
        <f t="shared" ref="AN8:AN19" si="5">IFERROR(MID($B8,FIND(", ",$B8,FIND(", ",$B8)+1)+2,FIND(", ",$B8,FIND(", ",$B8,FIND(", ",$B8)+1)+1)-FIND(", ",$B8,FIND(", ",$B8)+1)-2),"")</f>
        <v/>
      </c>
      <c r="AO8" s="234" t="str">
        <f>IFERROR(INDEX(V!$R:$R,MATCH(AP8,V!$L:$L,0)),"")</f>
        <v/>
      </c>
      <c r="AP8" s="235" t="str">
        <f t="shared" ref="AP8:AP19" si="6">IFERROR(MID($B8,FIND(", ",$B8,FIND(", ",$B8,FIND(", ",$B8)+1)+1)+2,30000),"")</f>
        <v/>
      </c>
    </row>
    <row r="9" spans="1:42" x14ac:dyDescent="0.2">
      <c r="A9" s="391">
        <v>3</v>
      </c>
      <c r="B9" s="304" t="s">
        <v>435</v>
      </c>
      <c r="C9" s="392">
        <v>13</v>
      </c>
      <c r="D9" s="393" t="s">
        <v>302</v>
      </c>
      <c r="E9" s="394">
        <v>12</v>
      </c>
      <c r="F9" s="395" t="s">
        <v>350</v>
      </c>
      <c r="G9" s="392">
        <v>13</v>
      </c>
      <c r="H9" s="393" t="s">
        <v>302</v>
      </c>
      <c r="I9" s="394">
        <v>2</v>
      </c>
      <c r="J9" s="395" t="s">
        <v>437</v>
      </c>
      <c r="K9" s="392" t="s">
        <v>79</v>
      </c>
      <c r="L9" s="393"/>
      <c r="M9" s="394" t="s">
        <v>79</v>
      </c>
      <c r="N9" s="395"/>
      <c r="O9" s="392"/>
      <c r="P9" s="393"/>
      <c r="Q9" s="394"/>
      <c r="R9" s="395"/>
      <c r="S9" s="392"/>
      <c r="T9" s="393" t="s">
        <v>302</v>
      </c>
      <c r="U9" s="394"/>
      <c r="V9" s="395"/>
      <c r="W9" s="396"/>
      <c r="X9" s="397"/>
      <c r="Y9" s="707"/>
      <c r="Z9" s="392"/>
      <c r="AA9" s="393"/>
      <c r="AB9" s="398"/>
      <c r="AC9" s="399"/>
      <c r="AD9" s="233">
        <f t="shared" si="0"/>
        <v>134</v>
      </c>
      <c r="AE9" s="234">
        <f>IFERROR(INDEX(V!$R:$R,MATCH(AF9,V!$L:$L,0)),"")</f>
        <v>50</v>
      </c>
      <c r="AF9" s="235" t="str">
        <f t="shared" si="1"/>
        <v>Illar Tõnurist</v>
      </c>
      <c r="AG9" s="234">
        <f>IFERROR(INDEX(V!$R:$R,MATCH(AH9,V!$L:$L,0)),"")</f>
        <v>84</v>
      </c>
      <c r="AH9" s="235" t="str">
        <f t="shared" si="2"/>
        <v>Jaan Saar</v>
      </c>
      <c r="AI9" s="234" t="str">
        <f>IFERROR(INDEX(V!$R:$R,MATCH(AJ9,V!$L:$L,0)),"")</f>
        <v/>
      </c>
      <c r="AJ9" s="235" t="str">
        <f t="shared" si="3"/>
        <v/>
      </c>
      <c r="AK9" s="234" t="str">
        <f>IFERROR(INDEX(V!$R:$R,MATCH(AL9,V!$L:$L,0)),"")</f>
        <v/>
      </c>
      <c r="AL9" s="235" t="str">
        <f t="shared" si="4"/>
        <v/>
      </c>
      <c r="AM9" s="234" t="str">
        <f>IFERROR(INDEX(V!$R:$R,MATCH(AN9,V!$L:$L,0)),"")</f>
        <v/>
      </c>
      <c r="AN9" s="235" t="str">
        <f t="shared" si="5"/>
        <v/>
      </c>
      <c r="AO9" s="234" t="str">
        <f>IFERROR(INDEX(V!$R:$R,MATCH(AP9,V!$L:$L,0)),"")</f>
        <v/>
      </c>
      <c r="AP9" s="235" t="str">
        <f t="shared" si="6"/>
        <v/>
      </c>
    </row>
    <row r="10" spans="1:42" x14ac:dyDescent="0.2">
      <c r="A10" s="391">
        <v>4</v>
      </c>
      <c r="B10" s="304" t="s">
        <v>353</v>
      </c>
      <c r="C10" s="392">
        <v>13</v>
      </c>
      <c r="D10" s="393" t="s">
        <v>302</v>
      </c>
      <c r="E10" s="394">
        <v>7</v>
      </c>
      <c r="F10" s="395" t="s">
        <v>348</v>
      </c>
      <c r="G10" s="392">
        <v>13</v>
      </c>
      <c r="H10" s="393" t="s">
        <v>302</v>
      </c>
      <c r="I10" s="394">
        <v>9</v>
      </c>
      <c r="J10" s="395" t="s">
        <v>350</v>
      </c>
      <c r="K10" s="392" t="s">
        <v>79</v>
      </c>
      <c r="L10" s="393"/>
      <c r="M10" s="394" t="s">
        <v>79</v>
      </c>
      <c r="N10" s="395"/>
      <c r="O10" s="392"/>
      <c r="P10" s="393"/>
      <c r="Q10" s="394"/>
      <c r="R10" s="395"/>
      <c r="S10" s="392"/>
      <c r="T10" s="393" t="s">
        <v>302</v>
      </c>
      <c r="U10" s="394"/>
      <c r="V10" s="395"/>
      <c r="W10" s="396"/>
      <c r="X10" s="397"/>
      <c r="Y10" s="707"/>
      <c r="Z10" s="392"/>
      <c r="AA10" s="393"/>
      <c r="AB10" s="398"/>
      <c r="AC10" s="399"/>
      <c r="AD10" s="233">
        <f t="shared" si="0"/>
        <v>186</v>
      </c>
      <c r="AE10" s="234">
        <f>IFERROR(INDEX(V!$R:$R,MATCH(AF10,V!$L:$L,0)),"")</f>
        <v>102</v>
      </c>
      <c r="AF10" s="235" t="str">
        <f t="shared" si="1"/>
        <v>Hillar Neiland</v>
      </c>
      <c r="AG10" s="234">
        <f>IFERROR(INDEX(V!$R:$R,MATCH(AH10,V!$L:$L,0)),"")</f>
        <v>84</v>
      </c>
      <c r="AH10" s="235" t="str">
        <f t="shared" si="2"/>
        <v>Kaspar Mänd</v>
      </c>
      <c r="AI10" s="234" t="str">
        <f>IFERROR(INDEX(V!$R:$R,MATCH(AJ10,V!$L:$L,0)),"")</f>
        <v/>
      </c>
      <c r="AJ10" s="235" t="str">
        <f t="shared" si="3"/>
        <v/>
      </c>
      <c r="AK10" s="234" t="str">
        <f>IFERROR(INDEX(V!$R:$R,MATCH(AL10,V!$L:$L,0)),"")</f>
        <v/>
      </c>
      <c r="AL10" s="235" t="str">
        <f t="shared" si="4"/>
        <v/>
      </c>
      <c r="AM10" s="234" t="str">
        <f>IFERROR(INDEX(V!$R:$R,MATCH(AN10,V!$L:$L,0)),"")</f>
        <v/>
      </c>
      <c r="AN10" s="235" t="str">
        <f t="shared" si="5"/>
        <v/>
      </c>
      <c r="AO10" s="234" t="str">
        <f>IFERROR(INDEX(V!$R:$R,MATCH(AP10,V!$L:$L,0)),"")</f>
        <v/>
      </c>
      <c r="AP10" s="235" t="str">
        <f t="shared" si="6"/>
        <v/>
      </c>
    </row>
    <row r="11" spans="1:42" x14ac:dyDescent="0.2">
      <c r="A11" s="391">
        <v>5</v>
      </c>
      <c r="B11" s="284" t="s">
        <v>436</v>
      </c>
      <c r="C11" s="392">
        <v>5</v>
      </c>
      <c r="D11" s="393" t="s">
        <v>302</v>
      </c>
      <c r="E11" s="394">
        <v>13</v>
      </c>
      <c r="F11" s="395" t="s">
        <v>387</v>
      </c>
      <c r="G11" s="392">
        <v>13</v>
      </c>
      <c r="H11" s="393" t="s">
        <v>302</v>
      </c>
      <c r="I11" s="394">
        <v>7</v>
      </c>
      <c r="J11" s="395" t="s">
        <v>348</v>
      </c>
      <c r="K11" s="392" t="s">
        <v>79</v>
      </c>
      <c r="L11" s="393"/>
      <c r="M11" s="394" t="s">
        <v>79</v>
      </c>
      <c r="N11" s="395"/>
      <c r="O11" s="392"/>
      <c r="P11" s="393"/>
      <c r="Q11" s="394"/>
      <c r="R11" s="395"/>
      <c r="S11" s="392"/>
      <c r="T11" s="393" t="s">
        <v>302</v>
      </c>
      <c r="U11" s="394"/>
      <c r="V11" s="395"/>
      <c r="W11" s="396"/>
      <c r="X11" s="397"/>
      <c r="Y11" s="707"/>
      <c r="Z11" s="392"/>
      <c r="AA11" s="393"/>
      <c r="AB11" s="398"/>
      <c r="AC11" s="399"/>
      <c r="AD11" s="233">
        <f t="shared" si="0"/>
        <v>138</v>
      </c>
      <c r="AE11" s="234">
        <f>IFERROR(INDEX(V!$R:$R,MATCH(AF11,V!$L:$L,0)),"")</f>
        <v>36</v>
      </c>
      <c r="AF11" s="235" t="str">
        <f t="shared" si="1"/>
        <v>Ivar Viljaste</v>
      </c>
      <c r="AG11" s="234">
        <f>IFERROR(INDEX(V!$R:$R,MATCH(AH11,V!$L:$L,0)),"")</f>
        <v>102</v>
      </c>
      <c r="AH11" s="235" t="str">
        <f t="shared" si="2"/>
        <v>Matti Vinni</v>
      </c>
      <c r="AI11" s="234" t="str">
        <f>IFERROR(INDEX(V!$R:$R,MATCH(AJ11,V!$L:$L,0)),"")</f>
        <v/>
      </c>
      <c r="AJ11" s="235" t="str">
        <f t="shared" si="3"/>
        <v/>
      </c>
      <c r="AK11" s="234" t="str">
        <f>IFERROR(INDEX(V!$R:$R,MATCH(AL11,V!$L:$L,0)),"")</f>
        <v/>
      </c>
      <c r="AL11" s="235" t="str">
        <f t="shared" si="4"/>
        <v/>
      </c>
      <c r="AM11" s="234" t="str">
        <f>IFERROR(INDEX(V!$R:$R,MATCH(AN11,V!$L:$L,0)),"")</f>
        <v/>
      </c>
      <c r="AN11" s="235" t="str">
        <f t="shared" si="5"/>
        <v/>
      </c>
      <c r="AO11" s="234" t="str">
        <f>IFERROR(INDEX(V!$R:$R,MATCH(AP11,V!$L:$L,0)),"")</f>
        <v/>
      </c>
      <c r="AP11" s="235" t="str">
        <f t="shared" si="6"/>
        <v/>
      </c>
    </row>
    <row r="12" spans="1:42" x14ac:dyDescent="0.2">
      <c r="A12" s="391">
        <v>6</v>
      </c>
      <c r="B12" s="304" t="s">
        <v>393</v>
      </c>
      <c r="C12" s="392">
        <v>13</v>
      </c>
      <c r="D12" s="393" t="s">
        <v>302</v>
      </c>
      <c r="E12" s="394">
        <v>5</v>
      </c>
      <c r="F12" s="395" t="s">
        <v>388</v>
      </c>
      <c r="G12" s="392">
        <v>13</v>
      </c>
      <c r="H12" s="393" t="s">
        <v>302</v>
      </c>
      <c r="I12" s="394">
        <v>5</v>
      </c>
      <c r="J12" s="395" t="s">
        <v>387</v>
      </c>
      <c r="K12" s="392" t="s">
        <v>79</v>
      </c>
      <c r="L12" s="393"/>
      <c r="M12" s="394" t="s">
        <v>79</v>
      </c>
      <c r="N12" s="395"/>
      <c r="O12" s="392"/>
      <c r="P12" s="393"/>
      <c r="Q12" s="394"/>
      <c r="R12" s="395"/>
      <c r="S12" s="392"/>
      <c r="T12" s="393" t="s">
        <v>302</v>
      </c>
      <c r="U12" s="394"/>
      <c r="V12" s="395"/>
      <c r="W12" s="396"/>
      <c r="X12" s="397"/>
      <c r="Y12" s="707"/>
      <c r="Z12" s="392"/>
      <c r="AA12" s="393"/>
      <c r="AB12" s="398"/>
      <c r="AC12" s="399"/>
      <c r="AD12" s="233">
        <f t="shared" ref="AD12:AD13" si="7">SUM(AE12:AL12)</f>
        <v>290</v>
      </c>
      <c r="AE12" s="234">
        <f>IFERROR(INDEX(V!$R:$R,MATCH(AF12,V!$L:$L,0)),"")</f>
        <v>160</v>
      </c>
      <c r="AF12" s="235" t="str">
        <f t="shared" si="1"/>
        <v>Olav Türk</v>
      </c>
      <c r="AG12" s="234">
        <f>IFERROR(INDEX(V!$R:$R,MATCH(AH12,V!$L:$L,0)),"")</f>
        <v>130</v>
      </c>
      <c r="AH12" s="235" t="str">
        <f t="shared" si="2"/>
        <v>Sirje Maala</v>
      </c>
      <c r="AI12" s="234" t="str">
        <f>IFERROR(INDEX(V!$R:$R,MATCH(AJ12,V!$L:$L,0)),"")</f>
        <v/>
      </c>
      <c r="AJ12" s="235" t="str">
        <f t="shared" si="3"/>
        <v/>
      </c>
      <c r="AK12" s="234" t="str">
        <f>IFERROR(INDEX(V!$R:$R,MATCH(AL12,V!$L:$L,0)),"")</f>
        <v/>
      </c>
      <c r="AL12" s="235" t="str">
        <f t="shared" si="4"/>
        <v/>
      </c>
      <c r="AM12" s="234" t="str">
        <f>IFERROR(INDEX(V!$R:$R,MATCH(AN12,V!$L:$L,0)),"")</f>
        <v/>
      </c>
      <c r="AN12" s="235" t="str">
        <f t="shared" si="5"/>
        <v/>
      </c>
      <c r="AO12" s="234" t="str">
        <f>IFERROR(INDEX(V!$R:$R,MATCH(AP12,V!$L:$L,0)),"")</f>
        <v/>
      </c>
      <c r="AP12" s="235" t="str">
        <f t="shared" si="6"/>
        <v/>
      </c>
    </row>
    <row r="13" spans="1:42" x14ac:dyDescent="0.2">
      <c r="A13" s="391">
        <v>7</v>
      </c>
      <c r="B13" s="400" t="s">
        <v>387</v>
      </c>
      <c r="C13" s="392">
        <v>13</v>
      </c>
      <c r="D13" s="393" t="s">
        <v>302</v>
      </c>
      <c r="E13" s="394">
        <v>5</v>
      </c>
      <c r="F13" s="395" t="s">
        <v>436</v>
      </c>
      <c r="G13" s="392">
        <v>5</v>
      </c>
      <c r="H13" s="393" t="s">
        <v>302</v>
      </c>
      <c r="I13" s="394">
        <v>13</v>
      </c>
      <c r="J13" s="395" t="s">
        <v>393</v>
      </c>
      <c r="K13" s="392" t="s">
        <v>79</v>
      </c>
      <c r="L13" s="393"/>
      <c r="M13" s="394" t="s">
        <v>79</v>
      </c>
      <c r="N13" s="395"/>
      <c r="O13" s="392"/>
      <c r="P13" s="393"/>
      <c r="Q13" s="394"/>
      <c r="R13" s="395"/>
      <c r="S13" s="392"/>
      <c r="T13" s="393" t="s">
        <v>302</v>
      </c>
      <c r="U13" s="394"/>
      <c r="V13" s="395"/>
      <c r="W13" s="396"/>
      <c r="X13" s="397"/>
      <c r="Y13" s="707"/>
      <c r="Z13" s="392"/>
      <c r="AA13" s="393"/>
      <c r="AB13" s="398"/>
      <c r="AC13" s="399"/>
      <c r="AD13" s="233">
        <f t="shared" si="7"/>
        <v>282</v>
      </c>
      <c r="AE13" s="234">
        <f>IFERROR(INDEX(V!$R:$R,MATCH(AF13,V!$L:$L,0)),"")</f>
        <v>140</v>
      </c>
      <c r="AF13" s="235" t="str">
        <f t="shared" si="1"/>
        <v>Oleg Rõndenkov</v>
      </c>
      <c r="AG13" s="234">
        <f>IFERROR(INDEX(V!$R:$R,MATCH(AH13,V!$L:$L,0)),"")</f>
        <v>142</v>
      </c>
      <c r="AH13" s="235" t="str">
        <f t="shared" si="2"/>
        <v>Sander Rose</v>
      </c>
      <c r="AI13" s="234" t="str">
        <f>IFERROR(INDEX(V!$R:$R,MATCH(AJ13,V!$L:$L,0)),"")</f>
        <v/>
      </c>
      <c r="AJ13" s="235" t="str">
        <f t="shared" si="3"/>
        <v/>
      </c>
      <c r="AK13" s="234" t="str">
        <f>IFERROR(INDEX(V!$R:$R,MATCH(AL13,V!$L:$L,0)),"")</f>
        <v/>
      </c>
      <c r="AL13" s="235" t="str">
        <f t="shared" si="4"/>
        <v/>
      </c>
      <c r="AM13" s="234" t="str">
        <f>IFERROR(INDEX(V!$R:$R,MATCH(AN13,V!$L:$L,0)),"")</f>
        <v/>
      </c>
      <c r="AN13" s="235" t="str">
        <f t="shared" si="5"/>
        <v/>
      </c>
      <c r="AO13" s="234" t="str">
        <f>IFERROR(INDEX(V!$R:$R,MATCH(AP13,V!$L:$L,0)),"")</f>
        <v/>
      </c>
      <c r="AP13" s="235" t="str">
        <f t="shared" si="6"/>
        <v/>
      </c>
    </row>
    <row r="14" spans="1:42" x14ac:dyDescent="0.2">
      <c r="A14" s="391">
        <v>8</v>
      </c>
      <c r="B14" s="304" t="s">
        <v>259</v>
      </c>
      <c r="C14" s="392">
        <v>7</v>
      </c>
      <c r="D14" s="393" t="s">
        <v>302</v>
      </c>
      <c r="E14" s="394">
        <v>13</v>
      </c>
      <c r="F14" s="395" t="s">
        <v>413</v>
      </c>
      <c r="G14" s="392">
        <v>1</v>
      </c>
      <c r="H14" s="393" t="s">
        <v>302</v>
      </c>
      <c r="I14" s="394">
        <v>13</v>
      </c>
      <c r="J14" s="395" t="s">
        <v>388</v>
      </c>
      <c r="K14" s="392" t="s">
        <v>79</v>
      </c>
      <c r="L14" s="393"/>
      <c r="M14" s="394" t="s">
        <v>79</v>
      </c>
      <c r="N14" s="395"/>
      <c r="O14" s="392"/>
      <c r="P14" s="393"/>
      <c r="Q14" s="394"/>
      <c r="R14" s="395"/>
      <c r="S14" s="392"/>
      <c r="T14" s="393" t="s">
        <v>302</v>
      </c>
      <c r="U14" s="394"/>
      <c r="V14" s="395"/>
      <c r="W14" s="396"/>
      <c r="X14" s="397"/>
      <c r="Y14" s="707"/>
      <c r="Z14" s="392"/>
      <c r="AA14" s="393"/>
      <c r="AB14" s="398"/>
      <c r="AC14" s="399"/>
      <c r="AD14" s="233">
        <f t="shared" ref="AD14:AD16" si="8">SUM(AE14:AL14)</f>
        <v>96</v>
      </c>
      <c r="AE14" s="234">
        <f>IFERROR(INDEX(V!$R:$R,MATCH(AF14,V!$L:$L,0)),"")</f>
        <v>48</v>
      </c>
      <c r="AF14" s="235" t="str">
        <f t="shared" si="1"/>
        <v>Ljudmila Varendi</v>
      </c>
      <c r="AG14" s="234">
        <f>IFERROR(INDEX(V!$R:$R,MATCH(AH14,V!$L:$L,0)),"")</f>
        <v>48</v>
      </c>
      <c r="AH14" s="235" t="str">
        <f t="shared" si="2"/>
        <v>Viktor Švarõgin</v>
      </c>
      <c r="AI14" s="234" t="str">
        <f>IFERROR(INDEX(V!$R:$R,MATCH(AJ14,V!$L:$L,0)),"")</f>
        <v/>
      </c>
      <c r="AJ14" s="235" t="str">
        <f t="shared" si="3"/>
        <v/>
      </c>
      <c r="AK14" s="234" t="str">
        <f>IFERROR(INDEX(V!$R:$R,MATCH(AL14,V!$L:$L,0)),"")</f>
        <v/>
      </c>
      <c r="AL14" s="235" t="str">
        <f t="shared" si="4"/>
        <v/>
      </c>
      <c r="AM14" s="234" t="str">
        <f>IFERROR(INDEX(V!$R:$R,MATCH(AN14,V!$L:$L,0)),"")</f>
        <v/>
      </c>
      <c r="AN14" s="235" t="str">
        <f t="shared" si="5"/>
        <v/>
      </c>
      <c r="AO14" s="234" t="str">
        <f>IFERROR(INDEX(V!$R:$R,MATCH(AP14,V!$L:$L,0)),"")</f>
        <v/>
      </c>
      <c r="AP14" s="235" t="str">
        <f t="shared" si="6"/>
        <v/>
      </c>
    </row>
    <row r="15" spans="1:42" x14ac:dyDescent="0.2">
      <c r="A15" s="391">
        <v>9</v>
      </c>
      <c r="B15" s="304" t="s">
        <v>437</v>
      </c>
      <c r="C15" s="392">
        <v>13</v>
      </c>
      <c r="D15" s="393" t="s">
        <v>302</v>
      </c>
      <c r="E15" s="394">
        <v>11</v>
      </c>
      <c r="F15" s="395" t="s">
        <v>355</v>
      </c>
      <c r="G15" s="392">
        <v>2</v>
      </c>
      <c r="H15" s="393" t="s">
        <v>302</v>
      </c>
      <c r="I15" s="394">
        <v>13</v>
      </c>
      <c r="J15" s="395" t="s">
        <v>435</v>
      </c>
      <c r="K15" s="392" t="s">
        <v>79</v>
      </c>
      <c r="L15" s="393"/>
      <c r="M15" s="394" t="s">
        <v>79</v>
      </c>
      <c r="N15" s="395"/>
      <c r="O15" s="392"/>
      <c r="P15" s="393"/>
      <c r="Q15" s="394"/>
      <c r="R15" s="395"/>
      <c r="S15" s="392"/>
      <c r="T15" s="393" t="s">
        <v>302</v>
      </c>
      <c r="U15" s="394"/>
      <c r="V15" s="395"/>
      <c r="W15" s="396"/>
      <c r="X15" s="397"/>
      <c r="Y15" s="707"/>
      <c r="Z15" s="392"/>
      <c r="AA15" s="393"/>
      <c r="AB15" s="398"/>
      <c r="AC15" s="399"/>
      <c r="AD15" s="233">
        <f t="shared" si="8"/>
        <v>132</v>
      </c>
      <c r="AE15" s="234">
        <f>IFERROR(INDEX(V!$R:$R,MATCH(AF15,V!$L:$L,0)),"")</f>
        <v>8</v>
      </c>
      <c r="AF15" s="235" t="str">
        <f t="shared" si="1"/>
        <v>Airi Veski</v>
      </c>
      <c r="AG15" s="234" t="str">
        <f>IFERROR(INDEX(V!$R:$R,MATCH(AH15,V!$L:$L,0)),"")</f>
        <v/>
      </c>
      <c r="AH15" s="235" t="str">
        <f t="shared" si="2"/>
        <v>Andres Veski, Svetlana Veski</v>
      </c>
      <c r="AI15" s="234">
        <f>IFERROR(INDEX(V!$R:$R,MATCH(AJ15,V!$L:$L,0)),"")</f>
        <v>64</v>
      </c>
      <c r="AJ15" s="235" t="str">
        <f t="shared" si="3"/>
        <v>Andres Veski</v>
      </c>
      <c r="AK15" s="234">
        <f>IFERROR(INDEX(V!$R:$R,MATCH(AL15,V!$L:$L,0)),"")</f>
        <v>60</v>
      </c>
      <c r="AL15" s="235" t="str">
        <f t="shared" si="4"/>
        <v>Svetlana Veski</v>
      </c>
      <c r="AM15" s="234" t="str">
        <f>IFERROR(INDEX(V!$R:$R,MATCH(AN15,V!$L:$L,0)),"")</f>
        <v/>
      </c>
      <c r="AN15" s="235" t="str">
        <f t="shared" si="5"/>
        <v/>
      </c>
      <c r="AO15" s="234" t="str">
        <f>IFERROR(INDEX(V!$R:$R,MATCH(AP15,V!$L:$L,0)),"")</f>
        <v/>
      </c>
      <c r="AP15" s="235" t="str">
        <f t="shared" si="6"/>
        <v/>
      </c>
    </row>
    <row r="16" spans="1:42" x14ac:dyDescent="0.2">
      <c r="A16" s="391">
        <v>10</v>
      </c>
      <c r="B16" s="400" t="s">
        <v>318</v>
      </c>
      <c r="C16" s="392">
        <v>13</v>
      </c>
      <c r="D16" s="393" t="s">
        <v>302</v>
      </c>
      <c r="E16" s="394">
        <v>9</v>
      </c>
      <c r="F16" s="395" t="s">
        <v>380</v>
      </c>
      <c r="G16" s="392">
        <v>8</v>
      </c>
      <c r="H16" s="393" t="s">
        <v>302</v>
      </c>
      <c r="I16" s="394">
        <v>13</v>
      </c>
      <c r="J16" s="395" t="s">
        <v>413</v>
      </c>
      <c r="K16" s="392" t="s">
        <v>79</v>
      </c>
      <c r="L16" s="393"/>
      <c r="M16" s="394" t="s">
        <v>79</v>
      </c>
      <c r="N16" s="395"/>
      <c r="O16" s="392"/>
      <c r="P16" s="393"/>
      <c r="Q16" s="394"/>
      <c r="R16" s="395"/>
      <c r="S16" s="392"/>
      <c r="T16" s="393" t="s">
        <v>302</v>
      </c>
      <c r="U16" s="394"/>
      <c r="V16" s="395"/>
      <c r="W16" s="396"/>
      <c r="X16" s="397"/>
      <c r="Y16" s="707"/>
      <c r="Z16" s="392"/>
      <c r="AA16" s="393"/>
      <c r="AB16" s="398"/>
      <c r="AC16" s="399"/>
      <c r="AD16" s="233">
        <f t="shared" si="8"/>
        <v>130</v>
      </c>
      <c r="AE16" s="234">
        <f>IFERROR(INDEX(V!$R:$R,MATCH(AF16,V!$L:$L,0)),"")</f>
        <v>108</v>
      </c>
      <c r="AF16" s="235" t="str">
        <f t="shared" si="1"/>
        <v>Henri Mitt</v>
      </c>
      <c r="AG16" s="234">
        <f>IFERROR(INDEX(V!$R:$R,MATCH(AH16,V!$L:$L,0)),"")</f>
        <v>22</v>
      </c>
      <c r="AH16" s="235" t="str">
        <f t="shared" si="2"/>
        <v>Urmas Randlaine</v>
      </c>
      <c r="AI16" s="234" t="str">
        <f>IFERROR(INDEX(V!$R:$R,MATCH(AJ16,V!$L:$L,0)),"")</f>
        <v/>
      </c>
      <c r="AJ16" s="235" t="str">
        <f t="shared" si="3"/>
        <v/>
      </c>
      <c r="AK16" s="234" t="str">
        <f>IFERROR(INDEX(V!$R:$R,MATCH(AL16,V!$L:$L,0)),"")</f>
        <v/>
      </c>
      <c r="AL16" s="235" t="str">
        <f t="shared" si="4"/>
        <v/>
      </c>
      <c r="AM16" s="234" t="str">
        <f>IFERROR(INDEX(V!$R:$R,MATCH(AN16,V!$L:$L,0)),"")</f>
        <v/>
      </c>
      <c r="AN16" s="235" t="str">
        <f t="shared" si="5"/>
        <v/>
      </c>
      <c r="AO16" s="234" t="str">
        <f>IFERROR(INDEX(V!$R:$R,MATCH(AP16,V!$L:$L,0)),"")</f>
        <v/>
      </c>
      <c r="AP16" s="235" t="str">
        <f t="shared" si="6"/>
        <v/>
      </c>
    </row>
    <row r="17" spans="1:42" x14ac:dyDescent="0.2">
      <c r="A17" s="391">
        <v>11</v>
      </c>
      <c r="B17" s="304" t="s">
        <v>355</v>
      </c>
      <c r="C17" s="392">
        <v>11</v>
      </c>
      <c r="D17" s="393" t="s">
        <v>302</v>
      </c>
      <c r="E17" s="394">
        <v>13</v>
      </c>
      <c r="F17" s="395" t="s">
        <v>437</v>
      </c>
      <c r="G17" s="392">
        <v>13</v>
      </c>
      <c r="H17" s="393" t="s">
        <v>302</v>
      </c>
      <c r="I17" s="394">
        <v>11</v>
      </c>
      <c r="J17" s="395" t="s">
        <v>380</v>
      </c>
      <c r="K17" s="392" t="s">
        <v>79</v>
      </c>
      <c r="L17" s="393"/>
      <c r="M17" s="394" t="s">
        <v>79</v>
      </c>
      <c r="N17" s="395"/>
      <c r="O17" s="392"/>
      <c r="P17" s="393"/>
      <c r="Q17" s="394"/>
      <c r="R17" s="395"/>
      <c r="S17" s="392"/>
      <c r="T17" s="393" t="s">
        <v>302</v>
      </c>
      <c r="U17" s="394"/>
      <c r="V17" s="395"/>
      <c r="W17" s="396"/>
      <c r="X17" s="397"/>
      <c r="Y17" s="707"/>
      <c r="Z17" s="392"/>
      <c r="AA17" s="393"/>
      <c r="AB17" s="398"/>
      <c r="AC17" s="399"/>
      <c r="AD17" s="233">
        <f t="shared" ref="AD17:AD19" si="9">SUM(AE17:AL17)</f>
        <v>152</v>
      </c>
      <c r="AE17" s="234">
        <f>IFERROR(INDEX(V!$R:$R,MATCH(AF17,V!$L:$L,0)),"")</f>
        <v>76</v>
      </c>
      <c r="AF17" s="235" t="str">
        <f t="shared" si="1"/>
        <v>Boriss Klubov</v>
      </c>
      <c r="AG17" s="234">
        <f>IFERROR(INDEX(V!$R:$R,MATCH(AH17,V!$L:$L,0)),"")</f>
        <v>76</v>
      </c>
      <c r="AH17" s="235" t="str">
        <f t="shared" si="2"/>
        <v>Elmo Lageda</v>
      </c>
      <c r="AI17" s="234" t="str">
        <f>IFERROR(INDEX(V!$R:$R,MATCH(AJ17,V!$L:$L,0)),"")</f>
        <v/>
      </c>
      <c r="AJ17" s="235" t="str">
        <f t="shared" si="3"/>
        <v/>
      </c>
      <c r="AK17" s="234" t="str">
        <f>IFERROR(INDEX(V!$R:$R,MATCH(AL17,V!$L:$L,0)),"")</f>
        <v/>
      </c>
      <c r="AL17" s="235" t="str">
        <f t="shared" si="4"/>
        <v/>
      </c>
      <c r="AM17" s="234" t="str">
        <f>IFERROR(INDEX(V!$R:$R,MATCH(AN17,V!$L:$L,0)),"")</f>
        <v/>
      </c>
      <c r="AN17" s="235" t="str">
        <f t="shared" si="5"/>
        <v/>
      </c>
      <c r="AO17" s="234" t="str">
        <f>IFERROR(INDEX(V!$R:$R,MATCH(AP17,V!$L:$L,0)),"")</f>
        <v/>
      </c>
      <c r="AP17" s="235" t="str">
        <f t="shared" si="6"/>
        <v/>
      </c>
    </row>
    <row r="18" spans="1:42" x14ac:dyDescent="0.2">
      <c r="A18" s="391">
        <v>12</v>
      </c>
      <c r="B18" s="304" t="s">
        <v>380</v>
      </c>
      <c r="C18" s="392">
        <v>9</v>
      </c>
      <c r="D18" s="393" t="s">
        <v>302</v>
      </c>
      <c r="E18" s="394">
        <v>13</v>
      </c>
      <c r="F18" s="395" t="s">
        <v>318</v>
      </c>
      <c r="G18" s="392">
        <v>11</v>
      </c>
      <c r="H18" s="393" t="s">
        <v>302</v>
      </c>
      <c r="I18" s="394">
        <v>13</v>
      </c>
      <c r="J18" s="395" t="s">
        <v>355</v>
      </c>
      <c r="K18" s="392" t="s">
        <v>79</v>
      </c>
      <c r="L18" s="393"/>
      <c r="M18" s="394" t="s">
        <v>79</v>
      </c>
      <c r="N18" s="395"/>
      <c r="O18" s="392"/>
      <c r="P18" s="393"/>
      <c r="Q18" s="394"/>
      <c r="R18" s="395"/>
      <c r="S18" s="392"/>
      <c r="T18" s="393" t="s">
        <v>302</v>
      </c>
      <c r="U18" s="394"/>
      <c r="V18" s="395"/>
      <c r="W18" s="396"/>
      <c r="X18" s="397"/>
      <c r="Y18" s="707"/>
      <c r="Z18" s="392"/>
      <c r="AA18" s="393"/>
      <c r="AB18" s="398"/>
      <c r="AC18" s="399"/>
      <c r="AD18" s="233">
        <f t="shared" si="9"/>
        <v>180</v>
      </c>
      <c r="AE18" s="234">
        <f>IFERROR(INDEX(V!$R:$R,MATCH(AF18,V!$L:$L,0)),"")</f>
        <v>86</v>
      </c>
      <c r="AF18" s="235" t="str">
        <f t="shared" si="1"/>
        <v>Andrei Grintšak</v>
      </c>
      <c r="AG18" s="234">
        <f>IFERROR(INDEX(V!$R:$R,MATCH(AH18,V!$L:$L,0)),"")</f>
        <v>94</v>
      </c>
      <c r="AH18" s="235" t="str">
        <f t="shared" si="2"/>
        <v>Enn Tokman</v>
      </c>
      <c r="AI18" s="234" t="str">
        <f>IFERROR(INDEX(V!$R:$R,MATCH(AJ18,V!$L:$L,0)),"")</f>
        <v/>
      </c>
      <c r="AJ18" s="235" t="str">
        <f t="shared" si="3"/>
        <v/>
      </c>
      <c r="AK18" s="234" t="str">
        <f>IFERROR(INDEX(V!$R:$R,MATCH(AL18,V!$L:$L,0)),"")</f>
        <v/>
      </c>
      <c r="AL18" s="235" t="str">
        <f t="shared" si="4"/>
        <v/>
      </c>
      <c r="AM18" s="234" t="str">
        <f>IFERROR(INDEX(V!$R:$R,MATCH(AN18,V!$L:$L,0)),"")</f>
        <v/>
      </c>
      <c r="AN18" s="235" t="str">
        <f t="shared" si="5"/>
        <v/>
      </c>
      <c r="AO18" s="234" t="str">
        <f>IFERROR(INDEX(V!$R:$R,MATCH(AP18,V!$L:$L,0)),"")</f>
        <v/>
      </c>
      <c r="AP18" s="235" t="str">
        <f t="shared" si="6"/>
        <v/>
      </c>
    </row>
    <row r="19" spans="1:42" x14ac:dyDescent="0.2">
      <c r="A19" s="910" t="s">
        <v>445</v>
      </c>
      <c r="B19" s="400" t="s">
        <v>350</v>
      </c>
      <c r="C19" s="392">
        <v>12</v>
      </c>
      <c r="D19" s="393" t="s">
        <v>302</v>
      </c>
      <c r="E19" s="394">
        <v>13</v>
      </c>
      <c r="F19" s="395" t="s">
        <v>435</v>
      </c>
      <c r="G19" s="392">
        <v>9</v>
      </c>
      <c r="H19" s="393" t="s">
        <v>302</v>
      </c>
      <c r="I19" s="394">
        <v>13</v>
      </c>
      <c r="J19" s="395" t="s">
        <v>353</v>
      </c>
      <c r="K19" s="392" t="s">
        <v>79</v>
      </c>
      <c r="L19" s="393"/>
      <c r="M19" s="394" t="s">
        <v>79</v>
      </c>
      <c r="N19" s="395"/>
      <c r="O19" s="392"/>
      <c r="P19" s="393"/>
      <c r="Q19" s="394"/>
      <c r="R19" s="395"/>
      <c r="S19" s="392"/>
      <c r="T19" s="393" t="s">
        <v>302</v>
      </c>
      <c r="U19" s="394"/>
      <c r="V19" s="395"/>
      <c r="W19" s="396"/>
      <c r="X19" s="397"/>
      <c r="Y19" s="707"/>
      <c r="Z19" s="392"/>
      <c r="AA19" s="393"/>
      <c r="AB19" s="398"/>
      <c r="AC19" s="399"/>
      <c r="AD19" s="233">
        <f t="shared" si="9"/>
        <v>148</v>
      </c>
      <c r="AE19" s="234">
        <f>IFERROR(INDEX(V!$R:$R,MATCH(AF19,V!$L:$L,0)),"")</f>
        <v>74</v>
      </c>
      <c r="AF19" s="235" t="str">
        <f t="shared" si="1"/>
        <v>Aigi Orro</v>
      </c>
      <c r="AG19" s="234">
        <f>IFERROR(INDEX(V!$R:$R,MATCH(AH19,V!$L:$L,0)),"")</f>
        <v>74</v>
      </c>
      <c r="AH19" s="235" t="str">
        <f t="shared" si="2"/>
        <v>Kalle Orro</v>
      </c>
      <c r="AI19" s="234" t="str">
        <f>IFERROR(INDEX(V!$R:$R,MATCH(AJ19,V!$L:$L,0)),"")</f>
        <v/>
      </c>
      <c r="AJ19" s="235" t="str">
        <f t="shared" si="3"/>
        <v/>
      </c>
      <c r="AK19" s="234" t="str">
        <f>IFERROR(INDEX(V!$R:$R,MATCH(AL19,V!$L:$L,0)),"")</f>
        <v/>
      </c>
      <c r="AL19" s="235" t="str">
        <f t="shared" si="4"/>
        <v/>
      </c>
      <c r="AM19" s="234" t="str">
        <f>IFERROR(INDEX(V!$R:$R,MATCH(AN19,V!$L:$L,0)),"")</f>
        <v/>
      </c>
      <c r="AN19" s="235" t="str">
        <f t="shared" si="5"/>
        <v/>
      </c>
      <c r="AO19" s="234" t="str">
        <f>IFERROR(INDEX(V!$R:$R,MATCH(AP19,V!$L:$L,0)),"")</f>
        <v/>
      </c>
      <c r="AP19" s="235" t="str">
        <f t="shared" si="6"/>
        <v/>
      </c>
    </row>
    <row r="21" spans="1:42" x14ac:dyDescent="0.2">
      <c r="A21" s="219" t="s">
        <v>352</v>
      </c>
      <c r="B21" s="44"/>
      <c r="C21" s="44"/>
      <c r="D21" s="44"/>
      <c r="E21" s="44"/>
      <c r="F21" s="44"/>
      <c r="G21" s="44"/>
    </row>
    <row r="22" spans="1:42" x14ac:dyDescent="0.2">
      <c r="A22" s="44"/>
      <c r="B22" s="44"/>
      <c r="C22" s="906"/>
      <c r="D22" s="906"/>
      <c r="E22" s="906"/>
      <c r="F22" s="44"/>
      <c r="G22" s="44"/>
    </row>
    <row r="23" spans="1:42" x14ac:dyDescent="0.2">
      <c r="A23" s="220">
        <v>1</v>
      </c>
      <c r="B23" s="903" t="str">
        <f>IF(A23="-","-",IFERROR(INDEX(B$1:B$100,MATCH(A23,A$1:A$100,0)),""))</f>
        <v>Kenneth Muusikus, Peep Peenema</v>
      </c>
      <c r="C23" s="195">
        <v>13</v>
      </c>
      <c r="D23" s="195"/>
      <c r="E23" s="174"/>
      <c r="F23" s="156"/>
    </row>
    <row r="24" spans="1:42" ht="13.5" thickBot="1" x14ac:dyDescent="0.25">
      <c r="A24" s="220"/>
      <c r="B24" s="907"/>
      <c r="C24" s="222"/>
      <c r="D24" s="195"/>
      <c r="E24" s="171"/>
      <c r="F24" s="171" t="str">
        <f>IF(COUNT(C23,C25)=2,IF(C23&gt;C25,B23,B25),"")</f>
        <v>Kenneth Muusikus, Peep Peenema</v>
      </c>
    </row>
    <row r="25" spans="1:42" x14ac:dyDescent="0.2">
      <c r="A25" s="220">
        <v>2</v>
      </c>
      <c r="B25" s="904" t="str">
        <f>IF(A25="-","-",IFERROR(INDEX(B$1:B$100,MATCH(A25,A$1:A$100,0)),""))</f>
        <v>Kristel Tihhonjuk, Vadim Tihhonjuk</v>
      </c>
      <c r="C25" s="908">
        <v>4</v>
      </c>
      <c r="D25" s="908"/>
      <c r="E25" s="909"/>
      <c r="F25" s="905" t="s">
        <v>187</v>
      </c>
      <c r="G25" s="864"/>
    </row>
    <row r="26" spans="1:42" x14ac:dyDescent="0.2">
      <c r="C26" s="222"/>
      <c r="D26" s="174"/>
      <c r="E26" s="195"/>
      <c r="F26" s="174"/>
      <c r="G26" s="222"/>
    </row>
    <row r="27" spans="1:42" ht="13.5" thickBot="1" x14ac:dyDescent="0.25">
      <c r="C27" s="222"/>
      <c r="D27" s="195"/>
      <c r="E27" s="195"/>
      <c r="F27" s="171" t="str">
        <f>IF(COUNT(C23,C25)=2,IF(C23&lt;C25,B23,B25),"")</f>
        <v>Kristel Tihhonjuk, Vadim Tihhonjuk</v>
      </c>
      <c r="G27" s="222"/>
    </row>
    <row r="28" spans="1:42" x14ac:dyDescent="0.2">
      <c r="A28" s="44"/>
      <c r="B28" s="188"/>
      <c r="C28" s="195"/>
      <c r="D28" s="195"/>
      <c r="E28" s="195"/>
      <c r="F28" s="905" t="s">
        <v>188</v>
      </c>
      <c r="G28" s="864"/>
    </row>
    <row r="29" spans="1:42" x14ac:dyDescent="0.2">
      <c r="A29" s="220">
        <v>3</v>
      </c>
      <c r="B29" s="903" t="str">
        <f>IF(A29="-","-",IFERROR(INDEX(B$1:B$100,MATCH(A29,A$1:A$100,0)),""))</f>
        <v>Illar Tõnurist, Jaan Saar</v>
      </c>
      <c r="C29" s="195">
        <v>8</v>
      </c>
      <c r="D29" s="174"/>
      <c r="E29" s="195"/>
      <c r="F29" s="174"/>
      <c r="G29" s="222"/>
    </row>
    <row r="30" spans="1:42" ht="13.5" thickBot="1" x14ac:dyDescent="0.25">
      <c r="A30" s="220"/>
      <c r="B30" s="907"/>
      <c r="C30" s="371"/>
      <c r="D30" s="373"/>
      <c r="E30" s="370"/>
      <c r="F30" s="171" t="str">
        <f>IF(COUNT(C29,C31)=2,IF(C29&gt;C31,B29,B31),"")</f>
        <v>Hillar Neiland, Kaspar Mänd</v>
      </c>
      <c r="G30" s="222"/>
    </row>
    <row r="31" spans="1:42" x14ac:dyDescent="0.2">
      <c r="A31" s="220">
        <v>4</v>
      </c>
      <c r="B31" s="904" t="str">
        <f>IF(A31="-","-",IFERROR(INDEX(B$1:B$100,MATCH(A31,A$1:A$100,0)),""))</f>
        <v>Hillar Neiland, Kaspar Mänd</v>
      </c>
      <c r="C31" s="195">
        <v>13</v>
      </c>
      <c r="D31" s="174"/>
      <c r="E31" s="195"/>
      <c r="F31" s="905" t="s">
        <v>189</v>
      </c>
      <c r="G31" s="864"/>
    </row>
    <row r="32" spans="1:42" x14ac:dyDescent="0.2">
      <c r="A32" s="44"/>
      <c r="B32" s="156"/>
      <c r="C32" s="174"/>
      <c r="D32" s="174"/>
      <c r="E32" s="174"/>
      <c r="F32" s="174"/>
      <c r="G32" s="222"/>
    </row>
    <row r="33" spans="1:7" ht="13.5" thickBot="1" x14ac:dyDescent="0.25">
      <c r="A33" s="44"/>
      <c r="B33" s="156"/>
      <c r="C33" s="174"/>
      <c r="D33" s="174"/>
      <c r="E33" s="174"/>
      <c r="F33" s="370" t="str">
        <f>IF(COUNT(C29,C31)=2,IF(C29&lt;C31,B29,B31),"")</f>
        <v>Illar Tõnurist, Jaan Saar</v>
      </c>
      <c r="G33" s="371"/>
    </row>
    <row r="34" spans="1:7" x14ac:dyDescent="0.2">
      <c r="A34" s="44"/>
      <c r="B34" s="156"/>
      <c r="C34" s="174"/>
      <c r="D34" s="174"/>
      <c r="E34" s="174"/>
      <c r="F34" s="155" t="s">
        <v>190</v>
      </c>
    </row>
    <row r="35" spans="1:7" x14ac:dyDescent="0.2">
      <c r="C35" s="222"/>
      <c r="D35" s="222"/>
      <c r="E35" s="222"/>
    </row>
    <row r="36" spans="1:7" hidden="1" x14ac:dyDescent="0.2"/>
    <row r="37" spans="1:7" hidden="1" x14ac:dyDescent="0.2"/>
    <row r="38" spans="1:7" hidden="1" x14ac:dyDescent="0.2"/>
    <row r="39" spans="1:7" hidden="1" x14ac:dyDescent="0.2"/>
    <row r="40" spans="1:7" hidden="1" x14ac:dyDescent="0.2"/>
    <row r="41" spans="1:7" hidden="1" x14ac:dyDescent="0.2"/>
    <row r="42" spans="1:7" hidden="1" x14ac:dyDescent="0.2"/>
    <row r="43" spans="1:7" hidden="1" x14ac:dyDescent="0.2"/>
    <row r="44" spans="1:7" hidden="1" x14ac:dyDescent="0.2"/>
    <row r="45" spans="1:7" hidden="1" x14ac:dyDescent="0.2"/>
    <row r="46" spans="1:7" hidden="1" x14ac:dyDescent="0.2"/>
    <row r="47" spans="1:7" hidden="1" x14ac:dyDescent="0.2"/>
    <row r="48" spans="1: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c r="F299" s="649"/>
    </row>
    <row r="300" spans="1:6" x14ac:dyDescent="0.2">
      <c r="A300" s="351">
        <v>1</v>
      </c>
      <c r="B300" s="402" t="str">
        <f>IFERROR(INDEX(B$1:B$100,MATCH(A300,A$1:A$100,0)),"")</f>
        <v>Kenneth Muusikus, Peep Peenema</v>
      </c>
      <c r="C300" s="323"/>
      <c r="F300" s="649"/>
    </row>
    <row r="301" spans="1:6" x14ac:dyDescent="0.2">
      <c r="A301" s="351">
        <v>2</v>
      </c>
      <c r="B301" s="402" t="str">
        <f t="shared" ref="B301:B311" si="10">IFERROR(INDEX(B$1:B$100,MATCH(A301,A$1:A$100,0)),"")</f>
        <v>Kristel Tihhonjuk, Vadim Tihhonjuk</v>
      </c>
      <c r="C301" s="323"/>
      <c r="F301" s="649"/>
    </row>
    <row r="302" spans="1:6" x14ac:dyDescent="0.2">
      <c r="A302" s="351">
        <v>3</v>
      </c>
      <c r="B302" s="402" t="str">
        <f t="shared" si="10"/>
        <v>Illar Tõnurist, Jaan Saar</v>
      </c>
      <c r="C302" s="323"/>
      <c r="F302" s="649"/>
    </row>
    <row r="303" spans="1:6" x14ac:dyDescent="0.2">
      <c r="A303" s="351">
        <v>4</v>
      </c>
      <c r="B303" s="402" t="str">
        <f t="shared" si="10"/>
        <v>Hillar Neiland, Kaspar Mänd</v>
      </c>
      <c r="C303" s="323"/>
      <c r="F303" s="649"/>
    </row>
    <row r="304" spans="1:6" x14ac:dyDescent="0.2">
      <c r="A304" s="351">
        <v>5</v>
      </c>
      <c r="B304" s="402" t="str">
        <f t="shared" si="10"/>
        <v>Ivar Viljaste, Matti Vinni</v>
      </c>
      <c r="C304" s="323"/>
      <c r="F304" s="649"/>
    </row>
    <row r="305" spans="1:6" x14ac:dyDescent="0.2">
      <c r="A305" s="351">
        <v>6</v>
      </c>
      <c r="B305" s="402" t="str">
        <f t="shared" si="10"/>
        <v>Olav Türk, Sirje Maala</v>
      </c>
      <c r="C305" s="323"/>
      <c r="F305" s="649"/>
    </row>
    <row r="306" spans="1:6" x14ac:dyDescent="0.2">
      <c r="A306" s="351">
        <v>7</v>
      </c>
      <c r="B306" s="402" t="str">
        <f t="shared" si="10"/>
        <v>Oleg Rõndenkov, Sander Rose</v>
      </c>
      <c r="C306" s="323"/>
      <c r="F306" s="649"/>
    </row>
    <row r="307" spans="1:6" x14ac:dyDescent="0.2">
      <c r="A307" s="351">
        <v>8</v>
      </c>
      <c r="B307" s="402" t="str">
        <f t="shared" si="10"/>
        <v>Ljudmila Varendi, Viktor Švarõgin</v>
      </c>
      <c r="C307" s="323"/>
      <c r="F307" s="649"/>
    </row>
    <row r="308" spans="1:6" x14ac:dyDescent="0.2">
      <c r="A308" s="351">
        <v>9</v>
      </c>
      <c r="B308" s="402" t="str">
        <f t="shared" si="10"/>
        <v>Airi Veski, Andres Veski, Svetlana Veski</v>
      </c>
      <c r="C308" s="323"/>
      <c r="F308" s="649"/>
    </row>
    <row r="309" spans="1:6" x14ac:dyDescent="0.2">
      <c r="A309" s="351">
        <v>10</v>
      </c>
      <c r="B309" s="402" t="str">
        <f t="shared" si="10"/>
        <v>Henri Mitt, Urmas Randlaine</v>
      </c>
      <c r="C309" s="323"/>
      <c r="F309" s="649"/>
    </row>
    <row r="310" spans="1:6" x14ac:dyDescent="0.2">
      <c r="A310" s="351">
        <v>11</v>
      </c>
      <c r="B310" s="402" t="str">
        <f t="shared" si="10"/>
        <v>Boriss Klubov, Elmo Lageda</v>
      </c>
      <c r="C310" s="323"/>
      <c r="F310" s="649"/>
    </row>
    <row r="311" spans="1:6" x14ac:dyDescent="0.2">
      <c r="A311" s="351">
        <v>12</v>
      </c>
      <c r="B311" s="402" t="str">
        <f t="shared" si="10"/>
        <v>Andrei Grintšak, Enn Tokman</v>
      </c>
      <c r="C311" s="323"/>
      <c r="F311" s="649"/>
    </row>
    <row r="312" spans="1:6" x14ac:dyDescent="0.2">
      <c r="A312" s="911" t="s">
        <v>445</v>
      </c>
      <c r="B312" s="402" t="str">
        <f t="shared" ref="B312" si="11">IFERROR(INDEX(B$1:B$100,MATCH(A312,A$1:A$100,0)),"")</f>
        <v>Aigi Orro, Kalle Orro</v>
      </c>
    </row>
  </sheetData>
  <conditionalFormatting sqref="C7:C19 G7:G19 O7:O19 S7:S19 K7:K19">
    <cfRule type="expression" dxfId="1163" priority="20">
      <formula>AND(C7=0,E7=13)</formula>
    </cfRule>
  </conditionalFormatting>
  <conditionalFormatting sqref="C7:C19">
    <cfRule type="expression" dxfId="1162" priority="34">
      <formula>IF($C7&gt;$E7,TRUE)</formula>
    </cfRule>
  </conditionalFormatting>
  <conditionalFormatting sqref="E7:E19">
    <cfRule type="expression" dxfId="1161" priority="35">
      <formula>IF($C7&lt;$E7,TRUE)</formula>
    </cfRule>
  </conditionalFormatting>
  <conditionalFormatting sqref="K7:K19">
    <cfRule type="expression" dxfId="1160" priority="42">
      <formula>IF($K7&gt;$M7,TRUE)</formula>
    </cfRule>
  </conditionalFormatting>
  <conditionalFormatting sqref="M7:M19">
    <cfRule type="expression" dxfId="1159" priority="43">
      <formula>IF($K7&lt;$M7,TRUE)</formula>
    </cfRule>
  </conditionalFormatting>
  <conditionalFormatting sqref="O7:O19">
    <cfRule type="expression" dxfId="1158" priority="46">
      <formula>IF($O7&gt;$Q7,TRUE)</formula>
    </cfRule>
  </conditionalFormatting>
  <conditionalFormatting sqref="Q7:Q19">
    <cfRule type="expression" dxfId="1157" priority="47">
      <formula>IF($O7&lt;$Q7,TRUE)</formula>
    </cfRule>
  </conditionalFormatting>
  <conditionalFormatting sqref="S7:S19">
    <cfRule type="expression" dxfId="1156" priority="50">
      <formula>IF($S7&gt;$U7,TRUE)</formula>
    </cfRule>
  </conditionalFormatting>
  <conditionalFormatting sqref="U7:U19">
    <cfRule type="expression" dxfId="1155" priority="51">
      <formula>IF($S7&lt;$U7,TRUE)</formula>
    </cfRule>
  </conditionalFormatting>
  <conditionalFormatting sqref="G7:G19">
    <cfRule type="expression" dxfId="1154" priority="38">
      <formula>IF($G7&gt;$I7,TRUE)</formula>
    </cfRule>
  </conditionalFormatting>
  <conditionalFormatting sqref="I7:I19">
    <cfRule type="expression" dxfId="1153" priority="39">
      <formula>IF($G7&lt;$I7,TRUE)</formula>
    </cfRule>
  </conditionalFormatting>
  <conditionalFormatting sqref="F7:F19">
    <cfRule type="containsText" dxfId="1152" priority="25" operator="containsText" text="vaba voor">
      <formula>NOT(ISERROR(SEARCH("vaba voor",F7)))</formula>
    </cfRule>
  </conditionalFormatting>
  <conditionalFormatting sqref="N7:N19">
    <cfRule type="containsText" dxfId="1151" priority="23" operator="containsText" text="vaba voor">
      <formula>NOT(ISERROR(SEARCH("vaba voor",N7)))</formula>
    </cfRule>
  </conditionalFormatting>
  <conditionalFormatting sqref="R7:R19">
    <cfRule type="containsText" dxfId="1150" priority="26" operator="containsText" text="vaba voor">
      <formula>NOT(ISERROR(SEARCH("vaba voor",R7)))</formula>
    </cfRule>
  </conditionalFormatting>
  <conditionalFormatting sqref="V7:V19">
    <cfRule type="containsText" dxfId="1149" priority="22" operator="containsText" text="vaba voor">
      <formula>NOT(ISERROR(SEARCH("vaba voor",V7)))</formula>
    </cfRule>
  </conditionalFormatting>
  <conditionalFormatting sqref="J7:J19">
    <cfRule type="containsText" dxfId="1148" priority="24" operator="containsText" text="vaba voor">
      <formula>NOT(ISERROR(SEARCH("vaba voor",J7)))</formula>
    </cfRule>
  </conditionalFormatting>
  <conditionalFormatting sqref="C7:F19">
    <cfRule type="expression" dxfId="1147" priority="30">
      <formula>IF(AND(ISNUMBER($C7),$C7=$E7),TRUE)</formula>
    </cfRule>
    <cfRule type="expression" dxfId="1146" priority="32">
      <formula>IF($C7&gt;$E7,TRUE)</formula>
    </cfRule>
    <cfRule type="expression" dxfId="1145" priority="33">
      <formula>IF($C7&lt;$E7,TRUE)</formula>
    </cfRule>
  </conditionalFormatting>
  <conditionalFormatting sqref="G7:J19">
    <cfRule type="expression" dxfId="1144" priority="31">
      <formula>IF(AND(ISNUMBER($G7),$G7=$I7),TRUE)</formula>
    </cfRule>
    <cfRule type="expression" dxfId="1143" priority="36">
      <formula>IF($G7&gt;$I7,TRUE)</formula>
    </cfRule>
    <cfRule type="expression" dxfId="1142" priority="37">
      <formula>IF($G7&lt;$I7,TRUE)</formula>
    </cfRule>
  </conditionalFormatting>
  <conditionalFormatting sqref="K7:N19">
    <cfRule type="expression" dxfId="1141" priority="29">
      <formula>IF(AND(ISNUMBER($K7),$K7=$M7),TRUE)</formula>
    </cfRule>
    <cfRule type="expression" dxfId="1140" priority="40">
      <formula>IF($K7&gt;$M7,TRUE)</formula>
    </cfRule>
    <cfRule type="expression" dxfId="1139" priority="41">
      <formula>IF($K7&lt;$M7,TRUE)</formula>
    </cfRule>
  </conditionalFormatting>
  <conditionalFormatting sqref="O7:R19">
    <cfRule type="expression" dxfId="1138" priority="28">
      <formula>IF(AND(ISNUMBER($O7),$O7=$Q7),TRUE)</formula>
    </cfRule>
    <cfRule type="expression" dxfId="1137" priority="44">
      <formula>IF($O7&gt;$Q7,TRUE)</formula>
    </cfRule>
    <cfRule type="expression" dxfId="1136" priority="45">
      <formula>IF($O7&lt;$Q7,TRUE)</formula>
    </cfRule>
  </conditionalFormatting>
  <conditionalFormatting sqref="S7:V19">
    <cfRule type="expression" dxfId="1135" priority="27">
      <formula>IF(AND(ISNUMBER($S7),$S7=$U7),TRUE)</formula>
    </cfRule>
    <cfRule type="expression" dxfId="1134" priority="48">
      <formula>IF($S7&gt;$U7,TRUE)</formula>
    </cfRule>
    <cfRule type="expression" dxfId="1133" priority="49">
      <formula>IF($S7&lt;$U7,TRUE)</formula>
    </cfRule>
  </conditionalFormatting>
  <conditionalFormatting sqref="E7:E19 I7:I19 Q7:Q19 U7:U19 M7:M19">
    <cfRule type="expression" dxfId="1132" priority="21">
      <formula>AND(E7=0,C7=13)</formula>
    </cfRule>
  </conditionalFormatting>
  <conditionalFormatting sqref="A7:A19">
    <cfRule type="duplicateValues" dxfId="1131" priority="52"/>
  </conditionalFormatting>
  <conditionalFormatting sqref="AJ7:AJ19">
    <cfRule type="expression" dxfId="1130" priority="13">
      <formula>AND(AI7="",FIND(",",AJ7))</formula>
    </cfRule>
    <cfRule type="expression" dxfId="1129" priority="15">
      <formula>AND(AI7="",COUNTIF(AJ7,"*,*")=0)</formula>
    </cfRule>
  </conditionalFormatting>
  <conditionalFormatting sqref="AH7:AH19">
    <cfRule type="expression" dxfId="1128" priority="16">
      <formula>AND(AG7="",FIND(",",AH7))</formula>
    </cfRule>
    <cfRule type="expression" dxfId="1127" priority="17">
      <formula>AND(AG7="",COUNTIF(AH7,"*,*")=0)</formula>
    </cfRule>
  </conditionalFormatting>
  <conditionalFormatting sqref="AL7:AL19">
    <cfRule type="expression" dxfId="1126" priority="18">
      <formula>AND(AK7="",FIND(",",AL7))</formula>
    </cfRule>
    <cfRule type="expression" dxfId="1125" priority="19">
      <formula>AND(AK7="",COUNTIF(AL7,"*,*")=0)</formula>
    </cfRule>
  </conditionalFormatting>
  <conditionalFormatting sqref="AF7:AF19">
    <cfRule type="expression" dxfId="1124" priority="14">
      <formula>AND(AE7="",COUNTIF(AF7,"*,*")=0)</formula>
    </cfRule>
  </conditionalFormatting>
  <conditionalFormatting sqref="AN7:AN19">
    <cfRule type="expression" dxfId="1123" priority="10">
      <formula>AND(AM7="",COUNTIF(AN7,"*,*")=0)</formula>
    </cfRule>
    <cfRule type="expression" dxfId="1122" priority="12">
      <formula>AND(AM7="",FIND(",",AN7))</formula>
    </cfRule>
  </conditionalFormatting>
  <conditionalFormatting sqref="AP7:AP19">
    <cfRule type="expression" dxfId="1121" priority="9">
      <formula>AND(AO7="",COUNTIF(AP7,"*,*")=0)</formula>
    </cfRule>
    <cfRule type="expression" dxfId="1120" priority="11">
      <formula>AND(AO7="",FIND(",",AP7))</formula>
    </cfRule>
  </conditionalFormatting>
  <conditionalFormatting sqref="B300:B312">
    <cfRule type="expression" dxfId="1119" priority="53">
      <formula>A300=3</formula>
    </cfRule>
    <cfRule type="expression" dxfId="1118" priority="54">
      <formula>A300=2</formula>
    </cfRule>
    <cfRule type="expression" dxfId="1117" priority="55">
      <formula>A300=1</formula>
    </cfRule>
    <cfRule type="containsBlanks" dxfId="1116" priority="56">
      <formula>LEN(TRIM(B300))=0</formula>
    </cfRule>
    <cfRule type="duplicateValues" dxfId="1115" priority="57"/>
  </conditionalFormatting>
  <conditionalFormatting sqref="C23 C25">
    <cfRule type="containsBlanks" dxfId="1114" priority="7">
      <formula>LEN(TRIM(C23))=0</formula>
    </cfRule>
    <cfRule type="aboveAverage" dxfId="1113" priority="8"/>
  </conditionalFormatting>
  <conditionalFormatting sqref="C29 C31">
    <cfRule type="containsBlanks" dxfId="1112" priority="5">
      <formula>LEN(TRIM(C29))=0</formula>
    </cfRule>
    <cfRule type="aboveAverage" dxfId="1111" priority="6"/>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P305"/>
  <sheetViews>
    <sheetView showGridLines="0" showRowColHeaders="0" workbookViewId="0">
      <pane ySplit="1" topLeftCell="A2" activePane="bottomLeft" state="frozen"/>
      <selection activeCell="A5" sqref="A5"/>
      <selection pane="bottomLeft" activeCell="A5" sqref="A5"/>
    </sheetView>
  </sheetViews>
  <sheetFormatPr defaultRowHeight="12.75" x14ac:dyDescent="0.2"/>
  <cols>
    <col min="1" max="1" width="3.28515625" style="1" customWidth="1"/>
    <col min="2" max="2" width="46"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customWidth="1"/>
    <col min="20" max="20" width="1.140625" style="1" customWidth="1"/>
    <col min="21" max="21" width="2.7109375" style="1" customWidth="1"/>
    <col min="22" max="22" width="9.140625" style="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30.28515625" style="1" hidden="1" customWidth="1"/>
    <col min="35" max="35" width="9.140625" style="1" hidden="1" customWidth="1"/>
    <col min="36" max="36" width="17.28515625" style="1" hidden="1" customWidth="1"/>
    <col min="37" max="37" width="9.140625" style="1" hidden="1" customWidth="1"/>
    <col min="38" max="38" width="15.2851562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UPPER((Kalend!E23)&amp;" - "&amp;(Kalend!C23))&amp;" - "&amp;LOWER(Kalend!D23)&amp;" - "&amp;(Kalend!A23)&amp;" kell "&amp;(Kalend!B23)&amp;" - "&amp;(Kalend!F23)</f>
        <v>T-MV-T - TOILA VALLA LAHTISED SISE-MV - trio - P, 19.03.2023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S2" s="158"/>
      <c r="T2" s="236"/>
      <c r="U2" s="236"/>
      <c r="V2" s="237" t="s">
        <v>236</v>
      </c>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S3" s="158"/>
      <c r="T3" s="236"/>
      <c r="U3" s="236"/>
      <c r="V3" s="240" t="s">
        <v>238</v>
      </c>
      <c r="W3" s="238">
        <v>0.5</v>
      </c>
      <c r="X3" s="239" t="s">
        <v>237</v>
      </c>
      <c r="Z3" s="158"/>
      <c r="AE3" s="158"/>
      <c r="AG3" s="158"/>
      <c r="AH3" s="158"/>
      <c r="AI3" s="158"/>
      <c r="AJ3" s="158"/>
      <c r="AK3" s="158"/>
      <c r="AL3" s="158"/>
      <c r="AM3" s="158"/>
      <c r="AN3" s="158"/>
    </row>
    <row r="4" spans="1:42" x14ac:dyDescent="0.2">
      <c r="F4" s="158"/>
      <c r="L4" s="158"/>
      <c r="M4" s="158"/>
      <c r="N4" s="158"/>
      <c r="O4" s="158"/>
      <c r="P4" s="158"/>
      <c r="Q4" s="158"/>
      <c r="S4" s="158"/>
      <c r="T4" s="158"/>
      <c r="U4" s="158"/>
      <c r="V4" s="241" t="s">
        <v>239</v>
      </c>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439</v>
      </c>
      <c r="C7" s="392"/>
      <c r="D7" s="393" t="s">
        <v>302</v>
      </c>
      <c r="E7" s="394"/>
      <c r="F7" s="395"/>
      <c r="G7" s="392"/>
      <c r="H7" s="393" t="s">
        <v>302</v>
      </c>
      <c r="I7" s="394"/>
      <c r="J7" s="395"/>
      <c r="K7" s="392" t="s">
        <v>79</v>
      </c>
      <c r="L7" s="393"/>
      <c r="M7" s="394" t="s">
        <v>79</v>
      </c>
      <c r="N7" s="395"/>
      <c r="O7" s="392"/>
      <c r="P7" s="393"/>
      <c r="Q7" s="394"/>
      <c r="R7" s="395"/>
      <c r="S7" s="392"/>
      <c r="T7" s="393" t="s">
        <v>302</v>
      </c>
      <c r="U7" s="394"/>
      <c r="V7" s="395"/>
      <c r="W7" s="396"/>
      <c r="X7" s="397"/>
      <c r="Y7" s="707"/>
      <c r="Z7" s="392"/>
      <c r="AA7" s="393"/>
      <c r="AB7" s="398"/>
      <c r="AC7" s="399"/>
      <c r="AD7" s="233">
        <f>SUM(AE7:AP7)</f>
        <v>278</v>
      </c>
      <c r="AE7" s="234">
        <f>IFERROR(INDEX(V!$R:$R,MATCH(AF7,V!$L:$L,0)),"")</f>
        <v>36</v>
      </c>
      <c r="AF7" s="235" t="str">
        <f>IFERROR(LEFT($B7,(FIND(",",$B7,1)-1)),"")</f>
        <v>Ivar Viljaste</v>
      </c>
      <c r="AG7" s="234" t="str">
        <f>IFERROR(INDEX(V!$R:$R,MATCH(AH7,V!$L:$L,0)),"")</f>
        <v/>
      </c>
      <c r="AH7" s="235" t="str">
        <f>IFERROR(MID($B7,FIND(", ",$B7)+2,256),"")</f>
        <v>Matti Vinni, Oleg Rõndenkov</v>
      </c>
      <c r="AI7" s="234">
        <f>IFERROR(INDEX(V!$R:$R,MATCH(AJ7,V!$L:$L,0)),"")</f>
        <v>102</v>
      </c>
      <c r="AJ7" s="235" t="str">
        <f>IFERROR(MID($B7,FIND("^",SUBSTITUTE($B7,", ","^",1))+2,FIND("^",SUBSTITUTE($B7,", ","^",2))-FIND("^",SUBSTITUTE($B7,", ","^",1))-2),"")</f>
        <v>Matti Vinni</v>
      </c>
      <c r="AK7" s="234">
        <f>IFERROR(INDEX(V!$R:$R,MATCH(AL7,V!$L:$L,0)),"")</f>
        <v>140</v>
      </c>
      <c r="AL7" s="235" t="str">
        <f>IFERROR(MID($B7,FIND(", ",$B7,FIND(", ",$B7,FIND(", ",$B7))+1)+2,30000),"")</f>
        <v>Oleg Rõndenkov</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440</v>
      </c>
      <c r="C8" s="392"/>
      <c r="D8" s="393" t="s">
        <v>302</v>
      </c>
      <c r="E8" s="394"/>
      <c r="F8" s="395"/>
      <c r="G8" s="392"/>
      <c r="H8" s="393" t="s">
        <v>302</v>
      </c>
      <c r="I8" s="394"/>
      <c r="J8" s="395"/>
      <c r="K8" s="392" t="s">
        <v>79</v>
      </c>
      <c r="L8" s="393"/>
      <c r="M8" s="394" t="s">
        <v>79</v>
      </c>
      <c r="N8" s="395"/>
      <c r="O8" s="392"/>
      <c r="P8" s="393"/>
      <c r="Q8" s="394"/>
      <c r="R8" s="395"/>
      <c r="S8" s="392"/>
      <c r="T8" s="393" t="s">
        <v>302</v>
      </c>
      <c r="U8" s="394"/>
      <c r="V8" s="395"/>
      <c r="W8" s="396"/>
      <c r="X8" s="397"/>
      <c r="Y8" s="707"/>
      <c r="Z8" s="392"/>
      <c r="AA8" s="393"/>
      <c r="AB8" s="398"/>
      <c r="AC8" s="399"/>
      <c r="AD8" s="233">
        <f t="shared" ref="AD8:AD11" si="0">SUM(AE8:AL8)</f>
        <v>276</v>
      </c>
      <c r="AE8" s="234">
        <f>IFERROR(INDEX(V!$R:$R,MATCH(AF8,V!$L:$L,0)),"")</f>
        <v>108</v>
      </c>
      <c r="AF8" s="235" t="str">
        <f t="shared" ref="AF8:AF12" si="1">IFERROR(LEFT($B8,(FIND(",",$B8,1)-1)),"")</f>
        <v>Henri Mitt</v>
      </c>
      <c r="AG8" s="234" t="str">
        <f>IFERROR(INDEX(V!$R:$R,MATCH(AH8,V!$L:$L,0)),"")</f>
        <v/>
      </c>
      <c r="AH8" s="235" t="str">
        <f t="shared" ref="AH8:AH12" si="2">IFERROR(MID($B8,FIND(", ",$B8)+2,256),"")</f>
        <v>Hillar Neiland, Peep Peenema</v>
      </c>
      <c r="AI8" s="234">
        <f>IFERROR(INDEX(V!$R:$R,MATCH(AJ8,V!$L:$L,0)),"")</f>
        <v>102</v>
      </c>
      <c r="AJ8" s="235" t="str">
        <f t="shared" ref="AJ8:AJ12" si="3">IFERROR(MID($B8,FIND("^",SUBSTITUTE($B8,", ","^",1))+2,FIND("^",SUBSTITUTE($B8,", ","^",2))-FIND("^",SUBSTITUTE($B8,", ","^",1))-2),"")</f>
        <v>Hillar Neiland</v>
      </c>
      <c r="AK8" s="234">
        <f>IFERROR(INDEX(V!$R:$R,MATCH(AL8,V!$L:$L,0)),"")</f>
        <v>66</v>
      </c>
      <c r="AL8" s="235" t="str">
        <f t="shared" ref="AL8:AL12" si="4">IFERROR(MID($B8,FIND(", ",$B8,FIND(", ",$B8,FIND(", ",$B8))+1)+2,30000),"")</f>
        <v>Peep Peenema</v>
      </c>
      <c r="AM8" s="234" t="str">
        <f>IFERROR(INDEX(V!$R:$R,MATCH(AN8,V!$L:$L,0)),"")</f>
        <v/>
      </c>
      <c r="AN8" s="235" t="str">
        <f t="shared" ref="AN8:AN12" si="5">IFERROR(MID($B8,FIND(", ",$B8,FIND(", ",$B8)+1)+2,FIND(", ",$B8,FIND(", ",$B8,FIND(", ",$B8)+1)+1)-FIND(", ",$B8,FIND(", ",$B8)+1)-2),"")</f>
        <v/>
      </c>
      <c r="AO8" s="234" t="str">
        <f>IFERROR(INDEX(V!$R:$R,MATCH(AP8,V!$L:$L,0)),"")</f>
        <v/>
      </c>
      <c r="AP8" s="235" t="str">
        <f t="shared" ref="AP8:AP12" si="6">IFERROR(MID($B8,FIND(", ",$B8,FIND(", ",$B8,FIND(", ",$B8)+1)+1)+2,30000),"")</f>
        <v/>
      </c>
    </row>
    <row r="9" spans="1:42" x14ac:dyDescent="0.2">
      <c r="A9" s="391">
        <v>3</v>
      </c>
      <c r="B9" s="304" t="s">
        <v>441</v>
      </c>
      <c r="C9" s="392"/>
      <c r="D9" s="393" t="s">
        <v>302</v>
      </c>
      <c r="E9" s="394"/>
      <c r="F9" s="395"/>
      <c r="G9" s="392"/>
      <c r="H9" s="393" t="s">
        <v>302</v>
      </c>
      <c r="I9" s="394"/>
      <c r="J9" s="395"/>
      <c r="K9" s="392" t="s">
        <v>79</v>
      </c>
      <c r="L9" s="393"/>
      <c r="M9" s="394" t="s">
        <v>79</v>
      </c>
      <c r="N9" s="395"/>
      <c r="O9" s="392"/>
      <c r="P9" s="393"/>
      <c r="Q9" s="394"/>
      <c r="R9" s="395"/>
      <c r="S9" s="392"/>
      <c r="T9" s="393" t="s">
        <v>302</v>
      </c>
      <c r="U9" s="394"/>
      <c r="V9" s="395"/>
      <c r="W9" s="396"/>
      <c r="X9" s="397"/>
      <c r="Y9" s="707"/>
      <c r="Z9" s="392"/>
      <c r="AA9" s="393"/>
      <c r="AB9" s="398"/>
      <c r="AC9" s="399"/>
      <c r="AD9" s="233">
        <f t="shared" si="0"/>
        <v>96</v>
      </c>
      <c r="AE9" s="234">
        <f>IFERROR(INDEX(V!$R:$R,MATCH(AF9,V!$L:$L,0)),"")</f>
        <v>6</v>
      </c>
      <c r="AF9" s="235" t="str">
        <f t="shared" si="1"/>
        <v>Jaan Sepp</v>
      </c>
      <c r="AG9" s="234" t="str">
        <f>IFERROR(INDEX(V!$R:$R,MATCH(AH9,V!$L:$L,0)),"")</f>
        <v/>
      </c>
      <c r="AH9" s="235" t="str">
        <f t="shared" si="2"/>
        <v>Kaspar Mänd, Oskar Sepp</v>
      </c>
      <c r="AI9" s="234">
        <f>IFERROR(INDEX(V!$R:$R,MATCH(AJ9,V!$L:$L,0)),"")</f>
        <v>84</v>
      </c>
      <c r="AJ9" s="235" t="str">
        <f t="shared" si="3"/>
        <v>Kaspar Mänd</v>
      </c>
      <c r="AK9" s="234">
        <f>IFERROR(INDEX(V!$R:$R,MATCH(AL9,V!$L:$L,0)),"")</f>
        <v>6</v>
      </c>
      <c r="AL9" s="235" t="str">
        <f t="shared" si="4"/>
        <v>Oskar Sepp</v>
      </c>
      <c r="AM9" s="234" t="str">
        <f>IFERROR(INDEX(V!$R:$R,MATCH(AN9,V!$L:$L,0)),"")</f>
        <v/>
      </c>
      <c r="AN9" s="235" t="str">
        <f t="shared" si="5"/>
        <v/>
      </c>
      <c r="AO9" s="234" t="str">
        <f>IFERROR(INDEX(V!$R:$R,MATCH(AP9,V!$L:$L,0)),"")</f>
        <v/>
      </c>
      <c r="AP9" s="235" t="str">
        <f t="shared" si="6"/>
        <v/>
      </c>
    </row>
    <row r="10" spans="1:42" x14ac:dyDescent="0.2">
      <c r="A10" s="391">
        <v>4</v>
      </c>
      <c r="B10" s="304" t="s">
        <v>442</v>
      </c>
      <c r="C10" s="392"/>
      <c r="D10" s="393" t="s">
        <v>302</v>
      </c>
      <c r="E10" s="394"/>
      <c r="F10" s="395"/>
      <c r="G10" s="392"/>
      <c r="H10" s="393" t="s">
        <v>302</v>
      </c>
      <c r="I10" s="394"/>
      <c r="J10" s="395"/>
      <c r="K10" s="392" t="s">
        <v>79</v>
      </c>
      <c r="L10" s="393"/>
      <c r="M10" s="394" t="s">
        <v>79</v>
      </c>
      <c r="N10" s="395"/>
      <c r="O10" s="392"/>
      <c r="P10" s="393"/>
      <c r="Q10" s="394"/>
      <c r="R10" s="395"/>
      <c r="S10" s="392"/>
      <c r="T10" s="393" t="s">
        <v>302</v>
      </c>
      <c r="U10" s="394"/>
      <c r="V10" s="395"/>
      <c r="W10" s="396"/>
      <c r="X10" s="397"/>
      <c r="Y10" s="707"/>
      <c r="Z10" s="392"/>
      <c r="AA10" s="393"/>
      <c r="AB10" s="398"/>
      <c r="AC10" s="399"/>
      <c r="AD10" s="233">
        <f t="shared" si="0"/>
        <v>256</v>
      </c>
      <c r="AE10" s="234">
        <f>IFERROR(INDEX(V!$R:$R,MATCH(AF10,V!$L:$L,0)),"")</f>
        <v>160</v>
      </c>
      <c r="AF10" s="235" t="str">
        <f t="shared" si="1"/>
        <v>Kenneth Muusikus</v>
      </c>
      <c r="AG10" s="234" t="str">
        <f>IFERROR(INDEX(V!$R:$R,MATCH(AH10,V!$L:$L,0)),"")</f>
        <v/>
      </c>
      <c r="AH10" s="235" t="str">
        <f t="shared" si="2"/>
        <v>Ljudmila Varendi, Viktor Švarõgin</v>
      </c>
      <c r="AI10" s="234">
        <f>IFERROR(INDEX(V!$R:$R,MATCH(AJ10,V!$L:$L,0)),"")</f>
        <v>48</v>
      </c>
      <c r="AJ10" s="235" t="str">
        <f t="shared" si="3"/>
        <v>Ljudmila Varendi</v>
      </c>
      <c r="AK10" s="234">
        <f>IFERROR(INDEX(V!$R:$R,MATCH(AL10,V!$L:$L,0)),"")</f>
        <v>48</v>
      </c>
      <c r="AL10" s="235" t="str">
        <f t="shared" si="4"/>
        <v>Viktor Švarõgin</v>
      </c>
      <c r="AM10" s="234" t="str">
        <f>IFERROR(INDEX(V!$R:$R,MATCH(AN10,V!$L:$L,0)),"")</f>
        <v/>
      </c>
      <c r="AN10" s="235" t="str">
        <f t="shared" si="5"/>
        <v/>
      </c>
      <c r="AO10" s="234" t="str">
        <f>IFERROR(INDEX(V!$R:$R,MATCH(AP10,V!$L:$L,0)),"")</f>
        <v/>
      </c>
      <c r="AP10" s="235" t="str">
        <f t="shared" si="6"/>
        <v/>
      </c>
    </row>
    <row r="11" spans="1:42" x14ac:dyDescent="0.2">
      <c r="A11" s="391">
        <v>5</v>
      </c>
      <c r="B11" s="284" t="s">
        <v>443</v>
      </c>
      <c r="C11" s="392"/>
      <c r="D11" s="393" t="s">
        <v>302</v>
      </c>
      <c r="E11" s="394"/>
      <c r="F11" s="395"/>
      <c r="G11" s="392"/>
      <c r="H11" s="393" t="s">
        <v>302</v>
      </c>
      <c r="I11" s="394"/>
      <c r="J11" s="395"/>
      <c r="K11" s="392" t="s">
        <v>79</v>
      </c>
      <c r="L11" s="393"/>
      <c r="M11" s="394" t="s">
        <v>79</v>
      </c>
      <c r="N11" s="395"/>
      <c r="O11" s="392"/>
      <c r="P11" s="393"/>
      <c r="Q11" s="394"/>
      <c r="R11" s="395"/>
      <c r="S11" s="392"/>
      <c r="T11" s="393" t="s">
        <v>302</v>
      </c>
      <c r="U11" s="394"/>
      <c r="V11" s="395"/>
      <c r="W11" s="396"/>
      <c r="X11" s="397"/>
      <c r="Y11" s="707"/>
      <c r="Z11" s="392"/>
      <c r="AA11" s="393"/>
      <c r="AB11" s="398"/>
      <c r="AC11" s="399"/>
      <c r="AD11" s="233">
        <f t="shared" si="0"/>
        <v>210</v>
      </c>
      <c r="AE11" s="234">
        <f>IFERROR(INDEX(V!$R:$R,MATCH(AF11,V!$L:$L,0)),"")</f>
        <v>86</v>
      </c>
      <c r="AF11" s="235" t="str">
        <f t="shared" si="1"/>
        <v>Andrei Grintšak</v>
      </c>
      <c r="AG11" s="234" t="str">
        <f>IFERROR(INDEX(V!$R:$R,MATCH(AH11,V!$L:$L,0)),"")</f>
        <v/>
      </c>
      <c r="AH11" s="235" t="str">
        <f t="shared" si="2"/>
        <v>Kristel Tihhonjuk, Vadim Tihhonjuk</v>
      </c>
      <c r="AI11" s="234">
        <f>IFERROR(INDEX(V!$R:$R,MATCH(AJ11,V!$L:$L,0)),"")</f>
        <v>58</v>
      </c>
      <c r="AJ11" s="235" t="str">
        <f t="shared" si="3"/>
        <v>Kristel Tihhonjuk</v>
      </c>
      <c r="AK11" s="234">
        <f>IFERROR(INDEX(V!$R:$R,MATCH(AL11,V!$L:$L,0)),"")</f>
        <v>66</v>
      </c>
      <c r="AL11" s="235" t="str">
        <f t="shared" si="4"/>
        <v>Vadim Tihhonjuk</v>
      </c>
      <c r="AM11" s="234" t="str">
        <f>IFERROR(INDEX(V!$R:$R,MATCH(AN11,V!$L:$L,0)),"")</f>
        <v/>
      </c>
      <c r="AN11" s="235" t="str">
        <f t="shared" si="5"/>
        <v/>
      </c>
      <c r="AO11" s="234" t="str">
        <f>IFERROR(INDEX(V!$R:$R,MATCH(AP11,V!$L:$L,0)),"")</f>
        <v/>
      </c>
      <c r="AP11" s="235" t="str">
        <f t="shared" si="6"/>
        <v/>
      </c>
    </row>
    <row r="12" spans="1:42" x14ac:dyDescent="0.2">
      <c r="A12" s="391">
        <v>6</v>
      </c>
      <c r="B12" s="304" t="s">
        <v>444</v>
      </c>
      <c r="C12" s="392"/>
      <c r="D12" s="393" t="s">
        <v>302</v>
      </c>
      <c r="E12" s="394"/>
      <c r="F12" s="395"/>
      <c r="G12" s="392"/>
      <c r="H12" s="393" t="s">
        <v>302</v>
      </c>
      <c r="I12" s="394"/>
      <c r="J12" s="395"/>
      <c r="K12" s="392" t="s">
        <v>79</v>
      </c>
      <c r="L12" s="393"/>
      <c r="M12" s="394" t="s">
        <v>79</v>
      </c>
      <c r="N12" s="395"/>
      <c r="O12" s="392"/>
      <c r="P12" s="393"/>
      <c r="Q12" s="394"/>
      <c r="R12" s="395"/>
      <c r="S12" s="392"/>
      <c r="T12" s="393" t="s">
        <v>302</v>
      </c>
      <c r="U12" s="394"/>
      <c r="V12" s="395"/>
      <c r="W12" s="396"/>
      <c r="X12" s="397"/>
      <c r="Y12" s="707"/>
      <c r="Z12" s="392"/>
      <c r="AA12" s="393"/>
      <c r="AB12" s="398"/>
      <c r="AC12" s="399"/>
      <c r="AD12" s="233">
        <f t="shared" ref="AD12" si="7">SUM(AE12:AL12)</f>
        <v>308</v>
      </c>
      <c r="AE12" s="234">
        <f>IFERROR(INDEX(V!$R:$R,MATCH(AF12,V!$L:$L,0)),"")</f>
        <v>94</v>
      </c>
      <c r="AF12" s="235" t="str">
        <f t="shared" si="1"/>
        <v>Enn Tokman</v>
      </c>
      <c r="AG12" s="234" t="str">
        <f>IFERROR(INDEX(V!$R:$R,MATCH(AH12,V!$L:$L,0)),"")</f>
        <v/>
      </c>
      <c r="AH12" s="235" t="str">
        <f t="shared" si="2"/>
        <v>Jaan Saar, Sirje Maala</v>
      </c>
      <c r="AI12" s="234">
        <f>IFERROR(INDEX(V!$R:$R,MATCH(AJ12,V!$L:$L,0)),"")</f>
        <v>84</v>
      </c>
      <c r="AJ12" s="235" t="str">
        <f t="shared" si="3"/>
        <v>Jaan Saar</v>
      </c>
      <c r="AK12" s="234">
        <f>IFERROR(INDEX(V!$R:$R,MATCH(AL12,V!$L:$L,0)),"")</f>
        <v>130</v>
      </c>
      <c r="AL12" s="235" t="str">
        <f t="shared" si="4"/>
        <v>Sirje Maala</v>
      </c>
      <c r="AM12" s="234" t="str">
        <f>IFERROR(INDEX(V!$R:$R,MATCH(AN12,V!$L:$L,0)),"")</f>
        <v/>
      </c>
      <c r="AN12" s="235" t="str">
        <f t="shared" si="5"/>
        <v/>
      </c>
      <c r="AO12" s="234" t="str">
        <f>IFERROR(INDEX(V!$R:$R,MATCH(AP12,V!$L:$L,0)),"")</f>
        <v/>
      </c>
      <c r="AP12" s="235" t="str">
        <f t="shared" si="6"/>
        <v/>
      </c>
    </row>
    <row r="15" spans="1:42" hidden="1" x14ac:dyDescent="0.2"/>
    <row r="16" spans="1:42"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hidden="1" x14ac:dyDescent="0.2">
      <c r="A299" s="158"/>
      <c r="B299" s="158"/>
      <c r="C299" s="229"/>
      <c r="F299" s="649"/>
    </row>
    <row r="300" spans="1:6" x14ac:dyDescent="0.2">
      <c r="A300" s="351">
        <v>1</v>
      </c>
      <c r="B300" s="402" t="str">
        <f>IFERROR(INDEX(B$1:B$100,MATCH(A300,A$1:A$100,0)),"")</f>
        <v>Ivar Viljaste, Matti Vinni, Oleg Rõndenkov</v>
      </c>
      <c r="C300" s="323"/>
      <c r="F300" s="649"/>
    </row>
    <row r="301" spans="1:6" x14ac:dyDescent="0.2">
      <c r="A301" s="351">
        <v>2</v>
      </c>
      <c r="B301" s="402" t="str">
        <f t="shared" ref="B301:B305" si="8">IFERROR(INDEX(B$1:B$100,MATCH(A301,A$1:A$100,0)),"")</f>
        <v>Henri Mitt, Hillar Neiland, Peep Peenema</v>
      </c>
      <c r="C301" s="323"/>
      <c r="F301" s="649"/>
    </row>
    <row r="302" spans="1:6" x14ac:dyDescent="0.2">
      <c r="A302" s="351">
        <v>3</v>
      </c>
      <c r="B302" s="402" t="str">
        <f t="shared" si="8"/>
        <v>Jaan Sepp, Kaspar Mänd, Oskar Sepp</v>
      </c>
      <c r="C302" s="323"/>
      <c r="F302" s="649"/>
    </row>
    <row r="303" spans="1:6" x14ac:dyDescent="0.2">
      <c r="A303" s="351">
        <v>4</v>
      </c>
      <c r="B303" s="402" t="str">
        <f t="shared" si="8"/>
        <v>Kenneth Muusikus, Ljudmila Varendi, Viktor Švarõgin</v>
      </c>
      <c r="C303" s="323"/>
      <c r="F303" s="649"/>
    </row>
    <row r="304" spans="1:6" x14ac:dyDescent="0.2">
      <c r="A304" s="351">
        <v>5</v>
      </c>
      <c r="B304" s="402" t="str">
        <f t="shared" si="8"/>
        <v>Andrei Grintšak, Kristel Tihhonjuk, Vadim Tihhonjuk</v>
      </c>
      <c r="C304" s="323"/>
      <c r="F304" s="649"/>
    </row>
    <row r="305" spans="1:6" x14ac:dyDescent="0.2">
      <c r="A305" s="351">
        <v>6</v>
      </c>
      <c r="B305" s="402" t="str">
        <f t="shared" si="8"/>
        <v>Enn Tokman, Jaan Saar, Sirje Maala</v>
      </c>
      <c r="C305" s="323"/>
      <c r="F305" s="649"/>
    </row>
  </sheetData>
  <conditionalFormatting sqref="C7:C12 G7:G12 O7:O12 S7:S12 K7:K12">
    <cfRule type="expression" dxfId="1110" priority="12">
      <formula>AND(C7=0,E7=13)</formula>
    </cfRule>
  </conditionalFormatting>
  <conditionalFormatting sqref="C7:C12">
    <cfRule type="expression" dxfId="1109" priority="26">
      <formula>IF($C7&gt;$E7,TRUE)</formula>
    </cfRule>
  </conditionalFormatting>
  <conditionalFormatting sqref="E7:E12">
    <cfRule type="expression" dxfId="1108" priority="27">
      <formula>IF($C7&lt;$E7,TRUE)</formula>
    </cfRule>
  </conditionalFormatting>
  <conditionalFormatting sqref="K7:K12">
    <cfRule type="expression" dxfId="1107" priority="34">
      <formula>IF($K7&gt;$M7,TRUE)</formula>
    </cfRule>
  </conditionalFormatting>
  <conditionalFormatting sqref="M7:M12">
    <cfRule type="expression" dxfId="1106" priority="35">
      <formula>IF($K7&lt;$M7,TRUE)</formula>
    </cfRule>
  </conditionalFormatting>
  <conditionalFormatting sqref="O7:O12">
    <cfRule type="expression" dxfId="1105" priority="38">
      <formula>IF($O7&gt;$Q7,TRUE)</formula>
    </cfRule>
  </conditionalFormatting>
  <conditionalFormatting sqref="Q7:Q12">
    <cfRule type="expression" dxfId="1104" priority="39">
      <formula>IF($O7&lt;$Q7,TRUE)</formula>
    </cfRule>
  </conditionalFormatting>
  <conditionalFormatting sqref="S7:S12">
    <cfRule type="expression" dxfId="1103" priority="42">
      <formula>IF($S7&gt;$U7,TRUE)</formula>
    </cfRule>
  </conditionalFormatting>
  <conditionalFormatting sqref="U7:U12">
    <cfRule type="expression" dxfId="1102" priority="43">
      <formula>IF($S7&lt;$U7,TRUE)</formula>
    </cfRule>
  </conditionalFormatting>
  <conditionalFormatting sqref="G7:G12">
    <cfRule type="expression" dxfId="1101" priority="30">
      <formula>IF($G7&gt;$I7,TRUE)</formula>
    </cfRule>
  </conditionalFormatting>
  <conditionalFormatting sqref="I7:I12">
    <cfRule type="expression" dxfId="1100" priority="31">
      <formula>IF($G7&lt;$I7,TRUE)</formula>
    </cfRule>
  </conditionalFormatting>
  <conditionalFormatting sqref="F7:F12">
    <cfRule type="containsText" dxfId="1099" priority="17" operator="containsText" text="vaba voor">
      <formula>NOT(ISERROR(SEARCH("vaba voor",F7)))</formula>
    </cfRule>
  </conditionalFormatting>
  <conditionalFormatting sqref="N7:N12">
    <cfRule type="containsText" dxfId="1098" priority="15" operator="containsText" text="vaba voor">
      <formula>NOT(ISERROR(SEARCH("vaba voor",N7)))</formula>
    </cfRule>
  </conditionalFormatting>
  <conditionalFormatting sqref="R7:R12">
    <cfRule type="containsText" dxfId="1097" priority="18" operator="containsText" text="vaba voor">
      <formula>NOT(ISERROR(SEARCH("vaba voor",R7)))</formula>
    </cfRule>
  </conditionalFormatting>
  <conditionalFormatting sqref="V7:V12">
    <cfRule type="containsText" dxfId="1096" priority="14" operator="containsText" text="vaba voor">
      <formula>NOT(ISERROR(SEARCH("vaba voor",V7)))</formula>
    </cfRule>
  </conditionalFormatting>
  <conditionalFormatting sqref="J7:J12">
    <cfRule type="containsText" dxfId="1095" priority="16" operator="containsText" text="vaba voor">
      <formula>NOT(ISERROR(SEARCH("vaba voor",J7)))</formula>
    </cfRule>
  </conditionalFormatting>
  <conditionalFormatting sqref="C7:F12">
    <cfRule type="expression" dxfId="1094" priority="22">
      <formula>IF(AND(ISNUMBER($C7),$C7=$E7),TRUE)</formula>
    </cfRule>
    <cfRule type="expression" dxfId="1093" priority="24">
      <formula>IF($C7&gt;$E7,TRUE)</formula>
    </cfRule>
    <cfRule type="expression" dxfId="1092" priority="25">
      <formula>IF($C7&lt;$E7,TRUE)</formula>
    </cfRule>
  </conditionalFormatting>
  <conditionalFormatting sqref="G7:J12">
    <cfRule type="expression" dxfId="1091" priority="23">
      <formula>IF(AND(ISNUMBER($G7),$G7=$I7),TRUE)</formula>
    </cfRule>
    <cfRule type="expression" dxfId="1090" priority="28">
      <formula>IF($G7&gt;$I7,TRUE)</formula>
    </cfRule>
    <cfRule type="expression" dxfId="1089" priority="29">
      <formula>IF($G7&lt;$I7,TRUE)</formula>
    </cfRule>
  </conditionalFormatting>
  <conditionalFormatting sqref="K7:N12">
    <cfRule type="expression" dxfId="1088" priority="21">
      <formula>IF(AND(ISNUMBER($K7),$K7=$M7),TRUE)</formula>
    </cfRule>
    <cfRule type="expression" dxfId="1087" priority="32">
      <formula>IF($K7&gt;$M7,TRUE)</formula>
    </cfRule>
    <cfRule type="expression" dxfId="1086" priority="33">
      <formula>IF($K7&lt;$M7,TRUE)</formula>
    </cfRule>
  </conditionalFormatting>
  <conditionalFormatting sqref="O7:R12">
    <cfRule type="expression" dxfId="1085" priority="20">
      <formula>IF(AND(ISNUMBER($O7),$O7=$Q7),TRUE)</formula>
    </cfRule>
    <cfRule type="expression" dxfId="1084" priority="36">
      <formula>IF($O7&gt;$Q7,TRUE)</formula>
    </cfRule>
    <cfRule type="expression" dxfId="1083" priority="37">
      <formula>IF($O7&lt;$Q7,TRUE)</formula>
    </cfRule>
  </conditionalFormatting>
  <conditionalFormatting sqref="S7:V12">
    <cfRule type="expression" dxfId="1082" priority="19">
      <formula>IF(AND(ISNUMBER($S7),$S7=$U7),TRUE)</formula>
    </cfRule>
    <cfRule type="expression" dxfId="1081" priority="40">
      <formula>IF($S7&gt;$U7,TRUE)</formula>
    </cfRule>
    <cfRule type="expression" dxfId="1080" priority="41">
      <formula>IF($S7&lt;$U7,TRUE)</formula>
    </cfRule>
  </conditionalFormatting>
  <conditionalFormatting sqref="E7:E12 I7:I12 Q7:Q12 U7:U12 M7:M12">
    <cfRule type="expression" dxfId="1079" priority="13">
      <formula>AND(E7=0,C7=13)</formula>
    </cfRule>
  </conditionalFormatting>
  <conditionalFormatting sqref="A7:A12">
    <cfRule type="duplicateValues" dxfId="1078" priority="44"/>
  </conditionalFormatting>
  <conditionalFormatting sqref="AJ7:AJ12">
    <cfRule type="expression" dxfId="1077" priority="5">
      <formula>AND(AI7="",FIND(",",AJ7))</formula>
    </cfRule>
    <cfRule type="expression" dxfId="1076" priority="7">
      <formula>AND(AI7="",COUNTIF(AJ7,"*,*")=0)</formula>
    </cfRule>
  </conditionalFormatting>
  <conditionalFormatting sqref="AH7:AH12">
    <cfRule type="expression" dxfId="1075" priority="8">
      <formula>AND(AG7="",FIND(",",AH7))</formula>
    </cfRule>
    <cfRule type="expression" dxfId="1074" priority="9">
      <formula>AND(AG7="",COUNTIF(AH7,"*,*")=0)</formula>
    </cfRule>
  </conditionalFormatting>
  <conditionalFormatting sqref="AL7:AL12">
    <cfRule type="expression" dxfId="1073" priority="10">
      <formula>AND(AK7="",FIND(",",AL7))</formula>
    </cfRule>
    <cfRule type="expression" dxfId="1072" priority="11">
      <formula>AND(AK7="",COUNTIF(AL7,"*,*")=0)</formula>
    </cfRule>
  </conditionalFormatting>
  <conditionalFormatting sqref="AF7:AF12">
    <cfRule type="expression" dxfId="1071" priority="6">
      <formula>AND(AE7="",COUNTIF(AF7,"*,*")=0)</formula>
    </cfRule>
  </conditionalFormatting>
  <conditionalFormatting sqref="AN7:AN12">
    <cfRule type="expression" dxfId="1070" priority="2">
      <formula>AND(AM7="",COUNTIF(AN7,"*,*")=0)</formula>
    </cfRule>
    <cfRule type="expression" dxfId="1069" priority="4">
      <formula>AND(AM7="",FIND(",",AN7))</formula>
    </cfRule>
  </conditionalFormatting>
  <conditionalFormatting sqref="AP7:AP12">
    <cfRule type="expression" dxfId="1068" priority="1">
      <formula>AND(AO7="",COUNTIF(AP7,"*,*")=0)</formula>
    </cfRule>
    <cfRule type="expression" dxfId="1067" priority="3">
      <formula>AND(AO7="",FIND(",",AP7))</formula>
    </cfRule>
  </conditionalFormatting>
  <conditionalFormatting sqref="B300:B305">
    <cfRule type="expression" dxfId="1066" priority="1562">
      <formula>A300=3</formula>
    </cfRule>
    <cfRule type="expression" dxfId="1065" priority="1563">
      <formula>A300=2</formula>
    </cfRule>
    <cfRule type="expression" dxfId="1064" priority="1564">
      <formula>A300=1</formula>
    </cfRule>
    <cfRule type="containsBlanks" dxfId="1063" priority="1565">
      <formula>LEN(TRIM(B300))=0</formula>
    </cfRule>
    <cfRule type="duplicateValues" dxfId="1062" priority="1566"/>
  </conditionalFormatting>
  <pageMargins left="0.78740157480314965" right="0.39370078740157483" top="0.78740157480314965" bottom="0.39370078740157483" header="0.78740157480314965" footer="0"/>
  <pageSetup paperSize="9" scale="84" fitToHeight="0" orientation="landscape" verticalDpi="1200" r:id="rId1"/>
  <headerFooter>
    <oddHeader>&amp;R&amp;P. leht &amp;N&amp; -st</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12"/>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0.285156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5.28515625" style="1" hidden="1" customWidth="1"/>
    <col min="35" max="35" width="9.140625" style="1" hidden="1" customWidth="1"/>
    <col min="36" max="36" width="18.28515625" style="1" hidden="1" customWidth="1"/>
    <col min="37" max="37" width="9.140625" style="1" hidden="1" customWidth="1"/>
    <col min="38" max="38" width="15.2851562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UPPER((Kalend!E24)&amp;" - "&amp;(Kalend!C24))&amp;" - "&amp;LOWER(Kalend!D24)&amp;" - "&amp;(Kalend!A24)&amp;" kell "&amp;(Kalend!B24)&amp;" - "&amp;(Kalend!F24)</f>
        <v>V10 - VOKA V SISE-KV 10. ETAPP - duo - P, 26.03.2023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1017" t="s">
        <v>300</v>
      </c>
      <c r="Y6" s="1020"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451</v>
      </c>
      <c r="C7" s="392">
        <v>13</v>
      </c>
      <c r="D7" s="393" t="s">
        <v>302</v>
      </c>
      <c r="E7" s="394">
        <v>12</v>
      </c>
      <c r="F7" s="395" t="s">
        <v>259</v>
      </c>
      <c r="G7" s="392">
        <v>13</v>
      </c>
      <c r="H7" s="393" t="s">
        <v>302</v>
      </c>
      <c r="I7" s="394">
        <v>5</v>
      </c>
      <c r="J7" s="395" t="s">
        <v>422</v>
      </c>
      <c r="K7" s="392">
        <v>13</v>
      </c>
      <c r="L7" s="393" t="s">
        <v>302</v>
      </c>
      <c r="M7" s="394">
        <v>8</v>
      </c>
      <c r="N7" s="395" t="s">
        <v>318</v>
      </c>
      <c r="O7" s="392">
        <v>13</v>
      </c>
      <c r="P7" s="393" t="s">
        <v>302</v>
      </c>
      <c r="Q7" s="394">
        <v>8</v>
      </c>
      <c r="R7" s="395" t="s">
        <v>452</v>
      </c>
      <c r="S7" s="392"/>
      <c r="T7" s="393" t="s">
        <v>302</v>
      </c>
      <c r="U7" s="394"/>
      <c r="V7" s="395"/>
      <c r="W7" s="396">
        <f t="shared" ref="W7:W19" si="0">IF(C7&gt;E7,W$2,IF(C7&lt;E7,W$4,IF(ISNUMBER(C7),W$3,0)))+IF(G7&gt;I7,W$2,IF(G7&lt;I7,W$4,IF(ISNUMBER(G7),W$3,0)))+IF(K7&gt;M7,W$2,IF(K7&lt;M7,W$4,IF(ISNUMBER(K7),W$3,0)))+IF(O7&gt;Q7,W$2,IF(O7&lt;Q7,W$4,IF(ISNUMBER(O7),W$3,0)))+IF(S7&gt;U7,W$2,IF(S7&lt;U7,W$4,IF(ISNUMBER(S7),W$3,0)))</f>
        <v>4</v>
      </c>
      <c r="X7" s="1019">
        <v>14</v>
      </c>
      <c r="Y7" s="1036">
        <v>80</v>
      </c>
      <c r="Z7" s="392">
        <f t="shared" ref="Z7:Z19" si="1">C7+G7+K7+O7+S7</f>
        <v>52</v>
      </c>
      <c r="AA7" s="393" t="s">
        <v>302</v>
      </c>
      <c r="AB7" s="398">
        <f t="shared" ref="AB7:AB19" si="2">E7+I7+M7+Q7+U7</f>
        <v>33</v>
      </c>
      <c r="AC7" s="399">
        <f t="shared" ref="AC7:AC19" si="3">Z7-AB7</f>
        <v>19</v>
      </c>
      <c r="AD7" s="233">
        <f>SUM(AE7:AP7)</f>
        <v>232</v>
      </c>
      <c r="AE7" s="234">
        <f>IFERROR(INDEX(V!$R:$R,MATCH(AF7,V!$L:$L,0)),"")</f>
        <v>160</v>
      </c>
      <c r="AF7" s="235" t="str">
        <f>IFERROR(LEFT($B7,(FIND(",",$B7,1)-1)),"")</f>
        <v>Olav Türk</v>
      </c>
      <c r="AG7" s="234">
        <f>IFERROR(INDEX(V!$R:$R,MATCH(AH7,V!$L:$L,0)),"")</f>
        <v>72</v>
      </c>
      <c r="AH7" s="235" t="str">
        <f>IFERROR(MID($B7,FIND(", ",$B7)+2,256),"")</f>
        <v>Urmas Jõeäär</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452</v>
      </c>
      <c r="C8" s="392">
        <v>13</v>
      </c>
      <c r="D8" s="393" t="s">
        <v>302</v>
      </c>
      <c r="E8" s="394">
        <v>8</v>
      </c>
      <c r="F8" s="395" t="s">
        <v>388</v>
      </c>
      <c r="G8" s="392">
        <v>13</v>
      </c>
      <c r="H8" s="393" t="s">
        <v>302</v>
      </c>
      <c r="I8" s="394">
        <v>9</v>
      </c>
      <c r="J8" s="395" t="s">
        <v>387</v>
      </c>
      <c r="K8" s="392">
        <v>9</v>
      </c>
      <c r="L8" s="393" t="s">
        <v>302</v>
      </c>
      <c r="M8" s="394">
        <v>8</v>
      </c>
      <c r="N8" s="395" t="s">
        <v>380</v>
      </c>
      <c r="O8" s="392">
        <v>8</v>
      </c>
      <c r="P8" s="393" t="s">
        <v>302</v>
      </c>
      <c r="Q8" s="394">
        <v>13</v>
      </c>
      <c r="R8" s="395" t="s">
        <v>451</v>
      </c>
      <c r="S8" s="392"/>
      <c r="T8" s="393" t="s">
        <v>302</v>
      </c>
      <c r="U8" s="394"/>
      <c r="V8" s="395"/>
      <c r="W8" s="396">
        <f t="shared" si="0"/>
        <v>3</v>
      </c>
      <c r="X8" s="1019">
        <v>24</v>
      </c>
      <c r="Y8" s="1036">
        <v>54</v>
      </c>
      <c r="Z8" s="392">
        <f t="shared" si="1"/>
        <v>43</v>
      </c>
      <c r="AA8" s="393" t="s">
        <v>302</v>
      </c>
      <c r="AB8" s="398">
        <f t="shared" si="2"/>
        <v>38</v>
      </c>
      <c r="AC8" s="399">
        <f t="shared" si="3"/>
        <v>5</v>
      </c>
      <c r="AD8" s="233">
        <f t="shared" ref="AD8:AD11" si="4">SUM(AE8:AL8)</f>
        <v>184</v>
      </c>
      <c r="AE8" s="234">
        <f>IFERROR(INDEX(V!$R:$R,MATCH(AF8,V!$L:$L,0)),"")</f>
        <v>160</v>
      </c>
      <c r="AF8" s="235" t="str">
        <f t="shared" ref="AF8:AF19" si="5">IFERROR(LEFT($B8,(FIND(",",$B8,1)-1)),"")</f>
        <v>Kenneth Muusikus</v>
      </c>
      <c r="AG8" s="234">
        <f>IFERROR(INDEX(V!$R:$R,MATCH(AH8,V!$L:$L,0)),"")</f>
        <v>24</v>
      </c>
      <c r="AH8" s="235" t="str">
        <f t="shared" ref="AH8:AH19" si="6">IFERROR(MID($B8,FIND(", ",$B8)+2,256),"")</f>
        <v>Viktoria Mets</v>
      </c>
      <c r="AI8" s="234" t="str">
        <f>IFERROR(INDEX(V!$R:$R,MATCH(AJ8,V!$L:$L,0)),"")</f>
        <v/>
      </c>
      <c r="AJ8" s="235" t="str">
        <f t="shared" ref="AJ8:AJ19" si="7">IFERROR(MID($B8,FIND("^",SUBSTITUTE($B8,", ","^",1))+2,FIND("^",SUBSTITUTE($B8,", ","^",2))-FIND("^",SUBSTITUTE($B8,", ","^",1))-2),"")</f>
        <v/>
      </c>
      <c r="AK8" s="234" t="str">
        <f>IFERROR(INDEX(V!$R:$R,MATCH(AL8,V!$L:$L,0)),"")</f>
        <v/>
      </c>
      <c r="AL8" s="235" t="str">
        <f t="shared" ref="AL8:AL19" si="8">IFERROR(MID($B8,FIND(", ",$B8,FIND(", ",$B8,FIND(", ",$B8))+1)+2,30000),"")</f>
        <v/>
      </c>
      <c r="AM8" s="234" t="str">
        <f>IFERROR(INDEX(V!$R:$R,MATCH(AN8,V!$L:$L,0)),"")</f>
        <v/>
      </c>
      <c r="AN8" s="235" t="str">
        <f t="shared" ref="AN8:AN19" si="9">IFERROR(MID($B8,FIND(", ",$B8,FIND(", ",$B8)+1)+2,FIND(", ",$B8,FIND(", ",$B8,FIND(", ",$B8)+1)+1)-FIND(", ",$B8,FIND(", ",$B8)+1)-2),"")</f>
        <v/>
      </c>
      <c r="AO8" s="234" t="str">
        <f>IFERROR(INDEX(V!$R:$R,MATCH(AP8,V!$L:$L,0)),"")</f>
        <v/>
      </c>
      <c r="AP8" s="235" t="str">
        <f t="shared" ref="AP8:AP19" si="10">IFERROR(MID($B8,FIND(", ",$B8,FIND(", ",$B8,FIND(", ",$B8)+1)+1)+2,30000),"")</f>
        <v/>
      </c>
    </row>
    <row r="9" spans="1:42" x14ac:dyDescent="0.2">
      <c r="A9" s="391">
        <v>3</v>
      </c>
      <c r="B9" s="304" t="s">
        <v>387</v>
      </c>
      <c r="C9" s="392">
        <v>13</v>
      </c>
      <c r="D9" s="393" t="s">
        <v>302</v>
      </c>
      <c r="E9" s="394">
        <v>8</v>
      </c>
      <c r="F9" s="395" t="s">
        <v>453</v>
      </c>
      <c r="G9" s="392">
        <v>9</v>
      </c>
      <c r="H9" s="393" t="s">
        <v>302</v>
      </c>
      <c r="I9" s="394">
        <v>13</v>
      </c>
      <c r="J9" s="395" t="s">
        <v>452</v>
      </c>
      <c r="K9" s="392">
        <v>13</v>
      </c>
      <c r="L9" s="393" t="s">
        <v>302</v>
      </c>
      <c r="M9" s="394">
        <v>10</v>
      </c>
      <c r="N9" s="395" t="s">
        <v>353</v>
      </c>
      <c r="O9" s="392">
        <v>13</v>
      </c>
      <c r="P9" s="393" t="s">
        <v>302</v>
      </c>
      <c r="Q9" s="394">
        <v>11</v>
      </c>
      <c r="R9" s="395" t="s">
        <v>318</v>
      </c>
      <c r="S9" s="392"/>
      <c r="T9" s="393" t="s">
        <v>302</v>
      </c>
      <c r="U9" s="394"/>
      <c r="V9" s="395"/>
      <c r="W9" s="396">
        <f t="shared" si="0"/>
        <v>3</v>
      </c>
      <c r="X9" s="1019">
        <v>16</v>
      </c>
      <c r="Y9" s="1036">
        <v>84</v>
      </c>
      <c r="Z9" s="392">
        <f t="shared" si="1"/>
        <v>48</v>
      </c>
      <c r="AA9" s="393" t="s">
        <v>302</v>
      </c>
      <c r="AB9" s="398">
        <f t="shared" si="2"/>
        <v>42</v>
      </c>
      <c r="AC9" s="399">
        <f t="shared" si="3"/>
        <v>6</v>
      </c>
      <c r="AD9" s="233">
        <f t="shared" si="4"/>
        <v>282</v>
      </c>
      <c r="AE9" s="234">
        <f>IFERROR(INDEX(V!$R:$R,MATCH(AF9,V!$L:$L,0)),"")</f>
        <v>140</v>
      </c>
      <c r="AF9" s="235" t="str">
        <f t="shared" si="5"/>
        <v>Oleg Rõndenkov</v>
      </c>
      <c r="AG9" s="234">
        <f>IFERROR(INDEX(V!$R:$R,MATCH(AH9,V!$L:$L,0)),"")</f>
        <v>142</v>
      </c>
      <c r="AH9" s="235" t="str">
        <f t="shared" si="6"/>
        <v>Sander Rose</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t="s">
        <v>436</v>
      </c>
      <c r="C10" s="392">
        <v>6</v>
      </c>
      <c r="D10" s="393" t="s">
        <v>302</v>
      </c>
      <c r="E10" s="394">
        <v>13</v>
      </c>
      <c r="F10" s="395" t="s">
        <v>353</v>
      </c>
      <c r="G10" s="392">
        <v>13</v>
      </c>
      <c r="H10" s="393" t="s">
        <v>302</v>
      </c>
      <c r="I10" s="394">
        <v>8</v>
      </c>
      <c r="J10" s="395" t="s">
        <v>355</v>
      </c>
      <c r="K10" s="392">
        <v>13</v>
      </c>
      <c r="L10" s="393" t="s">
        <v>302</v>
      </c>
      <c r="M10" s="394">
        <v>4</v>
      </c>
      <c r="N10" s="395" t="s">
        <v>453</v>
      </c>
      <c r="O10" s="392">
        <v>13</v>
      </c>
      <c r="P10" s="393" t="s">
        <v>302</v>
      </c>
      <c r="Q10" s="394">
        <v>10</v>
      </c>
      <c r="R10" s="395" t="s">
        <v>454</v>
      </c>
      <c r="S10" s="392"/>
      <c r="T10" s="393" t="s">
        <v>302</v>
      </c>
      <c r="U10" s="394"/>
      <c r="V10" s="395"/>
      <c r="W10" s="396">
        <f t="shared" si="0"/>
        <v>3</v>
      </c>
      <c r="X10" s="1019">
        <v>12</v>
      </c>
      <c r="Y10" s="1036">
        <v>64</v>
      </c>
      <c r="Z10" s="392">
        <f t="shared" si="1"/>
        <v>45</v>
      </c>
      <c r="AA10" s="393" t="s">
        <v>302</v>
      </c>
      <c r="AB10" s="398">
        <f t="shared" si="2"/>
        <v>35</v>
      </c>
      <c r="AC10" s="399">
        <f t="shared" si="3"/>
        <v>10</v>
      </c>
      <c r="AD10" s="233">
        <f t="shared" si="4"/>
        <v>138</v>
      </c>
      <c r="AE10" s="234">
        <f>IFERROR(INDEX(V!$R:$R,MATCH(AF10,V!$L:$L,0)),"")</f>
        <v>36</v>
      </c>
      <c r="AF10" s="235" t="str">
        <f t="shared" si="5"/>
        <v>Ivar Viljaste</v>
      </c>
      <c r="AG10" s="234">
        <f>IFERROR(INDEX(V!$R:$R,MATCH(AH10,V!$L:$L,0)),"")</f>
        <v>102</v>
      </c>
      <c r="AH10" s="235" t="str">
        <f t="shared" si="6"/>
        <v>Matti Vinni</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284" t="s">
        <v>380</v>
      </c>
      <c r="C11" s="392">
        <v>13</v>
      </c>
      <c r="D11" s="393" t="s">
        <v>302</v>
      </c>
      <c r="E11" s="394">
        <v>7</v>
      </c>
      <c r="F11" s="395" t="s">
        <v>348</v>
      </c>
      <c r="G11" s="392">
        <v>13</v>
      </c>
      <c r="H11" s="393" t="s">
        <v>302</v>
      </c>
      <c r="I11" s="394">
        <v>12</v>
      </c>
      <c r="J11" s="395" t="s">
        <v>259</v>
      </c>
      <c r="K11" s="392">
        <v>8</v>
      </c>
      <c r="L11" s="393" t="s">
        <v>302</v>
      </c>
      <c r="M11" s="394">
        <v>9</v>
      </c>
      <c r="N11" s="395" t="s">
        <v>452</v>
      </c>
      <c r="O11" s="392">
        <v>13</v>
      </c>
      <c r="P11" s="393" t="s">
        <v>302</v>
      </c>
      <c r="Q11" s="394">
        <v>11</v>
      </c>
      <c r="R11" s="395" t="s">
        <v>353</v>
      </c>
      <c r="S11" s="392"/>
      <c r="T11" s="393" t="s">
        <v>302</v>
      </c>
      <c r="U11" s="394"/>
      <c r="V11" s="395"/>
      <c r="W11" s="396">
        <f t="shared" si="0"/>
        <v>3</v>
      </c>
      <c r="X11" s="1019">
        <v>10</v>
      </c>
      <c r="Y11" s="1036">
        <v>64</v>
      </c>
      <c r="Z11" s="392">
        <f t="shared" si="1"/>
        <v>47</v>
      </c>
      <c r="AA11" s="393" t="s">
        <v>302</v>
      </c>
      <c r="AB11" s="398">
        <f t="shared" si="2"/>
        <v>39</v>
      </c>
      <c r="AC11" s="399">
        <f t="shared" si="3"/>
        <v>8</v>
      </c>
      <c r="AD11" s="233">
        <f t="shared" si="4"/>
        <v>180</v>
      </c>
      <c r="AE11" s="234">
        <f>IFERROR(INDEX(V!$R:$R,MATCH(AF11,V!$L:$L,0)),"")</f>
        <v>86</v>
      </c>
      <c r="AF11" s="235" t="str">
        <f t="shared" si="5"/>
        <v>Andrei Grintšak</v>
      </c>
      <c r="AG11" s="234">
        <f>IFERROR(INDEX(V!$R:$R,MATCH(AH11,V!$L:$L,0)),"")</f>
        <v>94</v>
      </c>
      <c r="AH11" s="235" t="str">
        <f t="shared" si="6"/>
        <v>Enn Tokman</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t="s">
        <v>318</v>
      </c>
      <c r="C12" s="392">
        <v>13</v>
      </c>
      <c r="D12" s="393" t="s">
        <v>302</v>
      </c>
      <c r="E12" s="394">
        <v>2</v>
      </c>
      <c r="F12" s="395" t="s">
        <v>454</v>
      </c>
      <c r="G12" s="392">
        <v>13</v>
      </c>
      <c r="H12" s="393" t="s">
        <v>302</v>
      </c>
      <c r="I12" s="394">
        <v>9</v>
      </c>
      <c r="J12" s="395" t="s">
        <v>353</v>
      </c>
      <c r="K12" s="392">
        <v>8</v>
      </c>
      <c r="L12" s="393" t="s">
        <v>302</v>
      </c>
      <c r="M12" s="394">
        <v>13</v>
      </c>
      <c r="N12" s="395" t="s">
        <v>451</v>
      </c>
      <c r="O12" s="392">
        <v>11</v>
      </c>
      <c r="P12" s="393" t="s">
        <v>302</v>
      </c>
      <c r="Q12" s="394">
        <v>13</v>
      </c>
      <c r="R12" s="395" t="s">
        <v>387</v>
      </c>
      <c r="S12" s="392"/>
      <c r="T12" s="393" t="s">
        <v>302</v>
      </c>
      <c r="U12" s="394"/>
      <c r="V12" s="395"/>
      <c r="W12" s="396">
        <f t="shared" si="0"/>
        <v>2</v>
      </c>
      <c r="X12" s="1019">
        <v>20</v>
      </c>
      <c r="Y12" s="1036">
        <v>64</v>
      </c>
      <c r="Z12" s="392">
        <f t="shared" si="1"/>
        <v>45</v>
      </c>
      <c r="AA12" s="393" t="s">
        <v>302</v>
      </c>
      <c r="AB12" s="398">
        <f t="shared" si="2"/>
        <v>37</v>
      </c>
      <c r="AC12" s="399">
        <f t="shared" si="3"/>
        <v>8</v>
      </c>
      <c r="AD12" s="233">
        <f t="shared" ref="AD12:AD13" si="11">SUM(AE12:AL12)</f>
        <v>130</v>
      </c>
      <c r="AE12" s="234">
        <f>IFERROR(INDEX(V!$R:$R,MATCH(AF12,V!$L:$L,0)),"")</f>
        <v>108</v>
      </c>
      <c r="AF12" s="235" t="str">
        <f t="shared" si="5"/>
        <v>Henri Mitt</v>
      </c>
      <c r="AG12" s="234">
        <f>IFERROR(INDEX(V!$R:$R,MATCH(AH12,V!$L:$L,0)),"")</f>
        <v>22</v>
      </c>
      <c r="AH12" s="235" t="str">
        <f t="shared" si="6"/>
        <v>Urmas Randlaine</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400" t="s">
        <v>453</v>
      </c>
      <c r="C13" s="392">
        <v>8</v>
      </c>
      <c r="D13" s="393" t="s">
        <v>302</v>
      </c>
      <c r="E13" s="394">
        <v>13</v>
      </c>
      <c r="F13" s="395" t="s">
        <v>387</v>
      </c>
      <c r="G13" s="392">
        <v>13</v>
      </c>
      <c r="H13" s="393" t="s">
        <v>302</v>
      </c>
      <c r="I13" s="394">
        <v>2</v>
      </c>
      <c r="J13" s="395" t="s">
        <v>388</v>
      </c>
      <c r="K13" s="392">
        <v>4</v>
      </c>
      <c r="L13" s="393" t="s">
        <v>302</v>
      </c>
      <c r="M13" s="394">
        <v>13</v>
      </c>
      <c r="N13" s="395" t="s">
        <v>436</v>
      </c>
      <c r="O13" s="392">
        <v>13</v>
      </c>
      <c r="P13" s="393" t="s">
        <v>302</v>
      </c>
      <c r="Q13" s="394">
        <v>2</v>
      </c>
      <c r="R13" s="395" t="s">
        <v>422</v>
      </c>
      <c r="S13" s="392"/>
      <c r="T13" s="393" t="s">
        <v>302</v>
      </c>
      <c r="U13" s="394"/>
      <c r="V13" s="395"/>
      <c r="W13" s="396">
        <f t="shared" si="0"/>
        <v>2</v>
      </c>
      <c r="X13" s="1019">
        <v>18</v>
      </c>
      <c r="Y13" s="1036">
        <v>60</v>
      </c>
      <c r="Z13" s="392">
        <f t="shared" si="1"/>
        <v>38</v>
      </c>
      <c r="AA13" s="393" t="s">
        <v>302</v>
      </c>
      <c r="AB13" s="398">
        <f t="shared" si="2"/>
        <v>30</v>
      </c>
      <c r="AC13" s="399">
        <f t="shared" si="3"/>
        <v>8</v>
      </c>
      <c r="AD13" s="233">
        <f t="shared" si="11"/>
        <v>86</v>
      </c>
      <c r="AE13" s="234">
        <f>IFERROR(INDEX(V!$R:$R,MATCH(AF13,V!$L:$L,0)),"")</f>
        <v>26</v>
      </c>
      <c r="AF13" s="235" t="str">
        <f t="shared" si="5"/>
        <v>Johannes Neiland</v>
      </c>
      <c r="AG13" s="234">
        <f>IFERROR(INDEX(V!$R:$R,MATCH(AH13,V!$L:$L,0)),"")</f>
        <v>60</v>
      </c>
      <c r="AH13" s="235" t="str">
        <f t="shared" si="6"/>
        <v>Tõnis Neiland</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304" t="s">
        <v>388</v>
      </c>
      <c r="C14" s="392">
        <v>8</v>
      </c>
      <c r="D14" s="393" t="s">
        <v>302</v>
      </c>
      <c r="E14" s="394">
        <v>13</v>
      </c>
      <c r="F14" s="395" t="s">
        <v>452</v>
      </c>
      <c r="G14" s="392">
        <v>2</v>
      </c>
      <c r="H14" s="393" t="s">
        <v>302</v>
      </c>
      <c r="I14" s="394">
        <v>13</v>
      </c>
      <c r="J14" s="395" t="s">
        <v>453</v>
      </c>
      <c r="K14" s="392">
        <v>12</v>
      </c>
      <c r="L14" s="393" t="s">
        <v>302</v>
      </c>
      <c r="M14" s="394">
        <v>11</v>
      </c>
      <c r="N14" s="395" t="s">
        <v>259</v>
      </c>
      <c r="O14" s="392">
        <v>13</v>
      </c>
      <c r="P14" s="393" t="s">
        <v>302</v>
      </c>
      <c r="Q14" s="394">
        <v>8</v>
      </c>
      <c r="R14" s="395" t="s">
        <v>355</v>
      </c>
      <c r="S14" s="392"/>
      <c r="T14" s="393" t="s">
        <v>302</v>
      </c>
      <c r="U14" s="394"/>
      <c r="V14" s="395"/>
      <c r="W14" s="396">
        <f t="shared" si="0"/>
        <v>2</v>
      </c>
      <c r="X14" s="1019">
        <v>14</v>
      </c>
      <c r="Y14" s="1036">
        <v>72</v>
      </c>
      <c r="Z14" s="392">
        <f t="shared" si="1"/>
        <v>35</v>
      </c>
      <c r="AA14" s="393" t="s">
        <v>302</v>
      </c>
      <c r="AB14" s="398">
        <f t="shared" si="2"/>
        <v>45</v>
      </c>
      <c r="AC14" s="399">
        <f t="shared" si="3"/>
        <v>-10</v>
      </c>
      <c r="AD14" s="233">
        <f t="shared" ref="AD14:AD16" si="12">SUM(AE14:AL14)</f>
        <v>124</v>
      </c>
      <c r="AE14" s="234">
        <f>IFERROR(INDEX(V!$R:$R,MATCH(AF14,V!$L:$L,0)),"")</f>
        <v>58</v>
      </c>
      <c r="AF14" s="235" t="str">
        <f t="shared" si="5"/>
        <v>Kristel Tihhonjuk</v>
      </c>
      <c r="AG14" s="234">
        <f>IFERROR(INDEX(V!$R:$R,MATCH(AH14,V!$L:$L,0)),"")</f>
        <v>66</v>
      </c>
      <c r="AH14" s="235" t="str">
        <f t="shared" si="6"/>
        <v>Vadim Tihhonjuk</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391">
        <v>9</v>
      </c>
      <c r="B15" s="304" t="s">
        <v>454</v>
      </c>
      <c r="C15" s="392">
        <v>2</v>
      </c>
      <c r="D15" s="393" t="s">
        <v>302</v>
      </c>
      <c r="E15" s="394">
        <v>13</v>
      </c>
      <c r="F15" s="395" t="s">
        <v>318</v>
      </c>
      <c r="G15" s="392">
        <v>13</v>
      </c>
      <c r="H15" s="393" t="s">
        <v>302</v>
      </c>
      <c r="I15" s="394">
        <v>7</v>
      </c>
      <c r="J15" s="395" t="s">
        <v>348</v>
      </c>
      <c r="K15" s="392">
        <v>13</v>
      </c>
      <c r="L15" s="393" t="s">
        <v>302</v>
      </c>
      <c r="M15" s="394">
        <v>11</v>
      </c>
      <c r="N15" s="395" t="s">
        <v>422</v>
      </c>
      <c r="O15" s="392">
        <v>10</v>
      </c>
      <c r="P15" s="393" t="s">
        <v>302</v>
      </c>
      <c r="Q15" s="394">
        <v>13</v>
      </c>
      <c r="R15" s="395" t="s">
        <v>436</v>
      </c>
      <c r="S15" s="392"/>
      <c r="T15" s="393" t="s">
        <v>302</v>
      </c>
      <c r="U15" s="394"/>
      <c r="V15" s="395"/>
      <c r="W15" s="396">
        <f t="shared" si="0"/>
        <v>2</v>
      </c>
      <c r="X15" s="1019">
        <v>12</v>
      </c>
      <c r="Y15" s="1036">
        <v>50</v>
      </c>
      <c r="Z15" s="392">
        <f t="shared" si="1"/>
        <v>38</v>
      </c>
      <c r="AA15" s="393" t="s">
        <v>302</v>
      </c>
      <c r="AB15" s="398">
        <f t="shared" si="2"/>
        <v>44</v>
      </c>
      <c r="AC15" s="399">
        <f t="shared" si="3"/>
        <v>-6</v>
      </c>
      <c r="AD15" s="233">
        <f t="shared" si="12"/>
        <v>180</v>
      </c>
      <c r="AE15" s="234">
        <f>IFERROR(INDEX(V!$R:$R,MATCH(AF15,V!$L:$L,0)),"")</f>
        <v>50</v>
      </c>
      <c r="AF15" s="235" t="str">
        <f t="shared" si="5"/>
        <v>Illar Tõnurist</v>
      </c>
      <c r="AG15" s="234">
        <f>IFERROR(INDEX(V!$R:$R,MATCH(AH15,V!$L:$L,0)),"")</f>
        <v>130</v>
      </c>
      <c r="AH15" s="235" t="str">
        <f t="shared" si="6"/>
        <v>Sirje Maala</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391">
        <v>10</v>
      </c>
      <c r="B16" s="400" t="s">
        <v>353</v>
      </c>
      <c r="C16" s="392">
        <v>13</v>
      </c>
      <c r="D16" s="393" t="s">
        <v>302</v>
      </c>
      <c r="E16" s="394">
        <v>6</v>
      </c>
      <c r="F16" s="395" t="s">
        <v>436</v>
      </c>
      <c r="G16" s="392">
        <v>9</v>
      </c>
      <c r="H16" s="393" t="s">
        <v>302</v>
      </c>
      <c r="I16" s="394">
        <v>13</v>
      </c>
      <c r="J16" s="395" t="s">
        <v>318</v>
      </c>
      <c r="K16" s="392">
        <v>10</v>
      </c>
      <c r="L16" s="393" t="s">
        <v>302</v>
      </c>
      <c r="M16" s="394">
        <v>13</v>
      </c>
      <c r="N16" s="395" t="s">
        <v>387</v>
      </c>
      <c r="O16" s="392">
        <v>11</v>
      </c>
      <c r="P16" s="393" t="s">
        <v>302</v>
      </c>
      <c r="Q16" s="394">
        <v>13</v>
      </c>
      <c r="R16" s="395" t="s">
        <v>380</v>
      </c>
      <c r="S16" s="392"/>
      <c r="T16" s="393" t="s">
        <v>302</v>
      </c>
      <c r="U16" s="394"/>
      <c r="V16" s="395"/>
      <c r="W16" s="396">
        <f t="shared" si="0"/>
        <v>1</v>
      </c>
      <c r="X16" s="1019">
        <v>22</v>
      </c>
      <c r="Y16" s="1036">
        <v>58</v>
      </c>
      <c r="Z16" s="392">
        <f t="shared" si="1"/>
        <v>43</v>
      </c>
      <c r="AA16" s="393" t="s">
        <v>302</v>
      </c>
      <c r="AB16" s="398">
        <f t="shared" si="2"/>
        <v>45</v>
      </c>
      <c r="AC16" s="399">
        <f t="shared" si="3"/>
        <v>-2</v>
      </c>
      <c r="AD16" s="233">
        <f t="shared" si="12"/>
        <v>186</v>
      </c>
      <c r="AE16" s="234">
        <f>IFERROR(INDEX(V!$R:$R,MATCH(AF16,V!$L:$L,0)),"")</f>
        <v>102</v>
      </c>
      <c r="AF16" s="235" t="str">
        <f t="shared" si="5"/>
        <v>Hillar Neiland</v>
      </c>
      <c r="AG16" s="234">
        <f>IFERROR(INDEX(V!$R:$R,MATCH(AH16,V!$L:$L,0)),"")</f>
        <v>84</v>
      </c>
      <c r="AH16" s="235" t="str">
        <f t="shared" si="6"/>
        <v>Kaspar Mänd</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7" spans="1:42" x14ac:dyDescent="0.2">
      <c r="A17" s="391">
        <v>11</v>
      </c>
      <c r="B17" s="304" t="s">
        <v>422</v>
      </c>
      <c r="C17" s="392">
        <v>13</v>
      </c>
      <c r="D17" s="393" t="s">
        <v>302</v>
      </c>
      <c r="E17" s="394">
        <v>8</v>
      </c>
      <c r="F17" s="395" t="s">
        <v>355</v>
      </c>
      <c r="G17" s="392">
        <v>5</v>
      </c>
      <c r="H17" s="393" t="s">
        <v>302</v>
      </c>
      <c r="I17" s="394">
        <v>13</v>
      </c>
      <c r="J17" s="395" t="s">
        <v>451</v>
      </c>
      <c r="K17" s="392">
        <v>11</v>
      </c>
      <c r="L17" s="393" t="s">
        <v>302</v>
      </c>
      <c r="M17" s="394">
        <v>13</v>
      </c>
      <c r="N17" s="395" t="s">
        <v>454</v>
      </c>
      <c r="O17" s="392">
        <v>2</v>
      </c>
      <c r="P17" s="393" t="s">
        <v>302</v>
      </c>
      <c r="Q17" s="394">
        <v>13</v>
      </c>
      <c r="R17" s="395" t="s">
        <v>453</v>
      </c>
      <c r="S17" s="392"/>
      <c r="T17" s="393" t="s">
        <v>302</v>
      </c>
      <c r="U17" s="394"/>
      <c r="V17" s="395"/>
      <c r="W17" s="396">
        <f t="shared" si="0"/>
        <v>1</v>
      </c>
      <c r="X17" s="1019">
        <v>18</v>
      </c>
      <c r="Y17" s="1036">
        <v>56</v>
      </c>
      <c r="Z17" s="392">
        <f t="shared" si="1"/>
        <v>31</v>
      </c>
      <c r="AA17" s="393" t="s">
        <v>302</v>
      </c>
      <c r="AB17" s="398">
        <f t="shared" si="2"/>
        <v>47</v>
      </c>
      <c r="AC17" s="399">
        <f t="shared" si="3"/>
        <v>-16</v>
      </c>
      <c r="AD17" s="233">
        <f t="shared" ref="AD17:AD19" si="13">SUM(AE17:AL17)</f>
        <v>150</v>
      </c>
      <c r="AE17" s="234">
        <f>IFERROR(INDEX(V!$R:$R,MATCH(AF17,V!$L:$L,0)),"")</f>
        <v>84</v>
      </c>
      <c r="AF17" s="235" t="str">
        <f t="shared" si="5"/>
        <v>Jaan Saar</v>
      </c>
      <c r="AG17" s="234">
        <f>IFERROR(INDEX(V!$R:$R,MATCH(AH17,V!$L:$L,0)),"")</f>
        <v>66</v>
      </c>
      <c r="AH17" s="235" t="str">
        <f t="shared" si="6"/>
        <v>Peep Peenema</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18" spans="1:42" x14ac:dyDescent="0.2">
      <c r="A18" s="391">
        <v>12</v>
      </c>
      <c r="B18" s="304" t="s">
        <v>259</v>
      </c>
      <c r="C18" s="392">
        <v>12</v>
      </c>
      <c r="D18" s="393" t="s">
        <v>302</v>
      </c>
      <c r="E18" s="394">
        <v>13</v>
      </c>
      <c r="F18" s="395" t="s">
        <v>451</v>
      </c>
      <c r="G18" s="392">
        <v>12</v>
      </c>
      <c r="H18" s="393" t="s">
        <v>302</v>
      </c>
      <c r="I18" s="394">
        <v>13</v>
      </c>
      <c r="J18" s="395" t="s">
        <v>380</v>
      </c>
      <c r="K18" s="392">
        <v>11</v>
      </c>
      <c r="L18" s="393" t="s">
        <v>302</v>
      </c>
      <c r="M18" s="394">
        <v>12</v>
      </c>
      <c r="N18" s="395" t="s">
        <v>388</v>
      </c>
      <c r="O18" s="392">
        <v>13</v>
      </c>
      <c r="P18" s="393" t="s">
        <v>302</v>
      </c>
      <c r="Q18" s="394">
        <v>7</v>
      </c>
      <c r="R18" s="395" t="s">
        <v>348</v>
      </c>
      <c r="S18" s="392"/>
      <c r="T18" s="393" t="s">
        <v>302</v>
      </c>
      <c r="U18" s="394"/>
      <c r="V18" s="395"/>
      <c r="W18" s="396">
        <f t="shared" si="0"/>
        <v>1</v>
      </c>
      <c r="X18" s="1019">
        <v>18</v>
      </c>
      <c r="Y18" s="1036">
        <v>38</v>
      </c>
      <c r="Z18" s="392">
        <f t="shared" si="1"/>
        <v>48</v>
      </c>
      <c r="AA18" s="393" t="s">
        <v>302</v>
      </c>
      <c r="AB18" s="398">
        <f t="shared" si="2"/>
        <v>45</v>
      </c>
      <c r="AC18" s="399">
        <f t="shared" si="3"/>
        <v>3</v>
      </c>
      <c r="AD18" s="233">
        <f t="shared" si="13"/>
        <v>96</v>
      </c>
      <c r="AE18" s="234">
        <f>IFERROR(INDEX(V!$R:$R,MATCH(AF18,V!$L:$L,0)),"")</f>
        <v>48</v>
      </c>
      <c r="AF18" s="235" t="str">
        <f t="shared" si="5"/>
        <v>Ljudmila Varendi</v>
      </c>
      <c r="AG18" s="234">
        <f>IFERROR(INDEX(V!$R:$R,MATCH(AH18,V!$L:$L,0)),"")</f>
        <v>48</v>
      </c>
      <c r="AH18" s="235" t="str">
        <f t="shared" si="6"/>
        <v>Viktor Švarõgin</v>
      </c>
      <c r="AI18" s="234" t="str">
        <f>IFERROR(INDEX(V!$R:$R,MATCH(AJ18,V!$L:$L,0)),"")</f>
        <v/>
      </c>
      <c r="AJ18" s="235" t="str">
        <f t="shared" si="7"/>
        <v/>
      </c>
      <c r="AK18" s="234" t="str">
        <f>IFERROR(INDEX(V!$R:$R,MATCH(AL18,V!$L:$L,0)),"")</f>
        <v/>
      </c>
      <c r="AL18" s="235" t="str">
        <f t="shared" si="8"/>
        <v/>
      </c>
      <c r="AM18" s="234" t="str">
        <f>IFERROR(INDEX(V!$R:$R,MATCH(AN18,V!$L:$L,0)),"")</f>
        <v/>
      </c>
      <c r="AN18" s="235" t="str">
        <f t="shared" si="9"/>
        <v/>
      </c>
      <c r="AO18" s="234" t="str">
        <f>IFERROR(INDEX(V!$R:$R,MATCH(AP18,V!$L:$L,0)),"")</f>
        <v/>
      </c>
      <c r="AP18" s="235" t="str">
        <f t="shared" si="10"/>
        <v/>
      </c>
    </row>
    <row r="19" spans="1:42" x14ac:dyDescent="0.2">
      <c r="A19" s="910">
        <v>13</v>
      </c>
      <c r="B19" s="400" t="s">
        <v>355</v>
      </c>
      <c r="C19" s="392">
        <v>8</v>
      </c>
      <c r="D19" s="393" t="s">
        <v>302</v>
      </c>
      <c r="E19" s="394">
        <v>13</v>
      </c>
      <c r="F19" s="395" t="s">
        <v>422</v>
      </c>
      <c r="G19" s="392">
        <v>8</v>
      </c>
      <c r="H19" s="393" t="s">
        <v>302</v>
      </c>
      <c r="I19" s="394">
        <v>13</v>
      </c>
      <c r="J19" s="395" t="s">
        <v>436</v>
      </c>
      <c r="K19" s="392">
        <v>13</v>
      </c>
      <c r="L19" s="393" t="s">
        <v>302</v>
      </c>
      <c r="M19" s="394">
        <v>7</v>
      </c>
      <c r="N19" s="395" t="s">
        <v>348</v>
      </c>
      <c r="O19" s="392">
        <v>8</v>
      </c>
      <c r="P19" s="393" t="s">
        <v>302</v>
      </c>
      <c r="Q19" s="394">
        <v>13</v>
      </c>
      <c r="R19" s="395" t="s">
        <v>388</v>
      </c>
      <c r="S19" s="392"/>
      <c r="T19" s="393" t="s">
        <v>302</v>
      </c>
      <c r="U19" s="394"/>
      <c r="V19" s="395"/>
      <c r="W19" s="396">
        <f t="shared" si="0"/>
        <v>1</v>
      </c>
      <c r="X19" s="1019">
        <v>12</v>
      </c>
      <c r="Y19" s="1036">
        <v>44</v>
      </c>
      <c r="Z19" s="392">
        <f t="shared" si="1"/>
        <v>37</v>
      </c>
      <c r="AA19" s="393" t="s">
        <v>302</v>
      </c>
      <c r="AB19" s="398">
        <f t="shared" si="2"/>
        <v>46</v>
      </c>
      <c r="AC19" s="399">
        <f t="shared" si="3"/>
        <v>-9</v>
      </c>
      <c r="AD19" s="233">
        <f t="shared" si="13"/>
        <v>152</v>
      </c>
      <c r="AE19" s="234">
        <f>IFERROR(INDEX(V!$R:$R,MATCH(AF19,V!$L:$L,0)),"")</f>
        <v>76</v>
      </c>
      <c r="AF19" s="235" t="str">
        <f t="shared" si="5"/>
        <v>Boriss Klubov</v>
      </c>
      <c r="AG19" s="234">
        <f>IFERROR(INDEX(V!$R:$R,MATCH(AH19,V!$L:$L,0)),"")</f>
        <v>76</v>
      </c>
      <c r="AH19" s="235" t="str">
        <f t="shared" si="6"/>
        <v>Elmo Lageda</v>
      </c>
      <c r="AI19" s="234" t="str">
        <f>IFERROR(INDEX(V!$R:$R,MATCH(AJ19,V!$L:$L,0)),"")</f>
        <v/>
      </c>
      <c r="AJ19" s="235" t="str">
        <f t="shared" si="7"/>
        <v/>
      </c>
      <c r="AK19" s="234" t="str">
        <f>IFERROR(INDEX(V!$R:$R,MATCH(AL19,V!$L:$L,0)),"")</f>
        <v/>
      </c>
      <c r="AL19" s="235" t="str">
        <f t="shared" si="8"/>
        <v/>
      </c>
      <c r="AM19" s="234" t="str">
        <f>IFERROR(INDEX(V!$R:$R,MATCH(AN19,V!$L:$L,0)),"")</f>
        <v/>
      </c>
      <c r="AN19" s="235" t="str">
        <f t="shared" si="9"/>
        <v/>
      </c>
      <c r="AO19" s="234" t="str">
        <f>IFERROR(INDEX(V!$R:$R,MATCH(AP19,V!$L:$L,0)),"")</f>
        <v/>
      </c>
      <c r="AP19" s="235" t="str">
        <f t="shared" si="10"/>
        <v/>
      </c>
    </row>
    <row r="22" spans="1:42" hidden="1" x14ac:dyDescent="0.2"/>
    <row r="23" spans="1:42" hidden="1" x14ac:dyDescent="0.2"/>
    <row r="24" spans="1:42" hidden="1" x14ac:dyDescent="0.2"/>
    <row r="25" spans="1:42" hidden="1" x14ac:dyDescent="0.2"/>
    <row r="26" spans="1:42" hidden="1" x14ac:dyDescent="0.2"/>
    <row r="27" spans="1:42" hidden="1" x14ac:dyDescent="0.2"/>
    <row r="28" spans="1:42" hidden="1" x14ac:dyDescent="0.2"/>
    <row r="29" spans="1:42" hidden="1" x14ac:dyDescent="0.2"/>
    <row r="30" spans="1:42" hidden="1" x14ac:dyDescent="0.2"/>
    <row r="31" spans="1:42" hidden="1" x14ac:dyDescent="0.2"/>
    <row r="32" spans="1:4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IFERROR(INDEX(B$1:B$100,MATCH(A300,A$1:A$100,0)),"")</f>
        <v>Olav Türk, Urmas Jõeäär</v>
      </c>
      <c r="C300" s="323">
        <f t="shared" ref="C300:C312" si="14">LARGE(A300:A399,1)*2+2-A300*2</f>
        <v>26</v>
      </c>
      <c r="F300" s="649"/>
    </row>
    <row r="301" spans="1:6" x14ac:dyDescent="0.2">
      <c r="A301" s="351">
        <v>2</v>
      </c>
      <c r="B301" s="402" t="str">
        <f t="shared" ref="B301:B312" si="15">IFERROR(INDEX(B$1:B$100,MATCH(A301,A$1:A$100,0)),"")</f>
        <v>Kenneth Muusikus, Viktoria Mets</v>
      </c>
      <c r="C301" s="323">
        <f t="shared" si="14"/>
        <v>24</v>
      </c>
      <c r="F301" s="649"/>
    </row>
    <row r="302" spans="1:6" x14ac:dyDescent="0.2">
      <c r="A302" s="351">
        <v>3</v>
      </c>
      <c r="B302" s="402" t="str">
        <f t="shared" si="15"/>
        <v>Oleg Rõndenkov, Sander Rose</v>
      </c>
      <c r="C302" s="323">
        <f t="shared" si="14"/>
        <v>22</v>
      </c>
      <c r="F302" s="649"/>
    </row>
    <row r="303" spans="1:6" x14ac:dyDescent="0.2">
      <c r="A303" s="351">
        <v>4</v>
      </c>
      <c r="B303" s="402" t="str">
        <f t="shared" si="15"/>
        <v>Ivar Viljaste, Matti Vinni</v>
      </c>
      <c r="C303" s="323">
        <f t="shared" si="14"/>
        <v>20</v>
      </c>
      <c r="F303" s="649"/>
    </row>
    <row r="304" spans="1:6" x14ac:dyDescent="0.2">
      <c r="A304" s="351">
        <v>5</v>
      </c>
      <c r="B304" s="402" t="str">
        <f t="shared" si="15"/>
        <v>Andrei Grintšak, Enn Tokman</v>
      </c>
      <c r="C304" s="323">
        <f t="shared" si="14"/>
        <v>18</v>
      </c>
      <c r="F304" s="649"/>
    </row>
    <row r="305" spans="1:6" x14ac:dyDescent="0.2">
      <c r="A305" s="351">
        <v>6</v>
      </c>
      <c r="B305" s="402" t="str">
        <f t="shared" si="15"/>
        <v>Henri Mitt, Urmas Randlaine</v>
      </c>
      <c r="C305" s="323">
        <f t="shared" si="14"/>
        <v>16</v>
      </c>
      <c r="F305" s="649"/>
    </row>
    <row r="306" spans="1:6" x14ac:dyDescent="0.2">
      <c r="A306" s="351">
        <v>7</v>
      </c>
      <c r="B306" s="402" t="str">
        <f t="shared" si="15"/>
        <v>Johannes Neiland, Tõnis Neiland</v>
      </c>
      <c r="C306" s="323">
        <f t="shared" si="14"/>
        <v>14</v>
      </c>
      <c r="F306" s="649"/>
    </row>
    <row r="307" spans="1:6" x14ac:dyDescent="0.2">
      <c r="A307" s="351">
        <v>8</v>
      </c>
      <c r="B307" s="402" t="str">
        <f t="shared" si="15"/>
        <v>Kristel Tihhonjuk, Vadim Tihhonjuk</v>
      </c>
      <c r="C307" s="323">
        <f t="shared" si="14"/>
        <v>12</v>
      </c>
      <c r="F307" s="649"/>
    </row>
    <row r="308" spans="1:6" x14ac:dyDescent="0.2">
      <c r="A308" s="351">
        <v>9</v>
      </c>
      <c r="B308" s="402" t="str">
        <f t="shared" si="15"/>
        <v>Illar Tõnurist, Sirje Maala</v>
      </c>
      <c r="C308" s="323">
        <f t="shared" si="14"/>
        <v>10</v>
      </c>
      <c r="F308" s="649"/>
    </row>
    <row r="309" spans="1:6" x14ac:dyDescent="0.2">
      <c r="A309" s="351">
        <v>10</v>
      </c>
      <c r="B309" s="402" t="str">
        <f t="shared" si="15"/>
        <v>Hillar Neiland, Kaspar Mänd</v>
      </c>
      <c r="C309" s="323">
        <f t="shared" si="14"/>
        <v>8</v>
      </c>
      <c r="F309" s="649"/>
    </row>
    <row r="310" spans="1:6" x14ac:dyDescent="0.2">
      <c r="A310" s="351">
        <v>11</v>
      </c>
      <c r="B310" s="402" t="str">
        <f t="shared" si="15"/>
        <v>Jaan Saar, Peep Peenema</v>
      </c>
      <c r="C310" s="323">
        <f t="shared" si="14"/>
        <v>6</v>
      </c>
      <c r="F310" s="649"/>
    </row>
    <row r="311" spans="1:6" x14ac:dyDescent="0.2">
      <c r="A311" s="351">
        <v>12</v>
      </c>
      <c r="B311" s="402" t="str">
        <f t="shared" si="15"/>
        <v>Ljudmila Varendi, Viktor Švarõgin</v>
      </c>
      <c r="C311" s="323">
        <f t="shared" si="14"/>
        <v>4</v>
      </c>
      <c r="F311" s="649"/>
    </row>
    <row r="312" spans="1:6" x14ac:dyDescent="0.2">
      <c r="A312" s="351">
        <v>13</v>
      </c>
      <c r="B312" s="402" t="str">
        <f t="shared" si="15"/>
        <v>Boriss Klubov, Elmo Lageda</v>
      </c>
      <c r="C312" s="323">
        <f t="shared" si="14"/>
        <v>2</v>
      </c>
    </row>
  </sheetData>
  <conditionalFormatting sqref="C7:C19 G7:G19 O7:O19 S7:S19 K7:K19">
    <cfRule type="expression" dxfId="1061" priority="13">
      <formula>AND(C7=0,E7=13)</formula>
    </cfRule>
  </conditionalFormatting>
  <conditionalFormatting sqref="C7:C19">
    <cfRule type="expression" dxfId="1060" priority="27">
      <formula>IF($C7&gt;$E7,TRUE)</formula>
    </cfRule>
  </conditionalFormatting>
  <conditionalFormatting sqref="E7:E19">
    <cfRule type="expression" dxfId="1059" priority="28">
      <formula>IF($C7&lt;$E7,TRUE)</formula>
    </cfRule>
  </conditionalFormatting>
  <conditionalFormatting sqref="K7:K19">
    <cfRule type="expression" dxfId="1058" priority="35">
      <formula>IF($K7&gt;$M7,TRUE)</formula>
    </cfRule>
  </conditionalFormatting>
  <conditionalFormatting sqref="M7:M19">
    <cfRule type="expression" dxfId="1057" priority="36">
      <formula>IF($K7&lt;$M7,TRUE)</formula>
    </cfRule>
  </conditionalFormatting>
  <conditionalFormatting sqref="O7:O19">
    <cfRule type="expression" dxfId="1056" priority="39">
      <formula>IF($O7&gt;$Q7,TRUE)</formula>
    </cfRule>
  </conditionalFormatting>
  <conditionalFormatting sqref="Q7:Q19">
    <cfRule type="expression" dxfId="1055" priority="40">
      <formula>IF($O7&lt;$Q7,TRUE)</formula>
    </cfRule>
  </conditionalFormatting>
  <conditionalFormatting sqref="S7:S19">
    <cfRule type="expression" dxfId="1054" priority="43">
      <formula>IF($S7&gt;$U7,TRUE)</formula>
    </cfRule>
  </conditionalFormatting>
  <conditionalFormatting sqref="U7:U19">
    <cfRule type="expression" dxfId="1053" priority="44">
      <formula>IF($S7&lt;$U7,TRUE)</formula>
    </cfRule>
  </conditionalFormatting>
  <conditionalFormatting sqref="G7:G19">
    <cfRule type="expression" dxfId="1052" priority="31">
      <formula>IF($G7&gt;$I7,TRUE)</formula>
    </cfRule>
  </conditionalFormatting>
  <conditionalFormatting sqref="I7:I19">
    <cfRule type="expression" dxfId="1051" priority="32">
      <formula>IF($G7&lt;$I7,TRUE)</formula>
    </cfRule>
  </conditionalFormatting>
  <conditionalFormatting sqref="F7:F19">
    <cfRule type="containsText" dxfId="1050" priority="18" operator="containsText" text="vaba voor">
      <formula>NOT(ISERROR(SEARCH("vaba voor",F7)))</formula>
    </cfRule>
  </conditionalFormatting>
  <conditionalFormatting sqref="N7:N19">
    <cfRule type="containsText" dxfId="1049" priority="16" operator="containsText" text="vaba voor">
      <formula>NOT(ISERROR(SEARCH("vaba voor",N7)))</formula>
    </cfRule>
  </conditionalFormatting>
  <conditionalFormatting sqref="R7:R19">
    <cfRule type="containsText" dxfId="1048" priority="19" operator="containsText" text="vaba voor">
      <formula>NOT(ISERROR(SEARCH("vaba voor",R7)))</formula>
    </cfRule>
  </conditionalFormatting>
  <conditionalFormatting sqref="V7:V19">
    <cfRule type="containsText" dxfId="1047" priority="15" operator="containsText" text="vaba voor">
      <formula>NOT(ISERROR(SEARCH("vaba voor",V7)))</formula>
    </cfRule>
  </conditionalFormatting>
  <conditionalFormatting sqref="J7:J19">
    <cfRule type="containsText" dxfId="1046" priority="17" operator="containsText" text="vaba voor">
      <formula>NOT(ISERROR(SEARCH("vaba voor",J7)))</formula>
    </cfRule>
  </conditionalFormatting>
  <conditionalFormatting sqref="C7:F19">
    <cfRule type="expression" dxfId="1045" priority="23">
      <formula>IF(AND(ISNUMBER($C7),$C7=$E7),TRUE)</formula>
    </cfRule>
    <cfRule type="expression" dxfId="1044" priority="25">
      <formula>IF($C7&gt;$E7,TRUE)</formula>
    </cfRule>
    <cfRule type="expression" dxfId="1043" priority="26">
      <formula>IF($C7&lt;$E7,TRUE)</formula>
    </cfRule>
  </conditionalFormatting>
  <conditionalFormatting sqref="G7:J19">
    <cfRule type="expression" dxfId="1042" priority="24">
      <formula>IF(AND(ISNUMBER($G7),$G7=$I7),TRUE)</formula>
    </cfRule>
    <cfRule type="expression" dxfId="1041" priority="29">
      <formula>IF($G7&gt;$I7,TRUE)</formula>
    </cfRule>
    <cfRule type="expression" dxfId="1040" priority="30">
      <formula>IF($G7&lt;$I7,TRUE)</formula>
    </cfRule>
  </conditionalFormatting>
  <conditionalFormatting sqref="K7:N19">
    <cfRule type="expression" dxfId="1039" priority="22">
      <formula>IF(AND(ISNUMBER($K7),$K7=$M7),TRUE)</formula>
    </cfRule>
    <cfRule type="expression" dxfId="1038" priority="33">
      <formula>IF($K7&gt;$M7,TRUE)</formula>
    </cfRule>
    <cfRule type="expression" dxfId="1037" priority="34">
      <formula>IF($K7&lt;$M7,TRUE)</formula>
    </cfRule>
  </conditionalFormatting>
  <conditionalFormatting sqref="O7:R19">
    <cfRule type="expression" dxfId="1036" priority="21">
      <formula>IF(AND(ISNUMBER($O7),$O7=$Q7),TRUE)</formula>
    </cfRule>
    <cfRule type="expression" dxfId="1035" priority="37">
      <formula>IF($O7&gt;$Q7,TRUE)</formula>
    </cfRule>
    <cfRule type="expression" dxfId="1034" priority="38">
      <formula>IF($O7&lt;$Q7,TRUE)</formula>
    </cfRule>
  </conditionalFormatting>
  <conditionalFormatting sqref="S7:V19">
    <cfRule type="expression" dxfId="1033" priority="20">
      <formula>IF(AND(ISNUMBER($S7),$S7=$U7),TRUE)</formula>
    </cfRule>
    <cfRule type="expression" dxfId="1032" priority="41">
      <formula>IF($S7&gt;$U7,TRUE)</formula>
    </cfRule>
    <cfRule type="expression" dxfId="1031" priority="42">
      <formula>IF($S7&lt;$U7,TRUE)</formula>
    </cfRule>
  </conditionalFormatting>
  <conditionalFormatting sqref="E7:E19 I7:I19 Q7:Q19 U7:U19 M7:M19">
    <cfRule type="expression" dxfId="1030" priority="14">
      <formula>AND(E7=0,C7=13)</formula>
    </cfRule>
  </conditionalFormatting>
  <conditionalFormatting sqref="A7:A18">
    <cfRule type="duplicateValues" dxfId="1029" priority="45"/>
  </conditionalFormatting>
  <conditionalFormatting sqref="AJ7:AJ19">
    <cfRule type="expression" dxfId="1028" priority="6">
      <formula>AND(AI7="",FIND(",",AJ7))</formula>
    </cfRule>
    <cfRule type="expression" dxfId="1027" priority="8">
      <formula>AND(AI7="",COUNTIF(AJ7,"*,*")=0)</formula>
    </cfRule>
  </conditionalFormatting>
  <conditionalFormatting sqref="AH7:AH19">
    <cfRule type="expression" dxfId="1026" priority="9">
      <formula>AND(AG7="",FIND(",",AH7))</formula>
    </cfRule>
    <cfRule type="expression" dxfId="1025" priority="10">
      <formula>AND(AG7="",COUNTIF(AH7,"*,*")=0)</formula>
    </cfRule>
  </conditionalFormatting>
  <conditionalFormatting sqref="AL7:AL19">
    <cfRule type="expression" dxfId="1024" priority="11">
      <formula>AND(AK7="",FIND(",",AL7))</formula>
    </cfRule>
    <cfRule type="expression" dxfId="1023" priority="12">
      <formula>AND(AK7="",COUNTIF(AL7,"*,*")=0)</formula>
    </cfRule>
  </conditionalFormatting>
  <conditionalFormatting sqref="AF7:AF19">
    <cfRule type="expression" dxfId="1022" priority="7">
      <formula>AND(AE7="",COUNTIF(AF7,"*,*")=0)</formula>
    </cfRule>
  </conditionalFormatting>
  <conditionalFormatting sqref="AN7:AN19">
    <cfRule type="expression" dxfId="1021" priority="3">
      <formula>AND(AM7="",COUNTIF(AN7,"*,*")=0)</formula>
    </cfRule>
    <cfRule type="expression" dxfId="1020" priority="5">
      <formula>AND(AM7="",FIND(",",AN7))</formula>
    </cfRule>
  </conditionalFormatting>
  <conditionalFormatting sqref="AP7:AP19">
    <cfRule type="expression" dxfId="1019" priority="2">
      <formula>AND(AO7="",COUNTIF(AP7,"*,*")=0)</formula>
    </cfRule>
    <cfRule type="expression" dxfId="1018" priority="4">
      <formula>AND(AO7="",FIND(",",AP7))</formula>
    </cfRule>
  </conditionalFormatting>
  <conditionalFormatting sqref="B300:B312">
    <cfRule type="expression" dxfId="1017" priority="46">
      <formula>A300=3</formula>
    </cfRule>
    <cfRule type="expression" dxfId="1016" priority="47">
      <formula>A300=2</formula>
    </cfRule>
    <cfRule type="expression" dxfId="1015" priority="48">
      <formula>A300=1</formula>
    </cfRule>
    <cfRule type="containsBlanks" dxfId="1014" priority="49">
      <formula>LEN(TRIM(B300))=0</formula>
    </cfRule>
    <cfRule type="duplicateValues" dxfId="1013" priority="50"/>
  </conditionalFormatting>
  <conditionalFormatting sqref="A19">
    <cfRule type="duplicateValues" dxfId="1012" priority="1"/>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P311"/>
  <sheetViews>
    <sheetView showGridLines="0" showRowColHeaders="0" workbookViewId="0">
      <pane ySplit="1" topLeftCell="A2" activePane="bottomLeft" state="frozen"/>
      <selection activeCell="A5" sqref="A5"/>
      <selection pane="bottomLeft" activeCell="A5" sqref="A5"/>
    </sheetView>
  </sheetViews>
  <sheetFormatPr defaultRowHeight="12.75" x14ac:dyDescent="0.2"/>
  <cols>
    <col min="1" max="1" width="3.28515625" style="1018" customWidth="1"/>
    <col min="2" max="2" width="37.140625" style="1018" bestFit="1" customWidth="1"/>
    <col min="3" max="3" width="4.7109375" style="1018" customWidth="1"/>
    <col min="4" max="4" width="1.140625" style="1018" customWidth="1"/>
    <col min="5" max="5" width="2.7109375" style="1018" customWidth="1"/>
    <col min="6" max="6" width="9.140625" style="1018"/>
    <col min="7" max="7" width="2.7109375" style="1018" customWidth="1"/>
    <col min="8" max="8" width="1.140625" style="1018" customWidth="1"/>
    <col min="9" max="9" width="2.7109375" style="1018" customWidth="1"/>
    <col min="10" max="10" width="9.140625" style="1018"/>
    <col min="11" max="11" width="2.7109375" style="1018" customWidth="1"/>
    <col min="12" max="12" width="1.140625" style="1018" customWidth="1"/>
    <col min="13" max="13" width="2.7109375" style="1018" customWidth="1"/>
    <col min="14" max="14" width="9.140625" style="1018"/>
    <col min="15" max="15" width="2.7109375" style="1018" customWidth="1"/>
    <col min="16" max="16" width="1.140625" style="1018" customWidth="1"/>
    <col min="17" max="17" width="2.7109375" style="1018" customWidth="1"/>
    <col min="18" max="18" width="9.140625" style="1018"/>
    <col min="19" max="19" width="2.7109375" style="1018" hidden="1" customWidth="1"/>
    <col min="20" max="20" width="1.140625" style="1018" hidden="1" customWidth="1"/>
    <col min="21" max="21" width="2.7109375" style="1018" hidden="1" customWidth="1"/>
    <col min="22" max="22" width="0" style="1018" hidden="1" customWidth="1"/>
    <col min="23" max="23" width="5.7109375" style="1018" bestFit="1" customWidth="1"/>
    <col min="24" max="24" width="5.5703125" style="1018" customWidth="1"/>
    <col min="25" max="25" width="7.42578125" style="1018" hidden="1" customWidth="1"/>
    <col min="26" max="26" width="2.7109375" style="1018" customWidth="1"/>
    <col min="27" max="27" width="1.140625" style="1018" customWidth="1"/>
    <col min="28" max="28" width="2.7109375" style="1018" customWidth="1"/>
    <col min="29" max="29" width="4.7109375" style="1018" customWidth="1"/>
    <col min="30" max="31" width="9.140625" style="1018" hidden="1" customWidth="1"/>
    <col min="32" max="32" width="18.28515625" style="1018" hidden="1" customWidth="1"/>
    <col min="33" max="33" width="9.140625" style="1018" hidden="1" customWidth="1"/>
    <col min="34" max="34" width="14.85546875" style="1018" hidden="1" customWidth="1"/>
    <col min="35" max="35" width="9.140625" style="1018" hidden="1" customWidth="1"/>
    <col min="36" max="36" width="18.28515625" style="1018" hidden="1" customWidth="1"/>
    <col min="37" max="37" width="9.140625" style="1018" hidden="1" customWidth="1"/>
    <col min="38" max="38" width="15.28515625" style="1018" hidden="1" customWidth="1"/>
    <col min="39" max="39" width="9.140625" style="1018" hidden="1" customWidth="1"/>
    <col min="40" max="40" width="17.28515625" style="1018" hidden="1" customWidth="1"/>
    <col min="41" max="41" width="9.140625" style="1018" hidden="1" customWidth="1"/>
    <col min="42" max="42" width="13.85546875" style="1018" hidden="1" customWidth="1"/>
    <col min="43" max="16384" width="9.140625" style="1018"/>
  </cols>
  <sheetData>
    <row r="1" spans="1:42" x14ac:dyDescent="0.2">
      <c r="A1" s="228" t="str">
        <f>UPPER((Kalend!E25)&amp;" - "&amp;(Kalend!C25))&amp;" - "&amp;LOWER(Kalend!D25)&amp;" - "&amp;(Kalend!A25)&amp;" kell "&amp;(Kalend!B25)&amp;" - "&amp;(Kalend!F25)</f>
        <v>V-LÕP - VOKA V SISE-KV LÕPETAMINE - loosiduo - P, 02.04.2023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458</v>
      </c>
      <c r="C7" s="392">
        <v>13</v>
      </c>
      <c r="D7" s="393" t="s">
        <v>302</v>
      </c>
      <c r="E7" s="394">
        <v>9</v>
      </c>
      <c r="F7" s="395" t="s">
        <v>259</v>
      </c>
      <c r="G7" s="392">
        <v>13</v>
      </c>
      <c r="H7" s="393" t="s">
        <v>302</v>
      </c>
      <c r="I7" s="394">
        <v>8</v>
      </c>
      <c r="J7" s="395" t="s">
        <v>355</v>
      </c>
      <c r="K7" s="392">
        <v>13</v>
      </c>
      <c r="L7" s="393" t="s">
        <v>302</v>
      </c>
      <c r="M7" s="394">
        <v>11</v>
      </c>
      <c r="N7" s="395" t="s">
        <v>460</v>
      </c>
      <c r="O7" s="392">
        <v>12</v>
      </c>
      <c r="P7" s="393" t="s">
        <v>302</v>
      </c>
      <c r="Q7" s="394">
        <v>11</v>
      </c>
      <c r="R7" s="395" t="s">
        <v>459</v>
      </c>
      <c r="S7" s="392"/>
      <c r="T7" s="393" t="s">
        <v>302</v>
      </c>
      <c r="U7" s="394"/>
      <c r="V7" s="395"/>
      <c r="W7" s="396">
        <f t="shared" ref="W7:W18" si="0">IF(C7&gt;E7,W$2,IF(C7&lt;E7,W$4,IF(ISNUMBER(C7),W$3,0)))+IF(G7&gt;I7,W$2,IF(G7&lt;I7,W$4,IF(ISNUMBER(G7),W$3,0)))+IF(K7&gt;M7,W$2,IF(K7&lt;M7,W$4,IF(ISNUMBER(K7),W$3,0)))+IF(O7&gt;Q7,W$2,IF(O7&lt;Q7,W$4,IF(ISNUMBER(O7),W$3,0)))+IF(S7&gt;U7,W$2,IF(S7&lt;U7,W$4,IF(ISNUMBER(S7),W$3,0)))</f>
        <v>4</v>
      </c>
      <c r="X7" s="397">
        <v>1</v>
      </c>
      <c r="Y7" s="707"/>
      <c r="Z7" s="392">
        <f t="shared" ref="Z7:Z18" si="1">C7+G7+K7+O7+S7</f>
        <v>51</v>
      </c>
      <c r="AA7" s="393" t="s">
        <v>302</v>
      </c>
      <c r="AB7" s="398">
        <f t="shared" ref="AB7:AB18" si="2">E7+I7+M7+Q7+U7</f>
        <v>39</v>
      </c>
      <c r="AC7" s="399">
        <f t="shared" ref="AC7:AC18" si="3">Z7-AB7</f>
        <v>12</v>
      </c>
      <c r="AD7" s="233">
        <f>SUM(AE7:AP7)</f>
        <v>140</v>
      </c>
      <c r="AE7" s="234">
        <f>IFERROR(INDEX(V!$R:$R,MATCH(AF7,V!$L:$L,0)),"")</f>
        <v>0</v>
      </c>
      <c r="AF7" s="235" t="str">
        <f>IFERROR(LEFT($B7,(FIND(",",$B7,1)-1)),"")</f>
        <v>Oksana Rõndenkova</v>
      </c>
      <c r="AG7" s="234">
        <f>IFERROR(INDEX(V!$R:$R,MATCH(AH7,V!$L:$L,0)),"")</f>
        <v>140</v>
      </c>
      <c r="AH7" s="235" t="str">
        <f>IFERROR(MID($B7,FIND(", ",$B7)+2,256),"")</f>
        <v>Oleg Rõndenkov</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459</v>
      </c>
      <c r="C8" s="392">
        <v>13</v>
      </c>
      <c r="D8" s="393" t="s">
        <v>302</v>
      </c>
      <c r="E8" s="394">
        <v>2</v>
      </c>
      <c r="F8" s="395" t="s">
        <v>464</v>
      </c>
      <c r="G8" s="392">
        <v>13</v>
      </c>
      <c r="H8" s="393" t="s">
        <v>302</v>
      </c>
      <c r="I8" s="394">
        <v>11</v>
      </c>
      <c r="J8" s="395" t="s">
        <v>460</v>
      </c>
      <c r="K8" s="392">
        <v>13</v>
      </c>
      <c r="L8" s="393" t="s">
        <v>302</v>
      </c>
      <c r="M8" s="394">
        <v>8</v>
      </c>
      <c r="N8" s="395" t="s">
        <v>461</v>
      </c>
      <c r="O8" s="392">
        <v>11</v>
      </c>
      <c r="P8" s="393" t="s">
        <v>302</v>
      </c>
      <c r="Q8" s="394">
        <v>12</v>
      </c>
      <c r="R8" s="395" t="s">
        <v>458</v>
      </c>
      <c r="S8" s="392"/>
      <c r="T8" s="393" t="s">
        <v>302</v>
      </c>
      <c r="U8" s="394"/>
      <c r="V8" s="395"/>
      <c r="W8" s="396">
        <f t="shared" si="0"/>
        <v>3</v>
      </c>
      <c r="X8" s="397">
        <v>1.25</v>
      </c>
      <c r="Y8" s="707"/>
      <c r="Z8" s="392">
        <f t="shared" si="1"/>
        <v>50</v>
      </c>
      <c r="AA8" s="393" t="s">
        <v>302</v>
      </c>
      <c r="AB8" s="398">
        <f t="shared" si="2"/>
        <v>33</v>
      </c>
      <c r="AC8" s="399">
        <f t="shared" si="3"/>
        <v>17</v>
      </c>
      <c r="AD8" s="233">
        <f t="shared" ref="AD8:AD11" si="4">SUM(AE8:AL8)</f>
        <v>168</v>
      </c>
      <c r="AE8" s="234">
        <f>IFERROR(INDEX(V!$R:$R,MATCH(AF8,V!$L:$L,0)),"")</f>
        <v>26</v>
      </c>
      <c r="AF8" s="235" t="str">
        <f t="shared" ref="AF8:AF18" si="5">IFERROR(LEFT($B8,(FIND(",",$B8,1)-1)),"")</f>
        <v>Johannes Neiland</v>
      </c>
      <c r="AG8" s="234">
        <f>IFERROR(INDEX(V!$R:$R,MATCH(AH8,V!$L:$L,0)),"")</f>
        <v>142</v>
      </c>
      <c r="AH8" s="235" t="str">
        <f t="shared" ref="AH8:AH18" si="6">IFERROR(MID($B8,FIND(", ",$B8)+2,256),"")</f>
        <v>Sander Rose</v>
      </c>
      <c r="AI8" s="234" t="str">
        <f>IFERROR(INDEX(V!$R:$R,MATCH(AJ8,V!$L:$L,0)),"")</f>
        <v/>
      </c>
      <c r="AJ8" s="235" t="str">
        <f t="shared" ref="AJ8:AJ18" si="7">IFERROR(MID($B8,FIND("^",SUBSTITUTE($B8,", ","^",1))+2,FIND("^",SUBSTITUTE($B8,", ","^",2))-FIND("^",SUBSTITUTE($B8,", ","^",1))-2),"")</f>
        <v/>
      </c>
      <c r="AK8" s="234" t="str">
        <f>IFERROR(INDEX(V!$R:$R,MATCH(AL8,V!$L:$L,0)),"")</f>
        <v/>
      </c>
      <c r="AL8" s="235" t="str">
        <f t="shared" ref="AL8:AL18" si="8">IFERROR(MID($B8,FIND(", ",$B8,FIND(", ",$B8,FIND(", ",$B8))+1)+2,30000),"")</f>
        <v/>
      </c>
      <c r="AM8" s="234" t="str">
        <f>IFERROR(INDEX(V!$R:$R,MATCH(AN8,V!$L:$L,0)),"")</f>
        <v/>
      </c>
      <c r="AN8" s="235" t="str">
        <f t="shared" ref="AN8:AN18" si="9">IFERROR(MID($B8,FIND(", ",$B8,FIND(", ",$B8)+1)+2,FIND(", ",$B8,FIND(", ",$B8,FIND(", ",$B8)+1)+1)-FIND(", ",$B8,FIND(", ",$B8)+1)-2),"")</f>
        <v/>
      </c>
      <c r="AO8" s="234" t="str">
        <f>IFERROR(INDEX(V!$R:$R,MATCH(AP8,V!$L:$L,0)),"")</f>
        <v/>
      </c>
      <c r="AP8" s="235" t="str">
        <f t="shared" ref="AP8:AP18" si="10">IFERROR(MID($B8,FIND(", ",$B8,FIND(", ",$B8,FIND(", ",$B8)+1)+1)+2,30000),"")</f>
        <v/>
      </c>
    </row>
    <row r="9" spans="1:42" x14ac:dyDescent="0.2">
      <c r="A9" s="391">
        <v>3</v>
      </c>
      <c r="B9" s="304" t="s">
        <v>461</v>
      </c>
      <c r="C9" s="392">
        <v>13</v>
      </c>
      <c r="D9" s="393" t="s">
        <v>302</v>
      </c>
      <c r="E9" s="394">
        <v>9</v>
      </c>
      <c r="F9" s="395" t="s">
        <v>465</v>
      </c>
      <c r="G9" s="392">
        <v>13</v>
      </c>
      <c r="H9" s="393" t="s">
        <v>302</v>
      </c>
      <c r="I9" s="394">
        <v>4</v>
      </c>
      <c r="J9" s="395" t="s">
        <v>463</v>
      </c>
      <c r="K9" s="392">
        <v>8</v>
      </c>
      <c r="L9" s="393" t="s">
        <v>302</v>
      </c>
      <c r="M9" s="394">
        <v>13</v>
      </c>
      <c r="N9" s="395" t="s">
        <v>459</v>
      </c>
      <c r="O9" s="392">
        <v>13</v>
      </c>
      <c r="P9" s="393" t="s">
        <v>302</v>
      </c>
      <c r="Q9" s="394">
        <v>4</v>
      </c>
      <c r="R9" s="395" t="s">
        <v>355</v>
      </c>
      <c r="S9" s="392"/>
      <c r="T9" s="393" t="s">
        <v>302</v>
      </c>
      <c r="U9" s="394"/>
      <c r="V9" s="395"/>
      <c r="W9" s="396">
        <f t="shared" si="0"/>
        <v>3</v>
      </c>
      <c r="X9" s="397">
        <v>0.88</v>
      </c>
      <c r="Y9" s="707"/>
      <c r="Z9" s="392">
        <f t="shared" si="1"/>
        <v>47</v>
      </c>
      <c r="AA9" s="393" t="s">
        <v>302</v>
      </c>
      <c r="AB9" s="398">
        <f t="shared" si="2"/>
        <v>30</v>
      </c>
      <c r="AC9" s="399">
        <f t="shared" si="3"/>
        <v>17</v>
      </c>
      <c r="AD9" s="233">
        <f t="shared" si="4"/>
        <v>172</v>
      </c>
      <c r="AE9" s="234">
        <f>IFERROR(INDEX(V!$R:$R,MATCH(AF9,V!$L:$L,0)),"")</f>
        <v>64</v>
      </c>
      <c r="AF9" s="235" t="str">
        <f t="shared" si="5"/>
        <v>Andres Veski</v>
      </c>
      <c r="AG9" s="234">
        <f>IFERROR(INDEX(V!$R:$R,MATCH(AH9,V!$L:$L,0)),"")</f>
        <v>108</v>
      </c>
      <c r="AH9" s="235" t="str">
        <f t="shared" si="6"/>
        <v>Henri Mitt</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t="s">
        <v>388</v>
      </c>
      <c r="C10" s="392">
        <v>2</v>
      </c>
      <c r="D10" s="393" t="s">
        <v>302</v>
      </c>
      <c r="E10" s="394">
        <v>13</v>
      </c>
      <c r="F10" s="395" t="s">
        <v>460</v>
      </c>
      <c r="G10" s="392">
        <v>13</v>
      </c>
      <c r="H10" s="393" t="s">
        <v>302</v>
      </c>
      <c r="I10" s="394">
        <v>7</v>
      </c>
      <c r="J10" s="395" t="s">
        <v>464</v>
      </c>
      <c r="K10" s="392">
        <v>13</v>
      </c>
      <c r="L10" s="393" t="s">
        <v>302</v>
      </c>
      <c r="M10" s="394">
        <v>10</v>
      </c>
      <c r="N10" s="395" t="s">
        <v>435</v>
      </c>
      <c r="O10" s="392">
        <v>13</v>
      </c>
      <c r="P10" s="393" t="s">
        <v>302</v>
      </c>
      <c r="Q10" s="394">
        <v>1</v>
      </c>
      <c r="R10" s="395" t="s">
        <v>462</v>
      </c>
      <c r="S10" s="392"/>
      <c r="T10" s="393" t="s">
        <v>302</v>
      </c>
      <c r="U10" s="394"/>
      <c r="V10" s="395"/>
      <c r="W10" s="396">
        <f t="shared" si="0"/>
        <v>3</v>
      </c>
      <c r="X10" s="397">
        <v>0.75</v>
      </c>
      <c r="Y10" s="707"/>
      <c r="Z10" s="392">
        <f t="shared" si="1"/>
        <v>41</v>
      </c>
      <c r="AA10" s="393" t="s">
        <v>302</v>
      </c>
      <c r="AB10" s="398">
        <f t="shared" si="2"/>
        <v>31</v>
      </c>
      <c r="AC10" s="399">
        <f t="shared" si="3"/>
        <v>10</v>
      </c>
      <c r="AD10" s="233">
        <f t="shared" si="4"/>
        <v>124</v>
      </c>
      <c r="AE10" s="234">
        <f>IFERROR(INDEX(V!$R:$R,MATCH(AF10,V!$L:$L,0)),"")</f>
        <v>58</v>
      </c>
      <c r="AF10" s="235" t="str">
        <f t="shared" si="5"/>
        <v>Kristel Tihhonjuk</v>
      </c>
      <c r="AG10" s="234">
        <f>IFERROR(INDEX(V!$R:$R,MATCH(AH10,V!$L:$L,0)),"")</f>
        <v>66</v>
      </c>
      <c r="AH10" s="235" t="str">
        <f t="shared" si="6"/>
        <v>Vadim Tihhonjuk</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284" t="s">
        <v>460</v>
      </c>
      <c r="C11" s="392">
        <v>13</v>
      </c>
      <c r="D11" s="393" t="s">
        <v>302</v>
      </c>
      <c r="E11" s="394">
        <v>2</v>
      </c>
      <c r="F11" s="395" t="s">
        <v>388</v>
      </c>
      <c r="G11" s="392">
        <v>11</v>
      </c>
      <c r="H11" s="393" t="s">
        <v>302</v>
      </c>
      <c r="I11" s="394">
        <v>13</v>
      </c>
      <c r="J11" s="395" t="s">
        <v>459</v>
      </c>
      <c r="K11" s="392">
        <v>11</v>
      </c>
      <c r="L11" s="393" t="s">
        <v>302</v>
      </c>
      <c r="M11" s="394">
        <v>13</v>
      </c>
      <c r="N11" s="395" t="s">
        <v>458</v>
      </c>
      <c r="O11" s="392">
        <v>9</v>
      </c>
      <c r="P11" s="393" t="s">
        <v>302</v>
      </c>
      <c r="Q11" s="394">
        <v>8</v>
      </c>
      <c r="R11" s="395" t="s">
        <v>259</v>
      </c>
      <c r="S11" s="392"/>
      <c r="T11" s="393" t="s">
        <v>302</v>
      </c>
      <c r="U11" s="394"/>
      <c r="V11" s="395"/>
      <c r="W11" s="396">
        <f t="shared" si="0"/>
        <v>2</v>
      </c>
      <c r="X11" s="397">
        <v>1.38</v>
      </c>
      <c r="Y11" s="707"/>
      <c r="Z11" s="392">
        <f t="shared" si="1"/>
        <v>44</v>
      </c>
      <c r="AA11" s="393" t="s">
        <v>302</v>
      </c>
      <c r="AB11" s="398">
        <f t="shared" si="2"/>
        <v>36</v>
      </c>
      <c r="AC11" s="399">
        <f t="shared" si="3"/>
        <v>8</v>
      </c>
      <c r="AD11" s="233">
        <f t="shared" si="4"/>
        <v>202</v>
      </c>
      <c r="AE11" s="234">
        <f>IFERROR(INDEX(V!$R:$R,MATCH(AF11,V!$L:$L,0)),"")</f>
        <v>130</v>
      </c>
      <c r="AF11" s="235" t="str">
        <f t="shared" si="5"/>
        <v>Sirje Maala</v>
      </c>
      <c r="AG11" s="234">
        <f>IFERROR(INDEX(V!$R:$R,MATCH(AH11,V!$L:$L,0)),"")</f>
        <v>72</v>
      </c>
      <c r="AH11" s="235" t="str">
        <f t="shared" si="6"/>
        <v>Urmas Jõeäär</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t="s">
        <v>355</v>
      </c>
      <c r="C12" s="392">
        <v>13</v>
      </c>
      <c r="D12" s="393" t="s">
        <v>302</v>
      </c>
      <c r="E12" s="394">
        <v>8</v>
      </c>
      <c r="F12" s="395" t="s">
        <v>462</v>
      </c>
      <c r="G12" s="392">
        <v>8</v>
      </c>
      <c r="H12" s="393" t="s">
        <v>302</v>
      </c>
      <c r="I12" s="394">
        <v>13</v>
      </c>
      <c r="J12" s="395" t="s">
        <v>458</v>
      </c>
      <c r="K12" s="392">
        <v>10</v>
      </c>
      <c r="L12" s="393" t="s">
        <v>302</v>
      </c>
      <c r="M12" s="394">
        <v>8</v>
      </c>
      <c r="N12" s="395" t="s">
        <v>259</v>
      </c>
      <c r="O12" s="392">
        <v>4</v>
      </c>
      <c r="P12" s="393" t="s">
        <v>302</v>
      </c>
      <c r="Q12" s="394">
        <v>13</v>
      </c>
      <c r="R12" s="395" t="s">
        <v>461</v>
      </c>
      <c r="S12" s="392"/>
      <c r="T12" s="393" t="s">
        <v>302</v>
      </c>
      <c r="U12" s="394"/>
      <c r="V12" s="395"/>
      <c r="W12" s="396">
        <f t="shared" si="0"/>
        <v>2</v>
      </c>
      <c r="X12" s="397">
        <v>1.25</v>
      </c>
      <c r="Y12" s="707"/>
      <c r="Z12" s="392">
        <f t="shared" si="1"/>
        <v>35</v>
      </c>
      <c r="AA12" s="393" t="s">
        <v>302</v>
      </c>
      <c r="AB12" s="398">
        <f t="shared" si="2"/>
        <v>42</v>
      </c>
      <c r="AC12" s="399">
        <f t="shared" si="3"/>
        <v>-7</v>
      </c>
      <c r="AD12" s="233">
        <f t="shared" ref="AD12:AD13" si="11">SUM(AE12:AL12)</f>
        <v>152</v>
      </c>
      <c r="AE12" s="234">
        <f>IFERROR(INDEX(V!$R:$R,MATCH(AF12,V!$L:$L,0)),"")</f>
        <v>76</v>
      </c>
      <c r="AF12" s="235" t="str">
        <f t="shared" si="5"/>
        <v>Boriss Klubov</v>
      </c>
      <c r="AG12" s="234">
        <f>IFERROR(INDEX(V!$R:$R,MATCH(AH12,V!$L:$L,0)),"")</f>
        <v>76</v>
      </c>
      <c r="AH12" s="235" t="str">
        <f t="shared" si="6"/>
        <v>Elmo Lageda</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400" t="s">
        <v>462</v>
      </c>
      <c r="C13" s="392">
        <v>8</v>
      </c>
      <c r="D13" s="393" t="s">
        <v>302</v>
      </c>
      <c r="E13" s="394">
        <v>13</v>
      </c>
      <c r="F13" s="395" t="s">
        <v>355</v>
      </c>
      <c r="G13" s="392">
        <v>13</v>
      </c>
      <c r="H13" s="393" t="s">
        <v>302</v>
      </c>
      <c r="I13" s="394">
        <v>12</v>
      </c>
      <c r="J13" s="395" t="s">
        <v>435</v>
      </c>
      <c r="K13" s="392">
        <v>13</v>
      </c>
      <c r="L13" s="393" t="s">
        <v>302</v>
      </c>
      <c r="M13" s="394">
        <v>6</v>
      </c>
      <c r="N13" s="395" t="s">
        <v>463</v>
      </c>
      <c r="O13" s="392">
        <v>1</v>
      </c>
      <c r="P13" s="393" t="s">
        <v>302</v>
      </c>
      <c r="Q13" s="394">
        <v>13</v>
      </c>
      <c r="R13" s="395" t="s">
        <v>388</v>
      </c>
      <c r="S13" s="392"/>
      <c r="T13" s="393" t="s">
        <v>302</v>
      </c>
      <c r="U13" s="394"/>
      <c r="V13" s="395"/>
      <c r="W13" s="396">
        <f t="shared" si="0"/>
        <v>2</v>
      </c>
      <c r="X13" s="397">
        <v>1</v>
      </c>
      <c r="Y13" s="707"/>
      <c r="Z13" s="392">
        <f t="shared" si="1"/>
        <v>35</v>
      </c>
      <c r="AA13" s="393" t="s">
        <v>302</v>
      </c>
      <c r="AB13" s="398">
        <f t="shared" si="2"/>
        <v>44</v>
      </c>
      <c r="AC13" s="399">
        <f t="shared" si="3"/>
        <v>-9</v>
      </c>
      <c r="AD13" s="233">
        <f t="shared" si="11"/>
        <v>126</v>
      </c>
      <c r="AE13" s="234">
        <f>IFERROR(INDEX(V!$R:$R,MATCH(AF13,V!$L:$L,0)),"")</f>
        <v>102</v>
      </c>
      <c r="AF13" s="235" t="str">
        <f t="shared" si="5"/>
        <v>Hillar Neiland</v>
      </c>
      <c r="AG13" s="234">
        <f>IFERROR(INDEX(V!$R:$R,MATCH(AH13,V!$L:$L,0)),"")</f>
        <v>24</v>
      </c>
      <c r="AH13" s="235" t="str">
        <f t="shared" si="6"/>
        <v>Lemmit Toomra</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304" t="s">
        <v>463</v>
      </c>
      <c r="C14" s="392">
        <v>13</v>
      </c>
      <c r="D14" s="393" t="s">
        <v>302</v>
      </c>
      <c r="E14" s="394">
        <v>9</v>
      </c>
      <c r="F14" s="395" t="s">
        <v>435</v>
      </c>
      <c r="G14" s="392">
        <v>4</v>
      </c>
      <c r="H14" s="393" t="s">
        <v>302</v>
      </c>
      <c r="I14" s="394">
        <v>13</v>
      </c>
      <c r="J14" s="395" t="s">
        <v>461</v>
      </c>
      <c r="K14" s="392">
        <v>6</v>
      </c>
      <c r="L14" s="393" t="s">
        <v>302</v>
      </c>
      <c r="M14" s="394">
        <v>13</v>
      </c>
      <c r="N14" s="395" t="s">
        <v>462</v>
      </c>
      <c r="O14" s="392">
        <v>13</v>
      </c>
      <c r="P14" s="393" t="s">
        <v>302</v>
      </c>
      <c r="Q14" s="394">
        <v>8</v>
      </c>
      <c r="R14" s="395" t="s">
        <v>464</v>
      </c>
      <c r="S14" s="392"/>
      <c r="T14" s="393" t="s">
        <v>302</v>
      </c>
      <c r="U14" s="394"/>
      <c r="V14" s="395"/>
      <c r="W14" s="396">
        <f t="shared" si="0"/>
        <v>2</v>
      </c>
      <c r="X14" s="397">
        <v>0.88</v>
      </c>
      <c r="Y14" s="707"/>
      <c r="Z14" s="392">
        <f t="shared" si="1"/>
        <v>36</v>
      </c>
      <c r="AA14" s="393" t="s">
        <v>302</v>
      </c>
      <c r="AB14" s="398">
        <f t="shared" si="2"/>
        <v>43</v>
      </c>
      <c r="AC14" s="399">
        <f t="shared" si="3"/>
        <v>-7</v>
      </c>
      <c r="AD14" s="233">
        <f t="shared" ref="AD14:AD16" si="12">SUM(AE14:AL14)</f>
        <v>152</v>
      </c>
      <c r="AE14" s="234">
        <f>IFERROR(INDEX(V!$R:$R,MATCH(AF14,V!$L:$L,0)),"")</f>
        <v>86</v>
      </c>
      <c r="AF14" s="235" t="str">
        <f t="shared" si="5"/>
        <v>Andrei Grintšak</v>
      </c>
      <c r="AG14" s="234">
        <f>IFERROR(INDEX(V!$R:$R,MATCH(AH14,V!$L:$L,0)),"")</f>
        <v>66</v>
      </c>
      <c r="AH14" s="235" t="str">
        <f t="shared" si="6"/>
        <v>Peep Peenema</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391">
        <v>9</v>
      </c>
      <c r="B15" s="304" t="s">
        <v>259</v>
      </c>
      <c r="C15" s="392">
        <v>9</v>
      </c>
      <c r="D15" s="393" t="s">
        <v>302</v>
      </c>
      <c r="E15" s="394">
        <v>13</v>
      </c>
      <c r="F15" s="395" t="s">
        <v>458</v>
      </c>
      <c r="G15" s="392">
        <v>13</v>
      </c>
      <c r="H15" s="393" t="s">
        <v>302</v>
      </c>
      <c r="I15" s="394">
        <v>5</v>
      </c>
      <c r="J15" s="395" t="s">
        <v>465</v>
      </c>
      <c r="K15" s="392">
        <v>8</v>
      </c>
      <c r="L15" s="393" t="s">
        <v>302</v>
      </c>
      <c r="M15" s="394">
        <v>10</v>
      </c>
      <c r="N15" s="395" t="s">
        <v>355</v>
      </c>
      <c r="O15" s="392">
        <v>8</v>
      </c>
      <c r="P15" s="393" t="s">
        <v>302</v>
      </c>
      <c r="Q15" s="394">
        <v>9</v>
      </c>
      <c r="R15" s="395" t="s">
        <v>460</v>
      </c>
      <c r="S15" s="392"/>
      <c r="T15" s="393" t="s">
        <v>302</v>
      </c>
      <c r="U15" s="394"/>
      <c r="V15" s="395"/>
      <c r="W15" s="396">
        <f t="shared" si="0"/>
        <v>1</v>
      </c>
      <c r="X15" s="397">
        <v>1</v>
      </c>
      <c r="Y15" s="707"/>
      <c r="Z15" s="392">
        <f t="shared" si="1"/>
        <v>38</v>
      </c>
      <c r="AA15" s="393" t="s">
        <v>302</v>
      </c>
      <c r="AB15" s="398">
        <f t="shared" si="2"/>
        <v>37</v>
      </c>
      <c r="AC15" s="399">
        <f t="shared" si="3"/>
        <v>1</v>
      </c>
      <c r="AD15" s="233">
        <f t="shared" si="12"/>
        <v>96</v>
      </c>
      <c r="AE15" s="234">
        <f>IFERROR(INDEX(V!$R:$R,MATCH(AF15,V!$L:$L,0)),"")</f>
        <v>48</v>
      </c>
      <c r="AF15" s="235" t="str">
        <f t="shared" si="5"/>
        <v>Ljudmila Varendi</v>
      </c>
      <c r="AG15" s="234">
        <f>IFERROR(INDEX(V!$R:$R,MATCH(AH15,V!$L:$L,0)),"")</f>
        <v>48</v>
      </c>
      <c r="AH15" s="235" t="str">
        <f t="shared" si="6"/>
        <v>Viktor Švarõgin</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391">
        <v>10</v>
      </c>
      <c r="B16" s="400" t="s">
        <v>464</v>
      </c>
      <c r="C16" s="392">
        <v>2</v>
      </c>
      <c r="D16" s="393" t="s">
        <v>302</v>
      </c>
      <c r="E16" s="394">
        <v>13</v>
      </c>
      <c r="F16" s="395" t="s">
        <v>459</v>
      </c>
      <c r="G16" s="392">
        <v>7</v>
      </c>
      <c r="H16" s="393" t="s">
        <v>302</v>
      </c>
      <c r="I16" s="394">
        <v>13</v>
      </c>
      <c r="J16" s="395" t="s">
        <v>388</v>
      </c>
      <c r="K16" s="392">
        <v>13</v>
      </c>
      <c r="L16" s="393" t="s">
        <v>302</v>
      </c>
      <c r="M16" s="394">
        <v>4</v>
      </c>
      <c r="N16" s="395" t="s">
        <v>465</v>
      </c>
      <c r="O16" s="392">
        <v>8</v>
      </c>
      <c r="P16" s="393" t="s">
        <v>302</v>
      </c>
      <c r="Q16" s="394">
        <v>13</v>
      </c>
      <c r="R16" s="395" t="s">
        <v>463</v>
      </c>
      <c r="S16" s="392"/>
      <c r="T16" s="393" t="s">
        <v>302</v>
      </c>
      <c r="U16" s="394"/>
      <c r="V16" s="395"/>
      <c r="W16" s="396">
        <f t="shared" si="0"/>
        <v>1</v>
      </c>
      <c r="X16" s="397">
        <v>1</v>
      </c>
      <c r="Y16" s="707"/>
      <c r="Z16" s="392">
        <f t="shared" si="1"/>
        <v>30</v>
      </c>
      <c r="AA16" s="393" t="s">
        <v>302</v>
      </c>
      <c r="AB16" s="398">
        <f t="shared" si="2"/>
        <v>43</v>
      </c>
      <c r="AC16" s="399">
        <f t="shared" si="3"/>
        <v>-13</v>
      </c>
      <c r="AD16" s="233">
        <f t="shared" si="12"/>
        <v>114</v>
      </c>
      <c r="AE16" s="234">
        <f>IFERROR(INDEX(V!$R:$R,MATCH(AF16,V!$L:$L,0)),"")</f>
        <v>94</v>
      </c>
      <c r="AF16" s="235" t="str">
        <f t="shared" si="5"/>
        <v>Enn Tokman</v>
      </c>
      <c r="AG16" s="234">
        <f>IFERROR(INDEX(V!$R:$R,MATCH(AH16,V!$L:$L,0)),"")</f>
        <v>20</v>
      </c>
      <c r="AH16" s="235" t="str">
        <f t="shared" si="6"/>
        <v>Liidia Põllu</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7" spans="1:42" x14ac:dyDescent="0.2">
      <c r="A17" s="391">
        <v>11</v>
      </c>
      <c r="B17" s="304" t="s">
        <v>435</v>
      </c>
      <c r="C17" s="392">
        <v>9</v>
      </c>
      <c r="D17" s="393" t="s">
        <v>302</v>
      </c>
      <c r="E17" s="394">
        <v>13</v>
      </c>
      <c r="F17" s="395" t="s">
        <v>463</v>
      </c>
      <c r="G17" s="392">
        <v>12</v>
      </c>
      <c r="H17" s="393" t="s">
        <v>302</v>
      </c>
      <c r="I17" s="394">
        <v>13</v>
      </c>
      <c r="J17" s="395" t="s">
        <v>462</v>
      </c>
      <c r="K17" s="392">
        <v>10</v>
      </c>
      <c r="L17" s="393" t="s">
        <v>302</v>
      </c>
      <c r="M17" s="394">
        <v>13</v>
      </c>
      <c r="N17" s="395" t="s">
        <v>388</v>
      </c>
      <c r="O17" s="392">
        <v>13</v>
      </c>
      <c r="P17" s="393" t="s">
        <v>302</v>
      </c>
      <c r="Q17" s="394">
        <v>10</v>
      </c>
      <c r="R17" s="395" t="s">
        <v>465</v>
      </c>
      <c r="S17" s="392"/>
      <c r="T17" s="393" t="s">
        <v>302</v>
      </c>
      <c r="U17" s="394"/>
      <c r="V17" s="395"/>
      <c r="W17" s="396">
        <f t="shared" si="0"/>
        <v>1</v>
      </c>
      <c r="X17" s="397">
        <v>0.88</v>
      </c>
      <c r="Y17" s="707"/>
      <c r="Z17" s="392">
        <f t="shared" si="1"/>
        <v>44</v>
      </c>
      <c r="AA17" s="393" t="s">
        <v>302</v>
      </c>
      <c r="AB17" s="398">
        <f t="shared" si="2"/>
        <v>49</v>
      </c>
      <c r="AC17" s="399">
        <f t="shared" si="3"/>
        <v>-5</v>
      </c>
      <c r="AD17" s="233">
        <f t="shared" ref="AD17:AD18" si="13">SUM(AE17:AL17)</f>
        <v>134</v>
      </c>
      <c r="AE17" s="234">
        <f>IFERROR(INDEX(V!$R:$R,MATCH(AF17,V!$L:$L,0)),"")</f>
        <v>50</v>
      </c>
      <c r="AF17" s="235" t="str">
        <f t="shared" si="5"/>
        <v>Illar Tõnurist</v>
      </c>
      <c r="AG17" s="234">
        <f>IFERROR(INDEX(V!$R:$R,MATCH(AH17,V!$L:$L,0)),"")</f>
        <v>84</v>
      </c>
      <c r="AH17" s="235" t="str">
        <f t="shared" si="6"/>
        <v>Jaan Saar</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18" spans="1:42" x14ac:dyDescent="0.2">
      <c r="A18" s="391">
        <v>12</v>
      </c>
      <c r="B18" s="304" t="s">
        <v>465</v>
      </c>
      <c r="C18" s="392">
        <v>9</v>
      </c>
      <c r="D18" s="393" t="s">
        <v>302</v>
      </c>
      <c r="E18" s="394">
        <v>13</v>
      </c>
      <c r="F18" s="395" t="s">
        <v>461</v>
      </c>
      <c r="G18" s="392">
        <v>5</v>
      </c>
      <c r="H18" s="393" t="s">
        <v>302</v>
      </c>
      <c r="I18" s="394">
        <v>13</v>
      </c>
      <c r="J18" s="395" t="s">
        <v>259</v>
      </c>
      <c r="K18" s="392">
        <v>4</v>
      </c>
      <c r="L18" s="393" t="s">
        <v>302</v>
      </c>
      <c r="M18" s="394">
        <v>13</v>
      </c>
      <c r="N18" s="395" t="s">
        <v>464</v>
      </c>
      <c r="O18" s="392">
        <v>10</v>
      </c>
      <c r="P18" s="393" t="s">
        <v>302</v>
      </c>
      <c r="Q18" s="394">
        <v>13</v>
      </c>
      <c r="R18" s="395" t="s">
        <v>435</v>
      </c>
      <c r="S18" s="392"/>
      <c r="T18" s="393" t="s">
        <v>302</v>
      </c>
      <c r="U18" s="394"/>
      <c r="V18" s="395"/>
      <c r="W18" s="396">
        <f t="shared" si="0"/>
        <v>0</v>
      </c>
      <c r="X18" s="397">
        <v>0.75</v>
      </c>
      <c r="Y18" s="707"/>
      <c r="Z18" s="392">
        <f t="shared" si="1"/>
        <v>28</v>
      </c>
      <c r="AA18" s="393" t="s">
        <v>302</v>
      </c>
      <c r="AB18" s="398">
        <f t="shared" si="2"/>
        <v>52</v>
      </c>
      <c r="AC18" s="399">
        <f t="shared" si="3"/>
        <v>-24</v>
      </c>
      <c r="AD18" s="233">
        <f t="shared" si="13"/>
        <v>178</v>
      </c>
      <c r="AE18" s="234">
        <f>IFERROR(INDEX(V!$R:$R,MATCH(AF18,V!$L:$L,0)),"")</f>
        <v>160</v>
      </c>
      <c r="AF18" s="235" t="str">
        <f t="shared" si="5"/>
        <v>Kenneth Muusikus</v>
      </c>
      <c r="AG18" s="234">
        <f>IFERROR(INDEX(V!$R:$R,MATCH(AH18,V!$L:$L,0)),"")</f>
        <v>18</v>
      </c>
      <c r="AH18" s="235" t="str">
        <f t="shared" si="6"/>
        <v>Tarmo Bombe</v>
      </c>
      <c r="AI18" s="234" t="str">
        <f>IFERROR(INDEX(V!$R:$R,MATCH(AJ18,V!$L:$L,0)),"")</f>
        <v/>
      </c>
      <c r="AJ18" s="235" t="str">
        <f t="shared" si="7"/>
        <v/>
      </c>
      <c r="AK18" s="234" t="str">
        <f>IFERROR(INDEX(V!$R:$R,MATCH(AL18,V!$L:$L,0)),"")</f>
        <v/>
      </c>
      <c r="AL18" s="235" t="str">
        <f t="shared" si="8"/>
        <v/>
      </c>
      <c r="AM18" s="234" t="str">
        <f>IFERROR(INDEX(V!$R:$R,MATCH(AN18,V!$L:$L,0)),"")</f>
        <v/>
      </c>
      <c r="AN18" s="235" t="str">
        <f t="shared" si="9"/>
        <v/>
      </c>
      <c r="AO18" s="234" t="str">
        <f>IFERROR(INDEX(V!$R:$R,MATCH(AP18,V!$L:$L,0)),"")</f>
        <v/>
      </c>
      <c r="AP18" s="235" t="str">
        <f t="shared" si="10"/>
        <v/>
      </c>
    </row>
    <row r="21" spans="1:42" hidden="1" x14ac:dyDescent="0.2"/>
    <row r="22" spans="1:42" hidden="1" x14ac:dyDescent="0.2"/>
    <row r="23" spans="1:42" hidden="1" x14ac:dyDescent="0.2"/>
    <row r="24" spans="1:42" hidden="1" x14ac:dyDescent="0.2"/>
    <row r="25" spans="1:42" hidden="1" x14ac:dyDescent="0.2"/>
    <row r="26" spans="1:42" hidden="1" x14ac:dyDescent="0.2"/>
    <row r="27" spans="1:42" hidden="1" x14ac:dyDescent="0.2"/>
    <row r="28" spans="1:42" hidden="1" x14ac:dyDescent="0.2"/>
    <row r="29" spans="1:42" hidden="1" x14ac:dyDescent="0.2"/>
    <row r="30" spans="1:42" hidden="1" x14ac:dyDescent="0.2"/>
    <row r="31" spans="1:42" hidden="1" x14ac:dyDescent="0.2"/>
    <row r="32" spans="1:42" hidden="1" x14ac:dyDescent="0.2"/>
    <row r="33" spans="3:5" hidden="1" x14ac:dyDescent="0.2"/>
    <row r="34" spans="3:5" hidden="1" x14ac:dyDescent="0.2"/>
    <row r="35" spans="3:5" hidden="1" x14ac:dyDescent="0.2">
      <c r="C35" s="222"/>
      <c r="D35" s="222"/>
      <c r="E35" s="222"/>
    </row>
    <row r="36" spans="3:5" hidden="1" x14ac:dyDescent="0.2"/>
    <row r="37" spans="3:5" hidden="1" x14ac:dyDescent="0.2"/>
    <row r="38" spans="3:5" hidden="1" x14ac:dyDescent="0.2"/>
    <row r="39" spans="3:5" hidden="1" x14ac:dyDescent="0.2"/>
    <row r="40" spans="3:5" hidden="1" x14ac:dyDescent="0.2"/>
    <row r="41" spans="3:5" hidden="1" x14ac:dyDescent="0.2"/>
    <row r="42" spans="3:5" hidden="1" x14ac:dyDescent="0.2"/>
    <row r="43" spans="3:5" hidden="1" x14ac:dyDescent="0.2"/>
    <row r="44" spans="3:5" hidden="1" x14ac:dyDescent="0.2"/>
    <row r="45" spans="3:5" hidden="1" x14ac:dyDescent="0.2"/>
    <row r="46" spans="3:5" hidden="1" x14ac:dyDescent="0.2"/>
    <row r="47" spans="3:5" hidden="1" x14ac:dyDescent="0.2"/>
    <row r="48" spans="3:5"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hidden="1" x14ac:dyDescent="0.2">
      <c r="A299" s="158"/>
      <c r="B299" s="158"/>
      <c r="C299" s="229"/>
      <c r="F299" s="649"/>
    </row>
    <row r="300" spans="1:6" x14ac:dyDescent="0.2">
      <c r="A300" s="351">
        <v>1</v>
      </c>
      <c r="B300" s="402" t="str">
        <f>IFERROR(INDEX(B$1:B$100,MATCH(A300,A$1:A$100,0)),"")</f>
        <v>Oksana Rõndenkova, Oleg Rõndenkov</v>
      </c>
      <c r="C300" s="323"/>
      <c r="F300" s="649"/>
    </row>
    <row r="301" spans="1:6" x14ac:dyDescent="0.2">
      <c r="A301" s="351">
        <v>2</v>
      </c>
      <c r="B301" s="402" t="str">
        <f t="shared" ref="B301:B311" si="14">IFERROR(INDEX(B$1:B$100,MATCH(A301,A$1:A$100,0)),"")</f>
        <v>Johannes Neiland, Sander Rose</v>
      </c>
      <c r="C301" s="323"/>
      <c r="F301" s="649"/>
    </row>
    <row r="302" spans="1:6" x14ac:dyDescent="0.2">
      <c r="A302" s="351">
        <v>3</v>
      </c>
      <c r="B302" s="402" t="str">
        <f t="shared" si="14"/>
        <v>Andres Veski, Henri Mitt</v>
      </c>
      <c r="C302" s="323"/>
      <c r="F302" s="649"/>
    </row>
    <row r="303" spans="1:6" x14ac:dyDescent="0.2">
      <c r="A303" s="351">
        <v>4</v>
      </c>
      <c r="B303" s="402" t="str">
        <f t="shared" si="14"/>
        <v>Kristel Tihhonjuk, Vadim Tihhonjuk</v>
      </c>
      <c r="C303" s="323"/>
      <c r="F303" s="649"/>
    </row>
    <row r="304" spans="1:6" x14ac:dyDescent="0.2">
      <c r="A304" s="351">
        <v>5</v>
      </c>
      <c r="B304" s="402" t="str">
        <f t="shared" si="14"/>
        <v>Sirje Maala, Urmas Jõeäär</v>
      </c>
      <c r="C304" s="323"/>
      <c r="F304" s="649"/>
    </row>
    <row r="305" spans="1:6" x14ac:dyDescent="0.2">
      <c r="A305" s="351">
        <v>6</v>
      </c>
      <c r="B305" s="402" t="str">
        <f t="shared" si="14"/>
        <v>Boriss Klubov, Elmo Lageda</v>
      </c>
      <c r="C305" s="323"/>
      <c r="F305" s="649"/>
    </row>
    <row r="306" spans="1:6" x14ac:dyDescent="0.2">
      <c r="A306" s="351">
        <v>7</v>
      </c>
      <c r="B306" s="402" t="str">
        <f t="shared" si="14"/>
        <v>Hillar Neiland, Lemmit Toomra</v>
      </c>
      <c r="C306" s="323"/>
      <c r="F306" s="649"/>
    </row>
    <row r="307" spans="1:6" x14ac:dyDescent="0.2">
      <c r="A307" s="351">
        <v>8</v>
      </c>
      <c r="B307" s="402" t="str">
        <f t="shared" si="14"/>
        <v>Andrei Grintšak, Peep Peenema</v>
      </c>
      <c r="C307" s="323"/>
      <c r="F307" s="649"/>
    </row>
    <row r="308" spans="1:6" x14ac:dyDescent="0.2">
      <c r="A308" s="351">
        <v>9</v>
      </c>
      <c r="B308" s="402" t="str">
        <f t="shared" si="14"/>
        <v>Ljudmila Varendi, Viktor Švarõgin</v>
      </c>
      <c r="C308" s="323"/>
      <c r="F308" s="649"/>
    </row>
    <row r="309" spans="1:6" x14ac:dyDescent="0.2">
      <c r="A309" s="351">
        <v>10</v>
      </c>
      <c r="B309" s="402" t="str">
        <f t="shared" si="14"/>
        <v>Enn Tokman, Liidia Põllu</v>
      </c>
      <c r="C309" s="323"/>
      <c r="F309" s="649"/>
    </row>
    <row r="310" spans="1:6" x14ac:dyDescent="0.2">
      <c r="A310" s="351">
        <v>11</v>
      </c>
      <c r="B310" s="402" t="str">
        <f t="shared" si="14"/>
        <v>Illar Tõnurist, Jaan Saar</v>
      </c>
      <c r="C310" s="323"/>
      <c r="F310" s="649"/>
    </row>
    <row r="311" spans="1:6" x14ac:dyDescent="0.2">
      <c r="A311" s="351">
        <v>12</v>
      </c>
      <c r="B311" s="402" t="str">
        <f t="shared" si="14"/>
        <v>Kenneth Muusikus, Tarmo Bombe</v>
      </c>
      <c r="C311" s="323"/>
      <c r="F311" s="649"/>
    </row>
  </sheetData>
  <conditionalFormatting sqref="C7:C18 G7:G18 O7:O18 S7:S18 K7:K18">
    <cfRule type="expression" dxfId="1011" priority="16">
      <formula>AND(C7=0,E7=13)</formula>
    </cfRule>
  </conditionalFormatting>
  <conditionalFormatting sqref="C7:C18">
    <cfRule type="expression" dxfId="1010" priority="30">
      <formula>IF($C7&gt;$E7,TRUE)</formula>
    </cfRule>
  </conditionalFormatting>
  <conditionalFormatting sqref="E7:E18">
    <cfRule type="expression" dxfId="1009" priority="31">
      <formula>IF($C7&lt;$E7,TRUE)</formula>
    </cfRule>
  </conditionalFormatting>
  <conditionalFormatting sqref="K7:K18">
    <cfRule type="expression" dxfId="1008" priority="38">
      <formula>IF($K7&gt;$M7,TRUE)</formula>
    </cfRule>
  </conditionalFormatting>
  <conditionalFormatting sqref="M7:M18">
    <cfRule type="expression" dxfId="1007" priority="39">
      <formula>IF($K7&lt;$M7,TRUE)</formula>
    </cfRule>
  </conditionalFormatting>
  <conditionalFormatting sqref="O7:O18">
    <cfRule type="expression" dxfId="1006" priority="42">
      <formula>IF($O7&gt;$Q7,TRUE)</formula>
    </cfRule>
  </conditionalFormatting>
  <conditionalFormatting sqref="Q7:Q18">
    <cfRule type="expression" dxfId="1005" priority="43">
      <formula>IF($O7&lt;$Q7,TRUE)</formula>
    </cfRule>
  </conditionalFormatting>
  <conditionalFormatting sqref="S7:S18">
    <cfRule type="expression" dxfId="1004" priority="46">
      <formula>IF($S7&gt;$U7,TRUE)</formula>
    </cfRule>
  </conditionalFormatting>
  <conditionalFormatting sqref="U7:U18">
    <cfRule type="expression" dxfId="1003" priority="47">
      <formula>IF($S7&lt;$U7,TRUE)</formula>
    </cfRule>
  </conditionalFormatting>
  <conditionalFormatting sqref="G7:G18">
    <cfRule type="expression" dxfId="1002" priority="34">
      <formula>IF($G7&gt;$I7,TRUE)</formula>
    </cfRule>
  </conditionalFormatting>
  <conditionalFormatting sqref="I7:I18">
    <cfRule type="expression" dxfId="1001" priority="35">
      <formula>IF($G7&lt;$I7,TRUE)</formula>
    </cfRule>
  </conditionalFormatting>
  <conditionalFormatting sqref="F7:F18">
    <cfRule type="containsText" dxfId="1000" priority="21" operator="containsText" text="vaba voor">
      <formula>NOT(ISERROR(SEARCH("vaba voor",F7)))</formula>
    </cfRule>
  </conditionalFormatting>
  <conditionalFormatting sqref="N7:N18">
    <cfRule type="containsText" dxfId="999" priority="19" operator="containsText" text="vaba voor">
      <formula>NOT(ISERROR(SEARCH("vaba voor",N7)))</formula>
    </cfRule>
  </conditionalFormatting>
  <conditionalFormatting sqref="R7:R18">
    <cfRule type="containsText" dxfId="998" priority="22" operator="containsText" text="vaba voor">
      <formula>NOT(ISERROR(SEARCH("vaba voor",R7)))</formula>
    </cfRule>
  </conditionalFormatting>
  <conditionalFormatting sqref="V7:V18">
    <cfRule type="containsText" dxfId="997" priority="18" operator="containsText" text="vaba voor">
      <formula>NOT(ISERROR(SEARCH("vaba voor",V7)))</formula>
    </cfRule>
  </conditionalFormatting>
  <conditionalFormatting sqref="J7:J18">
    <cfRule type="containsText" dxfId="996" priority="20" operator="containsText" text="vaba voor">
      <formula>NOT(ISERROR(SEARCH("vaba voor",J7)))</formula>
    </cfRule>
  </conditionalFormatting>
  <conditionalFormatting sqref="C7:F18">
    <cfRule type="expression" dxfId="995" priority="26">
      <formula>IF(AND(ISNUMBER($C7),$C7=$E7),TRUE)</formula>
    </cfRule>
    <cfRule type="expression" dxfId="994" priority="28">
      <formula>IF($C7&gt;$E7,TRUE)</formula>
    </cfRule>
    <cfRule type="expression" dxfId="993" priority="29">
      <formula>IF($C7&lt;$E7,TRUE)</formula>
    </cfRule>
  </conditionalFormatting>
  <conditionalFormatting sqref="G7:J18">
    <cfRule type="expression" dxfId="992" priority="27">
      <formula>IF(AND(ISNUMBER($G7),$G7=$I7),TRUE)</formula>
    </cfRule>
    <cfRule type="expression" dxfId="991" priority="32">
      <formula>IF($G7&gt;$I7,TRUE)</formula>
    </cfRule>
    <cfRule type="expression" dxfId="990" priority="33">
      <formula>IF($G7&lt;$I7,TRUE)</formula>
    </cfRule>
  </conditionalFormatting>
  <conditionalFormatting sqref="K7:N18">
    <cfRule type="expression" dxfId="989" priority="25">
      <formula>IF(AND(ISNUMBER($K7),$K7=$M7),TRUE)</formula>
    </cfRule>
    <cfRule type="expression" dxfId="988" priority="36">
      <formula>IF($K7&gt;$M7,TRUE)</formula>
    </cfRule>
    <cfRule type="expression" dxfId="987" priority="37">
      <formula>IF($K7&lt;$M7,TRUE)</formula>
    </cfRule>
  </conditionalFormatting>
  <conditionalFormatting sqref="O7:R18">
    <cfRule type="expression" dxfId="986" priority="24">
      <formula>IF(AND(ISNUMBER($O7),$O7=$Q7),TRUE)</formula>
    </cfRule>
    <cfRule type="expression" dxfId="985" priority="40">
      <formula>IF($O7&gt;$Q7,TRUE)</formula>
    </cfRule>
    <cfRule type="expression" dxfId="984" priority="41">
      <formula>IF($O7&lt;$Q7,TRUE)</formula>
    </cfRule>
  </conditionalFormatting>
  <conditionalFormatting sqref="S7:V18">
    <cfRule type="expression" dxfId="983" priority="23">
      <formula>IF(AND(ISNUMBER($S7),$S7=$U7),TRUE)</formula>
    </cfRule>
    <cfRule type="expression" dxfId="982" priority="44">
      <formula>IF($S7&gt;$U7,TRUE)</formula>
    </cfRule>
    <cfRule type="expression" dxfId="981" priority="45">
      <formula>IF($S7&lt;$U7,TRUE)</formula>
    </cfRule>
  </conditionalFormatting>
  <conditionalFormatting sqref="E7:E18 I7:I18 Q7:Q18 U7:U18 M7:M18">
    <cfRule type="expression" dxfId="980" priority="17">
      <formula>AND(E7=0,C7=13)</formula>
    </cfRule>
  </conditionalFormatting>
  <conditionalFormatting sqref="A7:A18">
    <cfRule type="duplicateValues" dxfId="979" priority="48"/>
  </conditionalFormatting>
  <conditionalFormatting sqref="AJ7:AJ18">
    <cfRule type="expression" dxfId="978" priority="9">
      <formula>AND(AI7="",FIND(",",AJ7))</formula>
    </cfRule>
    <cfRule type="expression" dxfId="977" priority="11">
      <formula>AND(AI7="",COUNTIF(AJ7,"*,*")=0)</formula>
    </cfRule>
  </conditionalFormatting>
  <conditionalFormatting sqref="AH7:AH18">
    <cfRule type="expression" dxfId="976" priority="12">
      <formula>AND(AG7="",FIND(",",AH7))</formula>
    </cfRule>
    <cfRule type="expression" dxfId="975" priority="13">
      <formula>AND(AG7="",COUNTIF(AH7,"*,*")=0)</formula>
    </cfRule>
  </conditionalFormatting>
  <conditionalFormatting sqref="AL7:AL18">
    <cfRule type="expression" dxfId="974" priority="14">
      <formula>AND(AK7="",FIND(",",AL7))</formula>
    </cfRule>
    <cfRule type="expression" dxfId="973" priority="15">
      <formula>AND(AK7="",COUNTIF(AL7,"*,*")=0)</formula>
    </cfRule>
  </conditionalFormatting>
  <conditionalFormatting sqref="AF7:AF18">
    <cfRule type="expression" dxfId="972" priority="10">
      <formula>AND(AE7="",COUNTIF(AF7,"*,*")=0)</formula>
    </cfRule>
  </conditionalFormatting>
  <conditionalFormatting sqref="AN7:AN18">
    <cfRule type="expression" dxfId="971" priority="6">
      <formula>AND(AM7="",COUNTIF(AN7,"*,*")=0)</formula>
    </cfRule>
    <cfRule type="expression" dxfId="970" priority="8">
      <formula>AND(AM7="",FIND(",",AN7))</formula>
    </cfRule>
  </conditionalFormatting>
  <conditionalFormatting sqref="AP7:AP18">
    <cfRule type="expression" dxfId="969" priority="5">
      <formula>AND(AO7="",COUNTIF(AP7,"*,*")=0)</formula>
    </cfRule>
    <cfRule type="expression" dxfId="968" priority="7">
      <formula>AND(AO7="",FIND(",",AP7))</formula>
    </cfRule>
  </conditionalFormatting>
  <conditionalFormatting sqref="B300:B311">
    <cfRule type="expression" dxfId="967" priority="49">
      <formula>A300=3</formula>
    </cfRule>
    <cfRule type="expression" dxfId="966" priority="50">
      <formula>A300=2</formula>
    </cfRule>
    <cfRule type="expression" dxfId="965" priority="51">
      <formula>A300=1</formula>
    </cfRule>
    <cfRule type="containsBlanks" dxfId="964" priority="52">
      <formula>LEN(TRIM(B300))=0</formula>
    </cfRule>
    <cfRule type="duplicateValues" dxfId="963" priority="53"/>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P310"/>
  <sheetViews>
    <sheetView showGridLines="0" showRowColHeaders="0" workbookViewId="0">
      <pane ySplit="1" topLeftCell="A2" activePane="bottomLeft" state="frozen"/>
      <selection activeCell="A5" sqref="A5"/>
      <selection pane="bottomLeft" activeCell="A5" sqref="A5"/>
    </sheetView>
  </sheetViews>
  <sheetFormatPr defaultRowHeight="12.75" x14ac:dyDescent="0.2"/>
  <cols>
    <col min="1" max="1" width="3.28515625" style="1018" customWidth="1"/>
    <col min="2" max="2" width="33.28515625" style="1018" bestFit="1" customWidth="1"/>
    <col min="3" max="3" width="4.7109375" style="1018" customWidth="1"/>
    <col min="4" max="4" width="1.140625" style="1018" customWidth="1"/>
    <col min="5" max="5" width="2.7109375" style="1018" customWidth="1"/>
    <col min="6" max="6" width="9.140625" style="1018"/>
    <col min="7" max="7" width="2.7109375" style="1018" customWidth="1"/>
    <col min="8" max="8" width="1.140625" style="1018" customWidth="1"/>
    <col min="9" max="9" width="2.7109375" style="1018" customWidth="1"/>
    <col min="10" max="10" width="9.140625" style="1018"/>
    <col min="11" max="11" width="2.7109375" style="1018" customWidth="1"/>
    <col min="12" max="12" width="1.140625" style="1018" customWidth="1"/>
    <col min="13" max="13" width="2.7109375" style="1018" customWidth="1"/>
    <col min="14" max="14" width="9.140625" style="1018"/>
    <col min="15" max="15" width="2.7109375" style="1018" customWidth="1"/>
    <col min="16" max="16" width="1.140625" style="1018" customWidth="1"/>
    <col min="17" max="17" width="2.7109375" style="1018" customWidth="1"/>
    <col min="18" max="18" width="9.140625" style="1018"/>
    <col min="19" max="19" width="2.7109375" style="1018" customWidth="1"/>
    <col min="20" max="20" width="1.140625" style="1018" customWidth="1"/>
    <col min="21" max="21" width="2.7109375" style="1018" customWidth="1"/>
    <col min="22" max="22" width="9.140625" style="1018" customWidth="1"/>
    <col min="23" max="23" width="5.7109375" style="1018" bestFit="1" customWidth="1"/>
    <col min="24" max="24" width="5.5703125" style="1018" customWidth="1"/>
    <col min="25" max="25" width="7.42578125" style="1018" customWidth="1"/>
    <col min="26" max="26" width="2.7109375" style="1018" customWidth="1"/>
    <col min="27" max="27" width="1.140625" style="1018" customWidth="1"/>
    <col min="28" max="28" width="2.7109375" style="1018" customWidth="1"/>
    <col min="29" max="29" width="4.7109375" style="1018" customWidth="1"/>
    <col min="30" max="31" width="9.140625" style="1018" hidden="1" customWidth="1"/>
    <col min="32" max="32" width="18.28515625" style="1018" hidden="1" customWidth="1"/>
    <col min="33" max="33" width="9.140625" style="1018" hidden="1" customWidth="1"/>
    <col min="34" max="34" width="14.85546875" style="1018" hidden="1" customWidth="1"/>
    <col min="35" max="35" width="9.140625" style="1018" hidden="1" customWidth="1"/>
    <col min="36" max="36" width="17.28515625" style="1018" hidden="1" customWidth="1"/>
    <col min="37" max="37" width="9.140625" style="1018" hidden="1" customWidth="1"/>
    <col min="38" max="38" width="15.28515625" style="1018" hidden="1" customWidth="1"/>
    <col min="39" max="39" width="9.140625" style="1018" hidden="1" customWidth="1"/>
    <col min="40" max="40" width="17.28515625" style="1018" hidden="1" customWidth="1"/>
    <col min="41" max="41" width="9.140625" style="1018" hidden="1" customWidth="1"/>
    <col min="42" max="42" width="13.85546875" style="1018" hidden="1" customWidth="1"/>
    <col min="43" max="16384" width="9.140625" style="1018"/>
  </cols>
  <sheetData>
    <row r="1" spans="1:42" x14ac:dyDescent="0.2">
      <c r="A1" s="228" t="str">
        <f>UPPER((Kalend!E26)&amp;" - "&amp;(Kalend!C26))&amp;" - "&amp;LOWER(Kalend!D26)&amp;" - "&amp;(Kalend!A26)&amp;" kell "&amp;(Kalend!B26)&amp;" - "&amp;(Kalend!F26)</f>
        <v>I-V-D - IDA-VIRUMAA SISE-MV - duo - P, 16.04.2023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S2" s="158"/>
      <c r="T2" s="236"/>
      <c r="U2" s="236"/>
      <c r="V2" s="237" t="s">
        <v>236</v>
      </c>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S3" s="158"/>
      <c r="T3" s="236"/>
      <c r="U3" s="236"/>
      <c r="V3" s="240" t="s">
        <v>238</v>
      </c>
      <c r="W3" s="238">
        <v>0.5</v>
      </c>
      <c r="X3" s="239" t="s">
        <v>237</v>
      </c>
      <c r="Z3" s="158"/>
      <c r="AE3" s="158"/>
      <c r="AG3" s="158"/>
      <c r="AH3" s="158"/>
      <c r="AI3" s="158"/>
      <c r="AJ3" s="158"/>
      <c r="AK3" s="158"/>
      <c r="AL3" s="158"/>
      <c r="AM3" s="158"/>
      <c r="AN3" s="158"/>
    </row>
    <row r="4" spans="1:42" x14ac:dyDescent="0.2">
      <c r="F4" s="158"/>
      <c r="L4" s="158"/>
      <c r="M4" s="158"/>
      <c r="N4" s="158"/>
      <c r="O4" s="158"/>
      <c r="P4" s="158"/>
      <c r="Q4" s="158"/>
      <c r="S4" s="158"/>
      <c r="T4" s="158"/>
      <c r="U4" s="158"/>
      <c r="V4" s="241" t="s">
        <v>239</v>
      </c>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395</v>
      </c>
      <c r="C7" s="392">
        <v>13</v>
      </c>
      <c r="D7" s="393" t="s">
        <v>302</v>
      </c>
      <c r="E7" s="394">
        <v>7</v>
      </c>
      <c r="F7" s="395" t="s">
        <v>348</v>
      </c>
      <c r="G7" s="392">
        <v>13</v>
      </c>
      <c r="H7" s="393" t="s">
        <v>302</v>
      </c>
      <c r="I7" s="394">
        <v>2</v>
      </c>
      <c r="J7" s="395" t="s">
        <v>459</v>
      </c>
      <c r="K7" s="392">
        <v>13</v>
      </c>
      <c r="L7" s="393" t="s">
        <v>302</v>
      </c>
      <c r="M7" s="394">
        <v>7</v>
      </c>
      <c r="N7" s="395" t="s">
        <v>388</v>
      </c>
      <c r="O7" s="392">
        <v>13</v>
      </c>
      <c r="P7" s="393" t="s">
        <v>302</v>
      </c>
      <c r="Q7" s="394">
        <v>3</v>
      </c>
      <c r="R7" s="395" t="s">
        <v>471</v>
      </c>
      <c r="S7" s="392">
        <v>13</v>
      </c>
      <c r="T7" s="393" t="s">
        <v>302</v>
      </c>
      <c r="U7" s="394">
        <v>6</v>
      </c>
      <c r="V7" s="395" t="s">
        <v>472</v>
      </c>
      <c r="W7" s="396">
        <f t="shared" ref="W7:W17" si="0">IF(C7&gt;E7,W$2,IF(C7&lt;E7,W$4,IF(ISNUMBER(C7),W$3,0)))+IF(G7&gt;I7,W$2,IF(G7&lt;I7,W$4,IF(ISNUMBER(G7),W$3,0)))+IF(K7&gt;M7,W$2,IF(K7&lt;M7,W$4,IF(ISNUMBER(K7),W$3,0)))+IF(O7&gt;Q7,W$2,IF(O7&lt;Q7,W$4,IF(ISNUMBER(O7),W$3,0)))+IF(S7&gt;U7,W$2,IF(S7&lt;U7,W$4,IF(ISNUMBER(S7),W$3,0)))</f>
        <v>5</v>
      </c>
      <c r="X7" s="1019">
        <v>22</v>
      </c>
      <c r="Y7" s="1036">
        <v>112</v>
      </c>
      <c r="Z7" s="392">
        <f t="shared" ref="Z7:Z17" si="1">C7+G7+K7+O7+S7</f>
        <v>65</v>
      </c>
      <c r="AA7" s="393" t="s">
        <v>302</v>
      </c>
      <c r="AB7" s="398">
        <f t="shared" ref="AB7:AB17" si="2">E7+I7+M7+Q7+U7</f>
        <v>25</v>
      </c>
      <c r="AC7" s="399">
        <f t="shared" ref="AC7:AC17" si="3">Z7-AB7</f>
        <v>40</v>
      </c>
      <c r="AD7" s="233">
        <f>SUM(AE7:AP7)</f>
        <v>220</v>
      </c>
      <c r="AE7" s="234">
        <f>IFERROR(INDEX(V!$R:$R,MATCH(AF7,V!$L:$L,0)),"")</f>
        <v>160</v>
      </c>
      <c r="AF7" s="235" t="str">
        <f>IFERROR(LEFT($B7,(FIND(",",$B7,1)-1)),"")</f>
        <v>Kenneth Muusikus</v>
      </c>
      <c r="AG7" s="234">
        <f>IFERROR(INDEX(V!$R:$R,MATCH(AH7,V!$L:$L,0)),"")</f>
        <v>60</v>
      </c>
      <c r="AH7" s="235" t="str">
        <f>IFERROR(MID($B7,FIND(", ",$B7)+2,256),"")</f>
        <v>Tõnis Neiland</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458</v>
      </c>
      <c r="C8" s="392">
        <v>2</v>
      </c>
      <c r="D8" s="393" t="s">
        <v>302</v>
      </c>
      <c r="E8" s="394">
        <v>13</v>
      </c>
      <c r="F8" s="395" t="s">
        <v>259</v>
      </c>
      <c r="G8" s="392">
        <v>13</v>
      </c>
      <c r="H8" s="393" t="s">
        <v>302</v>
      </c>
      <c r="I8" s="394">
        <v>7</v>
      </c>
      <c r="J8" s="395" t="s">
        <v>348</v>
      </c>
      <c r="K8" s="392">
        <v>13</v>
      </c>
      <c r="L8" s="393" t="s">
        <v>302</v>
      </c>
      <c r="M8" s="394">
        <v>5</v>
      </c>
      <c r="N8" s="395" t="s">
        <v>380</v>
      </c>
      <c r="O8" s="392">
        <v>13</v>
      </c>
      <c r="P8" s="393" t="s">
        <v>302</v>
      </c>
      <c r="Q8" s="394">
        <v>4</v>
      </c>
      <c r="R8" s="395" t="s">
        <v>473</v>
      </c>
      <c r="S8" s="392">
        <v>13</v>
      </c>
      <c r="T8" s="393" t="s">
        <v>302</v>
      </c>
      <c r="U8" s="394">
        <v>8</v>
      </c>
      <c r="V8" s="395" t="s">
        <v>471</v>
      </c>
      <c r="W8" s="396">
        <f t="shared" si="0"/>
        <v>4</v>
      </c>
      <c r="X8" s="1019">
        <v>20</v>
      </c>
      <c r="Y8" s="1036">
        <v>102</v>
      </c>
      <c r="Z8" s="392">
        <f t="shared" si="1"/>
        <v>54</v>
      </c>
      <c r="AA8" s="393" t="s">
        <v>302</v>
      </c>
      <c r="AB8" s="398">
        <f t="shared" si="2"/>
        <v>37</v>
      </c>
      <c r="AC8" s="399">
        <f t="shared" si="3"/>
        <v>17</v>
      </c>
      <c r="AD8" s="233">
        <f t="shared" ref="AD8:AD11" si="4">SUM(AE8:AL8)</f>
        <v>140</v>
      </c>
      <c r="AE8" s="234">
        <f>IFERROR(INDEX(V!$R:$R,MATCH(AF8,V!$L:$L,0)),"")</f>
        <v>0</v>
      </c>
      <c r="AF8" s="235" t="str">
        <f t="shared" ref="AF8:AF17" si="5">IFERROR(LEFT($B8,(FIND(",",$B8,1)-1)),"")</f>
        <v>Oksana Rõndenkova</v>
      </c>
      <c r="AG8" s="234">
        <f>IFERROR(INDEX(V!$R:$R,MATCH(AH8,V!$L:$L,0)),"")</f>
        <v>140</v>
      </c>
      <c r="AH8" s="235" t="str">
        <f t="shared" ref="AH8:AH17" si="6">IFERROR(MID($B8,FIND(", ",$B8)+2,256),"")</f>
        <v>Oleg Rõndenkov</v>
      </c>
      <c r="AI8" s="234" t="str">
        <f>IFERROR(INDEX(V!$R:$R,MATCH(AJ8,V!$L:$L,0)),"")</f>
        <v/>
      </c>
      <c r="AJ8" s="235" t="str">
        <f t="shared" ref="AJ8:AJ17" si="7">IFERROR(MID($B8,FIND("^",SUBSTITUTE($B8,", ","^",1))+2,FIND("^",SUBSTITUTE($B8,", ","^",2))-FIND("^",SUBSTITUTE($B8,", ","^",1))-2),"")</f>
        <v/>
      </c>
      <c r="AK8" s="234" t="str">
        <f>IFERROR(INDEX(V!$R:$R,MATCH(AL8,V!$L:$L,0)),"")</f>
        <v/>
      </c>
      <c r="AL8" s="235" t="str">
        <f t="shared" ref="AL8:AL17" si="8">IFERROR(MID($B8,FIND(", ",$B8,FIND(", ",$B8,FIND(", ",$B8))+1)+2,30000),"")</f>
        <v/>
      </c>
      <c r="AM8" s="234" t="str">
        <f>IFERROR(INDEX(V!$R:$R,MATCH(AN8,V!$L:$L,0)),"")</f>
        <v/>
      </c>
      <c r="AN8" s="235" t="str">
        <f t="shared" ref="AN8:AN17" si="9">IFERROR(MID($B8,FIND(", ",$B8,FIND(", ",$B8)+1)+2,FIND(", ",$B8,FIND(", ",$B8,FIND(", ",$B8)+1)+1)-FIND(", ",$B8,FIND(", ",$B8)+1)-2),"")</f>
        <v/>
      </c>
      <c r="AO8" s="234" t="str">
        <f>IFERROR(INDEX(V!$R:$R,MATCH(AP8,V!$L:$L,0)),"")</f>
        <v/>
      </c>
      <c r="AP8" s="235" t="str">
        <f t="shared" ref="AP8:AP17" si="10">IFERROR(MID($B8,FIND(", ",$B8,FIND(", ",$B8,FIND(", ",$B8)+1)+1)+2,30000),"")</f>
        <v/>
      </c>
    </row>
    <row r="9" spans="1:42" x14ac:dyDescent="0.2">
      <c r="A9" s="391">
        <v>3</v>
      </c>
      <c r="B9" s="304" t="s">
        <v>471</v>
      </c>
      <c r="C9" s="392">
        <v>13</v>
      </c>
      <c r="D9" s="393" t="s">
        <v>302</v>
      </c>
      <c r="E9" s="394">
        <v>5</v>
      </c>
      <c r="F9" s="395" t="s">
        <v>472</v>
      </c>
      <c r="G9" s="392">
        <v>12</v>
      </c>
      <c r="H9" s="393" t="s">
        <v>302</v>
      </c>
      <c r="I9" s="394">
        <v>9</v>
      </c>
      <c r="J9" s="395" t="s">
        <v>388</v>
      </c>
      <c r="K9" s="392">
        <v>13</v>
      </c>
      <c r="L9" s="393" t="s">
        <v>302</v>
      </c>
      <c r="M9" s="394">
        <v>5</v>
      </c>
      <c r="N9" s="395" t="s">
        <v>355</v>
      </c>
      <c r="O9" s="392">
        <v>3</v>
      </c>
      <c r="P9" s="393" t="s">
        <v>302</v>
      </c>
      <c r="Q9" s="394">
        <v>13</v>
      </c>
      <c r="R9" s="395" t="s">
        <v>395</v>
      </c>
      <c r="S9" s="392">
        <v>8</v>
      </c>
      <c r="T9" s="393" t="s">
        <v>302</v>
      </c>
      <c r="U9" s="394">
        <v>13</v>
      </c>
      <c r="V9" s="395" t="s">
        <v>458</v>
      </c>
      <c r="W9" s="396">
        <f t="shared" si="0"/>
        <v>3</v>
      </c>
      <c r="X9" s="1019">
        <v>32</v>
      </c>
      <c r="Y9" s="1036">
        <v>126</v>
      </c>
      <c r="Z9" s="392">
        <f t="shared" si="1"/>
        <v>49</v>
      </c>
      <c r="AA9" s="393" t="s">
        <v>302</v>
      </c>
      <c r="AB9" s="398">
        <f t="shared" si="2"/>
        <v>45</v>
      </c>
      <c r="AC9" s="399">
        <f t="shared" si="3"/>
        <v>4</v>
      </c>
      <c r="AD9" s="233">
        <f t="shared" si="4"/>
        <v>196</v>
      </c>
      <c r="AE9" s="234">
        <f>IFERROR(INDEX(V!$R:$R,MATCH(AF9,V!$L:$L,0)),"")</f>
        <v>66</v>
      </c>
      <c r="AF9" s="235" t="str">
        <f t="shared" si="5"/>
        <v>Peep Peenema</v>
      </c>
      <c r="AG9" s="234">
        <f>IFERROR(INDEX(V!$R:$R,MATCH(AH9,V!$L:$L,0)),"")</f>
        <v>130</v>
      </c>
      <c r="AH9" s="235" t="str">
        <f t="shared" si="6"/>
        <v>Sirje Maala</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t="s">
        <v>472</v>
      </c>
      <c r="C10" s="392">
        <v>5</v>
      </c>
      <c r="D10" s="393" t="s">
        <v>302</v>
      </c>
      <c r="E10" s="394">
        <v>13</v>
      </c>
      <c r="F10" s="395" t="s">
        <v>471</v>
      </c>
      <c r="G10" s="392">
        <v>13</v>
      </c>
      <c r="H10" s="393" t="s">
        <v>302</v>
      </c>
      <c r="I10" s="394">
        <v>10</v>
      </c>
      <c r="J10" s="395" t="s">
        <v>380</v>
      </c>
      <c r="K10" s="392">
        <v>13</v>
      </c>
      <c r="L10" s="393" t="s">
        <v>302</v>
      </c>
      <c r="M10" s="394">
        <v>11</v>
      </c>
      <c r="N10" s="395" t="s">
        <v>259</v>
      </c>
      <c r="O10" s="392">
        <v>13</v>
      </c>
      <c r="P10" s="393" t="s">
        <v>302</v>
      </c>
      <c r="Q10" s="394">
        <v>5</v>
      </c>
      <c r="R10" s="395" t="s">
        <v>355</v>
      </c>
      <c r="S10" s="392">
        <v>6</v>
      </c>
      <c r="T10" s="393" t="s">
        <v>302</v>
      </c>
      <c r="U10" s="394">
        <v>13</v>
      </c>
      <c r="V10" s="395" t="s">
        <v>395</v>
      </c>
      <c r="W10" s="396">
        <f t="shared" si="0"/>
        <v>3</v>
      </c>
      <c r="X10" s="1019">
        <v>30</v>
      </c>
      <c r="Y10" s="1036">
        <v>126</v>
      </c>
      <c r="Z10" s="392">
        <f t="shared" si="1"/>
        <v>50</v>
      </c>
      <c r="AA10" s="393" t="s">
        <v>302</v>
      </c>
      <c r="AB10" s="398">
        <f t="shared" si="2"/>
        <v>52</v>
      </c>
      <c r="AC10" s="399">
        <f t="shared" si="3"/>
        <v>-2</v>
      </c>
      <c r="AD10" s="233">
        <f t="shared" si="4"/>
        <v>90</v>
      </c>
      <c r="AE10" s="234">
        <f>IFERROR(INDEX(V!$R:$R,MATCH(AF10,V!$L:$L,0)),"")</f>
        <v>84</v>
      </c>
      <c r="AF10" s="235" t="str">
        <f t="shared" si="5"/>
        <v>Kaspar Mänd</v>
      </c>
      <c r="AG10" s="234">
        <f>IFERROR(INDEX(V!$R:$R,MATCH(AH10,V!$L:$L,0)),"")</f>
        <v>6</v>
      </c>
      <c r="AH10" s="235" t="str">
        <f t="shared" si="6"/>
        <v>Oskar Sepp</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284" t="s">
        <v>259</v>
      </c>
      <c r="C11" s="392">
        <v>13</v>
      </c>
      <c r="D11" s="393" t="s">
        <v>302</v>
      </c>
      <c r="E11" s="394">
        <v>2</v>
      </c>
      <c r="F11" s="395" t="s">
        <v>458</v>
      </c>
      <c r="G11" s="392">
        <v>9</v>
      </c>
      <c r="H11" s="393" t="s">
        <v>302</v>
      </c>
      <c r="I11" s="394">
        <v>13</v>
      </c>
      <c r="J11" s="395" t="s">
        <v>355</v>
      </c>
      <c r="K11" s="392">
        <v>11</v>
      </c>
      <c r="L11" s="393" t="s">
        <v>302</v>
      </c>
      <c r="M11" s="394">
        <v>13</v>
      </c>
      <c r="N11" s="395" t="s">
        <v>472</v>
      </c>
      <c r="O11" s="392">
        <v>13</v>
      </c>
      <c r="P11" s="393" t="s">
        <v>302</v>
      </c>
      <c r="Q11" s="394">
        <v>5</v>
      </c>
      <c r="R11" s="395" t="s">
        <v>435</v>
      </c>
      <c r="S11" s="392">
        <v>13</v>
      </c>
      <c r="T11" s="393" t="s">
        <v>302</v>
      </c>
      <c r="U11" s="394">
        <v>5</v>
      </c>
      <c r="V11" s="395" t="s">
        <v>473</v>
      </c>
      <c r="W11" s="396">
        <f t="shared" si="0"/>
        <v>3</v>
      </c>
      <c r="X11" s="1019">
        <v>24</v>
      </c>
      <c r="Y11" s="1036">
        <v>124</v>
      </c>
      <c r="Z11" s="392">
        <f t="shared" si="1"/>
        <v>59</v>
      </c>
      <c r="AA11" s="393" t="s">
        <v>302</v>
      </c>
      <c r="AB11" s="398">
        <f t="shared" si="2"/>
        <v>38</v>
      </c>
      <c r="AC11" s="399">
        <f t="shared" si="3"/>
        <v>21</v>
      </c>
      <c r="AD11" s="233">
        <f t="shared" si="4"/>
        <v>96</v>
      </c>
      <c r="AE11" s="234">
        <f>IFERROR(INDEX(V!$R:$R,MATCH(AF11,V!$L:$L,0)),"")</f>
        <v>48</v>
      </c>
      <c r="AF11" s="235" t="str">
        <f t="shared" si="5"/>
        <v>Ljudmila Varendi</v>
      </c>
      <c r="AG11" s="234">
        <f>IFERROR(INDEX(V!$R:$R,MATCH(AH11,V!$L:$L,0)),"")</f>
        <v>48</v>
      </c>
      <c r="AH11" s="235" t="str">
        <f t="shared" si="6"/>
        <v>Viktor Švarõgin</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t="s">
        <v>459</v>
      </c>
      <c r="C12" s="392">
        <v>13</v>
      </c>
      <c r="D12" s="393" t="s">
        <v>302</v>
      </c>
      <c r="E12" s="394">
        <v>11</v>
      </c>
      <c r="F12" s="395" t="s">
        <v>435</v>
      </c>
      <c r="G12" s="392">
        <v>2</v>
      </c>
      <c r="H12" s="393" t="s">
        <v>302</v>
      </c>
      <c r="I12" s="394">
        <v>13</v>
      </c>
      <c r="J12" s="395" t="s">
        <v>395</v>
      </c>
      <c r="K12" s="392">
        <v>3</v>
      </c>
      <c r="L12" s="393" t="s">
        <v>302</v>
      </c>
      <c r="M12" s="394">
        <v>13</v>
      </c>
      <c r="N12" s="395" t="s">
        <v>473</v>
      </c>
      <c r="O12" s="392">
        <v>13</v>
      </c>
      <c r="P12" s="393" t="s">
        <v>302</v>
      </c>
      <c r="Q12" s="394">
        <v>2</v>
      </c>
      <c r="R12" s="395" t="s">
        <v>388</v>
      </c>
      <c r="S12" s="392">
        <v>12</v>
      </c>
      <c r="T12" s="393" t="s">
        <v>302</v>
      </c>
      <c r="U12" s="394">
        <v>11</v>
      </c>
      <c r="V12" s="395" t="s">
        <v>355</v>
      </c>
      <c r="W12" s="396">
        <f t="shared" si="0"/>
        <v>3</v>
      </c>
      <c r="X12" s="1019">
        <v>24</v>
      </c>
      <c r="Y12" s="1036">
        <v>122</v>
      </c>
      <c r="Z12" s="392">
        <f t="shared" si="1"/>
        <v>43</v>
      </c>
      <c r="AA12" s="393" t="s">
        <v>302</v>
      </c>
      <c r="AB12" s="398">
        <f t="shared" si="2"/>
        <v>50</v>
      </c>
      <c r="AC12" s="399">
        <f t="shared" si="3"/>
        <v>-7</v>
      </c>
      <c r="AD12" s="233">
        <f t="shared" ref="AD12" si="11">SUM(AE12:AL12)</f>
        <v>168</v>
      </c>
      <c r="AE12" s="234">
        <f>IFERROR(INDEX(V!$R:$R,MATCH(AF12,V!$L:$L,0)),"")</f>
        <v>26</v>
      </c>
      <c r="AF12" s="235" t="str">
        <f t="shared" si="5"/>
        <v>Johannes Neiland</v>
      </c>
      <c r="AG12" s="234">
        <f>IFERROR(INDEX(V!$R:$R,MATCH(AH12,V!$L:$L,0)),"")</f>
        <v>142</v>
      </c>
      <c r="AH12" s="235" t="str">
        <f t="shared" si="6"/>
        <v>Sander Rose</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284" t="s">
        <v>355</v>
      </c>
      <c r="C13" s="392">
        <v>13</v>
      </c>
      <c r="D13" s="393" t="s">
        <v>302</v>
      </c>
      <c r="E13" s="394">
        <v>4</v>
      </c>
      <c r="F13" s="395" t="s">
        <v>380</v>
      </c>
      <c r="G13" s="392">
        <v>13</v>
      </c>
      <c r="H13" s="393" t="s">
        <v>302</v>
      </c>
      <c r="I13" s="394">
        <v>9</v>
      </c>
      <c r="J13" s="395" t="s">
        <v>259</v>
      </c>
      <c r="K13" s="392">
        <v>5</v>
      </c>
      <c r="L13" s="393" t="s">
        <v>302</v>
      </c>
      <c r="M13" s="394">
        <v>13</v>
      </c>
      <c r="N13" s="395" t="s">
        <v>471</v>
      </c>
      <c r="O13" s="392">
        <v>5</v>
      </c>
      <c r="P13" s="393" t="s">
        <v>302</v>
      </c>
      <c r="Q13" s="394">
        <v>13</v>
      </c>
      <c r="R13" s="395" t="s">
        <v>472</v>
      </c>
      <c r="S13" s="392">
        <v>11</v>
      </c>
      <c r="T13" s="393" t="s">
        <v>302</v>
      </c>
      <c r="U13" s="394">
        <v>12</v>
      </c>
      <c r="V13" s="395" t="s">
        <v>459</v>
      </c>
      <c r="W13" s="396">
        <f t="shared" si="0"/>
        <v>2</v>
      </c>
      <c r="X13" s="1019">
        <v>28</v>
      </c>
      <c r="Y13" s="1036">
        <v>130</v>
      </c>
      <c r="Z13" s="392">
        <f t="shared" si="1"/>
        <v>47</v>
      </c>
      <c r="AA13" s="393" t="s">
        <v>302</v>
      </c>
      <c r="AB13" s="398">
        <f t="shared" si="2"/>
        <v>51</v>
      </c>
      <c r="AC13" s="399">
        <f t="shared" si="3"/>
        <v>-4</v>
      </c>
      <c r="AD13" s="233">
        <f t="shared" ref="AD13" si="12">SUM(AE13:AL13)</f>
        <v>152</v>
      </c>
      <c r="AE13" s="234">
        <f>IFERROR(INDEX(V!$R:$R,MATCH(AF13,V!$L:$L,0)),"")</f>
        <v>76</v>
      </c>
      <c r="AF13" s="235" t="str">
        <f t="shared" si="5"/>
        <v>Boriss Klubov</v>
      </c>
      <c r="AG13" s="234">
        <f>IFERROR(INDEX(V!$R:$R,MATCH(AH13,V!$L:$L,0)),"")</f>
        <v>76</v>
      </c>
      <c r="AH13" s="235" t="str">
        <f t="shared" si="6"/>
        <v>Elmo Lageda</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304" t="s">
        <v>473</v>
      </c>
      <c r="C14" s="392">
        <v>7</v>
      </c>
      <c r="D14" s="393" t="s">
        <v>302</v>
      </c>
      <c r="E14" s="394">
        <v>13</v>
      </c>
      <c r="F14" s="395" t="s">
        <v>388</v>
      </c>
      <c r="G14" s="392">
        <v>13</v>
      </c>
      <c r="H14" s="393" t="s">
        <v>302</v>
      </c>
      <c r="I14" s="394">
        <v>2</v>
      </c>
      <c r="J14" s="395" t="s">
        <v>435</v>
      </c>
      <c r="K14" s="392">
        <v>13</v>
      </c>
      <c r="L14" s="393" t="s">
        <v>302</v>
      </c>
      <c r="M14" s="394">
        <v>3</v>
      </c>
      <c r="N14" s="395" t="s">
        <v>459</v>
      </c>
      <c r="O14" s="392">
        <v>4</v>
      </c>
      <c r="P14" s="393" t="s">
        <v>302</v>
      </c>
      <c r="Q14" s="394">
        <v>13</v>
      </c>
      <c r="R14" s="395" t="s">
        <v>458</v>
      </c>
      <c r="S14" s="392">
        <v>5</v>
      </c>
      <c r="T14" s="393" t="s">
        <v>302</v>
      </c>
      <c r="U14" s="394">
        <v>13</v>
      </c>
      <c r="V14" s="395" t="s">
        <v>259</v>
      </c>
      <c r="W14" s="396">
        <f t="shared" si="0"/>
        <v>2</v>
      </c>
      <c r="X14" s="1019">
        <v>26</v>
      </c>
      <c r="Y14" s="1036">
        <v>114</v>
      </c>
      <c r="Z14" s="392">
        <f t="shared" si="1"/>
        <v>42</v>
      </c>
      <c r="AA14" s="393" t="s">
        <v>302</v>
      </c>
      <c r="AB14" s="398">
        <f t="shared" si="2"/>
        <v>44</v>
      </c>
      <c r="AC14" s="399">
        <f t="shared" si="3"/>
        <v>-2</v>
      </c>
      <c r="AD14" s="233">
        <f t="shared" ref="AD14" si="13">SUM(AE14:AL14)</f>
        <v>44</v>
      </c>
      <c r="AE14" s="234">
        <f>IFERROR(INDEX(V!$R:$R,MATCH(AF14,V!$L:$L,0)),"")</f>
        <v>24</v>
      </c>
      <c r="AF14" s="235" t="str">
        <f t="shared" si="5"/>
        <v>Lemmit Toomra</v>
      </c>
      <c r="AG14" s="234">
        <f>IFERROR(INDEX(V!$R:$R,MATCH(AH14,V!$L:$L,0)),"")</f>
        <v>20</v>
      </c>
      <c r="AH14" s="235" t="str">
        <f t="shared" si="6"/>
        <v>Liidia Põllu</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391">
        <v>9</v>
      </c>
      <c r="B15" s="284" t="s">
        <v>388</v>
      </c>
      <c r="C15" s="392">
        <v>13</v>
      </c>
      <c r="D15" s="393" t="s">
        <v>302</v>
      </c>
      <c r="E15" s="394">
        <v>7</v>
      </c>
      <c r="F15" s="395" t="s">
        <v>473</v>
      </c>
      <c r="G15" s="392">
        <v>9</v>
      </c>
      <c r="H15" s="393" t="s">
        <v>302</v>
      </c>
      <c r="I15" s="394">
        <v>12</v>
      </c>
      <c r="J15" s="395" t="s">
        <v>471</v>
      </c>
      <c r="K15" s="392">
        <v>7</v>
      </c>
      <c r="L15" s="393" t="s">
        <v>302</v>
      </c>
      <c r="M15" s="394">
        <v>13</v>
      </c>
      <c r="N15" s="395" t="s">
        <v>395</v>
      </c>
      <c r="O15" s="392">
        <v>2</v>
      </c>
      <c r="P15" s="393" t="s">
        <v>302</v>
      </c>
      <c r="Q15" s="394">
        <v>13</v>
      </c>
      <c r="R15" s="395" t="s">
        <v>459</v>
      </c>
      <c r="S15" s="392">
        <v>13</v>
      </c>
      <c r="T15" s="393" t="s">
        <v>302</v>
      </c>
      <c r="U15" s="394">
        <v>7</v>
      </c>
      <c r="V15" s="395" t="s">
        <v>348</v>
      </c>
      <c r="W15" s="396">
        <f t="shared" si="0"/>
        <v>2</v>
      </c>
      <c r="X15" s="1019">
        <v>26</v>
      </c>
      <c r="Y15" s="1036">
        <v>104</v>
      </c>
      <c r="Z15" s="392">
        <f t="shared" si="1"/>
        <v>44</v>
      </c>
      <c r="AA15" s="393" t="s">
        <v>302</v>
      </c>
      <c r="AB15" s="398">
        <f t="shared" si="2"/>
        <v>52</v>
      </c>
      <c r="AC15" s="399">
        <f t="shared" si="3"/>
        <v>-8</v>
      </c>
      <c r="AD15" s="233">
        <f t="shared" ref="AD15" si="14">SUM(AE15:AL15)</f>
        <v>124</v>
      </c>
      <c r="AE15" s="234">
        <f>IFERROR(INDEX(V!$R:$R,MATCH(AF15,V!$L:$L,0)),"")</f>
        <v>58</v>
      </c>
      <c r="AF15" s="235" t="str">
        <f t="shared" si="5"/>
        <v>Kristel Tihhonjuk</v>
      </c>
      <c r="AG15" s="234">
        <f>IFERROR(INDEX(V!$R:$R,MATCH(AH15,V!$L:$L,0)),"")</f>
        <v>66</v>
      </c>
      <c r="AH15" s="235" t="str">
        <f t="shared" si="6"/>
        <v>Vadim Tihhonjuk</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391">
        <v>10</v>
      </c>
      <c r="B16" s="304" t="s">
        <v>380</v>
      </c>
      <c r="C16" s="392">
        <v>4</v>
      </c>
      <c r="D16" s="393" t="s">
        <v>302</v>
      </c>
      <c r="E16" s="394">
        <v>13</v>
      </c>
      <c r="F16" s="395" t="s">
        <v>355</v>
      </c>
      <c r="G16" s="392">
        <v>10</v>
      </c>
      <c r="H16" s="393" t="s">
        <v>302</v>
      </c>
      <c r="I16" s="394">
        <v>13</v>
      </c>
      <c r="J16" s="395" t="s">
        <v>472</v>
      </c>
      <c r="K16" s="392">
        <v>5</v>
      </c>
      <c r="L16" s="393" t="s">
        <v>302</v>
      </c>
      <c r="M16" s="394">
        <v>13</v>
      </c>
      <c r="N16" s="395" t="s">
        <v>458</v>
      </c>
      <c r="O16" s="392">
        <v>13</v>
      </c>
      <c r="P16" s="393" t="s">
        <v>302</v>
      </c>
      <c r="Q16" s="394">
        <v>7</v>
      </c>
      <c r="R16" s="395" t="s">
        <v>348</v>
      </c>
      <c r="S16" s="392">
        <v>13</v>
      </c>
      <c r="T16" s="393" t="s">
        <v>302</v>
      </c>
      <c r="U16" s="394">
        <v>4</v>
      </c>
      <c r="V16" s="395" t="s">
        <v>435</v>
      </c>
      <c r="W16" s="396">
        <f t="shared" si="0"/>
        <v>2</v>
      </c>
      <c r="X16" s="1019">
        <v>20</v>
      </c>
      <c r="Y16" s="1036">
        <v>98</v>
      </c>
      <c r="Z16" s="392">
        <f t="shared" si="1"/>
        <v>45</v>
      </c>
      <c r="AA16" s="393" t="s">
        <v>302</v>
      </c>
      <c r="AB16" s="398">
        <f t="shared" si="2"/>
        <v>50</v>
      </c>
      <c r="AC16" s="399">
        <f t="shared" si="3"/>
        <v>-5</v>
      </c>
      <c r="AD16" s="233">
        <f t="shared" ref="AD16" si="15">SUM(AE16:AL16)</f>
        <v>180</v>
      </c>
      <c r="AE16" s="234">
        <f>IFERROR(INDEX(V!$R:$R,MATCH(AF16,V!$L:$L,0)),"")</f>
        <v>86</v>
      </c>
      <c r="AF16" s="235" t="str">
        <f t="shared" si="5"/>
        <v>Andrei Grintšak</v>
      </c>
      <c r="AG16" s="234">
        <f>IFERROR(INDEX(V!$R:$R,MATCH(AH16,V!$L:$L,0)),"")</f>
        <v>94</v>
      </c>
      <c r="AH16" s="235" t="str">
        <f t="shared" si="6"/>
        <v>Enn Tokman</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7" spans="1:42" x14ac:dyDescent="0.2">
      <c r="A17" s="391">
        <v>11</v>
      </c>
      <c r="B17" s="284" t="s">
        <v>435</v>
      </c>
      <c r="C17" s="392">
        <v>11</v>
      </c>
      <c r="D17" s="393" t="s">
        <v>302</v>
      </c>
      <c r="E17" s="394">
        <v>13</v>
      </c>
      <c r="F17" s="395" t="s">
        <v>459</v>
      </c>
      <c r="G17" s="392">
        <v>2</v>
      </c>
      <c r="H17" s="393" t="s">
        <v>302</v>
      </c>
      <c r="I17" s="394">
        <v>13</v>
      </c>
      <c r="J17" s="395" t="s">
        <v>473</v>
      </c>
      <c r="K17" s="392">
        <v>13</v>
      </c>
      <c r="L17" s="393" t="s">
        <v>302</v>
      </c>
      <c r="M17" s="394">
        <v>7</v>
      </c>
      <c r="N17" s="395" t="s">
        <v>348</v>
      </c>
      <c r="O17" s="392">
        <v>5</v>
      </c>
      <c r="P17" s="393" t="s">
        <v>302</v>
      </c>
      <c r="Q17" s="394">
        <v>13</v>
      </c>
      <c r="R17" s="395" t="s">
        <v>259</v>
      </c>
      <c r="S17" s="392">
        <v>4</v>
      </c>
      <c r="T17" s="393" t="s">
        <v>302</v>
      </c>
      <c r="U17" s="394">
        <v>13</v>
      </c>
      <c r="V17" s="395" t="s">
        <v>380</v>
      </c>
      <c r="W17" s="396">
        <f t="shared" si="0"/>
        <v>1</v>
      </c>
      <c r="X17" s="1019">
        <v>20</v>
      </c>
      <c r="Y17" s="1036">
        <v>94</v>
      </c>
      <c r="Z17" s="392">
        <f t="shared" si="1"/>
        <v>35</v>
      </c>
      <c r="AA17" s="393" t="s">
        <v>302</v>
      </c>
      <c r="AB17" s="398">
        <f t="shared" si="2"/>
        <v>59</v>
      </c>
      <c r="AC17" s="399">
        <f t="shared" si="3"/>
        <v>-24</v>
      </c>
      <c r="AD17" s="233">
        <f t="shared" ref="AD17" si="16">SUM(AE17:AL17)</f>
        <v>134</v>
      </c>
      <c r="AE17" s="234">
        <f>IFERROR(INDEX(V!$R:$R,MATCH(AF17,V!$L:$L,0)),"")</f>
        <v>50</v>
      </c>
      <c r="AF17" s="235" t="str">
        <f t="shared" si="5"/>
        <v>Illar Tõnurist</v>
      </c>
      <c r="AG17" s="234">
        <f>IFERROR(INDEX(V!$R:$R,MATCH(AH17,V!$L:$L,0)),"")</f>
        <v>84</v>
      </c>
      <c r="AH17" s="235" t="str">
        <f t="shared" si="6"/>
        <v>Jaan Saar</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20" spans="1:42" hidden="1" x14ac:dyDescent="0.2"/>
    <row r="21" spans="1:42" hidden="1" x14ac:dyDescent="0.2"/>
    <row r="22" spans="1:42" hidden="1" x14ac:dyDescent="0.2"/>
    <row r="23" spans="1:42" hidden="1" x14ac:dyDescent="0.2"/>
    <row r="24" spans="1:42" hidden="1" x14ac:dyDescent="0.2"/>
    <row r="25" spans="1:42" hidden="1" x14ac:dyDescent="0.2"/>
    <row r="26" spans="1:42" hidden="1" x14ac:dyDescent="0.2"/>
    <row r="27" spans="1:42" hidden="1" x14ac:dyDescent="0.2"/>
    <row r="28" spans="1:42" hidden="1" x14ac:dyDescent="0.2"/>
    <row r="29" spans="1:42" hidden="1" x14ac:dyDescent="0.2"/>
    <row r="30" spans="1:42" hidden="1" x14ac:dyDescent="0.2"/>
    <row r="31" spans="1:42" hidden="1" x14ac:dyDescent="0.2"/>
    <row r="32" spans="1:4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hidden="1" x14ac:dyDescent="0.2">
      <c r="A299" s="158"/>
      <c r="B299" s="158"/>
      <c r="C299" s="229"/>
      <c r="F299" s="649"/>
    </row>
    <row r="300" spans="1:6" x14ac:dyDescent="0.2">
      <c r="A300" s="351">
        <v>1</v>
      </c>
      <c r="B300" s="402" t="str">
        <f>IFERROR(INDEX(B$1:B$100,MATCH(A300,A$1:A$100,0)),"")</f>
        <v>Kenneth Muusikus, Tõnis Neiland</v>
      </c>
      <c r="C300" s="323"/>
      <c r="F300" s="649"/>
    </row>
    <row r="301" spans="1:6" x14ac:dyDescent="0.2">
      <c r="A301" s="351">
        <v>2</v>
      </c>
      <c r="B301" s="402" t="str">
        <f t="shared" ref="B301:B305" si="17">IFERROR(INDEX(B$1:B$100,MATCH(A301,A$1:A$100,0)),"")</f>
        <v>Oksana Rõndenkova, Oleg Rõndenkov</v>
      </c>
      <c r="C301" s="323"/>
      <c r="F301" s="649"/>
    </row>
    <row r="302" spans="1:6" x14ac:dyDescent="0.2">
      <c r="A302" s="351">
        <v>3</v>
      </c>
      <c r="B302" s="402" t="str">
        <f t="shared" si="17"/>
        <v>Peep Peenema, Sirje Maala</v>
      </c>
      <c r="C302" s="323"/>
      <c r="F302" s="649"/>
    </row>
    <row r="303" spans="1:6" x14ac:dyDescent="0.2">
      <c r="A303" s="351">
        <v>4</v>
      </c>
      <c r="B303" s="402" t="str">
        <f t="shared" si="17"/>
        <v>Kaspar Mänd, Oskar Sepp</v>
      </c>
      <c r="C303" s="323"/>
      <c r="F303" s="649"/>
    </row>
    <row r="304" spans="1:6" x14ac:dyDescent="0.2">
      <c r="A304" s="351">
        <v>5</v>
      </c>
      <c r="B304" s="402" t="str">
        <f t="shared" si="17"/>
        <v>Ljudmila Varendi, Viktor Švarõgin</v>
      </c>
      <c r="C304" s="323"/>
      <c r="F304" s="649"/>
    </row>
    <row r="305" spans="1:6" x14ac:dyDescent="0.2">
      <c r="A305" s="351">
        <v>6</v>
      </c>
      <c r="B305" s="402" t="str">
        <f t="shared" si="17"/>
        <v>Johannes Neiland, Sander Rose</v>
      </c>
      <c r="C305" s="323"/>
      <c r="F305" s="649"/>
    </row>
    <row r="306" spans="1:6" x14ac:dyDescent="0.2">
      <c r="A306" s="351">
        <v>7</v>
      </c>
      <c r="B306" s="402" t="str">
        <f t="shared" ref="B306:B310" si="18">IFERROR(INDEX(B$1:B$100,MATCH(A306,A$1:A$100,0)),"")</f>
        <v>Boriss Klubov, Elmo Lageda</v>
      </c>
    </row>
    <row r="307" spans="1:6" x14ac:dyDescent="0.2">
      <c r="A307" s="351">
        <v>8</v>
      </c>
      <c r="B307" s="402" t="str">
        <f t="shared" si="18"/>
        <v>Lemmit Toomra, Liidia Põllu</v>
      </c>
    </row>
    <row r="308" spans="1:6" x14ac:dyDescent="0.2">
      <c r="A308" s="351">
        <v>9</v>
      </c>
      <c r="B308" s="402" t="str">
        <f t="shared" si="18"/>
        <v>Kristel Tihhonjuk, Vadim Tihhonjuk</v>
      </c>
    </row>
    <row r="309" spans="1:6" x14ac:dyDescent="0.2">
      <c r="A309" s="351">
        <v>10</v>
      </c>
      <c r="B309" s="402" t="str">
        <f t="shared" si="18"/>
        <v>Andrei Grintšak, Enn Tokman</v>
      </c>
    </row>
    <row r="310" spans="1:6" x14ac:dyDescent="0.2">
      <c r="A310" s="351">
        <v>11</v>
      </c>
      <c r="B310" s="402" t="str">
        <f t="shared" si="18"/>
        <v>Illar Tõnurist, Jaan Saar</v>
      </c>
    </row>
  </sheetData>
  <conditionalFormatting sqref="C7:C17 G7:G17 O7:O17 S7:S17 K7:K17">
    <cfRule type="expression" dxfId="962" priority="12">
      <formula>AND(C7=0,E7=13)</formula>
    </cfRule>
  </conditionalFormatting>
  <conditionalFormatting sqref="C7:C17">
    <cfRule type="expression" dxfId="961" priority="26">
      <formula>IF($C7&gt;$E7,TRUE)</formula>
    </cfRule>
  </conditionalFormatting>
  <conditionalFormatting sqref="E7:E17">
    <cfRule type="expression" dxfId="960" priority="27">
      <formula>IF($C7&lt;$E7,TRUE)</formula>
    </cfRule>
  </conditionalFormatting>
  <conditionalFormatting sqref="K7:K17">
    <cfRule type="expression" dxfId="959" priority="34">
      <formula>IF($K7&gt;$M7,TRUE)</formula>
    </cfRule>
  </conditionalFormatting>
  <conditionalFormatting sqref="M7:M17">
    <cfRule type="expression" dxfId="958" priority="35">
      <formula>IF($K7&lt;$M7,TRUE)</formula>
    </cfRule>
  </conditionalFormatting>
  <conditionalFormatting sqref="O7:O17">
    <cfRule type="expression" dxfId="957" priority="38">
      <formula>IF($O7&gt;$Q7,TRUE)</formula>
    </cfRule>
  </conditionalFormatting>
  <conditionalFormatting sqref="Q7:Q17">
    <cfRule type="expression" dxfId="956" priority="39">
      <formula>IF($O7&lt;$Q7,TRUE)</formula>
    </cfRule>
  </conditionalFormatting>
  <conditionalFormatting sqref="S7:S17">
    <cfRule type="expression" dxfId="955" priority="42">
      <formula>IF($S7&gt;$U7,TRUE)</formula>
    </cfRule>
  </conditionalFormatting>
  <conditionalFormatting sqref="U7:U17">
    <cfRule type="expression" dxfId="954" priority="43">
      <formula>IF($S7&lt;$U7,TRUE)</formula>
    </cfRule>
  </conditionalFormatting>
  <conditionalFormatting sqref="G7:G17">
    <cfRule type="expression" dxfId="953" priority="30">
      <formula>IF($G7&gt;$I7,TRUE)</formula>
    </cfRule>
  </conditionalFormatting>
  <conditionalFormatting sqref="I7:I17">
    <cfRule type="expression" dxfId="952" priority="31">
      <formula>IF($G7&lt;$I7,TRUE)</formula>
    </cfRule>
  </conditionalFormatting>
  <conditionalFormatting sqref="F7:F17">
    <cfRule type="containsText" dxfId="951" priority="17" operator="containsText" text="vaba voor">
      <formula>NOT(ISERROR(SEARCH("vaba voor",F7)))</formula>
    </cfRule>
  </conditionalFormatting>
  <conditionalFormatting sqref="N7:N17">
    <cfRule type="containsText" dxfId="950" priority="15" operator="containsText" text="vaba voor">
      <formula>NOT(ISERROR(SEARCH("vaba voor",N7)))</formula>
    </cfRule>
  </conditionalFormatting>
  <conditionalFormatting sqref="R7:R17">
    <cfRule type="containsText" dxfId="949" priority="18" operator="containsText" text="vaba voor">
      <formula>NOT(ISERROR(SEARCH("vaba voor",R7)))</formula>
    </cfRule>
  </conditionalFormatting>
  <conditionalFormatting sqref="V7:V17">
    <cfRule type="containsText" dxfId="948" priority="14" operator="containsText" text="vaba voor">
      <formula>NOT(ISERROR(SEARCH("vaba voor",V7)))</formula>
    </cfRule>
  </conditionalFormatting>
  <conditionalFormatting sqref="J7:J17">
    <cfRule type="containsText" dxfId="947" priority="16" operator="containsText" text="vaba voor">
      <formula>NOT(ISERROR(SEARCH("vaba voor",J7)))</formula>
    </cfRule>
  </conditionalFormatting>
  <conditionalFormatting sqref="C7:F17">
    <cfRule type="expression" dxfId="946" priority="22">
      <formula>IF(AND(ISNUMBER($C7),$C7=$E7),TRUE)</formula>
    </cfRule>
    <cfRule type="expression" dxfId="945" priority="24">
      <formula>IF($C7&gt;$E7,TRUE)</formula>
    </cfRule>
    <cfRule type="expression" dxfId="944" priority="25">
      <formula>IF($C7&lt;$E7,TRUE)</formula>
    </cfRule>
  </conditionalFormatting>
  <conditionalFormatting sqref="G7:J17">
    <cfRule type="expression" dxfId="943" priority="23">
      <formula>IF(AND(ISNUMBER($G7),$G7=$I7),TRUE)</formula>
    </cfRule>
    <cfRule type="expression" dxfId="942" priority="28">
      <formula>IF($G7&gt;$I7,TRUE)</formula>
    </cfRule>
    <cfRule type="expression" dxfId="941" priority="29">
      <formula>IF($G7&lt;$I7,TRUE)</formula>
    </cfRule>
  </conditionalFormatting>
  <conditionalFormatting sqref="K7:N17">
    <cfRule type="expression" dxfId="940" priority="21">
      <formula>IF(AND(ISNUMBER($K7),$K7=$M7),TRUE)</formula>
    </cfRule>
    <cfRule type="expression" dxfId="939" priority="32">
      <formula>IF($K7&gt;$M7,TRUE)</formula>
    </cfRule>
    <cfRule type="expression" dxfId="938" priority="33">
      <formula>IF($K7&lt;$M7,TRUE)</formula>
    </cfRule>
  </conditionalFormatting>
  <conditionalFormatting sqref="O7:R17">
    <cfRule type="expression" dxfId="937" priority="20">
      <formula>IF(AND(ISNUMBER($O7),$O7=$Q7),TRUE)</formula>
    </cfRule>
    <cfRule type="expression" dxfId="936" priority="36">
      <formula>IF($O7&gt;$Q7,TRUE)</formula>
    </cfRule>
    <cfRule type="expression" dxfId="935" priority="37">
      <formula>IF($O7&lt;$Q7,TRUE)</formula>
    </cfRule>
  </conditionalFormatting>
  <conditionalFormatting sqref="S7:V17">
    <cfRule type="expression" dxfId="934" priority="19">
      <formula>IF(AND(ISNUMBER($S7),$S7=$U7),TRUE)</formula>
    </cfRule>
    <cfRule type="expression" dxfId="933" priority="40">
      <formula>IF($S7&gt;$U7,TRUE)</formula>
    </cfRule>
    <cfRule type="expression" dxfId="932" priority="41">
      <formula>IF($S7&lt;$U7,TRUE)</formula>
    </cfRule>
  </conditionalFormatting>
  <conditionalFormatting sqref="E7:E17 I7:I17 Q7:Q17 U7:U17 M7:M17">
    <cfRule type="expression" dxfId="931" priority="13">
      <formula>AND(E7=0,C7=13)</formula>
    </cfRule>
  </conditionalFormatting>
  <conditionalFormatting sqref="A7:A17">
    <cfRule type="duplicateValues" dxfId="930" priority="44"/>
  </conditionalFormatting>
  <conditionalFormatting sqref="AJ7:AJ17">
    <cfRule type="expression" dxfId="929" priority="5">
      <formula>AND(AI7="",FIND(",",AJ7))</formula>
    </cfRule>
    <cfRule type="expression" dxfId="928" priority="7">
      <formula>AND(AI7="",COUNTIF(AJ7,"*,*")=0)</formula>
    </cfRule>
  </conditionalFormatting>
  <conditionalFormatting sqref="AH7:AH17">
    <cfRule type="expression" dxfId="927" priority="8">
      <formula>AND(AG7="",FIND(",",AH7))</formula>
    </cfRule>
    <cfRule type="expression" dxfId="926" priority="9">
      <formula>AND(AG7="",COUNTIF(AH7,"*,*")=0)</formula>
    </cfRule>
  </conditionalFormatting>
  <conditionalFormatting sqref="AL7:AL17">
    <cfRule type="expression" dxfId="925" priority="10">
      <formula>AND(AK7="",FIND(",",AL7))</formula>
    </cfRule>
    <cfRule type="expression" dxfId="924" priority="11">
      <formula>AND(AK7="",COUNTIF(AL7,"*,*")=0)</formula>
    </cfRule>
  </conditionalFormatting>
  <conditionalFormatting sqref="AF7:AF17">
    <cfRule type="expression" dxfId="923" priority="6">
      <formula>AND(AE7="",COUNTIF(AF7,"*,*")=0)</formula>
    </cfRule>
  </conditionalFormatting>
  <conditionalFormatting sqref="AN7:AN17">
    <cfRule type="expression" dxfId="922" priority="2">
      <formula>AND(AM7="",COUNTIF(AN7,"*,*")=0)</formula>
    </cfRule>
    <cfRule type="expression" dxfId="921" priority="4">
      <formula>AND(AM7="",FIND(",",AN7))</formula>
    </cfRule>
  </conditionalFormatting>
  <conditionalFormatting sqref="AP7:AP17">
    <cfRule type="expression" dxfId="920" priority="1">
      <formula>AND(AO7="",COUNTIF(AP7,"*,*")=0)</formula>
    </cfRule>
    <cfRule type="expression" dxfId="919" priority="3">
      <formula>AND(AO7="",FIND(",",AP7))</formula>
    </cfRule>
  </conditionalFormatting>
  <conditionalFormatting sqref="B300:B310">
    <cfRule type="expression" dxfId="918" priority="45">
      <formula>A300=3</formula>
    </cfRule>
    <cfRule type="expression" dxfId="917" priority="46">
      <formula>A300=2</formula>
    </cfRule>
    <cfRule type="expression" dxfId="916" priority="47">
      <formula>A300=1</formula>
    </cfRule>
    <cfRule type="containsBlanks" dxfId="915" priority="48">
      <formula>LEN(TRIM(B300))=0</formula>
    </cfRule>
    <cfRule type="duplicateValues" dxfId="914" priority="49"/>
  </conditionalFormatting>
  <pageMargins left="0.78740157480314965" right="0.39370078740157483" top="0.78740157480314965" bottom="0.39370078740157483" header="0.78740157480314965" footer="0"/>
  <pageSetup paperSize="9" scale="92" fitToHeight="0" orientation="landscape" verticalDpi="1200" r:id="rId1"/>
  <headerFooter>
    <oddHeader>&amp;R&amp;P. leht &amp;N&amp; -st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124"/>
  <sheetViews>
    <sheetView showGridLines="0" showRowColHeaders="0" tabSelected="1" zoomScaleNormal="100" workbookViewId="0">
      <pane ySplit="3" topLeftCell="A93" activePane="bottomLeft" state="frozen"/>
      <selection pane="bottomLeft" activeCell="N1" sqref="N1"/>
    </sheetView>
  </sheetViews>
  <sheetFormatPr defaultRowHeight="12.75" x14ac:dyDescent="0.2"/>
  <cols>
    <col min="1" max="1" width="14" style="473" customWidth="1"/>
    <col min="2" max="2" width="3" style="473" customWidth="1"/>
    <col min="3" max="3" width="3.140625" style="473" customWidth="1"/>
    <col min="4" max="4" width="3" style="473" customWidth="1"/>
    <col min="5" max="5" width="3.140625" style="473" customWidth="1"/>
    <col min="6" max="6" width="3" style="473" customWidth="1"/>
    <col min="7" max="7" width="3.140625" style="473" customWidth="1"/>
    <col min="8" max="8" width="3" style="473" customWidth="1"/>
    <col min="9" max="9" width="11.7109375" style="473" customWidth="1"/>
    <col min="10" max="10" width="3" style="473" customWidth="1"/>
    <col min="11" max="11" width="20.7109375" style="473" customWidth="1"/>
    <col min="12" max="12" width="3" style="473" customWidth="1"/>
    <col min="13" max="13" width="22.7109375" style="473" customWidth="1"/>
    <col min="14" max="14" width="3" style="473" customWidth="1"/>
    <col min="15" max="19" width="9.140625" style="473" customWidth="1"/>
    <col min="20" max="16384" width="9.140625" style="473"/>
  </cols>
  <sheetData>
    <row r="1" spans="1:18" x14ac:dyDescent="0.2">
      <c r="A1" s="214" t="s">
        <v>375</v>
      </c>
      <c r="C1" s="472"/>
      <c r="D1" s="472"/>
      <c r="E1" s="471"/>
      <c r="F1" s="471"/>
      <c r="G1" s="472"/>
      <c r="H1" s="472"/>
      <c r="I1" s="472"/>
      <c r="J1" s="472"/>
      <c r="K1" s="472"/>
      <c r="L1" s="653" t="s">
        <v>468</v>
      </c>
      <c r="N1" s="474"/>
      <c r="O1" s="472"/>
      <c r="P1" s="472"/>
      <c r="Q1" s="472"/>
      <c r="R1" s="472"/>
    </row>
    <row r="2" spans="1:18" ht="13.5" thickBot="1" x14ac:dyDescent="0.25">
      <c r="A2" s="472"/>
      <c r="B2" s="472"/>
      <c r="C2" s="472"/>
      <c r="D2" s="472"/>
      <c r="E2" s="471"/>
      <c r="F2" s="471"/>
      <c r="G2" s="472"/>
      <c r="H2" s="472"/>
      <c r="I2" s="472"/>
      <c r="J2" s="472"/>
      <c r="K2" s="472"/>
      <c r="L2" s="475" t="str">
        <f>HYPERLINK("","")</f>
        <v/>
      </c>
      <c r="M2" s="472"/>
      <c r="N2" s="471"/>
      <c r="O2" s="472"/>
      <c r="P2" s="472"/>
      <c r="Q2" s="472"/>
      <c r="R2" s="472"/>
    </row>
    <row r="3" spans="1:18" ht="13.5" thickBot="1" x14ac:dyDescent="0.25">
      <c r="A3" s="476" t="s">
        <v>48</v>
      </c>
      <c r="B3" s="477"/>
      <c r="C3" s="478" t="s">
        <v>49</v>
      </c>
      <c r="D3" s="477"/>
      <c r="E3" s="476" t="s">
        <v>50</v>
      </c>
      <c r="F3" s="477"/>
      <c r="G3" s="476" t="s">
        <v>51</v>
      </c>
      <c r="H3" s="477"/>
      <c r="I3" s="1051" t="s">
        <v>52</v>
      </c>
      <c r="J3" s="1052"/>
      <c r="K3" s="476" t="s">
        <v>53</v>
      </c>
      <c r="L3" s="477"/>
      <c r="M3" s="476" t="s">
        <v>54</v>
      </c>
      <c r="N3" s="477"/>
      <c r="O3" s="472"/>
      <c r="P3" s="472"/>
      <c r="Q3" s="472"/>
      <c r="R3" s="472"/>
    </row>
    <row r="4" spans="1:18" s="759" customFormat="1" ht="13.5" thickBot="1" x14ac:dyDescent="0.25">
      <c r="A4" s="753" t="s">
        <v>378</v>
      </c>
      <c r="B4" s="754"/>
      <c r="C4" s="755"/>
      <c r="D4" s="756"/>
      <c r="E4" s="755"/>
      <c r="F4" s="756"/>
      <c r="G4" s="755"/>
      <c r="H4" s="756"/>
      <c r="I4" s="755"/>
      <c r="J4" s="756"/>
      <c r="P4" s="758"/>
    </row>
    <row r="5" spans="1:18" s="759" customFormat="1" x14ac:dyDescent="0.2">
      <c r="A5" s="760"/>
      <c r="B5" s="761">
        <v>3</v>
      </c>
      <c r="C5" s="760"/>
      <c r="D5" s="761">
        <v>4</v>
      </c>
      <c r="E5" s="760"/>
      <c r="F5" s="761">
        <v>5</v>
      </c>
      <c r="G5" s="762"/>
      <c r="H5" s="763">
        <v>6</v>
      </c>
      <c r="I5" s="764"/>
      <c r="J5" s="761">
        <v>7</v>
      </c>
      <c r="K5" s="765"/>
      <c r="L5" s="763">
        <v>8</v>
      </c>
      <c r="M5" s="766"/>
      <c r="N5" s="763">
        <v>9</v>
      </c>
      <c r="O5" s="757"/>
      <c r="P5" s="758"/>
    </row>
    <row r="6" spans="1:18" s="759" customFormat="1" hidden="1" x14ac:dyDescent="0.2">
      <c r="A6" s="767"/>
      <c r="B6" s="756"/>
      <c r="C6" s="767"/>
      <c r="D6" s="756"/>
      <c r="E6" s="767"/>
      <c r="F6" s="756"/>
      <c r="G6" s="768"/>
      <c r="H6" s="769"/>
      <c r="I6" s="770"/>
      <c r="J6" s="771"/>
      <c r="K6" s="769"/>
      <c r="L6" s="772"/>
      <c r="M6" s="773"/>
      <c r="N6" s="774"/>
      <c r="O6" s="757"/>
      <c r="P6" s="758"/>
    </row>
    <row r="7" spans="1:18" s="759" customFormat="1" hidden="1" x14ac:dyDescent="0.2">
      <c r="A7" s="767"/>
      <c r="B7" s="756"/>
      <c r="C7" s="767"/>
      <c r="D7" s="756"/>
      <c r="E7" s="767"/>
      <c r="F7" s="756"/>
      <c r="G7" s="775"/>
      <c r="H7" s="776"/>
      <c r="I7" s="777"/>
      <c r="J7" s="778"/>
      <c r="K7" s="779"/>
      <c r="L7" s="780"/>
      <c r="M7" s="773"/>
      <c r="N7" s="780"/>
      <c r="O7" s="757"/>
      <c r="P7" s="758"/>
    </row>
    <row r="8" spans="1:18" s="759" customFormat="1" x14ac:dyDescent="0.2">
      <c r="A8" s="767"/>
      <c r="B8" s="756"/>
      <c r="C8" s="767"/>
      <c r="D8" s="756"/>
      <c r="E8" s="767"/>
      <c r="F8" s="756"/>
      <c r="G8" s="781"/>
      <c r="H8" s="782" t="str">
        <f>HYPERLINK("https://www.petanque.ee/index.php?id=103820&amp;cid=916","10. U23 EM (m, n), TRIO")</f>
        <v>10. U23 EM (m, n), TRIO</v>
      </c>
      <c r="I8" s="783"/>
      <c r="J8" s="784"/>
      <c r="K8" s="785"/>
      <c r="L8" s="786"/>
      <c r="M8" s="787"/>
      <c r="N8" s="788" t="str">
        <f>HYPERLINK("","12. Juunioride EM (m, n), TRIO, TUL")</f>
        <v>12. Juunioride EM (m, n), TRIO, TUL</v>
      </c>
      <c r="O8" s="757"/>
      <c r="P8" s="758"/>
    </row>
    <row r="9" spans="1:18" s="759" customFormat="1" ht="13.5" thickBot="1" x14ac:dyDescent="0.25">
      <c r="A9" s="767"/>
      <c r="B9" s="755"/>
      <c r="C9" s="789"/>
      <c r="D9" s="755"/>
      <c r="E9" s="767"/>
      <c r="F9" s="755"/>
      <c r="G9" s="790"/>
      <c r="H9" s="791"/>
      <c r="I9" s="791"/>
      <c r="J9" s="792" t="str">
        <f>HYPERLINK("https://www.google.co.uk/maps/@39.204767,2.5844822,78743m/data=!3m1!1e3","Palma del Mallorca (Hispaania)")</f>
        <v>Palma del Mallorca (Hispaania)</v>
      </c>
      <c r="K9" s="793"/>
      <c r="L9" s="791"/>
      <c r="M9" s="991"/>
      <c r="N9" s="794"/>
      <c r="O9" s="757"/>
      <c r="P9" s="757"/>
    </row>
    <row r="10" spans="1:18" s="759" customFormat="1" x14ac:dyDescent="0.2">
      <c r="A10" s="760"/>
      <c r="B10" s="761">
        <v>10</v>
      </c>
      <c r="C10" s="760"/>
      <c r="D10" s="761">
        <v>11</v>
      </c>
      <c r="E10" s="760"/>
      <c r="F10" s="761">
        <v>12</v>
      </c>
      <c r="G10" s="760"/>
      <c r="H10" s="761">
        <v>13</v>
      </c>
      <c r="I10" s="760"/>
      <c r="J10" s="761">
        <v>14</v>
      </c>
      <c r="K10" s="986" t="str">
        <f>HYPERLINK("https://www.petanque.ee/index.php?id=103820&amp;cid=943","Open tournament 2022")</f>
        <v>Open tournament 2022</v>
      </c>
      <c r="L10" s="761">
        <v>15</v>
      </c>
      <c r="M10" s="760"/>
      <c r="N10" s="763">
        <v>16</v>
      </c>
      <c r="O10" s="757"/>
      <c r="P10" s="757"/>
    </row>
    <row r="11" spans="1:18" s="759" customFormat="1" x14ac:dyDescent="0.2">
      <c r="A11" s="767"/>
      <c r="B11" s="756"/>
      <c r="C11" s="767"/>
      <c r="D11" s="756"/>
      <c r="E11" s="767"/>
      <c r="F11" s="795"/>
      <c r="G11" s="755"/>
      <c r="H11" s="756"/>
      <c r="I11" s="767"/>
      <c r="J11" s="756"/>
      <c r="K11" s="767" t="s">
        <v>55</v>
      </c>
      <c r="L11" s="756"/>
      <c r="M11" s="767"/>
      <c r="N11" s="796"/>
      <c r="O11" s="757"/>
      <c r="P11" s="757"/>
    </row>
    <row r="12" spans="1:18" s="759" customFormat="1" ht="13.5" thickBot="1" x14ac:dyDescent="0.25">
      <c r="A12" s="789"/>
      <c r="B12" s="797"/>
      <c r="C12" s="789"/>
      <c r="D12" s="798"/>
      <c r="E12" s="789"/>
      <c r="F12" s="799"/>
      <c r="G12" s="800"/>
      <c r="H12" s="797"/>
      <c r="I12" s="789"/>
      <c r="J12" s="797"/>
      <c r="K12" s="987" t="str">
        <f>HYPERLINK("https://kaart.delfi.ee/?bookmark=73a75c2d8ed4a34c764e205c87288d20","Harku, Pikk 19")</f>
        <v>Harku, Pikk 19</v>
      </c>
      <c r="L12" s="797"/>
      <c r="M12" s="789"/>
      <c r="N12" s="798"/>
      <c r="O12" s="757"/>
      <c r="P12" s="757"/>
    </row>
    <row r="13" spans="1:18" s="759" customFormat="1" x14ac:dyDescent="0.2">
      <c r="A13" s="760"/>
      <c r="B13" s="761">
        <v>17</v>
      </c>
      <c r="C13" s="760"/>
      <c r="D13" s="761">
        <v>18</v>
      </c>
      <c r="E13" s="760"/>
      <c r="F13" s="761">
        <v>19</v>
      </c>
      <c r="G13" s="760"/>
      <c r="H13" s="761">
        <v>20</v>
      </c>
      <c r="I13" s="760"/>
      <c r="J13" s="761">
        <v>21</v>
      </c>
      <c r="K13" s="988" t="str">
        <f>HYPERLINK("https://www.petanque.ee/index.php?id=103820&amp;cid=920","1. Eesti MV")</f>
        <v>1. Eesti MV</v>
      </c>
      <c r="L13" s="761">
        <v>22</v>
      </c>
      <c r="M13" s="760"/>
      <c r="N13" s="763">
        <v>23</v>
      </c>
      <c r="O13" s="757"/>
      <c r="P13" s="757"/>
    </row>
    <row r="14" spans="1:18" s="759" customFormat="1" x14ac:dyDescent="0.2">
      <c r="A14" s="767"/>
      <c r="B14" s="756"/>
      <c r="C14" s="767"/>
      <c r="D14" s="756"/>
      <c r="E14" s="767"/>
      <c r="F14" s="795"/>
      <c r="G14" s="755"/>
      <c r="H14" s="756"/>
      <c r="I14" s="767"/>
      <c r="J14" s="756"/>
      <c r="K14" s="831" t="s">
        <v>448</v>
      </c>
      <c r="L14" s="756"/>
      <c r="M14" s="767"/>
      <c r="N14" s="796"/>
      <c r="O14" s="757"/>
      <c r="P14" s="757"/>
    </row>
    <row r="15" spans="1:18" s="759" customFormat="1" ht="13.5" thickBot="1" x14ac:dyDescent="0.25">
      <c r="A15" s="789"/>
      <c r="B15" s="797"/>
      <c r="C15" s="789"/>
      <c r="D15" s="798"/>
      <c r="E15" s="789"/>
      <c r="F15" s="799"/>
      <c r="G15" s="800"/>
      <c r="H15" s="797"/>
      <c r="I15" s="789"/>
      <c r="J15" s="797"/>
      <c r="K15" s="989" t="str">
        <f>HYPERLINK("https://kaart.delfi.ee/?bookmark=73a75c2d8ed4a34c764e205c87288d20","Harku, Pikk 19")</f>
        <v>Harku, Pikk 19</v>
      </c>
      <c r="L15" s="797"/>
      <c r="M15" s="789"/>
      <c r="N15" s="798"/>
      <c r="O15" s="757"/>
      <c r="P15" s="757"/>
    </row>
    <row r="16" spans="1:18" s="759" customFormat="1" x14ac:dyDescent="0.2">
      <c r="A16" s="760"/>
      <c r="B16" s="761">
        <v>24</v>
      </c>
      <c r="C16" s="760"/>
      <c r="D16" s="761">
        <v>25</v>
      </c>
      <c r="E16" s="760"/>
      <c r="F16" s="761">
        <v>26</v>
      </c>
      <c r="G16" s="760"/>
      <c r="H16" s="761">
        <v>27</v>
      </c>
      <c r="I16" s="760"/>
      <c r="J16" s="761">
        <v>28</v>
      </c>
      <c r="K16" s="988" t="str">
        <f>HYPERLINK("https://www.petanque.ee/index.php?id=103820&amp;cid=921","17. Eesti MV")</f>
        <v>17. Eesti MV</v>
      </c>
      <c r="L16" s="761">
        <v>29</v>
      </c>
      <c r="M16" s="760"/>
      <c r="N16" s="763">
        <v>30</v>
      </c>
      <c r="O16" s="757"/>
      <c r="P16" s="757"/>
    </row>
    <row r="17" spans="1:18" s="759" customFormat="1" x14ac:dyDescent="0.2">
      <c r="A17" s="767"/>
      <c r="B17" s="756"/>
      <c r="C17" s="767"/>
      <c r="D17" s="756"/>
      <c r="E17" s="767"/>
      <c r="F17" s="795"/>
      <c r="G17" s="755"/>
      <c r="H17" s="756"/>
      <c r="I17" s="767"/>
      <c r="J17" s="756"/>
      <c r="K17" s="990" t="s">
        <v>347</v>
      </c>
      <c r="L17" s="756"/>
      <c r="M17" s="767"/>
      <c r="N17" s="796"/>
      <c r="O17" s="757"/>
      <c r="P17" s="757"/>
    </row>
    <row r="18" spans="1:18" s="759" customFormat="1" ht="13.5" thickBot="1" x14ac:dyDescent="0.25">
      <c r="A18" s="789"/>
      <c r="B18" s="797"/>
      <c r="C18" s="789"/>
      <c r="D18" s="798"/>
      <c r="E18" s="789"/>
      <c r="F18" s="799"/>
      <c r="G18" s="800"/>
      <c r="H18" s="797"/>
      <c r="I18" s="789"/>
      <c r="J18" s="797"/>
      <c r="K18" s="989" t="str">
        <f>HYPERLINK("https://kaart.delfi.ee/?bookmark=73a75c2d8ed4a34c764e205c87288d20","Harku, Pikk 19")</f>
        <v>Harku, Pikk 19</v>
      </c>
      <c r="L18" s="797"/>
      <c r="M18" s="789"/>
      <c r="N18" s="798"/>
      <c r="O18" s="757"/>
      <c r="P18" s="757"/>
    </row>
    <row r="19" spans="1:18" s="759" customFormat="1" hidden="1" x14ac:dyDescent="0.2">
      <c r="A19" s="764"/>
      <c r="B19" s="764"/>
      <c r="C19" s="764"/>
      <c r="D19" s="764"/>
      <c r="E19" s="764"/>
      <c r="F19" s="764"/>
      <c r="G19" s="829"/>
      <c r="H19" s="764"/>
      <c r="I19" s="764"/>
      <c r="J19" s="764"/>
      <c r="K19" s="830"/>
      <c r="L19" s="764"/>
      <c r="M19" s="764"/>
      <c r="N19" s="764"/>
      <c r="O19" s="757"/>
      <c r="P19" s="757"/>
    </row>
    <row r="20" spans="1:18" ht="13.5" thickBot="1" x14ac:dyDescent="0.25">
      <c r="A20" s="596" t="s">
        <v>376</v>
      </c>
      <c r="B20" s="566"/>
      <c r="C20" s="269"/>
      <c r="D20" s="269"/>
      <c r="E20" s="505"/>
      <c r="F20" s="505"/>
      <c r="G20" s="567"/>
      <c r="H20" s="567"/>
      <c r="I20" s="567"/>
      <c r="J20" s="567"/>
      <c r="K20" s="567"/>
      <c r="L20" s="567"/>
      <c r="M20" s="567"/>
      <c r="N20" s="505"/>
      <c r="O20" s="494"/>
      <c r="P20" s="472"/>
      <c r="Q20" s="472"/>
      <c r="R20" s="472"/>
    </row>
    <row r="21" spans="1:18" x14ac:dyDescent="0.2">
      <c r="A21" s="712"/>
      <c r="B21" s="714">
        <v>7</v>
      </c>
      <c r="C21" s="715"/>
      <c r="D21" s="711">
        <v>8</v>
      </c>
      <c r="E21" s="716"/>
      <c r="F21" s="717">
        <v>9</v>
      </c>
      <c r="G21" s="718"/>
      <c r="H21" s="711">
        <v>10</v>
      </c>
      <c r="I21" s="712"/>
      <c r="J21" s="717">
        <v>11</v>
      </c>
      <c r="K21" s="718"/>
      <c r="L21" s="714">
        <v>12</v>
      </c>
      <c r="M21" s="992" t="str">
        <f>HYPERLINK("#V1!$A$5","Voka V sise-KV 1. etapp")</f>
        <v>Voka V sise-KV 1. etapp</v>
      </c>
      <c r="N21" s="719">
        <v>13</v>
      </c>
      <c r="O21" s="491"/>
      <c r="P21" s="492"/>
      <c r="Q21" s="492"/>
      <c r="R21" s="492"/>
    </row>
    <row r="22" spans="1:18" x14ac:dyDescent="0.2">
      <c r="A22" s="483"/>
      <c r="B22" s="484"/>
      <c r="C22" s="479"/>
      <c r="D22" s="480"/>
      <c r="E22" s="496"/>
      <c r="F22" s="493"/>
      <c r="G22" s="479"/>
      <c r="H22" s="480"/>
      <c r="I22" s="713"/>
      <c r="J22" s="487"/>
      <c r="K22" s="480"/>
      <c r="L22" s="485"/>
      <c r="M22" s="878" t="s">
        <v>55</v>
      </c>
      <c r="N22" s="709"/>
      <c r="O22" s="491"/>
      <c r="P22" s="492"/>
      <c r="Q22" s="492"/>
      <c r="R22" s="492"/>
    </row>
    <row r="23" spans="1:18" x14ac:dyDescent="0.2">
      <c r="A23" s="495"/>
      <c r="B23" s="484"/>
      <c r="C23" s="479"/>
      <c r="D23" s="480"/>
      <c r="E23" s="496"/>
      <c r="F23" s="493"/>
      <c r="G23" s="802"/>
      <c r="H23" s="803"/>
      <c r="I23" s="804"/>
      <c r="J23" s="805"/>
      <c r="K23" s="803"/>
      <c r="L23" s="806"/>
      <c r="M23" s="993" t="str">
        <f>HYPERLINK("https://kaart.delfi.ee/?bookmark=236e0f8de3f3d8e7138807663f9b5d14","Voka petangihall")</f>
        <v>Voka petangihall</v>
      </c>
      <c r="N23" s="807"/>
      <c r="O23" s="491"/>
      <c r="P23" s="492"/>
      <c r="Q23" s="492"/>
      <c r="R23" s="492"/>
    </row>
    <row r="24" spans="1:18" s="759" customFormat="1" x14ac:dyDescent="0.2">
      <c r="A24" s="767"/>
      <c r="B24" s="756"/>
      <c r="C24" s="767"/>
      <c r="D24" s="756"/>
      <c r="E24" s="767"/>
      <c r="F24" s="801"/>
      <c r="G24" s="808"/>
      <c r="H24" s="809" t="str">
        <f>HYPERLINK("https://www.petanque.ee/index.php?id=103820&amp;cid=916","24. EuroCup finaal, Ü, D, SD, T, ST")</f>
        <v>24. EuroCup finaal, Ü, D, SD, T, ST</v>
      </c>
      <c r="I24" s="810"/>
      <c r="J24" s="811"/>
      <c r="K24" s="812"/>
      <c r="L24" s="811"/>
      <c r="M24" s="994"/>
      <c r="N24" s="813"/>
      <c r="O24" s="757"/>
      <c r="P24" s="757"/>
    </row>
    <row r="25" spans="1:18" s="759" customFormat="1" ht="13.5" thickBot="1" x14ac:dyDescent="0.25">
      <c r="A25" s="789"/>
      <c r="B25" s="797"/>
      <c r="C25" s="789"/>
      <c r="D25" s="798"/>
      <c r="E25" s="789"/>
      <c r="F25" s="799"/>
      <c r="G25" s="790"/>
      <c r="H25" s="791"/>
      <c r="I25" s="791"/>
      <c r="J25" s="792" t="str">
        <f>HYPERLINK("https://www.google.com/maps/place/34+Imp.+des+Rouyeres,+16710+Saint-Yrieix-sur-Charente,+France/@45.6888204,0.1430084,558m/data=!3m2!1e3!4b1!4m5!3m4!1s0x47fe2e1a45a5ae1d:0x208adc2cac376908!8m2!3d45.691087!4d0.1456686","Saint-Yrieix-sur-Charente (Prantsusmaa)")</f>
        <v>Saint-Yrieix-sur-Charente (Prantsusmaa)</v>
      </c>
      <c r="K25" s="793"/>
      <c r="L25" s="791"/>
      <c r="M25" s="991"/>
      <c r="N25" s="794"/>
      <c r="O25" s="757"/>
      <c r="P25" s="757"/>
    </row>
    <row r="26" spans="1:18" x14ac:dyDescent="0.2">
      <c r="A26" s="720"/>
      <c r="B26" s="721">
        <v>14</v>
      </c>
      <c r="C26" s="722"/>
      <c r="D26" s="721">
        <v>15</v>
      </c>
      <c r="E26" s="723"/>
      <c r="F26" s="721">
        <v>16</v>
      </c>
      <c r="G26" s="724"/>
      <c r="H26" s="721">
        <v>17</v>
      </c>
      <c r="I26" s="718"/>
      <c r="J26" s="717">
        <v>18</v>
      </c>
      <c r="K26" s="723"/>
      <c r="L26" s="714">
        <v>19</v>
      </c>
      <c r="M26" s="725"/>
      <c r="N26" s="719">
        <v>20</v>
      </c>
      <c r="O26" s="499"/>
      <c r="P26" s="472"/>
      <c r="Q26" s="471"/>
      <c r="R26" s="471"/>
    </row>
    <row r="27" spans="1:18" x14ac:dyDescent="0.2">
      <c r="A27" s="500"/>
      <c r="B27" s="501"/>
      <c r="C27" s="269"/>
      <c r="D27" s="501"/>
      <c r="E27" s="502"/>
      <c r="F27" s="503"/>
      <c r="G27" s="504"/>
      <c r="H27" s="503"/>
      <c r="I27" s="479"/>
      <c r="J27" s="497"/>
      <c r="K27" s="502"/>
      <c r="L27" s="485"/>
      <c r="M27" s="486"/>
      <c r="N27" s="497"/>
      <c r="O27" s="499"/>
      <c r="P27" s="472"/>
      <c r="Q27" s="471"/>
      <c r="R27" s="471"/>
    </row>
    <row r="28" spans="1:18" ht="13.5" thickBot="1" x14ac:dyDescent="0.25">
      <c r="A28" s="500"/>
      <c r="B28" s="501"/>
      <c r="C28" s="269"/>
      <c r="D28" s="501"/>
      <c r="E28" s="502"/>
      <c r="F28" s="503"/>
      <c r="G28" s="504"/>
      <c r="H28" s="505"/>
      <c r="I28" s="496"/>
      <c r="J28" s="506"/>
      <c r="K28" s="502"/>
      <c r="L28" s="485"/>
      <c r="M28" s="488"/>
      <c r="N28" s="507"/>
      <c r="O28" s="494"/>
      <c r="P28" s="472"/>
      <c r="Q28" s="472"/>
      <c r="R28" s="472"/>
    </row>
    <row r="29" spans="1:18" x14ac:dyDescent="0.2">
      <c r="A29" s="726"/>
      <c r="B29" s="521">
        <v>21</v>
      </c>
      <c r="C29" s="522"/>
      <c r="D29" s="521">
        <v>22</v>
      </c>
      <c r="E29" s="575"/>
      <c r="F29" s="521">
        <v>23</v>
      </c>
      <c r="G29" s="570"/>
      <c r="H29" s="521">
        <v>24</v>
      </c>
      <c r="I29" s="570"/>
      <c r="J29" s="521">
        <v>25</v>
      </c>
      <c r="K29" s="723"/>
      <c r="L29" s="521">
        <v>26</v>
      </c>
      <c r="M29" s="995" t="str">
        <f>HYPERLINK("#V2!$A$5","Voka V sise-KV 2. etapp")</f>
        <v>Voka V sise-KV 2. etapp</v>
      </c>
      <c r="N29" s="727">
        <v>27</v>
      </c>
      <c r="O29" s="499"/>
      <c r="P29" s="472"/>
      <c r="Q29" s="471"/>
      <c r="R29" s="471"/>
    </row>
    <row r="30" spans="1:18" x14ac:dyDescent="0.2">
      <c r="A30" s="500"/>
      <c r="B30" s="501"/>
      <c r="C30" s="269"/>
      <c r="D30" s="503"/>
      <c r="E30" s="502"/>
      <c r="F30" s="503"/>
      <c r="G30" s="504"/>
      <c r="H30" s="503"/>
      <c r="I30" s="504"/>
      <c r="J30" s="503"/>
      <c r="K30" s="502"/>
      <c r="L30" s="501"/>
      <c r="M30" s="878" t="s">
        <v>55</v>
      </c>
      <c r="N30" s="710"/>
      <c r="O30" s="499"/>
      <c r="P30" s="472"/>
      <c r="Q30" s="471"/>
      <c r="R30" s="471"/>
    </row>
    <row r="31" spans="1:18" ht="13.5" thickBot="1" x14ac:dyDescent="0.25">
      <c r="A31" s="728"/>
      <c r="B31" s="508"/>
      <c r="C31" s="509"/>
      <c r="D31" s="508"/>
      <c r="E31" s="729"/>
      <c r="F31" s="510"/>
      <c r="G31" s="730"/>
      <c r="H31" s="510"/>
      <c r="I31" s="730"/>
      <c r="J31" s="510"/>
      <c r="K31" s="584"/>
      <c r="L31" s="839"/>
      <c r="M31" s="879" t="str">
        <f>HYPERLINK("https://kaart.delfi.ee/?bookmark=236e0f8de3f3d8e7138807663f9b5d14","Voka petangihall")</f>
        <v>Voka petangihall</v>
      </c>
      <c r="N31" s="743"/>
      <c r="O31" s="494"/>
      <c r="P31" s="472"/>
      <c r="Q31" s="472"/>
      <c r="R31" s="471"/>
    </row>
    <row r="32" spans="1:18" x14ac:dyDescent="0.2">
      <c r="A32" s="511"/>
      <c r="B32" s="512">
        <v>28</v>
      </c>
      <c r="C32" s="513"/>
      <c r="D32" s="512">
        <v>29</v>
      </c>
      <c r="E32" s="513"/>
      <c r="F32" s="514">
        <v>30</v>
      </c>
      <c r="G32" s="749"/>
      <c r="H32" s="471"/>
      <c r="I32" s="471"/>
      <c r="J32" s="471"/>
      <c r="K32" s="471"/>
      <c r="L32" s="471"/>
      <c r="M32" s="471"/>
      <c r="N32" s="471"/>
      <c r="O32" s="471"/>
      <c r="P32" s="472"/>
      <c r="Q32" s="471"/>
      <c r="R32" s="471"/>
    </row>
    <row r="33" spans="1:18" ht="13.5" thickBot="1" x14ac:dyDescent="0.25">
      <c r="A33" s="515"/>
      <c r="B33" s="516"/>
      <c r="C33" s="517"/>
      <c r="D33" s="518"/>
      <c r="E33" s="515"/>
      <c r="F33" s="518"/>
      <c r="G33" s="750"/>
      <c r="H33" s="471"/>
      <c r="I33" s="471"/>
      <c r="J33" s="471"/>
      <c r="K33" s="471"/>
      <c r="L33" s="471"/>
      <c r="M33" s="471"/>
      <c r="N33" s="471"/>
      <c r="O33" s="471"/>
      <c r="P33" s="472"/>
      <c r="Q33" s="471"/>
      <c r="R33" s="471"/>
    </row>
    <row r="34" spans="1:18" ht="13.5" thickBot="1" x14ac:dyDescent="0.25">
      <c r="A34" s="746"/>
      <c r="B34" s="558"/>
      <c r="C34" s="747"/>
      <c r="D34" s="748"/>
      <c r="E34" s="746"/>
      <c r="F34" s="748"/>
      <c r="G34" s="751"/>
      <c r="H34" s="526">
        <v>1</v>
      </c>
      <c r="I34" s="482"/>
      <c r="J34" s="527">
        <v>2</v>
      </c>
      <c r="K34" s="986" t="str">
        <f>HYPERLINK("https://www.petanque.ee/index.php?id=103820&amp;cid=944","Uduvere petangiturniir")</f>
        <v>Uduvere petangiturniir</v>
      </c>
      <c r="L34" s="528">
        <v>3</v>
      </c>
      <c r="M34" s="996" t="str">
        <f>HYPERLINK("#V4!$A$5","Voka V sise-KV 3. etapp")</f>
        <v>Voka V sise-KV 3. etapp</v>
      </c>
      <c r="N34" s="742">
        <v>4</v>
      </c>
      <c r="O34" s="499"/>
      <c r="P34" s="471"/>
      <c r="Q34" s="471"/>
      <c r="R34" s="471"/>
    </row>
    <row r="35" spans="1:18" x14ac:dyDescent="0.2">
      <c r="A35" s="596" t="s">
        <v>377</v>
      </c>
      <c r="B35" s="566"/>
      <c r="C35" s="269"/>
      <c r="D35" s="480"/>
      <c r="E35" s="471"/>
      <c r="F35" s="471"/>
      <c r="G35" s="750"/>
      <c r="H35" s="531"/>
      <c r="I35" s="486"/>
      <c r="J35" s="516"/>
      <c r="K35" s="502" t="s">
        <v>55</v>
      </c>
      <c r="L35" s="516"/>
      <c r="M35" s="878" t="s">
        <v>55</v>
      </c>
      <c r="N35" s="744"/>
      <c r="O35" s="499"/>
      <c r="P35" s="216"/>
      <c r="Q35" s="471"/>
      <c r="R35" s="471"/>
    </row>
    <row r="36" spans="1:18" ht="13.5" thickBot="1" x14ac:dyDescent="0.25">
      <c r="A36" s="471"/>
      <c r="B36" s="471"/>
      <c r="C36" s="471"/>
      <c r="D36" s="471"/>
      <c r="E36" s="471"/>
      <c r="F36" s="471"/>
      <c r="G36" s="752"/>
      <c r="H36" s="535"/>
      <c r="I36" s="536"/>
      <c r="J36" s="537"/>
      <c r="K36" s="987" t="str">
        <f>HYPERLINK("https://kaart.delfi.ee?bookmark=2d8b3789e0158bc603a8b8664e5fcdd8","Uduvere petangihall")</f>
        <v>Uduvere petangihall</v>
      </c>
      <c r="L36" s="537"/>
      <c r="M36" s="879" t="str">
        <f>HYPERLINK("https://kaart.delfi.ee/?bookmark=236e0f8de3f3d8e7138807663f9b5d14","Voka petangihall")</f>
        <v>Voka petangihall</v>
      </c>
      <c r="N36" s="745"/>
      <c r="O36" s="499"/>
      <c r="P36" s="471"/>
      <c r="Q36" s="471"/>
      <c r="R36" s="471"/>
    </row>
    <row r="37" spans="1:18" x14ac:dyDescent="0.2">
      <c r="A37" s="560"/>
      <c r="B37" s="731">
        <v>5</v>
      </c>
      <c r="C37" s="597"/>
      <c r="D37" s="731">
        <v>6</v>
      </c>
      <c r="E37" s="560"/>
      <c r="F37" s="731">
        <v>7</v>
      </c>
      <c r="G37" s="538"/>
      <c r="H37" s="489">
        <v>8</v>
      </c>
      <c r="I37" s="529"/>
      <c r="J37" s="490">
        <v>9</v>
      </c>
      <c r="K37" s="486"/>
      <c r="L37" s="489">
        <v>10</v>
      </c>
      <c r="M37" s="486"/>
      <c r="N37" s="481">
        <v>11</v>
      </c>
      <c r="O37" s="494"/>
      <c r="P37" s="472"/>
      <c r="Q37" s="472"/>
      <c r="R37" s="472"/>
    </row>
    <row r="38" spans="1:18" x14ac:dyDescent="0.2">
      <c r="A38" s="496"/>
      <c r="B38" s="539"/>
      <c r="C38" s="479"/>
      <c r="D38" s="539"/>
      <c r="E38" s="496"/>
      <c r="F38" s="539"/>
      <c r="G38" s="538"/>
      <c r="H38" s="539"/>
      <c r="I38" s="529"/>
      <c r="J38" s="540"/>
      <c r="K38" s="486"/>
      <c r="L38" s="516"/>
      <c r="M38" s="486"/>
      <c r="N38" s="501"/>
      <c r="O38" s="494"/>
      <c r="P38" s="472"/>
      <c r="Q38" s="472"/>
      <c r="R38" s="472"/>
    </row>
    <row r="39" spans="1:18" ht="13.5" thickBot="1" x14ac:dyDescent="0.25">
      <c r="A39" s="496"/>
      <c r="B39" s="539"/>
      <c r="C39" s="479"/>
      <c r="D39" s="539"/>
      <c r="E39" s="496"/>
      <c r="F39" s="539"/>
      <c r="G39" s="542"/>
      <c r="H39" s="539"/>
      <c r="I39" s="529"/>
      <c r="J39" s="540"/>
      <c r="K39" s="488"/>
      <c r="L39" s="519"/>
      <c r="M39" s="488"/>
      <c r="N39" s="501"/>
      <c r="O39" s="494"/>
      <c r="P39" s="472"/>
      <c r="Q39" s="472"/>
      <c r="R39" s="472"/>
    </row>
    <row r="40" spans="1:18" x14ac:dyDescent="0.2">
      <c r="A40" s="543"/>
      <c r="B40" s="544">
        <v>12</v>
      </c>
      <c r="C40" s="545"/>
      <c r="D40" s="544">
        <v>13</v>
      </c>
      <c r="E40" s="543"/>
      <c r="F40" s="544">
        <v>14</v>
      </c>
      <c r="G40" s="543"/>
      <c r="H40" s="544">
        <v>15</v>
      </c>
      <c r="I40" s="546"/>
      <c r="J40" s="544">
        <v>16</v>
      </c>
      <c r="K40" s="546"/>
      <c r="L40" s="524">
        <v>17</v>
      </c>
      <c r="M40" s="995" t="str">
        <f>HYPERLINK("#V4!$A$5","Voka V sise-KV 4. etapp")</f>
        <v>Voka V sise-KV 4. etapp</v>
      </c>
      <c r="N40" s="521">
        <v>18</v>
      </c>
      <c r="O40" s="494"/>
      <c r="P40" s="472"/>
      <c r="Q40" s="472"/>
      <c r="R40" s="472"/>
    </row>
    <row r="41" spans="1:18" x14ac:dyDescent="0.2">
      <c r="A41" s="496"/>
      <c r="B41" s="539"/>
      <c r="C41" s="479"/>
      <c r="D41" s="539"/>
      <c r="E41" s="479"/>
      <c r="F41" s="539"/>
      <c r="G41" s="496"/>
      <c r="H41" s="539"/>
      <c r="I41" s="480"/>
      <c r="J41" s="539"/>
      <c r="K41" s="480"/>
      <c r="L41" s="539"/>
      <c r="M41" s="878" t="s">
        <v>55</v>
      </c>
      <c r="N41" s="547"/>
      <c r="O41" s="472"/>
      <c r="P41" s="472"/>
      <c r="Q41" s="472"/>
      <c r="R41" s="472"/>
    </row>
    <row r="42" spans="1:18" ht="13.5" thickBot="1" x14ac:dyDescent="0.25">
      <c r="A42" s="548"/>
      <c r="B42" s="549"/>
      <c r="C42" s="550"/>
      <c r="D42" s="549"/>
      <c r="E42" s="550"/>
      <c r="F42" s="549"/>
      <c r="G42" s="550"/>
      <c r="H42" s="549"/>
      <c r="I42" s="551"/>
      <c r="J42" s="549"/>
      <c r="K42" s="551"/>
      <c r="L42" s="552"/>
      <c r="M42" s="879" t="str">
        <f>HYPERLINK("https://kaart.delfi.ee/?bookmark=236e0f8de3f3d8e7138807663f9b5d14","Voka petangihall")</f>
        <v>Voka petangihall</v>
      </c>
      <c r="N42" s="553"/>
      <c r="O42" s="472"/>
      <c r="P42" s="472"/>
      <c r="Q42" s="472"/>
      <c r="R42" s="472"/>
    </row>
    <row r="43" spans="1:18" x14ac:dyDescent="0.2">
      <c r="A43" s="543"/>
      <c r="B43" s="554">
        <v>19</v>
      </c>
      <c r="C43" s="543"/>
      <c r="D43" s="544">
        <v>20</v>
      </c>
      <c r="E43" s="543"/>
      <c r="F43" s="554">
        <v>21</v>
      </c>
      <c r="G43" s="543"/>
      <c r="H43" s="544">
        <v>22</v>
      </c>
      <c r="I43" s="543"/>
      <c r="J43" s="544">
        <v>22</v>
      </c>
      <c r="K43" s="543"/>
      <c r="L43" s="638">
        <v>24</v>
      </c>
      <c r="M43" s="482"/>
      <c r="N43" s="638">
        <v>25</v>
      </c>
      <c r="O43" s="472"/>
      <c r="P43" s="472"/>
      <c r="Q43" s="472"/>
      <c r="R43" s="472"/>
    </row>
    <row r="44" spans="1:18" x14ac:dyDescent="0.2">
      <c r="A44" s="496"/>
      <c r="B44" s="480"/>
      <c r="C44" s="496"/>
      <c r="D44" s="539"/>
      <c r="E44" s="496"/>
      <c r="F44" s="480"/>
      <c r="G44" s="496"/>
      <c r="H44" s="539"/>
      <c r="I44" s="496"/>
      <c r="J44" s="539"/>
      <c r="K44" s="496"/>
      <c r="L44" s="531"/>
      <c r="M44" s="486"/>
      <c r="N44" s="516"/>
      <c r="O44" s="472"/>
      <c r="P44" s="472"/>
      <c r="Q44" s="472"/>
      <c r="R44" s="472"/>
    </row>
    <row r="45" spans="1:18" ht="13.5" thickBot="1" x14ac:dyDescent="0.25">
      <c r="A45" s="548"/>
      <c r="B45" s="550"/>
      <c r="C45" s="548"/>
      <c r="D45" s="549"/>
      <c r="E45" s="555"/>
      <c r="F45" s="549"/>
      <c r="G45" s="548"/>
      <c r="H45" s="549"/>
      <c r="I45" s="548"/>
      <c r="J45" s="549"/>
      <c r="K45" s="556"/>
      <c r="L45" s="557"/>
      <c r="M45" s="488"/>
      <c r="N45" s="558"/>
      <c r="O45" s="472"/>
      <c r="P45" s="472"/>
      <c r="Q45" s="472"/>
      <c r="R45" s="472"/>
    </row>
    <row r="46" spans="1:18" x14ac:dyDescent="0.2">
      <c r="A46" s="999" t="str">
        <f>HYPERLINK("#'V-jh'!$A$5","'Jõuluturniir'")</f>
        <v>'Jõuluturniir'</v>
      </c>
      <c r="B46" s="638">
        <v>26</v>
      </c>
      <c r="C46" s="543"/>
      <c r="D46" s="554">
        <v>27</v>
      </c>
      <c r="E46" s="543"/>
      <c r="F46" s="559">
        <v>28</v>
      </c>
      <c r="G46" s="560"/>
      <c r="H46" s="559">
        <v>29</v>
      </c>
      <c r="I46" s="561"/>
      <c r="J46" s="559">
        <v>30</v>
      </c>
      <c r="K46" s="561"/>
      <c r="L46" s="559">
        <v>31</v>
      </c>
      <c r="M46" s="732"/>
      <c r="N46" s="472"/>
      <c r="O46" s="472"/>
      <c r="P46" s="472"/>
      <c r="Q46" s="472"/>
      <c r="R46" s="472"/>
    </row>
    <row r="47" spans="1:18" ht="13.5" thickBot="1" x14ac:dyDescent="0.25">
      <c r="A47" s="1000" t="s">
        <v>351</v>
      </c>
      <c r="B47" s="893"/>
      <c r="C47" s="496"/>
      <c r="D47" s="539"/>
      <c r="E47" s="496"/>
      <c r="F47" s="480"/>
      <c r="G47" s="529"/>
      <c r="H47" s="539"/>
      <c r="I47" s="496"/>
      <c r="J47" s="480"/>
      <c r="K47" s="496"/>
      <c r="L47" s="480"/>
      <c r="M47" s="733"/>
      <c r="N47" s="472"/>
      <c r="O47" s="472"/>
      <c r="P47" s="472"/>
      <c r="Q47" s="472"/>
      <c r="R47" s="472"/>
    </row>
    <row r="48" spans="1:18" ht="13.5" thickBot="1" x14ac:dyDescent="0.25">
      <c r="A48" s="1001" t="str">
        <f>HYPERLINK("https://kaart.delfi.ee/?bookmark=236e0f8de3f3d8e7138807663f9b5d14","Voka petangihall")</f>
        <v>Voka petangihall</v>
      </c>
      <c r="B48" s="894"/>
      <c r="C48" s="548"/>
      <c r="D48" s="549"/>
      <c r="E48" s="548"/>
      <c r="F48" s="563"/>
      <c r="G48" s="564"/>
      <c r="H48" s="549"/>
      <c r="I48" s="548"/>
      <c r="J48" s="563"/>
      <c r="K48" s="548"/>
      <c r="L48" s="563"/>
      <c r="M48" s="734"/>
      <c r="N48" s="736">
        <v>1</v>
      </c>
      <c r="O48" s="472"/>
      <c r="P48" s="472"/>
      <c r="Q48" s="472"/>
      <c r="R48" s="472"/>
    </row>
    <row r="49" spans="1:18" x14ac:dyDescent="0.2">
      <c r="A49" s="565" t="s">
        <v>373</v>
      </c>
      <c r="B49" s="566"/>
      <c r="C49" s="269"/>
      <c r="D49" s="531"/>
      <c r="E49" s="269"/>
      <c r="F49" s="531"/>
      <c r="G49" s="567"/>
      <c r="H49" s="505"/>
      <c r="I49" s="531"/>
      <c r="J49" s="471"/>
      <c r="M49" s="735"/>
      <c r="N49" s="501"/>
      <c r="O49" s="472"/>
      <c r="P49" s="472"/>
      <c r="Q49" s="472"/>
      <c r="R49" s="472"/>
    </row>
    <row r="50" spans="1:18" ht="13.5" thickBot="1" x14ac:dyDescent="0.25">
      <c r="A50" s="472"/>
      <c r="B50" s="472"/>
      <c r="C50" s="472"/>
      <c r="D50" s="472"/>
      <c r="E50" s="472"/>
      <c r="F50" s="472"/>
      <c r="G50" s="472"/>
      <c r="H50" s="472"/>
      <c r="I50" s="472"/>
      <c r="J50" s="472"/>
      <c r="M50" s="737"/>
      <c r="N50" s="501"/>
      <c r="O50" s="472"/>
      <c r="P50" s="472"/>
      <c r="Q50" s="472"/>
      <c r="R50" s="472"/>
    </row>
    <row r="51" spans="1:18" x14ac:dyDescent="0.2">
      <c r="A51" s="520"/>
      <c r="B51" s="521">
        <v>2</v>
      </c>
      <c r="C51" s="522"/>
      <c r="D51" s="521">
        <v>3</v>
      </c>
      <c r="E51" s="520"/>
      <c r="F51" s="521">
        <v>4</v>
      </c>
      <c r="G51" s="570"/>
      <c r="H51" s="521">
        <v>5</v>
      </c>
      <c r="I51" s="738"/>
      <c r="J51" s="739">
        <v>6</v>
      </c>
      <c r="K51" s="738"/>
      <c r="L51" s="739">
        <v>7</v>
      </c>
      <c r="M51" s="996" t="str">
        <f>HYPERLINK("#V5!$A$5","Voka V sise-KV 5. etapp")</f>
        <v>Voka V sise-KV 5. etapp</v>
      </c>
      <c r="N51" s="739">
        <v>8</v>
      </c>
      <c r="O51" s="472"/>
      <c r="P51" s="472"/>
      <c r="Q51" s="472"/>
      <c r="R51" s="472"/>
    </row>
    <row r="52" spans="1:18" s="574" customFormat="1" x14ac:dyDescent="0.2">
      <c r="A52" s="529"/>
      <c r="B52" s="501"/>
      <c r="C52" s="269"/>
      <c r="D52" s="501"/>
      <c r="E52" s="529"/>
      <c r="F52" s="531"/>
      <c r="G52" s="573"/>
      <c r="H52" s="501"/>
      <c r="I52" s="573"/>
      <c r="J52" s="501"/>
      <c r="K52" s="573"/>
      <c r="L52" s="531"/>
      <c r="M52" s="878" t="s">
        <v>55</v>
      </c>
      <c r="N52" s="541"/>
      <c r="O52" s="494"/>
      <c r="P52" s="494"/>
      <c r="Q52" s="494"/>
      <c r="R52" s="494"/>
    </row>
    <row r="53" spans="1:18" s="574" customFormat="1" ht="13.5" thickBot="1" x14ac:dyDescent="0.25">
      <c r="A53" s="529"/>
      <c r="B53" s="501"/>
      <c r="C53" s="269"/>
      <c r="D53" s="501"/>
      <c r="E53" s="529"/>
      <c r="F53" s="531"/>
      <c r="G53" s="573"/>
      <c r="H53" s="501"/>
      <c r="I53" s="531"/>
      <c r="J53" s="501"/>
      <c r="K53" s="531"/>
      <c r="L53" s="557"/>
      <c r="M53" s="997" t="str">
        <f>HYPERLINK("https://kaart.delfi.ee/?bookmark=236e0f8de3f3d8e7138807663f9b5d14","Voka petangihall")</f>
        <v>Voka petangihall</v>
      </c>
      <c r="N53" s="541"/>
      <c r="O53" s="494"/>
      <c r="P53" s="494"/>
      <c r="Q53" s="494"/>
      <c r="R53" s="494"/>
    </row>
    <row r="54" spans="1:18" x14ac:dyDescent="0.2">
      <c r="A54" s="520"/>
      <c r="B54" s="521">
        <v>9</v>
      </c>
      <c r="C54" s="522"/>
      <c r="D54" s="521">
        <v>10</v>
      </c>
      <c r="E54" s="575"/>
      <c r="F54" s="521">
        <v>11</v>
      </c>
      <c r="G54" s="570"/>
      <c r="H54" s="521">
        <v>12</v>
      </c>
      <c r="I54" s="571"/>
      <c r="J54" s="576">
        <v>13</v>
      </c>
      <c r="K54" s="571"/>
      <c r="L54" s="521">
        <v>14</v>
      </c>
      <c r="M54" s="571"/>
      <c r="N54" s="521">
        <v>15</v>
      </c>
      <c r="O54" s="472"/>
      <c r="P54" s="472"/>
      <c r="Q54" s="472"/>
      <c r="R54" s="472"/>
    </row>
    <row r="55" spans="1:18" x14ac:dyDescent="0.2">
      <c r="A55" s="529"/>
      <c r="B55" s="501"/>
      <c r="C55" s="269" t="s">
        <v>410</v>
      </c>
      <c r="D55" s="501"/>
      <c r="E55" s="529"/>
      <c r="F55" s="501"/>
      <c r="G55" s="573"/>
      <c r="H55" s="501"/>
      <c r="I55" s="531"/>
      <c r="J55" s="741"/>
      <c r="K55" s="531"/>
      <c r="L55" s="501"/>
      <c r="M55" s="505"/>
      <c r="N55" s="501"/>
      <c r="O55" s="472"/>
      <c r="P55" s="472"/>
      <c r="Q55" s="472"/>
      <c r="R55" s="472"/>
    </row>
    <row r="56" spans="1:18" ht="13.5" thickBot="1" x14ac:dyDescent="0.25">
      <c r="A56" s="564"/>
      <c r="B56" s="557"/>
      <c r="C56" s="879" t="str">
        <f>HYPERLINK("https://kaart.delfi.ee/?bookmark=236e0f8de3f3d8e7138807663f9b5d14","Voka petangihall")</f>
        <v>Voka petangihall</v>
      </c>
      <c r="D56" s="588"/>
      <c r="E56" s="564"/>
      <c r="F56" s="557"/>
      <c r="G56" s="579"/>
      <c r="H56" s="557"/>
      <c r="I56" s="535"/>
      <c r="J56" s="580"/>
      <c r="K56" s="535"/>
      <c r="L56" s="557"/>
      <c r="M56" s="535"/>
      <c r="N56" s="557"/>
      <c r="O56" s="472"/>
      <c r="P56" s="472"/>
      <c r="Q56" s="472"/>
      <c r="R56" s="472"/>
    </row>
    <row r="57" spans="1:18" x14ac:dyDescent="0.2">
      <c r="A57" s="520"/>
      <c r="B57" s="521">
        <v>16</v>
      </c>
      <c r="C57" s="522"/>
      <c r="D57" s="581">
        <v>17</v>
      </c>
      <c r="E57" s="575"/>
      <c r="F57" s="521">
        <v>18</v>
      </c>
      <c r="G57" s="570"/>
      <c r="H57" s="581">
        <v>19</v>
      </c>
      <c r="I57" s="582"/>
      <c r="J57" s="521">
        <v>20</v>
      </c>
      <c r="K57" s="582"/>
      <c r="L57" s="581">
        <v>21</v>
      </c>
      <c r="M57" s="996" t="str">
        <f>HYPERLINK("#V6!$A$5","Voka V sise-KV 6. etapp")</f>
        <v>Voka V sise-KV 6. etapp</v>
      </c>
      <c r="N57" s="739">
        <v>22</v>
      </c>
      <c r="O57" s="472"/>
      <c r="P57" s="472"/>
      <c r="Q57" s="472"/>
      <c r="R57" s="472"/>
    </row>
    <row r="58" spans="1:18" x14ac:dyDescent="0.2">
      <c r="A58" s="529"/>
      <c r="B58" s="501"/>
      <c r="C58" s="269"/>
      <c r="D58" s="531"/>
      <c r="E58" s="502"/>
      <c r="F58" s="503"/>
      <c r="G58" s="504"/>
      <c r="H58" s="505"/>
      <c r="I58" s="496"/>
      <c r="J58" s="583"/>
      <c r="K58" s="496"/>
      <c r="L58" s="501"/>
      <c r="M58" s="878" t="s">
        <v>55</v>
      </c>
      <c r="N58" s="541"/>
      <c r="O58" s="472"/>
      <c r="P58" s="472"/>
      <c r="Q58" s="472"/>
      <c r="R58" s="472"/>
    </row>
    <row r="59" spans="1:18" ht="13.5" thickBot="1" x14ac:dyDescent="0.25">
      <c r="A59" s="564"/>
      <c r="B59" s="557"/>
      <c r="C59" s="578"/>
      <c r="D59" s="535"/>
      <c r="E59" s="584"/>
      <c r="F59" s="533"/>
      <c r="G59" s="534"/>
      <c r="H59" s="585"/>
      <c r="I59" s="586"/>
      <c r="J59" s="533"/>
      <c r="K59" s="586"/>
      <c r="L59" s="651"/>
      <c r="M59" s="879" t="str">
        <f>HYPERLINK("https://kaart.delfi.ee/?bookmark=236e0f8de3f3d8e7138807663f9b5d14","Voka petangihall")</f>
        <v>Voka petangihall</v>
      </c>
      <c r="N59" s="840"/>
      <c r="O59" s="472"/>
      <c r="P59" s="472"/>
      <c r="Q59" s="472"/>
      <c r="R59" s="472"/>
    </row>
    <row r="60" spans="1:18" x14ac:dyDescent="0.2">
      <c r="A60" s="520"/>
      <c r="B60" s="521">
        <v>23</v>
      </c>
      <c r="C60" s="522"/>
      <c r="D60" s="581">
        <v>24</v>
      </c>
      <c r="E60" s="575"/>
      <c r="F60" s="521">
        <v>25</v>
      </c>
      <c r="G60" s="570"/>
      <c r="H60" s="581">
        <v>26</v>
      </c>
      <c r="I60" s="582"/>
      <c r="J60" s="521">
        <v>27</v>
      </c>
      <c r="K60" s="529"/>
      <c r="L60" s="587">
        <v>28</v>
      </c>
      <c r="M60" s="529"/>
      <c r="N60" s="572">
        <v>29</v>
      </c>
      <c r="O60" s="472"/>
      <c r="P60" s="472"/>
      <c r="Q60" s="472"/>
      <c r="R60" s="472"/>
    </row>
    <row r="61" spans="1:18" x14ac:dyDescent="0.2">
      <c r="A61" s="529"/>
      <c r="B61" s="501"/>
      <c r="C61" s="269"/>
      <c r="D61" s="531"/>
      <c r="E61" s="502"/>
      <c r="F61" s="503"/>
      <c r="G61" s="504"/>
      <c r="H61" s="505"/>
      <c r="I61" s="496"/>
      <c r="J61" s="583"/>
      <c r="K61" s="529"/>
      <c r="L61" s="501"/>
      <c r="M61" s="529"/>
      <c r="N61" s="501"/>
      <c r="O61" s="472"/>
      <c r="P61" s="472"/>
      <c r="Q61" s="472"/>
      <c r="R61" s="472"/>
    </row>
    <row r="62" spans="1:18" ht="13.5" thickBot="1" x14ac:dyDescent="0.25">
      <c r="A62" s="564"/>
      <c r="B62" s="557"/>
      <c r="C62" s="578"/>
      <c r="D62" s="535"/>
      <c r="E62" s="584"/>
      <c r="F62" s="533"/>
      <c r="G62" s="534"/>
      <c r="H62" s="585"/>
      <c r="I62" s="586"/>
      <c r="J62" s="533"/>
      <c r="K62" s="564"/>
      <c r="L62" s="557"/>
      <c r="M62" s="564"/>
      <c r="N62" s="557"/>
      <c r="O62" s="472"/>
      <c r="P62" s="472"/>
      <c r="Q62" s="472"/>
      <c r="R62" s="472"/>
    </row>
    <row r="63" spans="1:18" x14ac:dyDescent="0.2">
      <c r="A63" s="520"/>
      <c r="B63" s="521">
        <v>30</v>
      </c>
      <c r="C63" s="522"/>
      <c r="D63" s="817">
        <v>31</v>
      </c>
      <c r="E63" s="825"/>
      <c r="F63" s="472"/>
      <c r="G63" s="472"/>
      <c r="H63" s="472"/>
      <c r="I63" s="472"/>
      <c r="J63" s="472"/>
      <c r="K63" s="472"/>
      <c r="L63" s="472"/>
      <c r="M63" s="472"/>
      <c r="N63" s="472"/>
      <c r="O63" s="472"/>
      <c r="P63" s="472"/>
      <c r="Q63" s="472"/>
      <c r="R63" s="472"/>
    </row>
    <row r="64" spans="1:18" x14ac:dyDescent="0.2">
      <c r="A64" s="529"/>
      <c r="B64" s="501"/>
      <c r="C64" s="269"/>
      <c r="D64" s="531"/>
      <c r="E64" s="562"/>
      <c r="F64" s="472"/>
      <c r="G64" s="472"/>
      <c r="H64" s="472"/>
      <c r="I64" s="472"/>
      <c r="J64" s="472"/>
      <c r="K64" s="472"/>
      <c r="L64" s="472"/>
      <c r="M64" s="472"/>
      <c r="N64" s="472"/>
      <c r="O64" s="472"/>
      <c r="P64" s="472"/>
      <c r="Q64" s="472"/>
      <c r="R64" s="472"/>
    </row>
    <row r="65" spans="1:18" ht="13.5" thickBot="1" x14ac:dyDescent="0.25">
      <c r="A65" s="564"/>
      <c r="B65" s="557"/>
      <c r="C65" s="578"/>
      <c r="D65" s="535"/>
      <c r="E65" s="562"/>
      <c r="F65" s="472"/>
      <c r="G65" s="472"/>
      <c r="H65" s="472"/>
      <c r="I65" s="472"/>
      <c r="J65" s="472"/>
      <c r="K65" s="472"/>
      <c r="L65" s="472"/>
      <c r="M65" s="472"/>
      <c r="N65" s="472"/>
      <c r="O65" s="472"/>
      <c r="P65" s="472"/>
      <c r="Q65" s="472"/>
      <c r="R65" s="472"/>
    </row>
    <row r="66" spans="1:18" x14ac:dyDescent="0.2">
      <c r="A66" s="565" t="s">
        <v>372</v>
      </c>
      <c r="B66" s="566"/>
      <c r="C66" s="472"/>
      <c r="D66" s="472"/>
      <c r="E66" s="828"/>
      <c r="F66" s="526">
        <v>1</v>
      </c>
      <c r="G66" s="589"/>
      <c r="H66" s="526">
        <v>2</v>
      </c>
      <c r="I66" s="589"/>
      <c r="J66" s="739">
        <v>3</v>
      </c>
      <c r="K66" s="589"/>
      <c r="L66" s="524">
        <v>4</v>
      </c>
      <c r="M66" s="996" t="str">
        <f>HYPERLINK("#V7!$A$5","Voka V sise-KV 7. etapp")</f>
        <v>Voka V sise-KV 7. etapp</v>
      </c>
      <c r="N66" s="524">
        <v>5</v>
      </c>
      <c r="O66" s="472"/>
      <c r="P66" s="472"/>
      <c r="Q66" s="472"/>
      <c r="R66" s="472"/>
    </row>
    <row r="67" spans="1:18" x14ac:dyDescent="0.2">
      <c r="A67" s="472"/>
      <c r="B67" s="472"/>
      <c r="C67" s="472"/>
      <c r="D67" s="472"/>
      <c r="E67" s="568"/>
      <c r="F67" s="531"/>
      <c r="G67" s="529"/>
      <c r="H67" s="531"/>
      <c r="I67" s="573"/>
      <c r="J67" s="501"/>
      <c r="K67" s="573"/>
      <c r="L67" s="501"/>
      <c r="M67" s="878" t="s">
        <v>55</v>
      </c>
      <c r="N67" s="541"/>
      <c r="O67" s="472"/>
      <c r="P67" s="472"/>
      <c r="Q67" s="472"/>
      <c r="R67" s="472"/>
    </row>
    <row r="68" spans="1:18" ht="13.5" thickBot="1" x14ac:dyDescent="0.25">
      <c r="A68" s="472"/>
      <c r="B68" s="472"/>
      <c r="C68" s="472"/>
      <c r="D68" s="472"/>
      <c r="E68" s="532"/>
      <c r="F68" s="531"/>
      <c r="G68" s="529"/>
      <c r="H68" s="531"/>
      <c r="I68" s="573"/>
      <c r="J68" s="656"/>
      <c r="K68" s="573"/>
      <c r="L68" s="501"/>
      <c r="M68" s="879" t="str">
        <f>HYPERLINK("https://kaart.delfi.ee/?bookmark=236e0f8de3f3d8e7138807663f9b5d14","Voka petangihall")</f>
        <v>Voka petangihall</v>
      </c>
      <c r="N68" s="843"/>
      <c r="O68" s="472"/>
      <c r="P68" s="472"/>
      <c r="Q68" s="472"/>
      <c r="R68" s="472"/>
    </row>
    <row r="69" spans="1:18" x14ac:dyDescent="0.2">
      <c r="A69" s="814"/>
      <c r="B69" s="739">
        <v>6</v>
      </c>
      <c r="C69" s="520"/>
      <c r="D69" s="521">
        <v>7</v>
      </c>
      <c r="E69" s="520"/>
      <c r="F69" s="521">
        <v>8</v>
      </c>
      <c r="G69" s="590"/>
      <c r="H69" s="521">
        <v>9</v>
      </c>
      <c r="I69" s="590"/>
      <c r="J69" s="521">
        <v>10</v>
      </c>
      <c r="K69" s="520"/>
      <c r="L69" s="521">
        <v>11</v>
      </c>
      <c r="M69" s="996" t="str">
        <f>HYPERLINK("#V8!$A$5","Voka V sise-KV 8. etapp")</f>
        <v>Voka V sise-KV 8. etapp</v>
      </c>
      <c r="N69" s="521">
        <v>12</v>
      </c>
      <c r="O69" s="472"/>
      <c r="P69" s="472"/>
      <c r="Q69" s="472"/>
      <c r="R69" s="472"/>
    </row>
    <row r="70" spans="1:18" x14ac:dyDescent="0.2">
      <c r="A70" s="529"/>
      <c r="B70" s="501"/>
      <c r="C70" s="529"/>
      <c r="D70" s="567"/>
      <c r="E70" s="529"/>
      <c r="F70" s="501"/>
      <c r="G70" s="573"/>
      <c r="H70" s="501"/>
      <c r="I70" s="573"/>
      <c r="J70" s="501"/>
      <c r="K70" s="529"/>
      <c r="L70" s="501"/>
      <c r="M70" s="878" t="s">
        <v>55</v>
      </c>
      <c r="N70" s="541"/>
      <c r="O70" s="472"/>
      <c r="P70" s="472"/>
      <c r="Q70" s="472"/>
      <c r="R70" s="472"/>
    </row>
    <row r="71" spans="1:18" ht="13.5" thickBot="1" x14ac:dyDescent="0.25">
      <c r="A71" s="564"/>
      <c r="B71" s="656"/>
      <c r="C71" s="529"/>
      <c r="D71" s="567"/>
      <c r="E71" s="529"/>
      <c r="F71" s="501"/>
      <c r="G71" s="573"/>
      <c r="H71" s="501"/>
      <c r="I71" s="591"/>
      <c r="J71" s="592"/>
      <c r="K71" s="593"/>
      <c r="L71" s="552"/>
      <c r="M71" s="879" t="str">
        <f>HYPERLINK("https://kaart.delfi.ee/?bookmark=236e0f8de3f3d8e7138807663f9b5d14","Voka petangihall")</f>
        <v>Voka petangihall</v>
      </c>
      <c r="N71" s="541"/>
      <c r="O71" s="472"/>
    </row>
    <row r="72" spans="1:18" x14ac:dyDescent="0.2">
      <c r="A72" s="525"/>
      <c r="B72" s="524">
        <v>13</v>
      </c>
      <c r="C72" s="525"/>
      <c r="D72" s="524">
        <v>14</v>
      </c>
      <c r="E72" s="525"/>
      <c r="F72" s="524">
        <v>15</v>
      </c>
      <c r="G72" s="589"/>
      <c r="H72" s="524">
        <v>16</v>
      </c>
      <c r="I72" s="573"/>
      <c r="J72" s="572">
        <v>17</v>
      </c>
      <c r="K72" s="573"/>
      <c r="L72" s="572">
        <v>18</v>
      </c>
      <c r="M72" s="818"/>
      <c r="N72" s="739">
        <v>19</v>
      </c>
      <c r="O72" s="472"/>
    </row>
    <row r="73" spans="1:18" x14ac:dyDescent="0.2">
      <c r="A73" s="529"/>
      <c r="B73" s="501"/>
      <c r="C73" s="529"/>
      <c r="D73" s="501"/>
      <c r="E73" s="529"/>
      <c r="F73" s="501"/>
      <c r="G73" s="573"/>
      <c r="H73" s="501"/>
      <c r="I73" s="573"/>
      <c r="J73" s="501"/>
      <c r="K73" s="573"/>
      <c r="L73" s="501"/>
      <c r="M73" s="573"/>
      <c r="N73" s="501"/>
      <c r="O73" s="472"/>
    </row>
    <row r="74" spans="1:18" ht="13.5" thickBot="1" x14ac:dyDescent="0.25">
      <c r="A74" s="529"/>
      <c r="B74" s="501"/>
      <c r="C74" s="529"/>
      <c r="D74" s="501"/>
      <c r="E74" s="529"/>
      <c r="F74" s="501"/>
      <c r="G74" s="573"/>
      <c r="H74" s="501"/>
      <c r="I74" s="573"/>
      <c r="J74" s="501"/>
      <c r="K74" s="573"/>
      <c r="L74" s="501"/>
      <c r="M74" s="573"/>
      <c r="N74" s="557"/>
      <c r="O74" s="472"/>
    </row>
    <row r="75" spans="1:18" ht="15.75" x14ac:dyDescent="0.2">
      <c r="A75" s="520"/>
      <c r="B75" s="521">
        <v>20</v>
      </c>
      <c r="C75" s="520"/>
      <c r="D75" s="521">
        <v>21</v>
      </c>
      <c r="E75" s="520"/>
      <c r="F75" s="521">
        <v>22</v>
      </c>
      <c r="G75" s="520"/>
      <c r="H75" s="521">
        <v>23</v>
      </c>
      <c r="I75" s="842" t="s">
        <v>416</v>
      </c>
      <c r="J75" s="834">
        <v>24</v>
      </c>
      <c r="K75" s="577"/>
      <c r="L75" s="581">
        <v>25</v>
      </c>
      <c r="M75" s="577"/>
      <c r="N75" s="521">
        <v>26</v>
      </c>
      <c r="O75" s="472"/>
    </row>
    <row r="76" spans="1:18" x14ac:dyDescent="0.2">
      <c r="A76" s="529"/>
      <c r="B76" s="501"/>
      <c r="C76" s="529"/>
      <c r="D76" s="501"/>
      <c r="E76" s="529"/>
      <c r="F76" s="501"/>
      <c r="G76" s="529"/>
      <c r="H76" s="531"/>
      <c r="I76" s="1002" t="s">
        <v>55</v>
      </c>
      <c r="J76" s="841" t="str">
        <f>HYPERLINK("http://petanque.planet.ee/kundapetank/userfiles/downloads/20230224-JUHEND.pdf","juh")</f>
        <v>juh</v>
      </c>
      <c r="K76" s="660"/>
      <c r="L76" s="531"/>
      <c r="M76" s="660"/>
      <c r="N76" s="501"/>
      <c r="O76" s="472"/>
    </row>
    <row r="77" spans="1:18" ht="13.5" thickBot="1" x14ac:dyDescent="0.25">
      <c r="A77" s="564"/>
      <c r="B77" s="656"/>
      <c r="C77" s="564"/>
      <c r="D77" s="656"/>
      <c r="E77" s="564"/>
      <c r="F77" s="656"/>
      <c r="G77" s="564"/>
      <c r="H77" s="535"/>
      <c r="I77" s="1003" t="str">
        <f>HYPERLINK("https://kaart.delfi.ee/?bookmark=236e0f8de3f3d8e7138807663f9b5d14","Voka petangihall")</f>
        <v>Voka petangihall</v>
      </c>
      <c r="J77" s="833"/>
      <c r="K77" s="595"/>
      <c r="L77" s="535"/>
      <c r="M77" s="595"/>
      <c r="N77" s="656"/>
      <c r="O77" s="472"/>
    </row>
    <row r="78" spans="1:18" ht="15.75" hidden="1" x14ac:dyDescent="0.25">
      <c r="A78" s="529"/>
      <c r="B78" s="501"/>
      <c r="C78" s="529"/>
      <c r="D78" s="501"/>
      <c r="E78" s="529"/>
      <c r="F78" s="501"/>
      <c r="G78" s="529"/>
      <c r="H78" s="531"/>
      <c r="I78" s="835" t="s">
        <v>398</v>
      </c>
      <c r="J78" s="650"/>
      <c r="K78" s="594"/>
      <c r="L78" s="501"/>
      <c r="M78" s="594"/>
      <c r="N78" s="501"/>
      <c r="O78" s="472"/>
    </row>
    <row r="79" spans="1:18" hidden="1" x14ac:dyDescent="0.2">
      <c r="A79" s="529"/>
      <c r="B79" s="501"/>
      <c r="C79" s="529"/>
      <c r="D79" s="501"/>
      <c r="E79" s="529"/>
      <c r="F79" s="501"/>
      <c r="G79" s="529"/>
      <c r="H79" s="531"/>
      <c r="I79" s="662" t="s">
        <v>56</v>
      </c>
      <c r="J79" s="650"/>
      <c r="K79" s="594"/>
      <c r="L79" s="501"/>
      <c r="M79" s="594"/>
      <c r="N79" s="501"/>
      <c r="O79" s="472"/>
    </row>
    <row r="80" spans="1:18" ht="13.5" hidden="1" thickBot="1" x14ac:dyDescent="0.25">
      <c r="A80" s="564"/>
      <c r="B80" s="656"/>
      <c r="C80" s="564"/>
      <c r="D80" s="656"/>
      <c r="E80" s="564"/>
      <c r="F80" s="656"/>
      <c r="G80" s="564"/>
      <c r="H80" s="535"/>
      <c r="I80" s="832" t="str">
        <f>HYPERLINK("https://kaart.delfi.ee/?bookmark=236e0f8de3f3d8e7138807663f9b5d14","Voka petangihall")</f>
        <v>Voka petangihall</v>
      </c>
      <c r="J80" s="833"/>
      <c r="K80" s="595"/>
      <c r="L80" s="656"/>
      <c r="M80" s="595"/>
      <c r="N80" s="656"/>
      <c r="O80" s="494"/>
    </row>
    <row r="81" spans="1:18" x14ac:dyDescent="0.2">
      <c r="A81" s="814"/>
      <c r="B81" s="817">
        <v>27</v>
      </c>
      <c r="C81" s="814"/>
      <c r="D81" s="817">
        <v>28</v>
      </c>
      <c r="E81" s="825"/>
      <c r="F81" s="838"/>
      <c r="G81" s="838"/>
      <c r="H81" s="838"/>
      <c r="I81" s="838"/>
      <c r="J81" s="838"/>
      <c r="K81" s="838"/>
      <c r="L81" s="838"/>
      <c r="M81" s="838"/>
      <c r="N81" s="838"/>
      <c r="O81" s="472"/>
      <c r="P81" s="472"/>
      <c r="Q81" s="472"/>
      <c r="R81" s="472"/>
    </row>
    <row r="82" spans="1:18" ht="13.5" thickBot="1" x14ac:dyDescent="0.25">
      <c r="A82" s="529"/>
      <c r="B82" s="531"/>
      <c r="C82" s="529"/>
      <c r="D82" s="530"/>
      <c r="O82" s="472"/>
      <c r="P82" s="472"/>
      <c r="Q82" s="472"/>
      <c r="R82" s="472"/>
    </row>
    <row r="83" spans="1:18" ht="13.5" thickBot="1" x14ac:dyDescent="0.25">
      <c r="A83" s="880"/>
      <c r="B83" s="657"/>
      <c r="C83" s="880"/>
      <c r="D83" s="885"/>
      <c r="E83" s="826"/>
      <c r="F83" s="524">
        <v>1</v>
      </c>
      <c r="G83" s="543"/>
      <c r="H83" s="524">
        <v>2</v>
      </c>
      <c r="I83" s="543"/>
      <c r="J83" s="524">
        <v>3</v>
      </c>
      <c r="K83" s="543"/>
      <c r="L83" s="524">
        <v>4</v>
      </c>
      <c r="M83" s="543"/>
      <c r="N83" s="524">
        <v>5</v>
      </c>
      <c r="O83" s="472"/>
      <c r="P83" s="472"/>
      <c r="Q83" s="472"/>
      <c r="R83" s="494"/>
    </row>
    <row r="84" spans="1:18" x14ac:dyDescent="0.2">
      <c r="A84" s="886" t="s">
        <v>370</v>
      </c>
      <c r="B84" s="887"/>
      <c r="C84" s="819"/>
      <c r="D84" s="888"/>
      <c r="E84" s="827"/>
      <c r="F84" s="501"/>
      <c r="G84" s="496"/>
      <c r="H84" s="501"/>
      <c r="I84" s="496"/>
      <c r="J84" s="539"/>
      <c r="K84" s="496"/>
      <c r="L84" s="639"/>
      <c r="M84" s="496"/>
      <c r="N84" s="501"/>
      <c r="O84" s="472"/>
    </row>
    <row r="85" spans="1:18" ht="13.5" thickBot="1" x14ac:dyDescent="0.25">
      <c r="E85" s="569"/>
      <c r="F85" s="501"/>
      <c r="G85" s="496"/>
      <c r="H85" s="501"/>
      <c r="I85" s="496"/>
      <c r="J85" s="539"/>
      <c r="K85" s="556"/>
      <c r="L85" s="640"/>
      <c r="M85" s="556"/>
      <c r="N85" s="501"/>
      <c r="O85" s="472"/>
    </row>
    <row r="86" spans="1:18" x14ac:dyDescent="0.2">
      <c r="A86" s="815"/>
      <c r="B86" s="739">
        <v>6</v>
      </c>
      <c r="C86" s="543"/>
      <c r="D86" s="598">
        <v>7</v>
      </c>
      <c r="E86" s="543"/>
      <c r="F86" s="598">
        <v>8</v>
      </c>
      <c r="G86" s="543"/>
      <c r="H86" s="598">
        <v>9</v>
      </c>
      <c r="I86" s="543"/>
      <c r="J86" s="598">
        <v>10</v>
      </c>
      <c r="K86" s="660" t="str">
        <f>HYPERLINK("https://www.petanque.ee/index.php?id=103830&amp;cid=946","Tartu lahtised MV")</f>
        <v>Tartu lahtised MV</v>
      </c>
      <c r="L86" s="598">
        <v>11</v>
      </c>
      <c r="M86" s="998" t="str">
        <f>HYPERLINK("#V9!$A$5","Voka V sise-KV 9. etapp")</f>
        <v>Voka V sise-KV 9. etapp</v>
      </c>
      <c r="N86" s="598">
        <v>12</v>
      </c>
      <c r="O86" s="472"/>
    </row>
    <row r="87" spans="1:18" x14ac:dyDescent="0.2">
      <c r="A87" s="496"/>
      <c r="B87" s="501"/>
      <c r="C87" s="496"/>
      <c r="D87" s="501"/>
      <c r="E87" s="496"/>
      <c r="F87" s="501"/>
      <c r="G87" s="496"/>
      <c r="H87" s="501"/>
      <c r="I87" s="496"/>
      <c r="J87" s="501"/>
      <c r="K87" s="496" t="s">
        <v>347</v>
      </c>
      <c r="L87" s="501"/>
      <c r="M87" s="660" t="str">
        <f>HYPERLINK("#'T-MV-d'!$A$5","Toila valla lahtised sise-MV")</f>
        <v>Toila valla lahtised sise-MV</v>
      </c>
      <c r="N87" s="501"/>
      <c r="O87" s="472"/>
    </row>
    <row r="88" spans="1:18" x14ac:dyDescent="0.2">
      <c r="A88" s="496"/>
      <c r="B88" s="539"/>
      <c r="C88" s="496"/>
      <c r="D88" s="539"/>
      <c r="E88" s="496"/>
      <c r="F88" s="539"/>
      <c r="G88" s="496"/>
      <c r="H88" s="539"/>
      <c r="I88" s="496"/>
      <c r="J88" s="539"/>
      <c r="K88" s="660" t="str">
        <f>HYPERLINK("https://kaart.delfi.ee?bookmark=b800dcc52cedb1f675265b88652410e2","Tartu petangihall")</f>
        <v>Tartu petangihall</v>
      </c>
      <c r="L88" s="539"/>
      <c r="M88" s="878" t="s">
        <v>55</v>
      </c>
      <c r="N88" s="541"/>
      <c r="O88" s="472"/>
    </row>
    <row r="89" spans="1:18" ht="13.5" thickBot="1" x14ac:dyDescent="0.25">
      <c r="A89" s="556"/>
      <c r="B89" s="816"/>
      <c r="C89" s="556"/>
      <c r="D89" s="599"/>
      <c r="E89" s="556"/>
      <c r="F89" s="599"/>
      <c r="G89" s="556"/>
      <c r="H89" s="599"/>
      <c r="I89" s="556"/>
      <c r="J89" s="599"/>
      <c r="K89" s="880"/>
      <c r="L89" s="599"/>
      <c r="M89" s="879" t="str">
        <f>HYPERLINK("https://kaart.delfi.ee/?bookmark=236e0f8de3f3d8e7138807663f9b5d14","Voka petangihall")</f>
        <v>Voka petangihall</v>
      </c>
      <c r="N89" s="588"/>
      <c r="O89" s="472"/>
    </row>
    <row r="90" spans="1:18" x14ac:dyDescent="0.2">
      <c r="A90" s="496"/>
      <c r="B90" s="572">
        <v>13</v>
      </c>
      <c r="C90" s="496"/>
      <c r="D90" s="572">
        <v>14</v>
      </c>
      <c r="E90" s="496"/>
      <c r="F90" s="572">
        <v>15</v>
      </c>
      <c r="G90" s="496"/>
      <c r="H90" s="572">
        <v>16</v>
      </c>
      <c r="I90" s="496"/>
      <c r="J90" s="572">
        <v>17</v>
      </c>
      <c r="K90" s="900" t="str">
        <f>HYPERLINK("https://www.petanque.ee/index.php?id=103830&amp;cid=945","6. Klubide sari, 1. etapp")</f>
        <v>6. Klubide sari, 1. etapp</v>
      </c>
      <c r="L90" s="521">
        <v>18</v>
      </c>
      <c r="M90" s="660" t="str">
        <f>HYPERLINK("#'T-MV-t'!$A$5","Toila valla lahtised sise-MV")</f>
        <v>Toila valla lahtised sise-MV</v>
      </c>
      <c r="N90" s="572">
        <v>19</v>
      </c>
      <c r="O90" s="472"/>
    </row>
    <row r="91" spans="1:18" x14ac:dyDescent="0.2">
      <c r="A91" s="496"/>
      <c r="B91" s="539"/>
      <c r="C91" s="496"/>
      <c r="D91" s="539"/>
      <c r="E91" s="496"/>
      <c r="F91" s="539"/>
      <c r="G91" s="496"/>
      <c r="H91" s="539"/>
      <c r="I91" s="496"/>
      <c r="J91" s="539"/>
      <c r="K91" s="901" t="s">
        <v>298</v>
      </c>
      <c r="L91" s="539"/>
      <c r="M91" s="881" t="s">
        <v>56</v>
      </c>
      <c r="N91" s="539"/>
      <c r="O91" s="472"/>
    </row>
    <row r="92" spans="1:18" ht="13.5" thickBot="1" x14ac:dyDescent="0.25">
      <c r="A92" s="496"/>
      <c r="B92" s="506"/>
      <c r="C92" s="496"/>
      <c r="D92" s="506"/>
      <c r="E92" s="496"/>
      <c r="F92" s="539"/>
      <c r="G92" s="496"/>
      <c r="H92" s="506"/>
      <c r="I92" s="496"/>
      <c r="J92" s="506"/>
      <c r="K92" s="902" t="str">
        <f>HYPERLINK("https://kaart.delfi.ee/?bookmark=73a75c2d8ed4a34c764e205c87288d20","Harku, Pikk 19")</f>
        <v>Harku, Pikk 19</v>
      </c>
      <c r="L92" s="506"/>
      <c r="M92" s="595" t="str">
        <f>HYPERLINK("https://kaart.delfi.ee/?bookmark=236e0f8de3f3d8e7138807663f9b5d14","Voka petangihall")</f>
        <v>Voka petangihall</v>
      </c>
      <c r="N92" s="601"/>
      <c r="O92" s="472"/>
    </row>
    <row r="93" spans="1:18" x14ac:dyDescent="0.2">
      <c r="A93" s="525"/>
      <c r="B93" s="524">
        <v>20</v>
      </c>
      <c r="C93" s="602"/>
      <c r="D93" s="524">
        <v>21</v>
      </c>
      <c r="E93" s="525"/>
      <c r="F93" s="524">
        <v>22</v>
      </c>
      <c r="G93" s="589"/>
      <c r="H93" s="524">
        <v>23</v>
      </c>
      <c r="I93" s="603"/>
      <c r="J93" s="524">
        <v>24</v>
      </c>
      <c r="K93" s="590"/>
      <c r="L93" s="581">
        <v>25</v>
      </c>
      <c r="M93" s="996" t="str">
        <f>HYPERLINK("#V10!$A$5","Voka V sise-KV 10. etapp")</f>
        <v>Voka V sise-KV 10. etapp</v>
      </c>
      <c r="N93" s="521">
        <v>26</v>
      </c>
      <c r="O93" s="472"/>
    </row>
    <row r="94" spans="1:18" x14ac:dyDescent="0.2">
      <c r="A94" s="529"/>
      <c r="B94" s="501"/>
      <c r="C94" s="269"/>
      <c r="D94" s="501"/>
      <c r="E94" s="529"/>
      <c r="F94" s="501"/>
      <c r="G94" s="573"/>
      <c r="H94" s="501"/>
      <c r="I94" s="531"/>
      <c r="J94" s="501"/>
      <c r="K94" s="654"/>
      <c r="L94" s="531"/>
      <c r="M94" s="878" t="s">
        <v>55</v>
      </c>
      <c r="N94" s="541"/>
      <c r="O94" s="472"/>
    </row>
    <row r="95" spans="1:18" ht="13.5" thickBot="1" x14ac:dyDescent="0.25">
      <c r="A95" s="529"/>
      <c r="B95" s="501"/>
      <c r="C95" s="269"/>
      <c r="D95" s="501"/>
      <c r="E95" s="529"/>
      <c r="F95" s="501"/>
      <c r="G95" s="573"/>
      <c r="H95" s="501"/>
      <c r="I95" s="531"/>
      <c r="J95" s="501"/>
      <c r="K95" s="655"/>
      <c r="L95" s="604"/>
      <c r="M95" s="879" t="str">
        <f>HYPERLINK("https://kaart.delfi.ee/?bookmark=236e0f8de3f3d8e7138807663f9b5d14","Voka petangihall")</f>
        <v>Voka petangihall</v>
      </c>
      <c r="N95" s="843"/>
      <c r="O95" s="472"/>
    </row>
    <row r="96" spans="1:18" ht="13.5" thickBot="1" x14ac:dyDescent="0.25">
      <c r="A96" s="520"/>
      <c r="B96" s="521">
        <v>27</v>
      </c>
      <c r="C96" s="522"/>
      <c r="D96" s="523">
        <v>28</v>
      </c>
      <c r="E96" s="522"/>
      <c r="F96" s="521">
        <v>29</v>
      </c>
      <c r="G96" s="590"/>
      <c r="H96" s="817">
        <v>30</v>
      </c>
      <c r="I96" s="818"/>
      <c r="J96" s="817">
        <v>31</v>
      </c>
      <c r="K96" s="824"/>
      <c r="L96" s="605"/>
      <c r="M96" s="498"/>
      <c r="N96" s="605"/>
      <c r="O96" s="472"/>
    </row>
    <row r="97" spans="1:18" ht="13.5" thickBot="1" x14ac:dyDescent="0.25">
      <c r="A97" s="529"/>
      <c r="B97" s="501"/>
      <c r="C97" s="269"/>
      <c r="D97" s="530"/>
      <c r="E97" s="269"/>
      <c r="F97" s="501"/>
      <c r="G97" s="529"/>
      <c r="H97" s="531"/>
      <c r="I97" s="573"/>
      <c r="J97" s="531"/>
      <c r="K97" s="1005" t="str">
        <f>HYPERLINK("https://www.petanque.ee/index.php?id=103830&amp;cid=947","6. Klubide sari, 2. etapp")</f>
        <v>6. Klubide sari, 2. etapp</v>
      </c>
      <c r="L97" s="739">
        <v>1</v>
      </c>
      <c r="M97" s="996" t="str">
        <f>HYPERLINK("#'V-lõp'!$A$5","Voka V sise-KV lõpetamine")</f>
        <v>Voka V sise-KV lõpetamine</v>
      </c>
      <c r="N97" s="739">
        <v>2</v>
      </c>
      <c r="O97" s="472"/>
    </row>
    <row r="98" spans="1:18" ht="13.5" hidden="1" thickBot="1" x14ac:dyDescent="0.25">
      <c r="A98" s="529"/>
      <c r="B98" s="501"/>
      <c r="C98" s="269"/>
      <c r="D98" s="530"/>
      <c r="E98" s="269"/>
      <c r="F98" s="501"/>
      <c r="G98" s="529"/>
      <c r="H98" s="531"/>
      <c r="I98" s="573"/>
      <c r="J98" s="531"/>
      <c r="K98" s="1006"/>
      <c r="L98" s="1007"/>
      <c r="M98" s="1004"/>
      <c r="R98" s="472"/>
    </row>
    <row r="99" spans="1:18" x14ac:dyDescent="0.2">
      <c r="A99" s="889" t="s">
        <v>371</v>
      </c>
      <c r="B99" s="890"/>
      <c r="C99" s="891"/>
      <c r="D99" s="891"/>
      <c r="E99" s="891"/>
      <c r="F99" s="891"/>
      <c r="G99" s="891"/>
      <c r="H99" s="891"/>
      <c r="I99" s="892"/>
      <c r="J99" s="722"/>
      <c r="K99" s="1008" t="s">
        <v>298</v>
      </c>
      <c r="L99" s="501"/>
      <c r="M99" s="878" t="s">
        <v>351</v>
      </c>
      <c r="N99" s="541"/>
      <c r="O99" s="574"/>
      <c r="R99" s="472"/>
    </row>
    <row r="100" spans="1:18" ht="13.5" thickBot="1" x14ac:dyDescent="0.25">
      <c r="I100" s="531"/>
      <c r="J100" s="531"/>
      <c r="K100" s="1009" t="str">
        <f>HYPERLINK("https://kaart.delfi.ee/?bookmark=73a75c2d8ed4a34c764e205c87288d20","Harku, Pikk 19")</f>
        <v>Harku, Pikk 19</v>
      </c>
      <c r="L100" s="1010"/>
      <c r="M100" s="879" t="str">
        <f>HYPERLINK("https://kaart.delfi.ee/?bookmark=236e0f8de3f3d8e7138807663f9b5d14","Voka petangihall")</f>
        <v>Voka petangihall</v>
      </c>
      <c r="N100" s="541"/>
      <c r="R100" s="472"/>
    </row>
    <row r="101" spans="1:18" x14ac:dyDescent="0.2">
      <c r="A101" s="814"/>
      <c r="B101" s="739">
        <v>3</v>
      </c>
      <c r="C101" s="819"/>
      <c r="D101" s="739">
        <v>4</v>
      </c>
      <c r="E101" s="814"/>
      <c r="F101" s="739">
        <v>5</v>
      </c>
      <c r="G101" s="814"/>
      <c r="H101" s="817">
        <v>6</v>
      </c>
      <c r="I101" s="740" t="str">
        <f>HYPERLINK("https://www.petanque.ee/index.php?id=103830&amp;cid=949","Kevadpüha võistlus")</f>
        <v>Kevadpüha võistlus</v>
      </c>
      <c r="J101" s="822">
        <v>7</v>
      </c>
      <c r="K101" s="740" t="str">
        <f>HYPERLINK("https://www.petanque.ee/index.php?id=103830&amp;cid=950","Kevadpüha võistlus")</f>
        <v>Kevadpüha võistlus</v>
      </c>
      <c r="L101" s="739">
        <v>8</v>
      </c>
      <c r="M101" s="814"/>
      <c r="N101" s="823">
        <v>9</v>
      </c>
      <c r="R101" s="472"/>
    </row>
    <row r="102" spans="1:18" x14ac:dyDescent="0.2">
      <c r="A102" s="529"/>
      <c r="B102" s="501"/>
      <c r="C102" s="269"/>
      <c r="D102" s="501"/>
      <c r="E102" s="529"/>
      <c r="F102" s="501"/>
      <c r="G102" s="529"/>
      <c r="H102" s="531"/>
      <c r="I102" s="529" t="s">
        <v>55</v>
      </c>
      <c r="J102" s="531"/>
      <c r="K102" s="529" t="s">
        <v>56</v>
      </c>
      <c r="L102" s="606"/>
      <c r="M102" s="529"/>
      <c r="N102" s="539"/>
      <c r="R102" s="494"/>
    </row>
    <row r="103" spans="1:18" ht="13.5" thickBot="1" x14ac:dyDescent="0.25">
      <c r="A103" s="564"/>
      <c r="B103" s="656"/>
      <c r="C103" s="578"/>
      <c r="D103" s="656"/>
      <c r="E103" s="564"/>
      <c r="F103" s="656"/>
      <c r="G103" s="564"/>
      <c r="H103" s="535"/>
      <c r="I103" s="661" t="str">
        <f>HYPERLINK("https://kaart.delfi.ee/?bookmark=73a75c2d8ed4a34c764e205c87288d20","Harku, Pikk 19")</f>
        <v>Harku, Pikk 19</v>
      </c>
      <c r="J103" s="535"/>
      <c r="K103" s="661" t="str">
        <f>HYPERLINK("https://kaart.delfi.ee/?bookmark=73a75c2d8ed4a34c764e205c87288d20","Harku, Pikk 19")</f>
        <v>Harku, Pikk 19</v>
      </c>
      <c r="L103" s="820"/>
      <c r="M103" s="564"/>
      <c r="N103" s="816"/>
      <c r="O103" s="472"/>
      <c r="P103" s="472"/>
      <c r="Q103" s="494"/>
      <c r="R103" s="494"/>
    </row>
    <row r="104" spans="1:18" x14ac:dyDescent="0.2">
      <c r="A104" s="529"/>
      <c r="B104" s="572">
        <v>10</v>
      </c>
      <c r="C104" s="529"/>
      <c r="D104" s="572">
        <v>11</v>
      </c>
      <c r="E104" s="269"/>
      <c r="F104" s="572">
        <v>12</v>
      </c>
      <c r="G104" s="529"/>
      <c r="H104" s="587">
        <v>13</v>
      </c>
      <c r="I104" s="529"/>
      <c r="J104" s="587">
        <v>14</v>
      </c>
      <c r="K104" s="740" t="str">
        <f>HYPERLINK("https://www.petanque.ee/index.php?id=103830&amp;cid=947","6. Klubide sari, 1. etapp")</f>
        <v>6. Klubide sari, 1. etapp</v>
      </c>
      <c r="L104" s="739">
        <v>15</v>
      </c>
      <c r="M104" s="1031" t="str">
        <f>HYPERLINK("#'I-V-d'!$A$5","Ida-Virumaa sise-MV")</f>
        <v>Ida-Virumaa sise-MV</v>
      </c>
      <c r="N104" s="572">
        <v>16</v>
      </c>
      <c r="O104" s="472"/>
      <c r="P104" s="472"/>
      <c r="R104" s="472"/>
    </row>
    <row r="105" spans="1:18" x14ac:dyDescent="0.2">
      <c r="A105" s="529"/>
      <c r="B105" s="531"/>
      <c r="C105" s="529"/>
      <c r="D105" s="501"/>
      <c r="E105" s="269"/>
      <c r="F105" s="531"/>
      <c r="G105" s="529"/>
      <c r="H105" s="531"/>
      <c r="I105" s="529"/>
      <c r="J105" s="531"/>
      <c r="K105" s="1027" t="s">
        <v>298</v>
      </c>
      <c r="L105" s="501"/>
      <c r="M105" s="1032" t="s">
        <v>55</v>
      </c>
      <c r="N105" s="1034"/>
      <c r="O105" s="472"/>
      <c r="P105" s="472"/>
      <c r="Q105" s="472"/>
      <c r="R105" s="472"/>
    </row>
    <row r="106" spans="1:18" ht="13.5" thickBot="1" x14ac:dyDescent="0.25">
      <c r="A106" s="529"/>
      <c r="B106" s="531"/>
      <c r="C106" s="529"/>
      <c r="D106" s="501"/>
      <c r="E106" s="269"/>
      <c r="F106" s="531"/>
      <c r="G106" s="529"/>
      <c r="H106" s="531"/>
      <c r="I106" s="529"/>
      <c r="J106" s="1028"/>
      <c r="K106" s="600" t="str">
        <f>HYPERLINK("https://kaart.delfi.ee/?bookmark=73a75c2d8ed4a34c764e205c87288d20","Harku, Pikk 19")</f>
        <v>Harku, Pikk 19</v>
      </c>
      <c r="L106" s="501"/>
      <c r="M106" s="1033" t="str">
        <f>HYPERLINK("https://kaart.delfi.ee/?bookmark=236e0f8de3f3d8e7138807663f9b5d14","Voka petangihall")</f>
        <v>Voka petangihall</v>
      </c>
      <c r="N106" s="1035"/>
      <c r="R106" s="472"/>
    </row>
    <row r="107" spans="1:18" x14ac:dyDescent="0.2">
      <c r="A107" s="529"/>
      <c r="B107" s="531"/>
      <c r="C107" s="529"/>
      <c r="D107" s="501"/>
      <c r="E107" s="269"/>
      <c r="F107" s="531"/>
      <c r="G107" s="529"/>
      <c r="H107" s="531"/>
      <c r="I107" s="269"/>
      <c r="J107" s="1028"/>
      <c r="K107" s="600"/>
      <c r="L107" s="501"/>
      <c r="M107" s="1029" t="str">
        <f>HYPERLINK("https://www.petanque.ee/index.php?id=103830&amp;cid=952","5. Eesti MV 55+")</f>
        <v>5. Eesti MV 55+</v>
      </c>
      <c r="N107" s="1030"/>
      <c r="R107" s="472"/>
    </row>
    <row r="108" spans="1:18" x14ac:dyDescent="0.2">
      <c r="A108" s="529"/>
      <c r="B108" s="531"/>
      <c r="C108" s="529"/>
      <c r="D108" s="501"/>
      <c r="E108" s="269"/>
      <c r="F108" s="531"/>
      <c r="G108" s="529"/>
      <c r="H108" s="531"/>
      <c r="I108" s="269"/>
      <c r="J108" s="1007"/>
      <c r="K108" s="600"/>
      <c r="L108" s="501"/>
      <c r="M108" s="531" t="s">
        <v>399</v>
      </c>
      <c r="N108" s="501"/>
      <c r="R108" s="472"/>
    </row>
    <row r="109" spans="1:18" ht="13.5" thickBot="1" x14ac:dyDescent="0.25">
      <c r="A109" s="529"/>
      <c r="B109" s="531"/>
      <c r="C109" s="529"/>
      <c r="D109" s="501"/>
      <c r="E109" s="269"/>
      <c r="F109" s="531"/>
      <c r="G109" s="529"/>
      <c r="H109" s="531"/>
      <c r="I109" s="269"/>
      <c r="J109" s="1007"/>
      <c r="K109" s="600"/>
      <c r="L109" s="501"/>
      <c r="M109" s="663" t="str">
        <f>HYPERLINK("https://kaart.delfi.ee/?bookmark=73a75c2d8ed4a34c764e205c87288d20","Harku, Pikk 19")</f>
        <v>Harku, Pikk 19</v>
      </c>
      <c r="N109" s="501"/>
      <c r="R109" s="472"/>
    </row>
    <row r="110" spans="1:18" x14ac:dyDescent="0.2">
      <c r="A110" s="814"/>
      <c r="B110" s="817">
        <v>17</v>
      </c>
      <c r="C110" s="814"/>
      <c r="D110" s="739">
        <v>18</v>
      </c>
      <c r="E110" s="819"/>
      <c r="F110" s="739">
        <v>19</v>
      </c>
      <c r="G110" s="818"/>
      <c r="H110" s="739">
        <v>20</v>
      </c>
      <c r="I110" s="821"/>
      <c r="J110" s="817">
        <v>21</v>
      </c>
      <c r="K110" s="882" t="str">
        <f>HYPERLINK("https://www.petanque.ee/index.php?id=103830&amp;cid=948","Katsevõistlused, TRIO")</f>
        <v>Katsevõistlused, TRIO</v>
      </c>
      <c r="L110" s="739">
        <v>22</v>
      </c>
      <c r="M110" s="882" t="str">
        <f>HYPERLINK("https://www.petanque.ee/index.php?id=103830&amp;cid=953","Katsevõistlused, TRIO")</f>
        <v>Katsevõistlused, TRIO</v>
      </c>
      <c r="N110" s="739">
        <v>23</v>
      </c>
      <c r="R110" s="472"/>
    </row>
    <row r="111" spans="1:18" x14ac:dyDescent="0.2">
      <c r="A111" s="529"/>
      <c r="B111" s="531"/>
      <c r="C111" s="529"/>
      <c r="D111" s="608"/>
      <c r="E111" s="529"/>
      <c r="F111" s="501"/>
      <c r="G111" s="573"/>
      <c r="H111" s="531"/>
      <c r="I111" s="573"/>
      <c r="J111" s="531"/>
      <c r="K111" s="836" t="s">
        <v>474</v>
      </c>
      <c r="L111" s="501"/>
      <c r="M111" s="836" t="s">
        <v>475</v>
      </c>
      <c r="N111" s="501"/>
      <c r="R111" s="472"/>
    </row>
    <row r="112" spans="1:18" ht="13.5" thickBot="1" x14ac:dyDescent="0.25">
      <c r="A112" s="564"/>
      <c r="B112" s="535"/>
      <c r="C112" s="564"/>
      <c r="D112" s="609"/>
      <c r="E112" s="578"/>
      <c r="F112" s="535"/>
      <c r="G112" s="579"/>
      <c r="H112" s="535"/>
      <c r="I112" s="579"/>
      <c r="J112" s="535"/>
      <c r="K112" s="600" t="str">
        <f>HYPERLINK("https://kaart.delfi.ee/?bookmark=73a75c2d8ed4a34c764e205c87288d20","Harku, Pikk 19")</f>
        <v>Harku, Pikk 19</v>
      </c>
      <c r="L112" s="557"/>
      <c r="M112" s="883" t="str">
        <f>HYPERLINK("https://kaart.delfi.ee/?bookmark=73a75c2d8ed4a34c764e205c87288d20","Harku, Pikk 19")</f>
        <v>Harku, Pikk 19</v>
      </c>
      <c r="N112" s="557"/>
      <c r="R112" s="472"/>
    </row>
    <row r="113" spans="1:18" x14ac:dyDescent="0.2">
      <c r="A113" s="610"/>
      <c r="B113" s="528">
        <v>24</v>
      </c>
      <c r="C113" s="611"/>
      <c r="D113" s="612">
        <v>25</v>
      </c>
      <c r="E113" s="613"/>
      <c r="F113" s="612">
        <v>26</v>
      </c>
      <c r="G113" s="614"/>
      <c r="H113" s="612">
        <v>27</v>
      </c>
      <c r="I113" s="613"/>
      <c r="J113" s="837">
        <v>28</v>
      </c>
      <c r="K113" s="882" t="str">
        <f>HYPERLINK("https://www.petanque.ee/index.php?id=103830&amp;cid=954","EM katsevõistlused")</f>
        <v>EM katsevõistlused</v>
      </c>
      <c r="L113" s="742">
        <v>29</v>
      </c>
      <c r="M113" s="882" t="str">
        <f>HYPERLINK("https://www.petanque.ee/index.php?id=103830&amp;cid=955","EM katsevõistlused")</f>
        <v>EM katsevõistlused</v>
      </c>
      <c r="N113" s="742">
        <v>30</v>
      </c>
      <c r="R113" s="472"/>
    </row>
    <row r="114" spans="1:18" x14ac:dyDescent="0.2">
      <c r="A114" s="615"/>
      <c r="B114" s="518"/>
      <c r="C114" s="616"/>
      <c r="D114" s="617"/>
      <c r="E114" s="618"/>
      <c r="F114" s="619"/>
      <c r="G114" s="620"/>
      <c r="H114" s="621"/>
      <c r="I114" s="622"/>
      <c r="J114" s="618"/>
      <c r="K114" s="836" t="s">
        <v>466</v>
      </c>
      <c r="L114" s="637"/>
      <c r="M114" s="836" t="s">
        <v>467</v>
      </c>
      <c r="N114" s="679"/>
      <c r="R114" s="472"/>
    </row>
    <row r="115" spans="1:18" ht="13.5" thickBot="1" x14ac:dyDescent="0.25">
      <c r="A115" s="623"/>
      <c r="B115" s="624"/>
      <c r="C115" s="625"/>
      <c r="D115" s="626"/>
      <c r="E115" s="627"/>
      <c r="F115" s="627"/>
      <c r="G115" s="628"/>
      <c r="H115" s="629"/>
      <c r="I115" s="630"/>
      <c r="J115" s="627"/>
      <c r="K115" s="884" t="str">
        <f>HYPERLINK("https://kaart.delfi.ee/?bookmark=73a75c2d8ed4a34c764e205c87288d20","Harku, Pikk 19")</f>
        <v>Harku, Pikk 19</v>
      </c>
      <c r="L115" s="676"/>
      <c r="M115" s="883" t="str">
        <f>HYPERLINK("https://kaart.delfi.ee/?bookmark=73a75c2d8ed4a34c764e205c87288d20","Harku, Pikk 19")</f>
        <v>Harku, Pikk 19</v>
      </c>
      <c r="N115" s="680"/>
      <c r="R115" s="472"/>
    </row>
    <row r="116" spans="1:18" s="1" customFormat="1" x14ac:dyDescent="0.2">
      <c r="A116" s="28" t="s">
        <v>343</v>
      </c>
      <c r="B116" s="31"/>
      <c r="C116" s="31"/>
      <c r="D116" s="29"/>
      <c r="E116" s="31"/>
      <c r="F116" s="30"/>
      <c r="G116" s="29"/>
      <c r="H116" s="29"/>
      <c r="I116" s="29"/>
      <c r="J116" s="29"/>
      <c r="K116" s="29"/>
      <c r="L116" s="29"/>
      <c r="M116" s="29"/>
    </row>
    <row r="117" spans="1:18" x14ac:dyDescent="0.2">
      <c r="A117" s="531" t="s">
        <v>342</v>
      </c>
      <c r="B117" s="607"/>
      <c r="C117" s="607"/>
      <c r="D117" s="607"/>
      <c r="E117" s="607"/>
      <c r="F117" s="607"/>
      <c r="G117" s="607"/>
      <c r="H117" s="607"/>
      <c r="I117" s="607"/>
      <c r="J117" s="607"/>
      <c r="K117" s="607"/>
      <c r="L117" s="607"/>
      <c r="M117" s="607"/>
      <c r="P117" s="574"/>
      <c r="Q117" s="574"/>
      <c r="R117" s="574"/>
    </row>
    <row r="118" spans="1:18" x14ac:dyDescent="0.2">
      <c r="A118" s="642" t="s">
        <v>46</v>
      </c>
      <c r="B118" s="642"/>
      <c r="C118" s="642"/>
      <c r="D118" s="642"/>
      <c r="E118" s="642"/>
      <c r="F118" s="642"/>
      <c r="G118" s="642"/>
      <c r="H118" s="642"/>
      <c r="I118" s="642"/>
      <c r="J118" s="607"/>
      <c r="K118" s="607"/>
      <c r="L118" s="607"/>
      <c r="P118" s="574"/>
      <c r="Q118" s="574"/>
      <c r="R118" s="574"/>
    </row>
    <row r="119" spans="1:18" hidden="1" x14ac:dyDescent="0.2">
      <c r="A119" s="631" t="s">
        <v>341</v>
      </c>
      <c r="B119" s="631"/>
      <c r="C119" s="631"/>
      <c r="D119" s="631"/>
      <c r="E119" s="631"/>
      <c r="F119" s="631"/>
      <c r="G119" s="631"/>
      <c r="H119" s="631"/>
      <c r="I119" s="631"/>
      <c r="J119" s="574"/>
      <c r="K119" s="574"/>
      <c r="L119" s="574"/>
      <c r="M119" s="574"/>
      <c r="N119" s="574"/>
      <c r="O119" s="574"/>
    </row>
    <row r="120" spans="1:18" x14ac:dyDescent="0.2">
      <c r="A120" s="641" t="s">
        <v>47</v>
      </c>
      <c r="N120" s="643" t="s">
        <v>299</v>
      </c>
    </row>
    <row r="121" spans="1:18" x14ac:dyDescent="0.2">
      <c r="A121" s="632"/>
      <c r="B121" s="633"/>
      <c r="C121" s="634"/>
      <c r="D121" s="634"/>
      <c r="E121" s="635"/>
      <c r="F121" s="635"/>
      <c r="G121" s="634"/>
      <c r="H121" s="636"/>
      <c r="I121" s="634"/>
      <c r="J121" s="634"/>
      <c r="K121" s="634"/>
      <c r="L121" s="634"/>
      <c r="M121" s="634"/>
      <c r="N121" s="634"/>
      <c r="O121" s="634"/>
      <c r="P121" s="634"/>
      <c r="Q121" s="634"/>
      <c r="R121" s="634"/>
    </row>
    <row r="122" spans="1:18" x14ac:dyDescent="0.2">
      <c r="B122" s="472"/>
      <c r="C122" s="472"/>
      <c r="D122" s="472"/>
      <c r="E122" s="471"/>
      <c r="F122" s="471"/>
      <c r="G122" s="472"/>
      <c r="H122" s="472"/>
      <c r="I122" s="472"/>
      <c r="J122" s="472"/>
      <c r="K122" s="472"/>
      <c r="L122" s="472"/>
      <c r="M122" s="472"/>
      <c r="N122" s="471"/>
      <c r="O122" s="472"/>
      <c r="P122" s="472"/>
      <c r="Q122" s="472"/>
      <c r="R122" s="472"/>
    </row>
    <row r="123" spans="1:18" x14ac:dyDescent="0.2">
      <c r="A123" s="472"/>
      <c r="B123" s="472"/>
      <c r="C123" s="472"/>
      <c r="D123" s="472"/>
      <c r="E123" s="471"/>
      <c r="F123" s="471"/>
      <c r="G123" s="472"/>
      <c r="H123" s="472"/>
      <c r="I123" s="472"/>
      <c r="J123" s="472"/>
      <c r="K123" s="472"/>
      <c r="L123" s="472"/>
      <c r="M123" s="472"/>
      <c r="N123" s="471"/>
      <c r="O123" s="472"/>
      <c r="P123" s="472"/>
      <c r="Q123" s="472"/>
      <c r="R123" s="472"/>
    </row>
    <row r="124" spans="1:18" x14ac:dyDescent="0.2">
      <c r="A124" s="472"/>
      <c r="B124" s="472"/>
      <c r="C124" s="472"/>
      <c r="D124" s="472"/>
      <c r="E124" s="471"/>
      <c r="F124" s="471"/>
      <c r="G124" s="472"/>
      <c r="H124" s="472"/>
      <c r="I124" s="472"/>
      <c r="J124" s="472"/>
      <c r="K124" s="472"/>
      <c r="L124" s="472"/>
      <c r="M124" s="472"/>
      <c r="N124" s="471"/>
      <c r="O124" s="472"/>
      <c r="P124" s="472"/>
      <c r="Q124" s="472"/>
      <c r="R124" s="472"/>
    </row>
  </sheetData>
  <mergeCells count="1">
    <mergeCell ref="I3:J3"/>
  </mergeCells>
  <pageMargins left="0.31496062992125984" right="0.27559055118110237" top="0.27559055118110237" bottom="0.27559055118110237" header="0.27559055118110237" footer="0"/>
  <pageSetup paperSize="9" fitToHeight="0" orientation="portrait" verticalDpi="1200" r:id="rId1"/>
  <headerFooter>
    <oddHeader>&amp;R&amp;9&amp;P. leht &amp;N&amp; -st</oddHeader>
  </headerFooter>
  <rowBreaks count="1" manualBreakCount="1">
    <brk id="65" max="16383" man="1"/>
  </row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12"/>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5.57031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bestFit="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26.140625" style="1" hidden="1" customWidth="1"/>
    <col min="35" max="35" width="9.140625" style="1" hidden="1" customWidth="1"/>
    <col min="36" max="36" width="18.28515625" style="1" hidden="1" customWidth="1"/>
    <col min="37" max="37" width="9.140625" style="1" hidden="1" customWidth="1"/>
    <col min="38" max="38" width="15.2851562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UPPER((Kalend!E21)&amp;" - "&amp;(Kalend!C21))&amp;" - "&amp;LOWER(Kalend!D21)&amp;" - "&amp;(Kalend!A21)&amp;" kell "&amp;(Kalend!B21)&amp;" - "&amp;(Kalend!F21)</f>
        <v>V9 - VOKA V SISE-KV 9. ETAPP - duo - P, 12.03.2023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F2" s="158"/>
      <c r="L2" s="236"/>
      <c r="M2" s="236"/>
      <c r="N2" s="236"/>
      <c r="O2" s="158"/>
      <c r="P2" s="158"/>
      <c r="Q2" s="158"/>
      <c r="R2" s="237" t="s">
        <v>236</v>
      </c>
      <c r="S2" s="158"/>
      <c r="T2" s="236"/>
      <c r="U2" s="236"/>
      <c r="W2" s="238">
        <v>1</v>
      </c>
      <c r="X2" s="239" t="s">
        <v>237</v>
      </c>
      <c r="Z2" s="158"/>
      <c r="AD2" s="158"/>
      <c r="AE2" s="158"/>
      <c r="AF2" s="158"/>
      <c r="AG2" s="158"/>
      <c r="AH2" s="158"/>
      <c r="AI2" s="158"/>
      <c r="AJ2" s="239"/>
      <c r="AK2" s="158"/>
      <c r="AL2" s="158"/>
      <c r="AM2" s="158"/>
      <c r="AN2" s="158"/>
    </row>
    <row r="3" spans="1:42" x14ac:dyDescent="0.2">
      <c r="F3" s="158"/>
      <c r="L3" s="236"/>
      <c r="M3" s="236"/>
      <c r="N3" s="236"/>
      <c r="O3" s="158"/>
      <c r="P3" s="158"/>
      <c r="Q3" s="158"/>
      <c r="R3" s="240" t="s">
        <v>238</v>
      </c>
      <c r="S3" s="158"/>
      <c r="T3" s="236"/>
      <c r="U3" s="236"/>
      <c r="W3" s="238">
        <v>0.5</v>
      </c>
      <c r="X3" s="239" t="s">
        <v>237</v>
      </c>
      <c r="Z3" s="158"/>
      <c r="AE3" s="158"/>
      <c r="AG3" s="158"/>
      <c r="AH3" s="158"/>
      <c r="AI3" s="158"/>
      <c r="AJ3" s="158"/>
      <c r="AK3" s="158"/>
      <c r="AL3" s="158"/>
      <c r="AM3" s="158"/>
      <c r="AN3" s="158"/>
    </row>
    <row r="4" spans="1:42" x14ac:dyDescent="0.2">
      <c r="A4" s="1" t="s">
        <v>438</v>
      </c>
      <c r="F4" s="158"/>
      <c r="L4" s="158"/>
      <c r="M4" s="158"/>
      <c r="N4" s="158"/>
      <c r="O4" s="158"/>
      <c r="P4" s="158"/>
      <c r="Q4" s="158"/>
      <c r="R4" s="241" t="s">
        <v>239</v>
      </c>
      <c r="S4" s="158"/>
      <c r="T4" s="158"/>
      <c r="U4" s="158"/>
      <c r="W4" s="238">
        <v>0</v>
      </c>
      <c r="X4" s="239" t="s">
        <v>237</v>
      </c>
      <c r="Z4" s="158"/>
      <c r="AA4" s="158"/>
      <c r="AE4" s="236"/>
      <c r="AF4" s="236"/>
      <c r="AG4" s="236"/>
      <c r="AH4" s="227"/>
      <c r="AI4" s="236"/>
      <c r="AJ4" s="236"/>
      <c r="AK4" s="236"/>
      <c r="AL4" s="236"/>
      <c r="AM4" s="236"/>
      <c r="AN4" s="236"/>
      <c r="AO4" s="236"/>
      <c r="AP4" s="236"/>
    </row>
    <row r="5" spans="1:42" x14ac:dyDescent="0.2">
      <c r="F5" s="158"/>
      <c r="L5" s="158"/>
      <c r="M5" s="158"/>
      <c r="N5" s="158"/>
      <c r="O5" s="158"/>
      <c r="P5" s="158"/>
      <c r="Q5" s="158"/>
      <c r="R5" s="158"/>
      <c r="S5" s="158"/>
      <c r="T5" s="158"/>
      <c r="U5" s="158"/>
      <c r="V5" s="158"/>
      <c r="W5" s="158"/>
      <c r="X5" s="158"/>
      <c r="Y5" s="158"/>
      <c r="Z5" s="158"/>
      <c r="AB5" s="416" t="s">
        <v>313</v>
      </c>
      <c r="AC5" s="158"/>
      <c r="AD5" s="413" t="s">
        <v>216</v>
      </c>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702" t="s">
        <v>360</v>
      </c>
      <c r="Z6" s="388"/>
      <c r="AA6" s="389" t="s">
        <v>301</v>
      </c>
      <c r="AB6" s="390"/>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458" t="s">
        <v>413</v>
      </c>
      <c r="C7" s="392">
        <v>13</v>
      </c>
      <c r="D7" s="393" t="s">
        <v>302</v>
      </c>
      <c r="E7" s="394">
        <v>7</v>
      </c>
      <c r="F7" s="395" t="s">
        <v>259</v>
      </c>
      <c r="G7" s="392">
        <v>13</v>
      </c>
      <c r="H7" s="393" t="s">
        <v>302</v>
      </c>
      <c r="I7" s="394">
        <v>8</v>
      </c>
      <c r="J7" s="395" t="s">
        <v>318</v>
      </c>
      <c r="K7" s="392">
        <v>13</v>
      </c>
      <c r="L7" s="393" t="s">
        <v>302</v>
      </c>
      <c r="M7" s="394">
        <v>6</v>
      </c>
      <c r="N7" s="395" t="s">
        <v>353</v>
      </c>
      <c r="O7" s="392">
        <v>13</v>
      </c>
      <c r="P7" s="393" t="s">
        <v>302</v>
      </c>
      <c r="Q7" s="394">
        <v>4</v>
      </c>
      <c r="R7" s="395" t="s">
        <v>435</v>
      </c>
      <c r="S7" s="392"/>
      <c r="T7" s="393" t="s">
        <v>302</v>
      </c>
      <c r="U7" s="394"/>
      <c r="V7" s="395"/>
      <c r="W7" s="396">
        <f t="shared" ref="W7:W19" si="0">IF(C7&gt;E7,W$2,IF(C7&lt;E7,W$4,IF(ISNUMBER(C7),W$3,0)))+IF(G7&gt;I7,W$2,IF(G7&lt;I7,W$4,IF(ISNUMBER(G7),W$3,0)))+IF(K7&gt;M7,W$2,IF(K7&lt;M7,W$4,IF(ISNUMBER(K7),W$3,0)))+IF(O7&gt;Q7,W$2,IF(O7&lt;Q7,W$4,IF(ISNUMBER(O7),W$3,0)))+IF(S7&gt;U7,W$2,IF(S7&lt;U7,W$4,IF(ISNUMBER(S7),W$3,0)))</f>
        <v>4</v>
      </c>
      <c r="X7" s="397">
        <v>8</v>
      </c>
      <c r="Y7" s="707">
        <v>28</v>
      </c>
      <c r="Z7" s="392">
        <f t="shared" ref="Z7:Z19" si="1">C7+G7+K7+O7+S7</f>
        <v>52</v>
      </c>
      <c r="AA7" s="393" t="s">
        <v>302</v>
      </c>
      <c r="AB7" s="398">
        <f t="shared" ref="AB7:AB19" si="2">E7+I7+M7+Q7+U7</f>
        <v>25</v>
      </c>
      <c r="AC7" s="399">
        <f t="shared" ref="AC7:AC19" si="3">Z7-AB7</f>
        <v>27</v>
      </c>
      <c r="AD7" s="233">
        <f>SUM(AE7:AP7)</f>
        <v>226</v>
      </c>
      <c r="AE7" s="234">
        <f>IFERROR(INDEX(V!$R:$R,MATCH(AF7,V!$L:$L,0)),"")</f>
        <v>160</v>
      </c>
      <c r="AF7" s="235" t="str">
        <f>IFERROR(LEFT($B7,(FIND(",",$B7,1)-1)),"")</f>
        <v>Kenneth Muusikus</v>
      </c>
      <c r="AG7" s="234">
        <f>IFERROR(INDEX(V!$R:$R,MATCH(AH7,V!$L:$L,0)),"")</f>
        <v>66</v>
      </c>
      <c r="AH7" s="235" t="str">
        <f>IFERROR(MID($B7,FIND(", ",$B7)+2,256),"")</f>
        <v>Peep Peenema</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284" t="s">
        <v>388</v>
      </c>
      <c r="C8" s="392">
        <v>5</v>
      </c>
      <c r="D8" s="393" t="s">
        <v>302</v>
      </c>
      <c r="E8" s="394">
        <v>13</v>
      </c>
      <c r="F8" s="395" t="s">
        <v>393</v>
      </c>
      <c r="G8" s="392">
        <v>13</v>
      </c>
      <c r="H8" s="393" t="s">
        <v>302</v>
      </c>
      <c r="I8" s="394">
        <v>1</v>
      </c>
      <c r="J8" s="395" t="s">
        <v>259</v>
      </c>
      <c r="K8" s="392">
        <v>13</v>
      </c>
      <c r="L8" s="393" t="s">
        <v>302</v>
      </c>
      <c r="M8" s="394">
        <v>12</v>
      </c>
      <c r="N8" s="395" t="s">
        <v>318</v>
      </c>
      <c r="O8" s="392">
        <v>13</v>
      </c>
      <c r="P8" s="393" t="s">
        <v>302</v>
      </c>
      <c r="Q8" s="394">
        <v>11</v>
      </c>
      <c r="R8" s="395" t="s">
        <v>387</v>
      </c>
      <c r="S8" s="392"/>
      <c r="T8" s="393" t="s">
        <v>302</v>
      </c>
      <c r="U8" s="394"/>
      <c r="V8" s="395"/>
      <c r="W8" s="396">
        <f t="shared" si="0"/>
        <v>3</v>
      </c>
      <c r="X8" s="397">
        <v>8</v>
      </c>
      <c r="Y8" s="707">
        <v>36</v>
      </c>
      <c r="Z8" s="392">
        <f t="shared" si="1"/>
        <v>44</v>
      </c>
      <c r="AA8" s="393" t="s">
        <v>302</v>
      </c>
      <c r="AB8" s="398">
        <f t="shared" si="2"/>
        <v>37</v>
      </c>
      <c r="AC8" s="399">
        <f t="shared" si="3"/>
        <v>7</v>
      </c>
      <c r="AD8" s="233">
        <f t="shared" ref="AD8:AD11" si="4">SUM(AE8:AL8)</f>
        <v>124</v>
      </c>
      <c r="AE8" s="234">
        <f>IFERROR(INDEX(V!$R:$R,MATCH(AF8,V!$L:$L,0)),"")</f>
        <v>58</v>
      </c>
      <c r="AF8" s="235" t="str">
        <f t="shared" ref="AF8:AF19" si="5">IFERROR(LEFT($B8,(FIND(",",$B8,1)-1)),"")</f>
        <v>Kristel Tihhonjuk</v>
      </c>
      <c r="AG8" s="234">
        <f>IFERROR(INDEX(V!$R:$R,MATCH(AH8,V!$L:$L,0)),"")</f>
        <v>66</v>
      </c>
      <c r="AH8" s="235" t="str">
        <f t="shared" ref="AH8:AH19" si="6">IFERROR(MID($B8,FIND(", ",$B8)+2,256),"")</f>
        <v>Vadim Tihhonjuk</v>
      </c>
      <c r="AI8" s="234" t="str">
        <f>IFERROR(INDEX(V!$R:$R,MATCH(AJ8,V!$L:$L,0)),"")</f>
        <v/>
      </c>
      <c r="AJ8" s="235" t="str">
        <f t="shared" ref="AJ8:AJ19" si="7">IFERROR(MID($B8,FIND("^",SUBSTITUTE($B8,", ","^",1))+2,FIND("^",SUBSTITUTE($B8,", ","^",2))-FIND("^",SUBSTITUTE($B8,", ","^",1))-2),"")</f>
        <v/>
      </c>
      <c r="AK8" s="234" t="str">
        <f>IFERROR(INDEX(V!$R:$R,MATCH(AL8,V!$L:$L,0)),"")</f>
        <v/>
      </c>
      <c r="AL8" s="235" t="str">
        <f t="shared" ref="AL8:AL19" si="8">IFERROR(MID($B8,FIND(", ",$B8,FIND(", ",$B8,FIND(", ",$B8))+1)+2,30000),"")</f>
        <v/>
      </c>
      <c r="AM8" s="234" t="str">
        <f>IFERROR(INDEX(V!$R:$R,MATCH(AN8,V!$L:$L,0)),"")</f>
        <v/>
      </c>
      <c r="AN8" s="235" t="str">
        <f t="shared" ref="AN8:AN19" si="9">IFERROR(MID($B8,FIND(", ",$B8,FIND(", ",$B8)+1)+2,FIND(", ",$B8,FIND(", ",$B8,FIND(", ",$B8)+1)+1)-FIND(", ",$B8,FIND(", ",$B8)+1)-2),"")</f>
        <v/>
      </c>
      <c r="AO8" s="234" t="str">
        <f>IFERROR(INDEX(V!$R:$R,MATCH(AP8,V!$L:$L,0)),"")</f>
        <v/>
      </c>
      <c r="AP8" s="235" t="str">
        <f t="shared" ref="AP8:AP19" si="10">IFERROR(MID($B8,FIND(", ",$B8,FIND(", ",$B8,FIND(", ",$B8)+1)+1)+2,30000),"")</f>
        <v/>
      </c>
    </row>
    <row r="9" spans="1:42" x14ac:dyDescent="0.2">
      <c r="A9" s="391">
        <v>3</v>
      </c>
      <c r="B9" s="304" t="s">
        <v>435</v>
      </c>
      <c r="C9" s="392">
        <v>13</v>
      </c>
      <c r="D9" s="393" t="s">
        <v>302</v>
      </c>
      <c r="E9" s="394">
        <v>12</v>
      </c>
      <c r="F9" s="395" t="s">
        <v>350</v>
      </c>
      <c r="G9" s="392">
        <v>13</v>
      </c>
      <c r="H9" s="393" t="s">
        <v>302</v>
      </c>
      <c r="I9" s="394">
        <v>2</v>
      </c>
      <c r="J9" s="395" t="s">
        <v>437</v>
      </c>
      <c r="K9" s="392">
        <v>13</v>
      </c>
      <c r="L9" s="393" t="s">
        <v>302</v>
      </c>
      <c r="M9" s="394">
        <v>11</v>
      </c>
      <c r="N9" s="395" t="s">
        <v>393</v>
      </c>
      <c r="O9" s="392">
        <v>4</v>
      </c>
      <c r="P9" s="393" t="s">
        <v>302</v>
      </c>
      <c r="Q9" s="394">
        <v>13</v>
      </c>
      <c r="R9" s="395" t="s">
        <v>413</v>
      </c>
      <c r="S9" s="392"/>
      <c r="T9" s="393" t="s">
        <v>302</v>
      </c>
      <c r="U9" s="394"/>
      <c r="V9" s="395"/>
      <c r="W9" s="396">
        <f t="shared" si="0"/>
        <v>3</v>
      </c>
      <c r="X9" s="397">
        <v>6</v>
      </c>
      <c r="Y9" s="707">
        <v>38</v>
      </c>
      <c r="Z9" s="392">
        <f t="shared" si="1"/>
        <v>43</v>
      </c>
      <c r="AA9" s="393" t="s">
        <v>302</v>
      </c>
      <c r="AB9" s="398">
        <f t="shared" si="2"/>
        <v>38</v>
      </c>
      <c r="AC9" s="399">
        <f t="shared" si="3"/>
        <v>5</v>
      </c>
      <c r="AD9" s="233">
        <f t="shared" si="4"/>
        <v>134</v>
      </c>
      <c r="AE9" s="234">
        <f>IFERROR(INDEX(V!$R:$R,MATCH(AF9,V!$L:$L,0)),"")</f>
        <v>50</v>
      </c>
      <c r="AF9" s="235" t="str">
        <f t="shared" si="5"/>
        <v>Illar Tõnurist</v>
      </c>
      <c r="AG9" s="234">
        <f>IFERROR(INDEX(V!$R:$R,MATCH(AH9,V!$L:$L,0)),"")</f>
        <v>84</v>
      </c>
      <c r="AH9" s="235" t="str">
        <f t="shared" si="6"/>
        <v>Jaan Saar</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t="s">
        <v>353</v>
      </c>
      <c r="C10" s="392">
        <v>13</v>
      </c>
      <c r="D10" s="393" t="s">
        <v>302</v>
      </c>
      <c r="E10" s="394">
        <v>7</v>
      </c>
      <c r="F10" s="395" t="s">
        <v>348</v>
      </c>
      <c r="G10" s="392">
        <v>13</v>
      </c>
      <c r="H10" s="393" t="s">
        <v>302</v>
      </c>
      <c r="I10" s="394">
        <v>9</v>
      </c>
      <c r="J10" s="395" t="s">
        <v>350</v>
      </c>
      <c r="K10" s="392">
        <v>6</v>
      </c>
      <c r="L10" s="393" t="s">
        <v>302</v>
      </c>
      <c r="M10" s="394">
        <v>13</v>
      </c>
      <c r="N10" s="395" t="s">
        <v>413</v>
      </c>
      <c r="O10" s="392">
        <v>13</v>
      </c>
      <c r="P10" s="393" t="s">
        <v>302</v>
      </c>
      <c r="Q10" s="394">
        <v>1</v>
      </c>
      <c r="R10" s="395" t="s">
        <v>393</v>
      </c>
      <c r="S10" s="392"/>
      <c r="T10" s="393" t="s">
        <v>302</v>
      </c>
      <c r="U10" s="394"/>
      <c r="V10" s="395"/>
      <c r="W10" s="396">
        <f t="shared" si="0"/>
        <v>3</v>
      </c>
      <c r="X10" s="397">
        <v>6</v>
      </c>
      <c r="Y10" s="707">
        <v>20</v>
      </c>
      <c r="Z10" s="392">
        <f t="shared" si="1"/>
        <v>45</v>
      </c>
      <c r="AA10" s="393" t="s">
        <v>302</v>
      </c>
      <c r="AB10" s="398">
        <f t="shared" si="2"/>
        <v>30</v>
      </c>
      <c r="AC10" s="399">
        <f t="shared" si="3"/>
        <v>15</v>
      </c>
      <c r="AD10" s="233">
        <f t="shared" si="4"/>
        <v>186</v>
      </c>
      <c r="AE10" s="234">
        <f>IFERROR(INDEX(V!$R:$R,MATCH(AF10,V!$L:$L,0)),"")</f>
        <v>102</v>
      </c>
      <c r="AF10" s="235" t="str">
        <f t="shared" si="5"/>
        <v>Hillar Neiland</v>
      </c>
      <c r="AG10" s="234">
        <f>IFERROR(INDEX(V!$R:$R,MATCH(AH10,V!$L:$L,0)),"")</f>
        <v>84</v>
      </c>
      <c r="AH10" s="235" t="str">
        <f t="shared" si="6"/>
        <v>Kaspar Mänd</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284" t="s">
        <v>436</v>
      </c>
      <c r="C11" s="392">
        <v>5</v>
      </c>
      <c r="D11" s="393" t="s">
        <v>302</v>
      </c>
      <c r="E11" s="394">
        <v>13</v>
      </c>
      <c r="F11" s="395" t="s">
        <v>387</v>
      </c>
      <c r="G11" s="392">
        <v>13</v>
      </c>
      <c r="H11" s="393" t="s">
        <v>302</v>
      </c>
      <c r="I11" s="394">
        <v>7</v>
      </c>
      <c r="J11" s="395" t="s">
        <v>348</v>
      </c>
      <c r="K11" s="392">
        <v>13</v>
      </c>
      <c r="L11" s="393" t="s">
        <v>302</v>
      </c>
      <c r="M11" s="394">
        <v>6</v>
      </c>
      <c r="N11" s="395" t="s">
        <v>355</v>
      </c>
      <c r="O11" s="392">
        <v>13</v>
      </c>
      <c r="P11" s="393" t="s">
        <v>302</v>
      </c>
      <c r="Q11" s="394">
        <v>6</v>
      </c>
      <c r="R11" s="395" t="s">
        <v>437</v>
      </c>
      <c r="S11" s="392"/>
      <c r="T11" s="393" t="s">
        <v>302</v>
      </c>
      <c r="U11" s="394"/>
      <c r="V11" s="395"/>
      <c r="W11" s="396">
        <f t="shared" si="0"/>
        <v>3</v>
      </c>
      <c r="X11" s="397">
        <v>6</v>
      </c>
      <c r="Y11" s="707">
        <v>18</v>
      </c>
      <c r="Z11" s="392">
        <f t="shared" si="1"/>
        <v>44</v>
      </c>
      <c r="AA11" s="393" t="s">
        <v>302</v>
      </c>
      <c r="AB11" s="398">
        <f t="shared" si="2"/>
        <v>32</v>
      </c>
      <c r="AC11" s="399">
        <f t="shared" si="3"/>
        <v>12</v>
      </c>
      <c r="AD11" s="233">
        <f t="shared" si="4"/>
        <v>138</v>
      </c>
      <c r="AE11" s="234">
        <f>IFERROR(INDEX(V!$R:$R,MATCH(AF11,V!$L:$L,0)),"")</f>
        <v>36</v>
      </c>
      <c r="AF11" s="235" t="str">
        <f t="shared" si="5"/>
        <v>Ivar Viljaste</v>
      </c>
      <c r="AG11" s="234">
        <f>IFERROR(INDEX(V!$R:$R,MATCH(AH11,V!$L:$L,0)),"")</f>
        <v>102</v>
      </c>
      <c r="AH11" s="235" t="str">
        <f t="shared" si="6"/>
        <v>Matti Vinni</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t="s">
        <v>393</v>
      </c>
      <c r="C12" s="392">
        <v>13</v>
      </c>
      <c r="D12" s="393" t="s">
        <v>302</v>
      </c>
      <c r="E12" s="394">
        <v>5</v>
      </c>
      <c r="F12" s="395" t="s">
        <v>388</v>
      </c>
      <c r="G12" s="392">
        <v>13</v>
      </c>
      <c r="H12" s="393" t="s">
        <v>302</v>
      </c>
      <c r="I12" s="394">
        <v>5</v>
      </c>
      <c r="J12" s="395" t="s">
        <v>387</v>
      </c>
      <c r="K12" s="392">
        <v>11</v>
      </c>
      <c r="L12" s="393" t="s">
        <v>302</v>
      </c>
      <c r="M12" s="394">
        <v>13</v>
      </c>
      <c r="N12" s="395" t="s">
        <v>435</v>
      </c>
      <c r="O12" s="392">
        <v>1</v>
      </c>
      <c r="P12" s="393" t="s">
        <v>302</v>
      </c>
      <c r="Q12" s="394">
        <v>13</v>
      </c>
      <c r="R12" s="395" t="s">
        <v>353</v>
      </c>
      <c r="S12" s="392"/>
      <c r="T12" s="393" t="s">
        <v>302</v>
      </c>
      <c r="U12" s="394"/>
      <c r="V12" s="395"/>
      <c r="W12" s="396">
        <f t="shared" si="0"/>
        <v>2</v>
      </c>
      <c r="X12" s="397">
        <v>14</v>
      </c>
      <c r="Y12" s="707">
        <v>24</v>
      </c>
      <c r="Z12" s="392">
        <f t="shared" si="1"/>
        <v>38</v>
      </c>
      <c r="AA12" s="393" t="s">
        <v>302</v>
      </c>
      <c r="AB12" s="398">
        <f t="shared" si="2"/>
        <v>36</v>
      </c>
      <c r="AC12" s="399">
        <f t="shared" si="3"/>
        <v>2</v>
      </c>
      <c r="AD12" s="233">
        <f t="shared" ref="AD12:AD13" si="11">SUM(AE12:AL12)</f>
        <v>290</v>
      </c>
      <c r="AE12" s="234">
        <f>IFERROR(INDEX(V!$R:$R,MATCH(AF12,V!$L:$L,0)),"")</f>
        <v>160</v>
      </c>
      <c r="AF12" s="235" t="str">
        <f t="shared" si="5"/>
        <v>Olav Türk</v>
      </c>
      <c r="AG12" s="234">
        <f>IFERROR(INDEX(V!$R:$R,MATCH(AH12,V!$L:$L,0)),"")</f>
        <v>130</v>
      </c>
      <c r="AH12" s="235" t="str">
        <f t="shared" si="6"/>
        <v>Sirje Maala</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400" t="s">
        <v>387</v>
      </c>
      <c r="C13" s="392">
        <v>13</v>
      </c>
      <c r="D13" s="393" t="s">
        <v>302</v>
      </c>
      <c r="E13" s="394">
        <v>5</v>
      </c>
      <c r="F13" s="395" t="s">
        <v>436</v>
      </c>
      <c r="G13" s="392">
        <v>5</v>
      </c>
      <c r="H13" s="393" t="s">
        <v>302</v>
      </c>
      <c r="I13" s="394">
        <v>13</v>
      </c>
      <c r="J13" s="395" t="s">
        <v>393</v>
      </c>
      <c r="K13" s="392">
        <v>13</v>
      </c>
      <c r="L13" s="393" t="s">
        <v>302</v>
      </c>
      <c r="M13" s="394">
        <v>3</v>
      </c>
      <c r="N13" s="395" t="s">
        <v>437</v>
      </c>
      <c r="O13" s="392">
        <v>11</v>
      </c>
      <c r="P13" s="393" t="s">
        <v>302</v>
      </c>
      <c r="Q13" s="394">
        <v>13</v>
      </c>
      <c r="R13" s="395" t="s">
        <v>388</v>
      </c>
      <c r="S13" s="392"/>
      <c r="T13" s="393" t="s">
        <v>302</v>
      </c>
      <c r="U13" s="394"/>
      <c r="V13" s="395"/>
      <c r="W13" s="396">
        <f t="shared" si="0"/>
        <v>2</v>
      </c>
      <c r="X13" s="397">
        <v>10</v>
      </c>
      <c r="Y13" s="707">
        <v>32</v>
      </c>
      <c r="Z13" s="392">
        <f t="shared" si="1"/>
        <v>42</v>
      </c>
      <c r="AA13" s="393" t="s">
        <v>302</v>
      </c>
      <c r="AB13" s="398">
        <f t="shared" si="2"/>
        <v>34</v>
      </c>
      <c r="AC13" s="399">
        <f t="shared" si="3"/>
        <v>8</v>
      </c>
      <c r="AD13" s="233">
        <f t="shared" si="11"/>
        <v>282</v>
      </c>
      <c r="AE13" s="234">
        <f>IFERROR(INDEX(V!$R:$R,MATCH(AF13,V!$L:$L,0)),"")</f>
        <v>140</v>
      </c>
      <c r="AF13" s="235" t="str">
        <f t="shared" si="5"/>
        <v>Oleg Rõndenkov</v>
      </c>
      <c r="AG13" s="234">
        <f>IFERROR(INDEX(V!$R:$R,MATCH(AH13,V!$L:$L,0)),"")</f>
        <v>142</v>
      </c>
      <c r="AH13" s="235" t="str">
        <f t="shared" si="6"/>
        <v>Sander Rose</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304" t="s">
        <v>259</v>
      </c>
      <c r="C14" s="392">
        <v>7</v>
      </c>
      <c r="D14" s="393" t="s">
        <v>302</v>
      </c>
      <c r="E14" s="394">
        <v>13</v>
      </c>
      <c r="F14" s="395" t="s">
        <v>413</v>
      </c>
      <c r="G14" s="392">
        <v>1</v>
      </c>
      <c r="H14" s="393" t="s">
        <v>302</v>
      </c>
      <c r="I14" s="394">
        <v>13</v>
      </c>
      <c r="J14" s="395" t="s">
        <v>388</v>
      </c>
      <c r="K14" s="392">
        <v>13</v>
      </c>
      <c r="L14" s="393" t="s">
        <v>302</v>
      </c>
      <c r="M14" s="394">
        <v>7</v>
      </c>
      <c r="N14" s="395" t="s">
        <v>350</v>
      </c>
      <c r="O14" s="392"/>
      <c r="P14" s="393" t="s">
        <v>302</v>
      </c>
      <c r="Q14" s="394"/>
      <c r="R14" s="395" t="s">
        <v>380</v>
      </c>
      <c r="S14" s="392"/>
      <c r="T14" s="393" t="s">
        <v>302</v>
      </c>
      <c r="U14" s="394"/>
      <c r="V14" s="395"/>
      <c r="W14" s="396">
        <f t="shared" si="0"/>
        <v>1</v>
      </c>
      <c r="X14" s="397">
        <v>10</v>
      </c>
      <c r="Y14" s="707">
        <v>28</v>
      </c>
      <c r="Z14" s="392">
        <f t="shared" si="1"/>
        <v>21</v>
      </c>
      <c r="AA14" s="393" t="s">
        <v>302</v>
      </c>
      <c r="AB14" s="398">
        <f t="shared" si="2"/>
        <v>33</v>
      </c>
      <c r="AC14" s="399">
        <f t="shared" si="3"/>
        <v>-12</v>
      </c>
      <c r="AD14" s="233">
        <f t="shared" ref="AD14:AD16" si="12">SUM(AE14:AL14)</f>
        <v>96</v>
      </c>
      <c r="AE14" s="234">
        <f>IFERROR(INDEX(V!$R:$R,MATCH(AF14,V!$L:$L,0)),"")</f>
        <v>48</v>
      </c>
      <c r="AF14" s="235" t="str">
        <f t="shared" si="5"/>
        <v>Ljudmila Varendi</v>
      </c>
      <c r="AG14" s="234">
        <f>IFERROR(INDEX(V!$R:$R,MATCH(AH14,V!$L:$L,0)),"")</f>
        <v>48</v>
      </c>
      <c r="AH14" s="235" t="str">
        <f t="shared" si="6"/>
        <v>Viktor Švarõgin</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391">
        <v>9</v>
      </c>
      <c r="B15" s="304" t="s">
        <v>437</v>
      </c>
      <c r="C15" s="392">
        <v>13</v>
      </c>
      <c r="D15" s="393" t="s">
        <v>302</v>
      </c>
      <c r="E15" s="394">
        <v>11</v>
      </c>
      <c r="F15" s="395" t="s">
        <v>355</v>
      </c>
      <c r="G15" s="392">
        <v>2</v>
      </c>
      <c r="H15" s="393" t="s">
        <v>302</v>
      </c>
      <c r="I15" s="394">
        <v>13</v>
      </c>
      <c r="J15" s="395" t="s">
        <v>435</v>
      </c>
      <c r="K15" s="392">
        <v>3</v>
      </c>
      <c r="L15" s="393" t="s">
        <v>302</v>
      </c>
      <c r="M15" s="394">
        <v>13</v>
      </c>
      <c r="N15" s="395" t="s">
        <v>387</v>
      </c>
      <c r="O15" s="392">
        <v>6</v>
      </c>
      <c r="P15" s="393" t="s">
        <v>302</v>
      </c>
      <c r="Q15" s="394">
        <v>13</v>
      </c>
      <c r="R15" s="395" t="s">
        <v>436</v>
      </c>
      <c r="S15" s="392"/>
      <c r="T15" s="393" t="s">
        <v>302</v>
      </c>
      <c r="U15" s="394"/>
      <c r="V15" s="395"/>
      <c r="W15" s="396">
        <f t="shared" si="0"/>
        <v>1</v>
      </c>
      <c r="X15" s="397">
        <v>12</v>
      </c>
      <c r="Y15" s="707">
        <v>24</v>
      </c>
      <c r="Z15" s="392">
        <f t="shared" si="1"/>
        <v>24</v>
      </c>
      <c r="AA15" s="393" t="s">
        <v>302</v>
      </c>
      <c r="AB15" s="398">
        <f t="shared" si="2"/>
        <v>50</v>
      </c>
      <c r="AC15" s="399">
        <f t="shared" si="3"/>
        <v>-26</v>
      </c>
      <c r="AD15" s="233">
        <f t="shared" si="12"/>
        <v>132</v>
      </c>
      <c r="AE15" s="234">
        <f>IFERROR(INDEX(V!$R:$R,MATCH(AF15,V!$L:$L,0)),"")</f>
        <v>8</v>
      </c>
      <c r="AF15" s="235" t="str">
        <f t="shared" si="5"/>
        <v>Airi Veski</v>
      </c>
      <c r="AG15" s="234" t="str">
        <f>IFERROR(INDEX(V!$R:$R,MATCH(AH15,V!$L:$L,0)),"")</f>
        <v/>
      </c>
      <c r="AH15" s="235" t="str">
        <f t="shared" si="6"/>
        <v>Andres Veski, Svetlana Veski</v>
      </c>
      <c r="AI15" s="234">
        <f>IFERROR(INDEX(V!$R:$R,MATCH(AJ15,V!$L:$L,0)),"")</f>
        <v>64</v>
      </c>
      <c r="AJ15" s="235" t="str">
        <f t="shared" si="7"/>
        <v>Andres Veski</v>
      </c>
      <c r="AK15" s="234">
        <f>IFERROR(INDEX(V!$R:$R,MATCH(AL15,V!$L:$L,0)),"")</f>
        <v>60</v>
      </c>
      <c r="AL15" s="235" t="str">
        <f t="shared" si="8"/>
        <v>Svetlana Veski</v>
      </c>
      <c r="AM15" s="234" t="str">
        <f>IFERROR(INDEX(V!$R:$R,MATCH(AN15,V!$L:$L,0)),"")</f>
        <v/>
      </c>
      <c r="AN15" s="235" t="str">
        <f t="shared" si="9"/>
        <v/>
      </c>
      <c r="AO15" s="234" t="str">
        <f>IFERROR(INDEX(V!$R:$R,MATCH(AP15,V!$L:$L,0)),"")</f>
        <v/>
      </c>
      <c r="AP15" s="235" t="str">
        <f t="shared" si="10"/>
        <v/>
      </c>
    </row>
    <row r="16" spans="1:42" x14ac:dyDescent="0.2">
      <c r="A16" s="391">
        <v>10</v>
      </c>
      <c r="B16" s="400" t="s">
        <v>318</v>
      </c>
      <c r="C16" s="392">
        <v>13</v>
      </c>
      <c r="D16" s="393" t="s">
        <v>302</v>
      </c>
      <c r="E16" s="394">
        <v>9</v>
      </c>
      <c r="F16" s="395" t="s">
        <v>380</v>
      </c>
      <c r="G16" s="392">
        <v>8</v>
      </c>
      <c r="H16" s="393" t="s">
        <v>302</v>
      </c>
      <c r="I16" s="394">
        <v>13</v>
      </c>
      <c r="J16" s="395" t="s">
        <v>413</v>
      </c>
      <c r="K16" s="392">
        <v>12</v>
      </c>
      <c r="L16" s="393" t="s">
        <v>302</v>
      </c>
      <c r="M16" s="394">
        <v>13</v>
      </c>
      <c r="N16" s="395" t="s">
        <v>388</v>
      </c>
      <c r="O16" s="392"/>
      <c r="P16" s="393" t="s">
        <v>302</v>
      </c>
      <c r="Q16" s="394"/>
      <c r="R16" s="395" t="s">
        <v>355</v>
      </c>
      <c r="S16" s="392"/>
      <c r="T16" s="393" t="s">
        <v>302</v>
      </c>
      <c r="U16" s="394"/>
      <c r="V16" s="395"/>
      <c r="W16" s="396">
        <f t="shared" si="0"/>
        <v>1</v>
      </c>
      <c r="X16" s="397">
        <v>12</v>
      </c>
      <c r="Y16" s="707">
        <v>20</v>
      </c>
      <c r="Z16" s="392">
        <f t="shared" si="1"/>
        <v>33</v>
      </c>
      <c r="AA16" s="393" t="s">
        <v>302</v>
      </c>
      <c r="AB16" s="398">
        <f t="shared" si="2"/>
        <v>35</v>
      </c>
      <c r="AC16" s="399">
        <f t="shared" si="3"/>
        <v>-2</v>
      </c>
      <c r="AD16" s="233">
        <f t="shared" si="12"/>
        <v>130</v>
      </c>
      <c r="AE16" s="234">
        <f>IFERROR(INDEX(V!$R:$R,MATCH(AF16,V!$L:$L,0)),"")</f>
        <v>108</v>
      </c>
      <c r="AF16" s="235" t="str">
        <f t="shared" si="5"/>
        <v>Henri Mitt</v>
      </c>
      <c r="AG16" s="234">
        <f>IFERROR(INDEX(V!$R:$R,MATCH(AH16,V!$L:$L,0)),"")</f>
        <v>22</v>
      </c>
      <c r="AH16" s="235" t="str">
        <f t="shared" si="6"/>
        <v>Urmas Randlaine</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7" spans="1:42" x14ac:dyDescent="0.2">
      <c r="A17" s="391">
        <v>11</v>
      </c>
      <c r="B17" s="304" t="s">
        <v>355</v>
      </c>
      <c r="C17" s="392">
        <v>11</v>
      </c>
      <c r="D17" s="393" t="s">
        <v>302</v>
      </c>
      <c r="E17" s="394">
        <v>13</v>
      </c>
      <c r="F17" s="395" t="s">
        <v>437</v>
      </c>
      <c r="G17" s="392">
        <v>13</v>
      </c>
      <c r="H17" s="393" t="s">
        <v>302</v>
      </c>
      <c r="I17" s="394">
        <v>11</v>
      </c>
      <c r="J17" s="395" t="s">
        <v>380</v>
      </c>
      <c r="K17" s="392">
        <v>6</v>
      </c>
      <c r="L17" s="393" t="s">
        <v>302</v>
      </c>
      <c r="M17" s="394">
        <v>13</v>
      </c>
      <c r="N17" s="395" t="s">
        <v>436</v>
      </c>
      <c r="O17" s="392"/>
      <c r="P17" s="393" t="s">
        <v>302</v>
      </c>
      <c r="Q17" s="394"/>
      <c r="R17" s="395" t="s">
        <v>318</v>
      </c>
      <c r="S17" s="392"/>
      <c r="T17" s="393" t="s">
        <v>302</v>
      </c>
      <c r="U17" s="394"/>
      <c r="V17" s="395"/>
      <c r="W17" s="396">
        <f t="shared" si="0"/>
        <v>1</v>
      </c>
      <c r="X17" s="397">
        <v>8</v>
      </c>
      <c r="Y17" s="707">
        <v>22</v>
      </c>
      <c r="Z17" s="392">
        <f t="shared" si="1"/>
        <v>30</v>
      </c>
      <c r="AA17" s="393" t="s">
        <v>302</v>
      </c>
      <c r="AB17" s="398">
        <f t="shared" si="2"/>
        <v>37</v>
      </c>
      <c r="AC17" s="399">
        <f t="shared" si="3"/>
        <v>-7</v>
      </c>
      <c r="AD17" s="233">
        <f t="shared" ref="AD17:AD19" si="13">SUM(AE17:AL17)</f>
        <v>152</v>
      </c>
      <c r="AE17" s="234">
        <f>IFERROR(INDEX(V!$R:$R,MATCH(AF17,V!$L:$L,0)),"")</f>
        <v>76</v>
      </c>
      <c r="AF17" s="235" t="str">
        <f t="shared" si="5"/>
        <v>Boriss Klubov</v>
      </c>
      <c r="AG17" s="234">
        <f>IFERROR(INDEX(V!$R:$R,MATCH(AH17,V!$L:$L,0)),"")</f>
        <v>76</v>
      </c>
      <c r="AH17" s="235" t="str">
        <f t="shared" si="6"/>
        <v>Elmo Lageda</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18" spans="1:42" x14ac:dyDescent="0.2">
      <c r="A18" s="391">
        <v>12</v>
      </c>
      <c r="B18" s="304" t="s">
        <v>380</v>
      </c>
      <c r="C18" s="392">
        <v>9</v>
      </c>
      <c r="D18" s="393" t="s">
        <v>302</v>
      </c>
      <c r="E18" s="394">
        <v>13</v>
      </c>
      <c r="F18" s="395" t="s">
        <v>318</v>
      </c>
      <c r="G18" s="392">
        <v>11</v>
      </c>
      <c r="H18" s="393" t="s">
        <v>302</v>
      </c>
      <c r="I18" s="394">
        <v>13</v>
      </c>
      <c r="J18" s="395" t="s">
        <v>355</v>
      </c>
      <c r="K18" s="392">
        <v>13</v>
      </c>
      <c r="L18" s="393" t="s">
        <v>302</v>
      </c>
      <c r="M18" s="394">
        <v>7</v>
      </c>
      <c r="N18" s="395" t="s">
        <v>348</v>
      </c>
      <c r="O18" s="392"/>
      <c r="P18" s="393" t="s">
        <v>302</v>
      </c>
      <c r="Q18" s="394"/>
      <c r="R18" s="395" t="s">
        <v>259</v>
      </c>
      <c r="S18" s="392"/>
      <c r="T18" s="393" t="s">
        <v>302</v>
      </c>
      <c r="U18" s="394"/>
      <c r="V18" s="395"/>
      <c r="W18" s="396">
        <f t="shared" si="0"/>
        <v>1</v>
      </c>
      <c r="X18" s="397">
        <v>4</v>
      </c>
      <c r="Y18" s="707">
        <v>20</v>
      </c>
      <c r="Z18" s="392">
        <f t="shared" si="1"/>
        <v>33</v>
      </c>
      <c r="AA18" s="393" t="s">
        <v>302</v>
      </c>
      <c r="AB18" s="398">
        <f t="shared" si="2"/>
        <v>33</v>
      </c>
      <c r="AC18" s="399">
        <f t="shared" si="3"/>
        <v>0</v>
      </c>
      <c r="AD18" s="233">
        <f t="shared" si="13"/>
        <v>180</v>
      </c>
      <c r="AE18" s="234">
        <f>IFERROR(INDEX(V!$R:$R,MATCH(AF18,V!$L:$L,0)),"")</f>
        <v>86</v>
      </c>
      <c r="AF18" s="235" t="str">
        <f t="shared" si="5"/>
        <v>Andrei Grintšak</v>
      </c>
      <c r="AG18" s="234">
        <f>IFERROR(INDEX(V!$R:$R,MATCH(AH18,V!$L:$L,0)),"")</f>
        <v>94</v>
      </c>
      <c r="AH18" s="235" t="str">
        <f t="shared" si="6"/>
        <v>Enn Tokman</v>
      </c>
      <c r="AI18" s="234" t="str">
        <f>IFERROR(INDEX(V!$R:$R,MATCH(AJ18,V!$L:$L,0)),"")</f>
        <v/>
      </c>
      <c r="AJ18" s="235" t="str">
        <f t="shared" si="7"/>
        <v/>
      </c>
      <c r="AK18" s="234" t="str">
        <f>IFERROR(INDEX(V!$R:$R,MATCH(AL18,V!$L:$L,0)),"")</f>
        <v/>
      </c>
      <c r="AL18" s="235" t="str">
        <f t="shared" si="8"/>
        <v/>
      </c>
      <c r="AM18" s="234" t="str">
        <f>IFERROR(INDEX(V!$R:$R,MATCH(AN18,V!$L:$L,0)),"")</f>
        <v/>
      </c>
      <c r="AN18" s="235" t="str">
        <f t="shared" si="9"/>
        <v/>
      </c>
      <c r="AO18" s="234" t="str">
        <f>IFERROR(INDEX(V!$R:$R,MATCH(AP18,V!$L:$L,0)),"")</f>
        <v/>
      </c>
      <c r="AP18" s="235" t="str">
        <f t="shared" si="10"/>
        <v/>
      </c>
    </row>
    <row r="19" spans="1:42" x14ac:dyDescent="0.2">
      <c r="A19" s="391">
        <v>13</v>
      </c>
      <c r="B19" s="400" t="s">
        <v>350</v>
      </c>
      <c r="C19" s="392">
        <v>12</v>
      </c>
      <c r="D19" s="393" t="s">
        <v>302</v>
      </c>
      <c r="E19" s="394">
        <v>13</v>
      </c>
      <c r="F19" s="395" t="s">
        <v>435</v>
      </c>
      <c r="G19" s="392">
        <v>9</v>
      </c>
      <c r="H19" s="393" t="s">
        <v>302</v>
      </c>
      <c r="I19" s="394">
        <v>13</v>
      </c>
      <c r="J19" s="395" t="s">
        <v>353</v>
      </c>
      <c r="K19" s="392">
        <v>7</v>
      </c>
      <c r="L19" s="393" t="s">
        <v>302</v>
      </c>
      <c r="M19" s="394">
        <v>13</v>
      </c>
      <c r="N19" s="395" t="s">
        <v>259</v>
      </c>
      <c r="O19" s="392">
        <v>13</v>
      </c>
      <c r="P19" s="393" t="s">
        <v>302</v>
      </c>
      <c r="Q19" s="394">
        <v>7</v>
      </c>
      <c r="R19" s="395" t="s">
        <v>348</v>
      </c>
      <c r="S19" s="392"/>
      <c r="T19" s="393" t="s">
        <v>302</v>
      </c>
      <c r="U19" s="394"/>
      <c r="V19" s="395"/>
      <c r="W19" s="396">
        <f t="shared" si="0"/>
        <v>1</v>
      </c>
      <c r="X19" s="397">
        <v>12</v>
      </c>
      <c r="Y19" s="707">
        <v>22</v>
      </c>
      <c r="Z19" s="392">
        <f t="shared" si="1"/>
        <v>41</v>
      </c>
      <c r="AA19" s="393" t="s">
        <v>302</v>
      </c>
      <c r="AB19" s="398">
        <f t="shared" si="2"/>
        <v>46</v>
      </c>
      <c r="AC19" s="399">
        <f t="shared" si="3"/>
        <v>-5</v>
      </c>
      <c r="AD19" s="233">
        <f t="shared" si="13"/>
        <v>148</v>
      </c>
      <c r="AE19" s="234">
        <f>IFERROR(INDEX(V!$R:$R,MATCH(AF19,V!$L:$L,0)),"")</f>
        <v>74</v>
      </c>
      <c r="AF19" s="235" t="str">
        <f t="shared" si="5"/>
        <v>Aigi Orro</v>
      </c>
      <c r="AG19" s="234">
        <f>IFERROR(INDEX(V!$R:$R,MATCH(AH19,V!$L:$L,0)),"")</f>
        <v>74</v>
      </c>
      <c r="AH19" s="235" t="str">
        <f t="shared" si="6"/>
        <v>Kalle Orro</v>
      </c>
      <c r="AI19" s="234" t="str">
        <f>IFERROR(INDEX(V!$R:$R,MATCH(AJ19,V!$L:$L,0)),"")</f>
        <v/>
      </c>
      <c r="AJ19" s="235" t="str">
        <f t="shared" si="7"/>
        <v/>
      </c>
      <c r="AK19" s="234" t="str">
        <f>IFERROR(INDEX(V!$R:$R,MATCH(AL19,V!$L:$L,0)),"")</f>
        <v/>
      </c>
      <c r="AL19" s="235" t="str">
        <f t="shared" si="8"/>
        <v/>
      </c>
      <c r="AM19" s="234" t="str">
        <f>IFERROR(INDEX(V!$R:$R,MATCH(AN19,V!$L:$L,0)),"")</f>
        <v/>
      </c>
      <c r="AN19" s="235" t="str">
        <f t="shared" si="9"/>
        <v/>
      </c>
      <c r="AO19" s="234" t="str">
        <f>IFERROR(INDEX(V!$R:$R,MATCH(AP19,V!$L:$L,0)),"")</f>
        <v/>
      </c>
      <c r="AP19" s="235" t="str">
        <f t="shared" si="10"/>
        <v/>
      </c>
    </row>
    <row r="22" spans="1:42" hidden="1" x14ac:dyDescent="0.2"/>
    <row r="23" spans="1:42" hidden="1" x14ac:dyDescent="0.2"/>
    <row r="24" spans="1:42" hidden="1" x14ac:dyDescent="0.2"/>
    <row r="25" spans="1:42" hidden="1" x14ac:dyDescent="0.2"/>
    <row r="26" spans="1:42" hidden="1" x14ac:dyDescent="0.2"/>
    <row r="27" spans="1:42" hidden="1" x14ac:dyDescent="0.2"/>
    <row r="28" spans="1:42" hidden="1" x14ac:dyDescent="0.2"/>
    <row r="29" spans="1:42" hidden="1" x14ac:dyDescent="0.2"/>
    <row r="30" spans="1:42" hidden="1" x14ac:dyDescent="0.2"/>
    <row r="31" spans="1:42" hidden="1" x14ac:dyDescent="0.2"/>
    <row r="32" spans="1:4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IFERROR(INDEX(B$1:B$100,MATCH(A300,A$1:A$100,0)),"")</f>
        <v>Kenneth Muusikus, Peep Peenema</v>
      </c>
      <c r="C300" s="323">
        <f t="shared" ref="C300:C312" si="14">LARGE(A300:A400,1)*2+2-A300*2</f>
        <v>26</v>
      </c>
      <c r="F300" s="649"/>
    </row>
    <row r="301" spans="1:6" x14ac:dyDescent="0.2">
      <c r="A301" s="351">
        <v>2</v>
      </c>
      <c r="B301" s="402" t="str">
        <f t="shared" ref="B301:B312" si="15">IFERROR(INDEX(B$1:B$100,MATCH(A301,A$1:A$100,0)),"")</f>
        <v>Kristel Tihhonjuk, Vadim Tihhonjuk</v>
      </c>
      <c r="C301" s="323">
        <f t="shared" si="14"/>
        <v>24</v>
      </c>
      <c r="F301" s="649"/>
    </row>
    <row r="302" spans="1:6" x14ac:dyDescent="0.2">
      <c r="A302" s="351">
        <v>3</v>
      </c>
      <c r="B302" s="402" t="str">
        <f t="shared" si="15"/>
        <v>Illar Tõnurist, Jaan Saar</v>
      </c>
      <c r="C302" s="323">
        <f t="shared" si="14"/>
        <v>22</v>
      </c>
      <c r="F302" s="649"/>
    </row>
    <row r="303" spans="1:6" x14ac:dyDescent="0.2">
      <c r="A303" s="351">
        <v>4</v>
      </c>
      <c r="B303" s="402" t="str">
        <f t="shared" si="15"/>
        <v>Hillar Neiland, Kaspar Mänd</v>
      </c>
      <c r="C303" s="323">
        <f t="shared" si="14"/>
        <v>20</v>
      </c>
      <c r="F303" s="649"/>
    </row>
    <row r="304" spans="1:6" x14ac:dyDescent="0.2">
      <c r="A304" s="351">
        <v>5</v>
      </c>
      <c r="B304" s="402" t="str">
        <f t="shared" si="15"/>
        <v>Ivar Viljaste, Matti Vinni</v>
      </c>
      <c r="C304" s="323">
        <f t="shared" si="14"/>
        <v>18</v>
      </c>
      <c r="F304" s="649"/>
    </row>
    <row r="305" spans="1:6" x14ac:dyDescent="0.2">
      <c r="A305" s="351">
        <v>6</v>
      </c>
      <c r="B305" s="402" t="str">
        <f t="shared" si="15"/>
        <v>Olav Türk, Sirje Maala</v>
      </c>
      <c r="C305" s="323">
        <f t="shared" si="14"/>
        <v>16</v>
      </c>
      <c r="F305" s="649"/>
    </row>
    <row r="306" spans="1:6" x14ac:dyDescent="0.2">
      <c r="A306" s="351">
        <v>7</v>
      </c>
      <c r="B306" s="402" t="str">
        <f t="shared" si="15"/>
        <v>Oleg Rõndenkov, Sander Rose</v>
      </c>
      <c r="C306" s="323">
        <f t="shared" si="14"/>
        <v>14</v>
      </c>
      <c r="F306" s="649"/>
    </row>
    <row r="307" spans="1:6" x14ac:dyDescent="0.2">
      <c r="A307" s="351">
        <v>8</v>
      </c>
      <c r="B307" s="402" t="str">
        <f t="shared" si="15"/>
        <v>Ljudmila Varendi, Viktor Švarõgin</v>
      </c>
      <c r="C307" s="323">
        <f t="shared" si="14"/>
        <v>12</v>
      </c>
      <c r="F307" s="649"/>
    </row>
    <row r="308" spans="1:6" x14ac:dyDescent="0.2">
      <c r="A308" s="351">
        <v>9</v>
      </c>
      <c r="B308" s="402" t="str">
        <f t="shared" si="15"/>
        <v>Airi Veski, Andres Veski, Svetlana Veski</v>
      </c>
      <c r="C308" s="323">
        <f t="shared" si="14"/>
        <v>10</v>
      </c>
      <c r="F308" s="649"/>
    </row>
    <row r="309" spans="1:6" x14ac:dyDescent="0.2">
      <c r="A309" s="351">
        <v>10</v>
      </c>
      <c r="B309" s="402" t="str">
        <f t="shared" si="15"/>
        <v>Henri Mitt, Urmas Randlaine</v>
      </c>
      <c r="C309" s="323">
        <f t="shared" si="14"/>
        <v>8</v>
      </c>
      <c r="F309" s="649"/>
    </row>
    <row r="310" spans="1:6" x14ac:dyDescent="0.2">
      <c r="A310" s="351">
        <v>11</v>
      </c>
      <c r="B310" s="402" t="str">
        <f t="shared" si="15"/>
        <v>Boriss Klubov, Elmo Lageda</v>
      </c>
      <c r="C310" s="323">
        <f t="shared" si="14"/>
        <v>6</v>
      </c>
      <c r="F310" s="649"/>
    </row>
    <row r="311" spans="1:6" x14ac:dyDescent="0.2">
      <c r="A311" s="351">
        <v>12</v>
      </c>
      <c r="B311" s="402" t="str">
        <f t="shared" si="15"/>
        <v>Andrei Grintšak, Enn Tokman</v>
      </c>
      <c r="C311" s="323">
        <f t="shared" si="14"/>
        <v>4</v>
      </c>
      <c r="F311" s="649"/>
    </row>
    <row r="312" spans="1:6" x14ac:dyDescent="0.2">
      <c r="A312" s="351">
        <v>13</v>
      </c>
      <c r="B312" s="402" t="str">
        <f t="shared" si="15"/>
        <v>Aigi Orro, Kalle Orro</v>
      </c>
      <c r="C312" s="323">
        <f t="shared" si="14"/>
        <v>2</v>
      </c>
      <c r="F312" s="649"/>
    </row>
  </sheetData>
  <conditionalFormatting sqref="C7:C19 G7:G19 K7:K19 O7:O19 S7:S19">
    <cfRule type="expression" dxfId="913" priority="12">
      <formula>AND(C7=0,E7=13)</formula>
    </cfRule>
  </conditionalFormatting>
  <conditionalFormatting sqref="C7:C19">
    <cfRule type="expression" dxfId="912" priority="26">
      <formula>IF($C7&gt;$E7,TRUE)</formula>
    </cfRule>
  </conditionalFormatting>
  <conditionalFormatting sqref="E7:E19">
    <cfRule type="expression" dxfId="911" priority="27">
      <formula>IF($C7&lt;$E7,TRUE)</formula>
    </cfRule>
  </conditionalFormatting>
  <conditionalFormatting sqref="K7:K19">
    <cfRule type="expression" dxfId="910" priority="34">
      <formula>IF($K7&gt;$M7,TRUE)</formula>
    </cfRule>
  </conditionalFormatting>
  <conditionalFormatting sqref="M7:M19">
    <cfRule type="expression" dxfId="909" priority="35">
      <formula>IF($K7&lt;$M7,TRUE)</formula>
    </cfRule>
  </conditionalFormatting>
  <conditionalFormatting sqref="O7:O19">
    <cfRule type="expression" dxfId="908" priority="38">
      <formula>IF($O7&gt;$Q7,TRUE)</formula>
    </cfRule>
  </conditionalFormatting>
  <conditionalFormatting sqref="Q7:Q19">
    <cfRule type="expression" dxfId="907" priority="39">
      <formula>IF($O7&lt;$Q7,TRUE)</formula>
    </cfRule>
  </conditionalFormatting>
  <conditionalFormatting sqref="S7:S19">
    <cfRule type="expression" dxfId="906" priority="42">
      <formula>IF($S7&gt;$U7,TRUE)</formula>
    </cfRule>
  </conditionalFormatting>
  <conditionalFormatting sqref="U7:U19">
    <cfRule type="expression" dxfId="905" priority="43">
      <formula>IF($S7&lt;$U7,TRUE)</formula>
    </cfRule>
  </conditionalFormatting>
  <conditionalFormatting sqref="G7:G19">
    <cfRule type="expression" dxfId="904" priority="30">
      <formula>IF($G7&gt;$I7,TRUE)</formula>
    </cfRule>
  </conditionalFormatting>
  <conditionalFormatting sqref="I7:I19">
    <cfRule type="expression" dxfId="903" priority="31">
      <formula>IF($G7&lt;$I7,TRUE)</formula>
    </cfRule>
  </conditionalFormatting>
  <conditionalFormatting sqref="F7:F19">
    <cfRule type="containsText" dxfId="902" priority="17" operator="containsText" text="vaba voor">
      <formula>NOT(ISERROR(SEARCH("vaba voor",F7)))</formula>
    </cfRule>
  </conditionalFormatting>
  <conditionalFormatting sqref="N7:N19">
    <cfRule type="containsText" dxfId="901" priority="15" operator="containsText" text="vaba voor">
      <formula>NOT(ISERROR(SEARCH("vaba voor",N7)))</formula>
    </cfRule>
  </conditionalFormatting>
  <conditionalFormatting sqref="R7:R19">
    <cfRule type="containsText" dxfId="900" priority="18" operator="containsText" text="vaba voor">
      <formula>NOT(ISERROR(SEARCH("vaba voor",R7)))</formula>
    </cfRule>
  </conditionalFormatting>
  <conditionalFormatting sqref="V7:V19">
    <cfRule type="containsText" dxfId="899" priority="14" operator="containsText" text="vaba voor">
      <formula>NOT(ISERROR(SEARCH("vaba voor",V7)))</formula>
    </cfRule>
  </conditionalFormatting>
  <conditionalFormatting sqref="J7:J19">
    <cfRule type="containsText" dxfId="898" priority="16" operator="containsText" text="vaba voor">
      <formula>NOT(ISERROR(SEARCH("vaba voor",J7)))</formula>
    </cfRule>
  </conditionalFormatting>
  <conditionalFormatting sqref="C7:F19">
    <cfRule type="expression" dxfId="897" priority="22">
      <formula>IF(AND(ISNUMBER($C7),$C7=$E7),TRUE)</formula>
    </cfRule>
    <cfRule type="expression" dxfId="896" priority="24">
      <formula>IF($C7&gt;$E7,TRUE)</formula>
    </cfRule>
    <cfRule type="expression" dxfId="895" priority="25">
      <formula>IF($C7&lt;$E7,TRUE)</formula>
    </cfRule>
  </conditionalFormatting>
  <conditionalFormatting sqref="G7:J19">
    <cfRule type="expression" dxfId="894" priority="23">
      <formula>IF(AND(ISNUMBER($G7),$G7=$I7),TRUE)</formula>
    </cfRule>
    <cfRule type="expression" dxfId="893" priority="28">
      <formula>IF($G7&gt;$I7,TRUE)</formula>
    </cfRule>
    <cfRule type="expression" dxfId="892" priority="29">
      <formula>IF($G7&lt;$I7,TRUE)</formula>
    </cfRule>
  </conditionalFormatting>
  <conditionalFormatting sqref="K7:N19">
    <cfRule type="expression" dxfId="891" priority="21">
      <formula>IF(AND(ISNUMBER($K7),$K7=$M7),TRUE)</formula>
    </cfRule>
    <cfRule type="expression" dxfId="890" priority="32">
      <formula>IF($K7&gt;$M7,TRUE)</formula>
    </cfRule>
    <cfRule type="expression" dxfId="889" priority="33">
      <formula>IF($K7&lt;$M7,TRUE)</formula>
    </cfRule>
  </conditionalFormatting>
  <conditionalFormatting sqref="O7:R19">
    <cfRule type="expression" dxfId="888" priority="20">
      <formula>IF(AND(ISNUMBER($O7),$O7=$Q7),TRUE)</formula>
    </cfRule>
    <cfRule type="expression" dxfId="887" priority="36">
      <formula>IF($O7&gt;$Q7,TRUE)</formula>
    </cfRule>
    <cfRule type="expression" dxfId="886" priority="37">
      <formula>IF($O7&lt;$Q7,TRUE)</formula>
    </cfRule>
  </conditionalFormatting>
  <conditionalFormatting sqref="S7:V19">
    <cfRule type="expression" dxfId="885" priority="19">
      <formula>IF(AND(ISNUMBER($S7),$S7=$U7),TRUE)</formula>
    </cfRule>
    <cfRule type="expression" dxfId="884" priority="40">
      <formula>IF($S7&gt;$U7,TRUE)</formula>
    </cfRule>
    <cfRule type="expression" dxfId="883" priority="41">
      <formula>IF($S7&lt;$U7,TRUE)</formula>
    </cfRule>
  </conditionalFormatting>
  <conditionalFormatting sqref="E7:E19 I7:I19 M7:M19 Q7:Q19 U7:U19">
    <cfRule type="expression" dxfId="882" priority="13">
      <formula>AND(E7=0,C7=13)</formula>
    </cfRule>
  </conditionalFormatting>
  <conditionalFormatting sqref="A7:A19">
    <cfRule type="duplicateValues" dxfId="881" priority="44"/>
  </conditionalFormatting>
  <conditionalFormatting sqref="AJ7:AJ19">
    <cfRule type="expression" dxfId="880" priority="5">
      <formula>AND(AI7="",FIND(",",AJ7))</formula>
    </cfRule>
    <cfRule type="expression" dxfId="879" priority="7">
      <formula>AND(AI7="",COUNTIF(AJ7,"*,*")=0)</formula>
    </cfRule>
  </conditionalFormatting>
  <conditionalFormatting sqref="AH7:AH19">
    <cfRule type="expression" dxfId="878" priority="8">
      <formula>AND(AG7="",FIND(",",AH7))</formula>
    </cfRule>
    <cfRule type="expression" dxfId="877" priority="9">
      <formula>AND(AG7="",COUNTIF(AH7,"*,*")=0)</formula>
    </cfRule>
  </conditionalFormatting>
  <conditionalFormatting sqref="AL7:AL19">
    <cfRule type="expression" dxfId="876" priority="10">
      <formula>AND(AK7="",FIND(",",AL7))</formula>
    </cfRule>
    <cfRule type="expression" dxfId="875" priority="11">
      <formula>AND(AK7="",COUNTIF(AL7,"*,*")=0)</formula>
    </cfRule>
  </conditionalFormatting>
  <conditionalFormatting sqref="AF7:AF19">
    <cfRule type="expression" dxfId="874" priority="6">
      <formula>AND(AE7="",COUNTIF(AF7,"*,*")=0)</formula>
    </cfRule>
  </conditionalFormatting>
  <conditionalFormatting sqref="AN7:AN19">
    <cfRule type="expression" dxfId="873" priority="2">
      <formula>AND(AM7="",COUNTIF(AN7,"*,*")=0)</formula>
    </cfRule>
    <cfRule type="expression" dxfId="872" priority="4">
      <formula>AND(AM7="",FIND(",",AN7))</formula>
    </cfRule>
  </conditionalFormatting>
  <conditionalFormatting sqref="AP7:AP19">
    <cfRule type="expression" dxfId="871" priority="1">
      <formula>AND(AO7="",COUNTIF(AP7,"*,*")=0)</formula>
    </cfRule>
    <cfRule type="expression" dxfId="870" priority="3">
      <formula>AND(AO7="",FIND(",",AP7))</formula>
    </cfRule>
  </conditionalFormatting>
  <conditionalFormatting sqref="B300:B312">
    <cfRule type="expression" dxfId="869" priority="45">
      <formula>A300=3</formula>
    </cfRule>
    <cfRule type="expression" dxfId="868" priority="46">
      <formula>A300=2</formula>
    </cfRule>
    <cfRule type="expression" dxfId="867" priority="47">
      <formula>A300=1</formula>
    </cfRule>
    <cfRule type="containsBlanks" dxfId="866" priority="48">
      <formula>LEN(TRIM(B300))=0</formula>
    </cfRule>
    <cfRule type="duplicateValues" dxfId="865" priority="49"/>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44"/>
  <sheetViews>
    <sheetView showGridLines="0" showRowColHeaders="0" workbookViewId="0">
      <selection activeCell="B1" sqref="B1"/>
    </sheetView>
  </sheetViews>
  <sheetFormatPr defaultRowHeight="12.75" x14ac:dyDescent="0.2"/>
  <cols>
    <col min="1" max="1" width="86.140625" style="1" customWidth="1"/>
    <col min="2" max="16384" width="9.140625" style="1"/>
  </cols>
  <sheetData>
    <row r="1" spans="1:10" x14ac:dyDescent="0.2">
      <c r="A1" s="380" t="s">
        <v>279</v>
      </c>
      <c r="B1" s="377"/>
      <c r="C1" s="377"/>
      <c r="D1" s="377"/>
      <c r="E1" s="377"/>
      <c r="F1" s="377"/>
      <c r="G1" s="377"/>
      <c r="H1" s="377"/>
      <c r="I1" s="377"/>
      <c r="J1" s="377"/>
    </row>
    <row r="2" spans="1:10" x14ac:dyDescent="0.2">
      <c r="A2" s="381" t="s">
        <v>297</v>
      </c>
      <c r="B2" s="377"/>
      <c r="C2" s="377"/>
      <c r="D2" s="377"/>
      <c r="E2" s="377"/>
      <c r="F2" s="377"/>
      <c r="G2" s="377"/>
      <c r="H2" s="377"/>
      <c r="I2" s="377"/>
      <c r="J2" s="377"/>
    </row>
    <row r="3" spans="1:10" x14ac:dyDescent="0.2">
      <c r="A3" s="378"/>
      <c r="B3" s="377"/>
      <c r="C3" s="377"/>
      <c r="D3" s="377"/>
      <c r="E3" s="377"/>
      <c r="F3" s="377"/>
      <c r="G3" s="377"/>
      <c r="H3" s="377"/>
      <c r="I3" s="377"/>
      <c r="J3" s="377"/>
    </row>
    <row r="4" spans="1:10" x14ac:dyDescent="0.2">
      <c r="A4" s="378" t="s">
        <v>287</v>
      </c>
      <c r="B4" s="377"/>
      <c r="C4" s="377"/>
      <c r="D4" s="377"/>
      <c r="E4" s="377"/>
      <c r="F4" s="377"/>
      <c r="G4" s="377"/>
      <c r="H4" s="377"/>
      <c r="I4" s="377"/>
      <c r="J4" s="377"/>
    </row>
    <row r="5" spans="1:10" x14ac:dyDescent="0.2">
      <c r="A5" s="378" t="s">
        <v>281</v>
      </c>
      <c r="B5" s="377"/>
      <c r="C5" s="377"/>
      <c r="D5" s="377"/>
      <c r="E5" s="377"/>
      <c r="F5" s="377"/>
      <c r="G5" s="377"/>
      <c r="H5" s="377"/>
      <c r="I5" s="377"/>
      <c r="J5" s="377"/>
    </row>
    <row r="6" spans="1:10" x14ac:dyDescent="0.2">
      <c r="A6" s="378" t="s">
        <v>282</v>
      </c>
      <c r="B6" s="377"/>
      <c r="C6" s="377"/>
      <c r="D6" s="377"/>
      <c r="E6" s="377"/>
      <c r="F6" s="377"/>
      <c r="G6" s="377"/>
      <c r="H6" s="377"/>
      <c r="I6" s="377"/>
      <c r="J6" s="377"/>
    </row>
    <row r="7" spans="1:10" x14ac:dyDescent="0.2">
      <c r="A7" s="378" t="s">
        <v>283</v>
      </c>
      <c r="B7" s="377"/>
      <c r="C7" s="377"/>
      <c r="D7" s="377"/>
      <c r="E7" s="377"/>
      <c r="F7" s="377"/>
      <c r="G7" s="377"/>
      <c r="H7" s="377"/>
      <c r="I7" s="377"/>
      <c r="J7" s="377"/>
    </row>
    <row r="8" spans="1:10" x14ac:dyDescent="0.2">
      <c r="A8" s="378"/>
      <c r="B8" s="377"/>
      <c r="C8" s="377"/>
      <c r="D8" s="377"/>
      <c r="E8" s="377"/>
      <c r="F8" s="377"/>
      <c r="G8" s="377"/>
      <c r="H8" s="377"/>
      <c r="I8" s="377"/>
      <c r="J8" s="377"/>
    </row>
    <row r="9" spans="1:10" x14ac:dyDescent="0.2">
      <c r="A9" s="378" t="s">
        <v>288</v>
      </c>
      <c r="B9" s="377"/>
      <c r="C9" s="377"/>
      <c r="D9" s="377"/>
      <c r="E9" s="377"/>
      <c r="F9" s="377"/>
      <c r="G9" s="377"/>
      <c r="H9" s="377"/>
      <c r="I9" s="377"/>
      <c r="J9" s="377"/>
    </row>
    <row r="10" spans="1:10" x14ac:dyDescent="0.2">
      <c r="A10" s="378" t="s">
        <v>267</v>
      </c>
      <c r="B10" s="377"/>
      <c r="C10" s="377"/>
      <c r="D10" s="377"/>
      <c r="E10" s="377"/>
      <c r="F10" s="377"/>
      <c r="G10" s="377"/>
      <c r="H10" s="377"/>
      <c r="I10" s="377"/>
      <c r="J10" s="377"/>
    </row>
    <row r="11" spans="1:10" x14ac:dyDescent="0.2">
      <c r="A11" s="378"/>
      <c r="B11" s="377"/>
      <c r="C11" s="377"/>
      <c r="D11" s="377"/>
      <c r="E11" s="377"/>
      <c r="F11" s="377"/>
      <c r="G11" s="377"/>
      <c r="H11" s="377"/>
      <c r="I11" s="377"/>
      <c r="J11" s="377"/>
    </row>
    <row r="12" spans="1:10" x14ac:dyDescent="0.2">
      <c r="A12" s="378" t="s">
        <v>289</v>
      </c>
      <c r="B12" s="377"/>
      <c r="C12" s="377"/>
      <c r="D12" s="377"/>
      <c r="E12" s="377"/>
      <c r="F12" s="377"/>
      <c r="G12" s="377"/>
      <c r="H12" s="377"/>
      <c r="I12" s="377"/>
      <c r="J12" s="377"/>
    </row>
    <row r="13" spans="1:10" x14ac:dyDescent="0.2">
      <c r="A13" s="383" t="s">
        <v>296</v>
      </c>
      <c r="B13" s="377"/>
      <c r="C13" s="377"/>
      <c r="D13" s="377"/>
      <c r="E13" s="377"/>
      <c r="F13" s="377"/>
      <c r="G13" s="377"/>
      <c r="H13" s="377"/>
      <c r="I13" s="377"/>
      <c r="J13" s="377"/>
    </row>
    <row r="14" spans="1:10" x14ac:dyDescent="0.2">
      <c r="A14" s="378" t="s">
        <v>284</v>
      </c>
      <c r="B14" s="377"/>
      <c r="C14" s="377"/>
      <c r="D14" s="377"/>
      <c r="E14" s="377"/>
      <c r="F14" s="377"/>
      <c r="G14" s="377"/>
      <c r="H14" s="377"/>
      <c r="I14" s="377"/>
      <c r="J14" s="377"/>
    </row>
    <row r="15" spans="1:10" x14ac:dyDescent="0.2">
      <c r="A15" s="378"/>
      <c r="B15" s="377"/>
      <c r="C15" s="377"/>
      <c r="D15" s="377"/>
      <c r="E15" s="377"/>
      <c r="F15" s="377"/>
      <c r="G15" s="377"/>
      <c r="H15" s="377"/>
      <c r="I15" s="377"/>
      <c r="J15" s="377"/>
    </row>
    <row r="16" spans="1:10" x14ac:dyDescent="0.2">
      <c r="A16" s="378" t="s">
        <v>290</v>
      </c>
      <c r="B16" s="377"/>
      <c r="C16" s="377"/>
      <c r="D16" s="377"/>
      <c r="E16" s="377"/>
      <c r="F16" s="377"/>
      <c r="G16" s="377"/>
      <c r="H16" s="377"/>
      <c r="I16" s="377"/>
      <c r="J16" s="377"/>
    </row>
    <row r="17" spans="1:10" ht="38.25" x14ac:dyDescent="0.2">
      <c r="A17" s="378" t="s">
        <v>268</v>
      </c>
      <c r="B17" s="377"/>
      <c r="C17" s="377"/>
      <c r="D17" s="377"/>
      <c r="E17" s="377"/>
      <c r="F17" s="377"/>
      <c r="G17" s="377"/>
      <c r="H17" s="377"/>
      <c r="I17" s="377"/>
      <c r="J17" s="377"/>
    </row>
    <row r="18" spans="1:10" x14ac:dyDescent="0.2">
      <c r="A18" s="378"/>
      <c r="B18" s="377"/>
      <c r="C18" s="377"/>
      <c r="D18" s="377"/>
      <c r="E18" s="377"/>
      <c r="F18" s="377"/>
      <c r="G18" s="377"/>
      <c r="H18" s="377"/>
      <c r="I18" s="377"/>
      <c r="J18" s="377"/>
    </row>
    <row r="19" spans="1:10" x14ac:dyDescent="0.2">
      <c r="A19" s="378" t="s">
        <v>291</v>
      </c>
      <c r="B19" s="377"/>
      <c r="C19" s="377"/>
      <c r="D19" s="377"/>
      <c r="E19" s="377"/>
      <c r="F19" s="377"/>
      <c r="G19" s="377"/>
      <c r="H19" s="377"/>
      <c r="I19" s="377"/>
      <c r="J19" s="377"/>
    </row>
    <row r="20" spans="1:10" ht="38.25" x14ac:dyDescent="0.2">
      <c r="A20" s="378" t="s">
        <v>269</v>
      </c>
      <c r="B20" s="377"/>
      <c r="C20" s="377"/>
      <c r="D20" s="377"/>
      <c r="E20" s="377"/>
      <c r="F20" s="377"/>
      <c r="G20" s="377"/>
      <c r="H20" s="377"/>
      <c r="I20" s="377"/>
      <c r="J20" s="377"/>
    </row>
    <row r="21" spans="1:10" x14ac:dyDescent="0.2">
      <c r="A21" s="378" t="s">
        <v>285</v>
      </c>
      <c r="B21" s="377"/>
      <c r="C21" s="377"/>
      <c r="D21" s="377"/>
      <c r="E21" s="377"/>
      <c r="F21" s="377"/>
      <c r="G21" s="377"/>
      <c r="H21" s="377"/>
      <c r="I21" s="377"/>
      <c r="J21" s="377"/>
    </row>
    <row r="22" spans="1:10" x14ac:dyDescent="0.2">
      <c r="A22" s="383" t="s">
        <v>309</v>
      </c>
      <c r="B22" s="377"/>
      <c r="C22" s="377"/>
      <c r="D22" s="377"/>
      <c r="E22" s="377"/>
      <c r="F22" s="377"/>
      <c r="G22" s="377"/>
      <c r="H22" s="377"/>
      <c r="I22" s="377"/>
      <c r="J22" s="377"/>
    </row>
    <row r="23" spans="1:10" x14ac:dyDescent="0.2">
      <c r="A23" s="383" t="s">
        <v>310</v>
      </c>
      <c r="B23" s="377"/>
      <c r="C23" s="377"/>
      <c r="D23" s="377"/>
      <c r="E23" s="377"/>
      <c r="F23" s="377"/>
      <c r="G23" s="377"/>
      <c r="H23" s="377"/>
      <c r="I23" s="377"/>
      <c r="J23" s="377"/>
    </row>
    <row r="24" spans="1:10" x14ac:dyDescent="0.2">
      <c r="A24" s="378" t="s">
        <v>286</v>
      </c>
      <c r="B24" s="377"/>
      <c r="C24" s="377"/>
      <c r="D24" s="377"/>
      <c r="E24" s="377"/>
      <c r="F24" s="377"/>
      <c r="G24" s="377"/>
      <c r="H24" s="377"/>
      <c r="I24" s="377"/>
      <c r="J24" s="377"/>
    </row>
    <row r="25" spans="1:10" ht="25.5" x14ac:dyDescent="0.2">
      <c r="A25" s="378" t="s">
        <v>270</v>
      </c>
      <c r="B25" s="377"/>
      <c r="C25" s="377"/>
      <c r="D25" s="377"/>
      <c r="E25" s="377"/>
      <c r="F25" s="377"/>
      <c r="G25" s="377"/>
      <c r="H25" s="377"/>
      <c r="I25" s="377"/>
      <c r="J25" s="377"/>
    </row>
    <row r="26" spans="1:10" ht="38.25" x14ac:dyDescent="0.2">
      <c r="A26" s="378" t="s">
        <v>280</v>
      </c>
      <c r="B26" s="377"/>
      <c r="C26" s="377"/>
      <c r="D26" s="377"/>
      <c r="E26" s="377"/>
      <c r="F26" s="377"/>
      <c r="G26" s="377"/>
      <c r="H26" s="377"/>
      <c r="I26" s="377"/>
      <c r="J26" s="377"/>
    </row>
    <row r="27" spans="1:10" x14ac:dyDescent="0.2">
      <c r="A27" s="378"/>
      <c r="B27" s="377"/>
      <c r="C27" s="377"/>
      <c r="D27" s="377"/>
      <c r="E27" s="377"/>
      <c r="F27" s="377"/>
      <c r="G27" s="377"/>
      <c r="H27" s="377"/>
      <c r="I27" s="377"/>
      <c r="J27" s="377"/>
    </row>
    <row r="28" spans="1:10" x14ac:dyDescent="0.2">
      <c r="A28" s="378" t="s">
        <v>292</v>
      </c>
      <c r="B28" s="377"/>
      <c r="C28" s="377"/>
      <c r="D28" s="377"/>
      <c r="E28" s="377"/>
      <c r="F28" s="377"/>
      <c r="G28" s="377"/>
      <c r="H28" s="377"/>
      <c r="I28" s="377"/>
      <c r="J28" s="377"/>
    </row>
    <row r="29" spans="1:10" ht="76.5" x14ac:dyDescent="0.2">
      <c r="A29" s="378" t="s">
        <v>271</v>
      </c>
      <c r="B29" s="377"/>
      <c r="C29" s="377"/>
      <c r="D29" s="377"/>
      <c r="E29" s="377"/>
      <c r="F29" s="377"/>
      <c r="G29" s="377"/>
      <c r="H29" s="377"/>
      <c r="I29" s="377"/>
      <c r="J29" s="377"/>
    </row>
    <row r="30" spans="1:10" x14ac:dyDescent="0.2">
      <c r="A30" s="378"/>
      <c r="B30" s="377"/>
      <c r="C30" s="377"/>
      <c r="D30" s="377"/>
      <c r="E30" s="377"/>
      <c r="F30" s="377"/>
      <c r="G30" s="377"/>
      <c r="H30" s="377"/>
      <c r="I30" s="377"/>
      <c r="J30" s="377"/>
    </row>
    <row r="31" spans="1:10" x14ac:dyDescent="0.2">
      <c r="A31" s="378" t="s">
        <v>293</v>
      </c>
      <c r="B31" s="377"/>
      <c r="C31" s="377"/>
      <c r="D31" s="377"/>
      <c r="E31" s="377"/>
      <c r="F31" s="377"/>
      <c r="G31" s="377"/>
      <c r="H31" s="377"/>
      <c r="I31" s="377"/>
      <c r="J31" s="377"/>
    </row>
    <row r="32" spans="1:10" ht="25.5" x14ac:dyDescent="0.2">
      <c r="A32" s="378" t="s">
        <v>272</v>
      </c>
      <c r="B32" s="377"/>
      <c r="C32" s="377"/>
      <c r="D32" s="377"/>
      <c r="E32" s="377"/>
      <c r="F32" s="377"/>
      <c r="G32" s="377"/>
      <c r="H32" s="377"/>
      <c r="I32" s="377"/>
      <c r="J32" s="377"/>
    </row>
    <row r="33" spans="1:1" x14ac:dyDescent="0.2">
      <c r="A33" s="379" t="s">
        <v>273</v>
      </c>
    </row>
    <row r="34" spans="1:1" x14ac:dyDescent="0.2">
      <c r="A34" s="379"/>
    </row>
    <row r="35" spans="1:1" x14ac:dyDescent="0.2">
      <c r="A35" s="379" t="s">
        <v>294</v>
      </c>
    </row>
    <row r="36" spans="1:1" ht="25.5" x14ac:dyDescent="0.2">
      <c r="A36" s="379" t="s">
        <v>274</v>
      </c>
    </row>
    <row r="37" spans="1:1" x14ac:dyDescent="0.2">
      <c r="A37" s="379"/>
    </row>
    <row r="38" spans="1:1" x14ac:dyDescent="0.2">
      <c r="A38" s="379" t="s">
        <v>295</v>
      </c>
    </row>
    <row r="39" spans="1:1" ht="38.25" x14ac:dyDescent="0.2">
      <c r="A39" s="379" t="s">
        <v>275</v>
      </c>
    </row>
    <row r="40" spans="1:1" x14ac:dyDescent="0.2">
      <c r="A40" s="379"/>
    </row>
    <row r="41" spans="1:1" x14ac:dyDescent="0.2">
      <c r="A41" s="379" t="s">
        <v>278</v>
      </c>
    </row>
    <row r="42" spans="1:1" x14ac:dyDescent="0.2">
      <c r="A42" s="379" t="s">
        <v>276</v>
      </c>
    </row>
    <row r="43" spans="1:1" x14ac:dyDescent="0.2">
      <c r="A43" s="379"/>
    </row>
    <row r="44" spans="1:1" x14ac:dyDescent="0.2">
      <c r="A44" s="382" t="s">
        <v>277</v>
      </c>
    </row>
  </sheetData>
  <pageMargins left="0.78740157480314965" right="0.39370078740157483" top="0.78740157480314965" bottom="0.39370078740157483" header="0.78740157480314965" footer="0"/>
  <pageSetup paperSize="9" fitToHeight="0" orientation="portrait" verticalDpi="1200" r:id="rId1"/>
  <headerFooter>
    <oddHeader>&amp;R&amp;9&amp;P. leht &amp;N&amp; -st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J13" sqref="J13"/>
    </sheetView>
  </sheetViews>
  <sheetFormatPr defaultRowHeight="12.75" x14ac:dyDescent="0.2"/>
  <cols>
    <col min="1" max="16384" width="9.140625" style="1"/>
  </cols>
  <sheetData>
    <row r="1" spans="1:2" x14ac:dyDescent="0.2">
      <c r="A1" s="1">
        <v>0</v>
      </c>
      <c r="B1" s="2">
        <v>0</v>
      </c>
    </row>
    <row r="2" spans="1:2" x14ac:dyDescent="0.2">
      <c r="A2" s="1">
        <v>1</v>
      </c>
      <c r="B2" s="2" t="s">
        <v>0</v>
      </c>
    </row>
    <row r="3" spans="1:2" x14ac:dyDescent="0.2">
      <c r="A3" s="1">
        <v>2</v>
      </c>
      <c r="B3" s="2" t="s">
        <v>1</v>
      </c>
    </row>
    <row r="4" spans="1:2" x14ac:dyDescent="0.2">
      <c r="A4" s="1">
        <v>3</v>
      </c>
      <c r="B4" s="2" t="s">
        <v>2</v>
      </c>
    </row>
    <row r="5" spans="1:2" x14ac:dyDescent="0.2">
      <c r="A5" s="1">
        <v>4</v>
      </c>
      <c r="B5" s="2" t="s">
        <v>3</v>
      </c>
    </row>
    <row r="6" spans="1:2" x14ac:dyDescent="0.2">
      <c r="A6" s="1">
        <v>5</v>
      </c>
      <c r="B6" s="2" t="s">
        <v>4</v>
      </c>
    </row>
    <row r="7" spans="1:2" x14ac:dyDescent="0.2">
      <c r="A7" s="1">
        <v>6</v>
      </c>
      <c r="B7" s="2" t="s">
        <v>5</v>
      </c>
    </row>
    <row r="8" spans="1:2" x14ac:dyDescent="0.2">
      <c r="A8" s="1">
        <v>7</v>
      </c>
      <c r="B8" s="2" t="s">
        <v>6</v>
      </c>
    </row>
    <row r="9" spans="1:2" x14ac:dyDescent="0.2">
      <c r="A9" s="1">
        <v>8</v>
      </c>
      <c r="B9" s="2" t="s">
        <v>2</v>
      </c>
    </row>
    <row r="10" spans="1:2" x14ac:dyDescent="0.2">
      <c r="A10" s="1">
        <v>9</v>
      </c>
      <c r="B10" s="2" t="s">
        <v>3</v>
      </c>
    </row>
    <row r="11" spans="1:2" x14ac:dyDescent="0.2">
      <c r="A11" s="1">
        <v>10</v>
      </c>
      <c r="B11" s="2" t="s">
        <v>4</v>
      </c>
    </row>
    <row r="12" spans="1:2" x14ac:dyDescent="0.2">
      <c r="A12" s="1">
        <v>11</v>
      </c>
      <c r="B12" s="2" t="s">
        <v>5</v>
      </c>
    </row>
    <row r="13" spans="1:2" x14ac:dyDescent="0.2">
      <c r="A13" s="1">
        <v>12</v>
      </c>
      <c r="B13" s="2" t="s">
        <v>6</v>
      </c>
    </row>
    <row r="14" spans="1:2" x14ac:dyDescent="0.2">
      <c r="A14" s="1">
        <v>13</v>
      </c>
      <c r="B14" s="2" t="s">
        <v>7</v>
      </c>
    </row>
    <row r="15" spans="1:2" x14ac:dyDescent="0.2">
      <c r="A15" s="1">
        <v>14</v>
      </c>
      <c r="B15" s="2" t="s">
        <v>8</v>
      </c>
    </row>
    <row r="16" spans="1:2" x14ac:dyDescent="0.2">
      <c r="A16" s="1">
        <v>15</v>
      </c>
      <c r="B16" s="2" t="s">
        <v>9</v>
      </c>
    </row>
    <row r="17" spans="1:2" x14ac:dyDescent="0.2">
      <c r="A17" s="1">
        <v>16</v>
      </c>
      <c r="B17" s="2" t="s">
        <v>10</v>
      </c>
    </row>
    <row r="18" spans="1:2" x14ac:dyDescent="0.2">
      <c r="A18" s="1">
        <v>17</v>
      </c>
      <c r="B18" s="2" t="s">
        <v>11</v>
      </c>
    </row>
    <row r="19" spans="1:2" x14ac:dyDescent="0.2">
      <c r="A19" s="1">
        <v>18</v>
      </c>
      <c r="B19" s="2" t="s">
        <v>12</v>
      </c>
    </row>
    <row r="20" spans="1:2" x14ac:dyDescent="0.2">
      <c r="A20" s="1">
        <v>19</v>
      </c>
      <c r="B20" s="2" t="s">
        <v>13</v>
      </c>
    </row>
    <row r="21" spans="1:2" x14ac:dyDescent="0.2">
      <c r="A21" s="1">
        <v>20</v>
      </c>
      <c r="B21" s="2" t="s">
        <v>14</v>
      </c>
    </row>
    <row r="22" spans="1:2" x14ac:dyDescent="0.2">
      <c r="A22" s="1">
        <v>21</v>
      </c>
      <c r="B22" s="2" t="s">
        <v>15</v>
      </c>
    </row>
    <row r="23" spans="1:2" x14ac:dyDescent="0.2">
      <c r="A23" s="1">
        <v>22</v>
      </c>
      <c r="B23" s="2" t="s">
        <v>16</v>
      </c>
    </row>
    <row r="24" spans="1:2" x14ac:dyDescent="0.2">
      <c r="A24" s="1">
        <v>23</v>
      </c>
      <c r="B24" s="2" t="s">
        <v>17</v>
      </c>
    </row>
    <row r="25" spans="1:2" x14ac:dyDescent="0.2">
      <c r="A25" s="1">
        <v>24</v>
      </c>
      <c r="B25" s="2" t="s">
        <v>18</v>
      </c>
    </row>
    <row r="26" spans="1:2" x14ac:dyDescent="0.2">
      <c r="A26" s="1">
        <v>25</v>
      </c>
      <c r="B26" s="2" t="s">
        <v>19</v>
      </c>
    </row>
    <row r="27" spans="1:2" x14ac:dyDescent="0.2">
      <c r="A27" s="1">
        <v>26</v>
      </c>
      <c r="B27" s="2" t="s">
        <v>20</v>
      </c>
    </row>
    <row r="28" spans="1:2" x14ac:dyDescent="0.2">
      <c r="A28" s="1">
        <v>27</v>
      </c>
      <c r="B28" s="2" t="s">
        <v>21</v>
      </c>
    </row>
    <row r="29" spans="1:2" x14ac:dyDescent="0.2">
      <c r="A29" s="1">
        <v>28</v>
      </c>
      <c r="B29" s="2" t="s">
        <v>22</v>
      </c>
    </row>
    <row r="30" spans="1:2" x14ac:dyDescent="0.2">
      <c r="A30" s="1">
        <v>29</v>
      </c>
      <c r="B30" s="2" t="s">
        <v>23</v>
      </c>
    </row>
    <row r="31" spans="1:2" x14ac:dyDescent="0.2">
      <c r="A31" s="1">
        <v>30</v>
      </c>
      <c r="B31" s="2" t="s">
        <v>24</v>
      </c>
    </row>
    <row r="32" spans="1:2" x14ac:dyDescent="0.2">
      <c r="A32" s="1">
        <v>31</v>
      </c>
      <c r="B32" s="2" t="s">
        <v>25</v>
      </c>
    </row>
    <row r="33" spans="1:2" x14ac:dyDescent="0.2">
      <c r="B33" s="1" t="s">
        <v>26</v>
      </c>
    </row>
    <row r="34" spans="1:2" x14ac:dyDescent="0.2">
      <c r="A34" s="1" t="s">
        <v>27</v>
      </c>
    </row>
    <row r="36" spans="1:2" x14ac:dyDescent="0.2">
      <c r="A36" s="1" t="s">
        <v>28</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H1" sqref="H1"/>
    </sheetView>
  </sheetViews>
  <sheetFormatPr defaultRowHeight="12.75" x14ac:dyDescent="0.2"/>
  <sheetData>
    <row r="1" spans="1:9" x14ac:dyDescent="0.2">
      <c r="A1" s="4">
        <v>40</v>
      </c>
      <c r="E1" t="s">
        <v>29</v>
      </c>
    </row>
    <row r="2" spans="1:9" x14ac:dyDescent="0.2">
      <c r="A2" s="4">
        <v>34</v>
      </c>
    </row>
    <row r="3" spans="1:9" x14ac:dyDescent="0.2">
      <c r="A3" s="4">
        <v>30</v>
      </c>
      <c r="E3" s="3" t="s">
        <v>30</v>
      </c>
      <c r="F3" s="3"/>
      <c r="G3" s="3"/>
      <c r="H3" s="3"/>
      <c r="I3" s="3"/>
    </row>
    <row r="4" spans="1:9" x14ac:dyDescent="0.2">
      <c r="A4" s="4">
        <v>26</v>
      </c>
    </row>
    <row r="5" spans="1:9" x14ac:dyDescent="0.2">
      <c r="A5" s="4">
        <v>24</v>
      </c>
    </row>
    <row r="6" spans="1:9" x14ac:dyDescent="0.2">
      <c r="A6" s="4">
        <v>22</v>
      </c>
    </row>
    <row r="7" spans="1:9" x14ac:dyDescent="0.2">
      <c r="A7" s="4">
        <v>20</v>
      </c>
    </row>
    <row r="8" spans="1:9" x14ac:dyDescent="0.2">
      <c r="A8" s="4">
        <v>18</v>
      </c>
    </row>
    <row r="9" spans="1:9" x14ac:dyDescent="0.2">
      <c r="A9" s="4">
        <v>16</v>
      </c>
    </row>
    <row r="10" spans="1:9" x14ac:dyDescent="0.2">
      <c r="A10" s="4">
        <v>14</v>
      </c>
    </row>
    <row r="11" spans="1:9" x14ac:dyDescent="0.2">
      <c r="A11" s="4">
        <v>12</v>
      </c>
    </row>
    <row r="12" spans="1:9" x14ac:dyDescent="0.2">
      <c r="A12" s="4">
        <v>10</v>
      </c>
    </row>
    <row r="13" spans="1:9" x14ac:dyDescent="0.2">
      <c r="A13" s="4">
        <v>8</v>
      </c>
    </row>
    <row r="14" spans="1:9" x14ac:dyDescent="0.2">
      <c r="A14" s="4">
        <v>6</v>
      </c>
    </row>
    <row r="15" spans="1:9" x14ac:dyDescent="0.2">
      <c r="A15" s="4">
        <v>4</v>
      </c>
    </row>
    <row r="16" spans="1:9" x14ac:dyDescent="0.2">
      <c r="A16" s="4">
        <v>2</v>
      </c>
    </row>
    <row r="17" spans="1:2" x14ac:dyDescent="0.2">
      <c r="A17" s="4">
        <v>1</v>
      </c>
    </row>
    <row r="18" spans="1:2" x14ac:dyDescent="0.2">
      <c r="A18" s="5">
        <v>0</v>
      </c>
      <c r="B18" t="s">
        <v>31</v>
      </c>
    </row>
    <row r="19" spans="1:2" x14ac:dyDescent="0.2">
      <c r="A19" s="5" t="s">
        <v>32</v>
      </c>
      <c r="B19" t="s">
        <v>33</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2"/>
  <sheetViews>
    <sheetView showGridLines="0" topLeftCell="AC1" workbookViewId="0">
      <pane ySplit="1" topLeftCell="A2" activePane="bottomLeft" state="frozen"/>
      <selection pane="bottomLeft" activeCell="AG1" sqref="AG1"/>
    </sheetView>
  </sheetViews>
  <sheetFormatPr defaultRowHeight="12.75" x14ac:dyDescent="0.2"/>
  <cols>
    <col min="1" max="1" width="3.28515625" customWidth="1"/>
    <col min="2" max="2" width="33.28515625" customWidth="1"/>
    <col min="3" max="3" width="4.7109375" customWidth="1"/>
    <col min="4" max="4" width="1.140625" customWidth="1"/>
    <col min="5" max="5" width="2.7109375" customWidth="1"/>
    <col min="7" max="7" width="2.7109375" customWidth="1"/>
    <col min="8" max="8" width="1.140625" customWidth="1"/>
    <col min="9" max="9" width="2.7109375" customWidth="1"/>
    <col min="11" max="11" width="2.7109375" customWidth="1"/>
    <col min="12" max="12" width="1.140625" customWidth="1"/>
    <col min="13" max="13" width="2.7109375" customWidth="1"/>
    <col min="15" max="15" width="2.7109375" customWidth="1"/>
    <col min="16" max="16" width="1.140625" customWidth="1"/>
    <col min="17" max="17" width="2.7109375" customWidth="1"/>
    <col min="19" max="19" width="2.7109375" customWidth="1"/>
    <col min="20" max="20" width="1.140625" customWidth="1"/>
    <col min="21" max="21" width="2.7109375" customWidth="1"/>
    <col min="23" max="23" width="5.7109375" customWidth="1"/>
    <col min="24" max="24" width="5.5703125" bestFit="1" customWidth="1"/>
    <col min="25" max="25" width="2.7109375" customWidth="1"/>
    <col min="26" max="26" width="1.140625" customWidth="1"/>
    <col min="27" max="27" width="2.7109375" customWidth="1"/>
    <col min="28" max="28" width="4.7109375" customWidth="1"/>
    <col min="32" max="32" width="16.5703125" bestFit="1" customWidth="1"/>
    <col min="34" max="34" width="13.85546875" bestFit="1" customWidth="1"/>
    <col min="36" max="36" width="17.28515625" bestFit="1" customWidth="1"/>
    <col min="38" max="38" width="13.85546875" bestFit="1" customWidth="1"/>
    <col min="40" max="40" width="17.28515625" bestFit="1" customWidth="1"/>
    <col min="42" max="42" width="13.85546875" bestFit="1" customWidth="1"/>
  </cols>
  <sheetData>
    <row r="1" spans="1:42" x14ac:dyDescent="0.2">
      <c r="A1" s="228" t="e">
        <f>UPPER((Kalend!#REF!)&amp;" - "&amp;(Kalend!#REF!))&amp;" - "&amp;LOWER(Kalend!#REF!)&amp;" - "&amp;(Kalend!#REF!)&amp;" kell "&amp;(Kalend!#REF!)&amp;" - "&amp;(Kalend!#REF!)</f>
        <v>#REF!</v>
      </c>
      <c r="F1" s="236"/>
      <c r="G1" s="236"/>
      <c r="H1" s="236"/>
      <c r="I1" s="236"/>
      <c r="J1" s="236"/>
      <c r="K1" s="236"/>
      <c r="L1" s="39"/>
      <c r="M1" s="236"/>
      <c r="N1" s="236"/>
      <c r="O1" s="158"/>
      <c r="P1" s="158"/>
      <c r="Q1" s="199"/>
      <c r="R1" s="199"/>
      <c r="S1" s="199"/>
      <c r="T1" s="39"/>
      <c r="U1" s="39"/>
      <c r="V1" s="39"/>
      <c r="W1" s="158"/>
      <c r="X1" s="353"/>
      <c r="Y1" s="158"/>
      <c r="Z1" s="158"/>
      <c r="AC1" s="1"/>
      <c r="AD1" s="45" t="s">
        <v>73</v>
      </c>
      <c r="AE1" s="230"/>
      <c r="AF1" s="230"/>
      <c r="AG1" s="230"/>
      <c r="AH1" s="230"/>
      <c r="AI1" s="230"/>
      <c r="AJ1" s="230"/>
      <c r="AK1" s="230"/>
      <c r="AL1" s="230"/>
      <c r="AM1" s="230"/>
      <c r="AN1" s="230"/>
      <c r="AO1" s="353"/>
      <c r="AP1" s="353"/>
    </row>
    <row r="2" spans="1:42" x14ac:dyDescent="0.2">
      <c r="A2" s="1"/>
      <c r="B2" s="1"/>
      <c r="C2" s="1"/>
      <c r="D2" s="1"/>
      <c r="E2" s="1"/>
      <c r="F2" s="236"/>
      <c r="G2" s="236"/>
      <c r="H2" s="236"/>
      <c r="I2" s="236"/>
      <c r="J2" s="236"/>
      <c r="K2" s="236"/>
      <c r="L2" s="236"/>
      <c r="M2" s="236"/>
      <c r="N2" s="236"/>
      <c r="O2" s="158"/>
      <c r="P2" s="158"/>
      <c r="Q2" s="158"/>
      <c r="R2" s="158"/>
      <c r="S2" s="158"/>
      <c r="T2" s="236"/>
      <c r="U2" s="236"/>
      <c r="V2" s="237" t="s">
        <v>236</v>
      </c>
      <c r="W2" s="238">
        <v>1</v>
      </c>
      <c r="X2" s="1"/>
      <c r="Y2" s="239" t="s">
        <v>237</v>
      </c>
      <c r="Z2" s="158"/>
      <c r="AA2" s="1"/>
      <c r="AB2" s="1"/>
      <c r="AC2" s="1"/>
      <c r="AD2" s="158"/>
      <c r="AE2" s="158"/>
      <c r="AF2" s="158"/>
      <c r="AG2" s="158"/>
      <c r="AH2" s="158"/>
      <c r="AI2" s="158"/>
      <c r="AJ2" s="239"/>
      <c r="AK2" s="158"/>
      <c r="AL2" s="158"/>
      <c r="AM2" s="158"/>
      <c r="AN2" s="158"/>
      <c r="AO2" s="1"/>
      <c r="AP2" s="1"/>
    </row>
    <row r="3" spans="1:42" x14ac:dyDescent="0.2">
      <c r="A3" s="1"/>
      <c r="B3" s="1"/>
      <c r="C3" s="1"/>
      <c r="D3" s="1"/>
      <c r="E3" s="1"/>
      <c r="F3" s="158"/>
      <c r="G3" s="1"/>
      <c r="H3" s="1"/>
      <c r="I3" s="1"/>
      <c r="J3" s="1"/>
      <c r="K3" s="1"/>
      <c r="L3" s="236"/>
      <c r="M3" s="236"/>
      <c r="N3" s="236"/>
      <c r="O3" s="158"/>
      <c r="P3" s="158"/>
      <c r="Q3" s="158"/>
      <c r="R3" s="158"/>
      <c r="S3" s="158"/>
      <c r="T3" s="236"/>
      <c r="U3" s="236"/>
      <c r="V3" s="240" t="s">
        <v>238</v>
      </c>
      <c r="W3" s="238">
        <v>0.5</v>
      </c>
      <c r="X3" s="1"/>
      <c r="Y3" s="239" t="s">
        <v>237</v>
      </c>
      <c r="Z3" s="158"/>
      <c r="AA3" s="1"/>
      <c r="AB3" s="1"/>
      <c r="AC3" s="1"/>
      <c r="AD3" s="1"/>
      <c r="AE3" s="158"/>
      <c r="AF3" s="1"/>
      <c r="AG3" s="158"/>
      <c r="AH3" s="158"/>
      <c r="AI3" s="158"/>
      <c r="AJ3" s="158"/>
      <c r="AK3" s="158"/>
      <c r="AL3" s="158"/>
      <c r="AM3" s="158"/>
      <c r="AN3" s="158"/>
      <c r="AO3" s="1"/>
      <c r="AP3" s="1"/>
    </row>
    <row r="4" spans="1:42" x14ac:dyDescent="0.2">
      <c r="A4" s="1"/>
      <c r="B4" s="1"/>
      <c r="C4" s="1"/>
      <c r="D4" s="1"/>
      <c r="E4" s="1"/>
      <c r="F4" s="158"/>
      <c r="G4" s="1"/>
      <c r="H4" s="1"/>
      <c r="I4" s="1"/>
      <c r="J4" s="1"/>
      <c r="K4" s="1"/>
      <c r="L4" s="158"/>
      <c r="M4" s="158"/>
      <c r="N4" s="158"/>
      <c r="O4" s="158"/>
      <c r="P4" s="158"/>
      <c r="Q4" s="158"/>
      <c r="R4" s="158"/>
      <c r="S4" s="158"/>
      <c r="T4" s="158"/>
      <c r="U4" s="158"/>
      <c r="V4" s="241" t="s">
        <v>239</v>
      </c>
      <c r="W4" s="238">
        <v>0</v>
      </c>
      <c r="X4" s="1"/>
      <c r="Y4" s="239" t="s">
        <v>237</v>
      </c>
      <c r="Z4" s="158"/>
      <c r="AA4" s="158"/>
      <c r="AB4" s="1"/>
      <c r="AC4" s="1"/>
      <c r="AD4" s="1"/>
      <c r="AE4" s="236"/>
      <c r="AF4" s="236"/>
      <c r="AG4" s="236"/>
      <c r="AH4" s="227"/>
      <c r="AI4" s="236"/>
      <c r="AJ4" s="236"/>
      <c r="AK4" s="236"/>
      <c r="AL4" s="236"/>
      <c r="AM4" s="236"/>
      <c r="AN4" s="236"/>
      <c r="AO4" s="236"/>
      <c r="AP4" s="236"/>
    </row>
    <row r="5" spans="1:42" x14ac:dyDescent="0.2">
      <c r="A5" s="1"/>
      <c r="B5" s="1"/>
      <c r="C5" s="1"/>
      <c r="D5" s="1"/>
      <c r="E5" s="1"/>
      <c r="F5" s="158"/>
      <c r="G5" s="1"/>
      <c r="H5" s="1"/>
      <c r="I5" s="1"/>
      <c r="J5" s="1"/>
      <c r="K5" s="1"/>
      <c r="L5" s="158"/>
      <c r="M5" s="158"/>
      <c r="N5" s="158"/>
      <c r="O5" s="158"/>
      <c r="P5" s="158"/>
      <c r="Q5" s="158"/>
      <c r="R5" s="158"/>
      <c r="S5" s="158"/>
      <c r="T5" s="158"/>
      <c r="U5" s="158"/>
      <c r="V5" s="158"/>
      <c r="W5" s="158"/>
      <c r="X5" s="158"/>
      <c r="Y5" s="158"/>
      <c r="Z5" s="158"/>
      <c r="AA5" s="416" t="s">
        <v>313</v>
      </c>
      <c r="AB5" s="1"/>
      <c r="AC5" s="158"/>
      <c r="AD5" s="413" t="s">
        <v>216</v>
      </c>
      <c r="AE5" s="1"/>
      <c r="AF5" s="1"/>
      <c r="AG5" s="1"/>
      <c r="AH5" s="1"/>
      <c r="AI5" s="1"/>
      <c r="AJ5" s="1"/>
      <c r="AK5" s="1"/>
      <c r="AL5" s="1"/>
      <c r="AM5" s="1"/>
      <c r="AN5" s="1"/>
      <c r="AO5" s="1"/>
      <c r="AP5" s="1"/>
    </row>
    <row r="6" spans="1:42" x14ac:dyDescent="0.2">
      <c r="A6" s="384" t="s">
        <v>10</v>
      </c>
      <c r="B6" s="384" t="s">
        <v>58</v>
      </c>
      <c r="C6" s="385" t="s">
        <v>173</v>
      </c>
      <c r="D6" s="386"/>
      <c r="E6" s="386"/>
      <c r="F6" s="387"/>
      <c r="G6" s="385" t="s">
        <v>176</v>
      </c>
      <c r="H6" s="386"/>
      <c r="I6" s="386"/>
      <c r="J6" s="387"/>
      <c r="K6" s="385" t="s">
        <v>179</v>
      </c>
      <c r="L6" s="386"/>
      <c r="M6" s="386"/>
      <c r="N6" s="387"/>
      <c r="O6" s="385" t="s">
        <v>182</v>
      </c>
      <c r="P6" s="386"/>
      <c r="Q6" s="386"/>
      <c r="R6" s="387"/>
      <c r="S6" s="385" t="s">
        <v>184</v>
      </c>
      <c r="T6" s="386"/>
      <c r="U6" s="386"/>
      <c r="V6" s="387"/>
      <c r="W6" s="384" t="s">
        <v>81</v>
      </c>
      <c r="X6" s="388" t="s">
        <v>300</v>
      </c>
      <c r="Y6" s="388"/>
      <c r="Z6" s="389" t="s">
        <v>301</v>
      </c>
      <c r="AA6" s="390"/>
      <c r="AB6" s="158"/>
      <c r="AC6" s="158"/>
      <c r="AD6" s="159" t="s">
        <v>305</v>
      </c>
      <c r="AE6" s="160"/>
      <c r="AF6" s="160" t="s">
        <v>232</v>
      </c>
      <c r="AG6" s="160"/>
      <c r="AH6" s="231" t="s">
        <v>233</v>
      </c>
      <c r="AI6" s="160"/>
      <c r="AJ6" s="160" t="s">
        <v>234</v>
      </c>
      <c r="AK6" s="161"/>
      <c r="AL6" s="160" t="s">
        <v>235</v>
      </c>
      <c r="AM6" s="161"/>
      <c r="AN6" s="161" t="s">
        <v>311</v>
      </c>
      <c r="AO6" s="412"/>
      <c r="AP6" s="161" t="s">
        <v>312</v>
      </c>
    </row>
    <row r="7" spans="1:42" x14ac:dyDescent="0.2">
      <c r="A7" s="391">
        <v>1</v>
      </c>
      <c r="B7" s="359"/>
      <c r="C7" s="392"/>
      <c r="D7" s="393" t="s">
        <v>302</v>
      </c>
      <c r="E7" s="394"/>
      <c r="F7" s="395"/>
      <c r="G7" s="392"/>
      <c r="H7" s="393" t="s">
        <v>302</v>
      </c>
      <c r="I7" s="394"/>
      <c r="J7" s="395"/>
      <c r="K7" s="392"/>
      <c r="L7" s="393" t="s">
        <v>302</v>
      </c>
      <c r="M7" s="394"/>
      <c r="N7" s="395"/>
      <c r="O7" s="392"/>
      <c r="P7" s="393" t="s">
        <v>302</v>
      </c>
      <c r="Q7" s="394"/>
      <c r="R7" s="395"/>
      <c r="S7" s="392"/>
      <c r="T7" s="393" t="s">
        <v>302</v>
      </c>
      <c r="U7" s="394"/>
      <c r="V7" s="395"/>
      <c r="W7" s="396">
        <f t="shared" ref="W7:W19" si="0">IF(C7&gt;E7,W$2,IF(C7&lt;E7,W$4,IF(ISNUMBER(C7),W$3,0)))+IF(G7&gt;I7,W$2,IF(G7&lt;I7,W$4,IF(ISNUMBER(G7),W$3,0)))+IF(K7&gt;M7,W$2,IF(K7&lt;M7,W$4,IF(ISNUMBER(K7),W$3,0)))+IF(O7&gt;Q7,W$2,IF(O7&lt;Q7,W$4,IF(ISNUMBER(O7),W$3,0)))+IF(S7&gt;U7,W$2,IF(S7&lt;U7,W$4,IF(ISNUMBER(S7),W$3,0)))</f>
        <v>0</v>
      </c>
      <c r="X7" s="397"/>
      <c r="Y7" s="392">
        <f>C7+G7+K7+O7+S7</f>
        <v>0</v>
      </c>
      <c r="Z7" s="393" t="s">
        <v>302</v>
      </c>
      <c r="AA7" s="398">
        <f>E7+I7+M7+Q7+U7</f>
        <v>0</v>
      </c>
      <c r="AB7" s="399">
        <f>Y7-AA7</f>
        <v>0</v>
      </c>
      <c r="AC7" s="1"/>
      <c r="AD7" s="233">
        <f>SUM(AE7:AP7)</f>
        <v>0</v>
      </c>
      <c r="AE7" s="234" t="str">
        <f>IFERROR(INDEX(V!$R:$R,MATCH(AF7,V!$L:$L,0)),"")</f>
        <v/>
      </c>
      <c r="AF7" s="235" t="str">
        <f>IFERROR(LEFT($B7,(FIND(",",$B7,1)-1)),"")</f>
        <v/>
      </c>
      <c r="AG7" s="234" t="str">
        <f>IFERROR(INDEX(V!$R:$R,MATCH(AH7,V!$L:$L,0)),"")</f>
        <v/>
      </c>
      <c r="AH7" s="235" t="str">
        <f>IFERROR(MID($B7,FIND(", ",$B7)+2,256),"")</f>
        <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391">
        <v>2</v>
      </c>
      <c r="B8" s="359"/>
      <c r="C8" s="392"/>
      <c r="D8" s="393" t="s">
        <v>302</v>
      </c>
      <c r="E8" s="394"/>
      <c r="F8" s="395"/>
      <c r="G8" s="392"/>
      <c r="H8" s="393" t="s">
        <v>302</v>
      </c>
      <c r="I8" s="394"/>
      <c r="J8" s="395"/>
      <c r="K8" s="392"/>
      <c r="L8" s="393" t="s">
        <v>302</v>
      </c>
      <c r="M8" s="394"/>
      <c r="N8" s="395"/>
      <c r="O8" s="392"/>
      <c r="P8" s="393" t="s">
        <v>302</v>
      </c>
      <c r="Q8" s="394"/>
      <c r="R8" s="395"/>
      <c r="S8" s="392"/>
      <c r="T8" s="393" t="s">
        <v>302</v>
      </c>
      <c r="U8" s="394"/>
      <c r="V8" s="395"/>
      <c r="W8" s="396">
        <f t="shared" si="0"/>
        <v>0</v>
      </c>
      <c r="X8" s="397"/>
      <c r="Y8" s="392">
        <f t="shared" ref="Y8:Y19" si="1">C8+G8+K8+O8+S8</f>
        <v>0</v>
      </c>
      <c r="Z8" s="393" t="s">
        <v>302</v>
      </c>
      <c r="AA8" s="398">
        <f t="shared" ref="AA8:AA19" si="2">E8+I8+M8+Q8+U8</f>
        <v>0</v>
      </c>
      <c r="AB8" s="399">
        <f t="shared" ref="AB8:AB19" si="3">Y8-AA8</f>
        <v>0</v>
      </c>
      <c r="AC8" s="232"/>
      <c r="AD8" s="233">
        <f t="shared" ref="AD8:AD19" si="4">SUM(AE8:AL8)</f>
        <v>0</v>
      </c>
      <c r="AE8" s="234" t="str">
        <f>IFERROR(INDEX(V!$R:$R,MATCH(AF8,V!$L:$L,0)),"")</f>
        <v/>
      </c>
      <c r="AF8" s="235" t="str">
        <f t="shared" ref="AF8:AF19" si="5">IFERROR(LEFT($B8,(FIND(",",$B8,1)-1)),"")</f>
        <v/>
      </c>
      <c r="AG8" s="234" t="str">
        <f>IFERROR(INDEX(V!$R:$R,MATCH(AH8,V!$L:$L,0)),"")</f>
        <v/>
      </c>
      <c r="AH8" s="235" t="str">
        <f t="shared" ref="AH8:AH19" si="6">IFERROR(MID($B8,FIND(", ",$B8)+2,256),"")</f>
        <v/>
      </c>
      <c r="AI8" s="234" t="str">
        <f>IFERROR(INDEX(V!$R:$R,MATCH(AJ8,V!$L:$L,0)),"")</f>
        <v/>
      </c>
      <c r="AJ8" s="235" t="str">
        <f t="shared" ref="AJ8:AJ19" si="7">IFERROR(MID($B8,FIND("^",SUBSTITUTE($B8,", ","^",1))+2,FIND("^",SUBSTITUTE($B8,", ","^",2))-FIND("^",SUBSTITUTE($B8,", ","^",1))-2),"")</f>
        <v/>
      </c>
      <c r="AK8" s="234" t="str">
        <f>IFERROR(INDEX(V!$R:$R,MATCH(AL8,V!$L:$L,0)),"")</f>
        <v/>
      </c>
      <c r="AL8" s="235" t="str">
        <f t="shared" ref="AL8:AL19" si="8">IFERROR(MID($B8,FIND(", ",$B8,FIND(", ",$B8,FIND(", ",$B8))+1)+2,30000),"")</f>
        <v/>
      </c>
      <c r="AM8" s="234" t="str">
        <f>IFERROR(INDEX(V!$R:$R,MATCH(AN8,V!$L:$L,0)),"")</f>
        <v/>
      </c>
      <c r="AN8" s="235" t="str">
        <f t="shared" ref="AN8:AN19" si="9">IFERROR(MID($B8,FIND(", ",$B8,FIND(", ",$B8)+1)+2,FIND(", ",$B8,FIND(", ",$B8,FIND(", ",$B8)+1)+1)-FIND(", ",$B8,FIND(", ",$B8)+1)-2),"")</f>
        <v/>
      </c>
      <c r="AO8" s="234" t="str">
        <f>IFERROR(INDEX(V!$R:$R,MATCH(AP8,V!$L:$L,0)),"")</f>
        <v/>
      </c>
      <c r="AP8" s="235" t="str">
        <f t="shared" ref="AP8:AP19" si="10">IFERROR(MID($B8,FIND(", ",$B8,FIND(", ",$B8,FIND(", ",$B8)+1)+1)+2,30000),"")</f>
        <v/>
      </c>
    </row>
    <row r="9" spans="1:42" x14ac:dyDescent="0.2">
      <c r="A9" s="391">
        <v>3</v>
      </c>
      <c r="B9" s="304"/>
      <c r="C9" s="392"/>
      <c r="D9" s="393" t="s">
        <v>302</v>
      </c>
      <c r="E9" s="394"/>
      <c r="F9" s="395"/>
      <c r="G9" s="392"/>
      <c r="H9" s="393" t="s">
        <v>302</v>
      </c>
      <c r="I9" s="394"/>
      <c r="J9" s="395"/>
      <c r="K9" s="392"/>
      <c r="L9" s="393" t="s">
        <v>302</v>
      </c>
      <c r="M9" s="394"/>
      <c r="N9" s="395"/>
      <c r="O9" s="392"/>
      <c r="P9" s="393" t="s">
        <v>302</v>
      </c>
      <c r="Q9" s="394"/>
      <c r="R9" s="395"/>
      <c r="S9" s="392"/>
      <c r="T9" s="393" t="s">
        <v>302</v>
      </c>
      <c r="U9" s="394"/>
      <c r="V9" s="395"/>
      <c r="W9" s="396">
        <f t="shared" si="0"/>
        <v>0</v>
      </c>
      <c r="X9" s="397"/>
      <c r="Y9" s="392">
        <f t="shared" si="1"/>
        <v>0</v>
      </c>
      <c r="Z9" s="393" t="s">
        <v>302</v>
      </c>
      <c r="AA9" s="398">
        <f t="shared" si="2"/>
        <v>0</v>
      </c>
      <c r="AB9" s="399">
        <f t="shared" si="3"/>
        <v>0</v>
      </c>
      <c r="AC9" s="232"/>
      <c r="AD9" s="233">
        <f t="shared" si="4"/>
        <v>0</v>
      </c>
      <c r="AE9" s="234" t="str">
        <f>IFERROR(INDEX(V!$R:$R,MATCH(AF9,V!$L:$L,0)),"")</f>
        <v/>
      </c>
      <c r="AF9" s="235" t="str">
        <f t="shared" si="5"/>
        <v/>
      </c>
      <c r="AG9" s="234" t="str">
        <f>IFERROR(INDEX(V!$R:$R,MATCH(AH9,V!$L:$L,0)),"")</f>
        <v/>
      </c>
      <c r="AH9" s="235" t="str">
        <f t="shared" si="6"/>
        <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391">
        <v>4</v>
      </c>
      <c r="B10" s="304"/>
      <c r="C10" s="392"/>
      <c r="D10" s="393" t="s">
        <v>302</v>
      </c>
      <c r="E10" s="394"/>
      <c r="F10" s="395"/>
      <c r="G10" s="392"/>
      <c r="H10" s="393" t="s">
        <v>302</v>
      </c>
      <c r="I10" s="394"/>
      <c r="J10" s="395"/>
      <c r="K10" s="392"/>
      <c r="L10" s="393" t="s">
        <v>302</v>
      </c>
      <c r="M10" s="394"/>
      <c r="N10" s="395"/>
      <c r="O10" s="392"/>
      <c r="P10" s="393" t="s">
        <v>302</v>
      </c>
      <c r="Q10" s="394"/>
      <c r="R10" s="395"/>
      <c r="S10" s="392"/>
      <c r="T10" s="393" t="s">
        <v>302</v>
      </c>
      <c r="U10" s="394"/>
      <c r="V10" s="395"/>
      <c r="W10" s="396">
        <f t="shared" si="0"/>
        <v>0</v>
      </c>
      <c r="X10" s="397"/>
      <c r="Y10" s="392">
        <f t="shared" si="1"/>
        <v>0</v>
      </c>
      <c r="Z10" s="393" t="s">
        <v>302</v>
      </c>
      <c r="AA10" s="398">
        <f t="shared" si="2"/>
        <v>0</v>
      </c>
      <c r="AB10" s="399">
        <f t="shared" si="3"/>
        <v>0</v>
      </c>
      <c r="AC10" s="232"/>
      <c r="AD10" s="233">
        <f t="shared" si="4"/>
        <v>0</v>
      </c>
      <c r="AE10" s="234" t="str">
        <f>IFERROR(INDEX(V!$R:$R,MATCH(AF10,V!$L:$L,0)),"")</f>
        <v/>
      </c>
      <c r="AF10" s="235" t="str">
        <f t="shared" si="5"/>
        <v/>
      </c>
      <c r="AG10" s="234" t="str">
        <f>IFERROR(INDEX(V!$R:$R,MATCH(AH10,V!$L:$L,0)),"")</f>
        <v/>
      </c>
      <c r="AH10" s="235" t="str">
        <f t="shared" si="6"/>
        <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391">
        <v>5</v>
      </c>
      <c r="B11" s="359"/>
      <c r="C11" s="392"/>
      <c r="D11" s="393" t="s">
        <v>302</v>
      </c>
      <c r="E11" s="394"/>
      <c r="F11" s="395"/>
      <c r="G11" s="392"/>
      <c r="H11" s="393" t="s">
        <v>302</v>
      </c>
      <c r="I11" s="394"/>
      <c r="J11" s="395"/>
      <c r="K11" s="392"/>
      <c r="L11" s="393" t="s">
        <v>302</v>
      </c>
      <c r="M11" s="394"/>
      <c r="N11" s="395"/>
      <c r="O11" s="392"/>
      <c r="P11" s="393" t="s">
        <v>302</v>
      </c>
      <c r="Q11" s="394"/>
      <c r="R11" s="395"/>
      <c r="S11" s="392"/>
      <c r="T11" s="393" t="s">
        <v>302</v>
      </c>
      <c r="U11" s="394"/>
      <c r="V11" s="395"/>
      <c r="W11" s="396">
        <f t="shared" si="0"/>
        <v>0</v>
      </c>
      <c r="X11" s="397"/>
      <c r="Y11" s="392">
        <f t="shared" si="1"/>
        <v>0</v>
      </c>
      <c r="Z11" s="393" t="s">
        <v>302</v>
      </c>
      <c r="AA11" s="398">
        <f t="shared" si="2"/>
        <v>0</v>
      </c>
      <c r="AB11" s="399">
        <f t="shared" si="3"/>
        <v>0</v>
      </c>
      <c r="AC11" s="232"/>
      <c r="AD11" s="233">
        <f t="shared" si="4"/>
        <v>0</v>
      </c>
      <c r="AE11" s="234" t="str">
        <f>IFERROR(INDEX(V!$R:$R,MATCH(AF11,V!$L:$L,0)),"")</f>
        <v/>
      </c>
      <c r="AF11" s="235" t="str">
        <f t="shared" si="5"/>
        <v/>
      </c>
      <c r="AG11" s="234" t="str">
        <f>IFERROR(INDEX(V!$R:$R,MATCH(AH11,V!$L:$L,0)),"")</f>
        <v/>
      </c>
      <c r="AH11" s="235" t="str">
        <f t="shared" si="6"/>
        <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391">
        <v>6</v>
      </c>
      <c r="B12" s="304"/>
      <c r="C12" s="392"/>
      <c r="D12" s="393" t="s">
        <v>302</v>
      </c>
      <c r="E12" s="394"/>
      <c r="F12" s="395"/>
      <c r="G12" s="392"/>
      <c r="H12" s="393" t="s">
        <v>302</v>
      </c>
      <c r="I12" s="394"/>
      <c r="J12" s="395"/>
      <c r="K12" s="392"/>
      <c r="L12" s="393" t="s">
        <v>302</v>
      </c>
      <c r="M12" s="394"/>
      <c r="N12" s="395"/>
      <c r="O12" s="392"/>
      <c r="P12" s="393" t="s">
        <v>302</v>
      </c>
      <c r="Q12" s="394"/>
      <c r="R12" s="395"/>
      <c r="S12" s="392"/>
      <c r="T12" s="393" t="s">
        <v>302</v>
      </c>
      <c r="U12" s="394"/>
      <c r="V12" s="395"/>
      <c r="W12" s="396">
        <f t="shared" si="0"/>
        <v>0</v>
      </c>
      <c r="X12" s="397"/>
      <c r="Y12" s="392">
        <f t="shared" si="1"/>
        <v>0</v>
      </c>
      <c r="Z12" s="393" t="s">
        <v>302</v>
      </c>
      <c r="AA12" s="398">
        <f t="shared" si="2"/>
        <v>0</v>
      </c>
      <c r="AB12" s="399">
        <f t="shared" si="3"/>
        <v>0</v>
      </c>
      <c r="AC12" s="232"/>
      <c r="AD12" s="233">
        <f t="shared" si="4"/>
        <v>0</v>
      </c>
      <c r="AE12" s="234" t="str">
        <f>IFERROR(INDEX(V!$R:$R,MATCH(AF12,V!$L:$L,0)),"")</f>
        <v/>
      </c>
      <c r="AF12" s="235" t="str">
        <f t="shared" si="5"/>
        <v/>
      </c>
      <c r="AG12" s="234" t="str">
        <f>IFERROR(INDEX(V!$R:$R,MATCH(AH12,V!$L:$L,0)),"")</f>
        <v/>
      </c>
      <c r="AH12" s="235" t="str">
        <f t="shared" si="6"/>
        <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391">
        <v>7</v>
      </c>
      <c r="B13" s="400"/>
      <c r="C13" s="392"/>
      <c r="D13" s="393" t="s">
        <v>302</v>
      </c>
      <c r="E13" s="394"/>
      <c r="F13" s="395"/>
      <c r="G13" s="392"/>
      <c r="H13" s="393" t="s">
        <v>302</v>
      </c>
      <c r="I13" s="394"/>
      <c r="J13" s="395"/>
      <c r="K13" s="392"/>
      <c r="L13" s="393" t="s">
        <v>302</v>
      </c>
      <c r="M13" s="394"/>
      <c r="N13" s="395"/>
      <c r="O13" s="392"/>
      <c r="P13" s="393" t="s">
        <v>302</v>
      </c>
      <c r="Q13" s="394"/>
      <c r="R13" s="395"/>
      <c r="S13" s="392"/>
      <c r="T13" s="393" t="s">
        <v>302</v>
      </c>
      <c r="U13" s="394"/>
      <c r="V13" s="395"/>
      <c r="W13" s="396">
        <f t="shared" si="0"/>
        <v>0</v>
      </c>
      <c r="X13" s="397"/>
      <c r="Y13" s="392">
        <f t="shared" si="1"/>
        <v>0</v>
      </c>
      <c r="Z13" s="393" t="s">
        <v>302</v>
      </c>
      <c r="AA13" s="398">
        <f t="shared" si="2"/>
        <v>0</v>
      </c>
      <c r="AB13" s="399">
        <f t="shared" si="3"/>
        <v>0</v>
      </c>
      <c r="AC13" s="232"/>
      <c r="AD13" s="233">
        <f t="shared" si="4"/>
        <v>0</v>
      </c>
      <c r="AE13" s="234" t="str">
        <f>IFERROR(INDEX(V!$R:$R,MATCH(AF13,V!$L:$L,0)),"")</f>
        <v/>
      </c>
      <c r="AF13" s="235" t="str">
        <f t="shared" si="5"/>
        <v/>
      </c>
      <c r="AG13" s="234" t="str">
        <f>IFERROR(INDEX(V!$R:$R,MATCH(AH13,V!$L:$L,0)),"")</f>
        <v/>
      </c>
      <c r="AH13" s="235" t="str">
        <f t="shared" si="6"/>
        <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391">
        <v>8</v>
      </c>
      <c r="B14" s="400"/>
      <c r="C14" s="392"/>
      <c r="D14" s="393" t="s">
        <v>302</v>
      </c>
      <c r="E14" s="394"/>
      <c r="F14" s="395"/>
      <c r="G14" s="392"/>
      <c r="H14" s="393" t="s">
        <v>302</v>
      </c>
      <c r="I14" s="394"/>
      <c r="J14" s="395"/>
      <c r="K14" s="392"/>
      <c r="L14" s="393" t="s">
        <v>302</v>
      </c>
      <c r="M14" s="394"/>
      <c r="N14" s="395"/>
      <c r="O14" s="392"/>
      <c r="P14" s="393" t="s">
        <v>302</v>
      </c>
      <c r="Q14" s="394"/>
      <c r="R14" s="395"/>
      <c r="S14" s="392"/>
      <c r="T14" s="393" t="s">
        <v>302</v>
      </c>
      <c r="U14" s="394"/>
      <c r="V14" s="395"/>
      <c r="W14" s="396">
        <f t="shared" si="0"/>
        <v>0</v>
      </c>
      <c r="X14" s="397"/>
      <c r="Y14" s="392">
        <f t="shared" si="1"/>
        <v>0</v>
      </c>
      <c r="Z14" s="393" t="s">
        <v>302</v>
      </c>
      <c r="AA14" s="398">
        <f t="shared" si="2"/>
        <v>0</v>
      </c>
      <c r="AB14" s="399">
        <f t="shared" si="3"/>
        <v>0</v>
      </c>
      <c r="AC14" s="232"/>
      <c r="AD14" s="233">
        <f t="shared" si="4"/>
        <v>0</v>
      </c>
      <c r="AE14" s="234" t="str">
        <f>IFERROR(INDEX(V!$R:$R,MATCH(AF14,V!$L:$L,0)),"")</f>
        <v/>
      </c>
      <c r="AF14" s="235" t="str">
        <f t="shared" si="5"/>
        <v/>
      </c>
      <c r="AG14" s="234" t="str">
        <f>IFERROR(INDEX(V!$R:$R,MATCH(AH14,V!$L:$L,0)),"")</f>
        <v/>
      </c>
      <c r="AH14" s="235" t="str">
        <f t="shared" si="6"/>
        <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391">
        <v>9</v>
      </c>
      <c r="B15" s="304"/>
      <c r="C15" s="392"/>
      <c r="D15" s="393" t="s">
        <v>302</v>
      </c>
      <c r="E15" s="394"/>
      <c r="F15" s="395"/>
      <c r="G15" s="392"/>
      <c r="H15" s="393" t="s">
        <v>302</v>
      </c>
      <c r="I15" s="394"/>
      <c r="J15" s="395"/>
      <c r="K15" s="392"/>
      <c r="L15" s="393" t="s">
        <v>302</v>
      </c>
      <c r="M15" s="394"/>
      <c r="N15" s="395"/>
      <c r="O15" s="392"/>
      <c r="P15" s="393" t="s">
        <v>302</v>
      </c>
      <c r="Q15" s="394"/>
      <c r="R15" s="395"/>
      <c r="S15" s="392"/>
      <c r="T15" s="393" t="s">
        <v>302</v>
      </c>
      <c r="U15" s="394"/>
      <c r="V15" s="395"/>
      <c r="W15" s="396">
        <f t="shared" si="0"/>
        <v>0</v>
      </c>
      <c r="X15" s="397"/>
      <c r="Y15" s="392">
        <f t="shared" si="1"/>
        <v>0</v>
      </c>
      <c r="Z15" s="393" t="s">
        <v>302</v>
      </c>
      <c r="AA15" s="398">
        <f t="shared" si="2"/>
        <v>0</v>
      </c>
      <c r="AB15" s="399">
        <f t="shared" si="3"/>
        <v>0</v>
      </c>
      <c r="AC15" s="232"/>
      <c r="AD15" s="233">
        <f t="shared" si="4"/>
        <v>0</v>
      </c>
      <c r="AE15" s="234" t="str">
        <f>IFERROR(INDEX(V!$R:$R,MATCH(AF15,V!$L:$L,0)),"")</f>
        <v/>
      </c>
      <c r="AF15" s="235" t="str">
        <f t="shared" si="5"/>
        <v/>
      </c>
      <c r="AG15" s="234" t="str">
        <f>IFERROR(INDEX(V!$R:$R,MATCH(AH15,V!$L:$L,0)),"")</f>
        <v/>
      </c>
      <c r="AH15" s="235" t="str">
        <f t="shared" si="6"/>
        <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6" spans="1:42" x14ac:dyDescent="0.2">
      <c r="A16" s="391">
        <v>10</v>
      </c>
      <c r="B16" s="359"/>
      <c r="C16" s="392"/>
      <c r="D16" s="393" t="s">
        <v>302</v>
      </c>
      <c r="E16" s="394"/>
      <c r="F16" s="395"/>
      <c r="G16" s="392"/>
      <c r="H16" s="393" t="s">
        <v>302</v>
      </c>
      <c r="I16" s="394"/>
      <c r="J16" s="395"/>
      <c r="K16" s="392"/>
      <c r="L16" s="393" t="s">
        <v>302</v>
      </c>
      <c r="M16" s="394"/>
      <c r="N16" s="395"/>
      <c r="O16" s="392"/>
      <c r="P16" s="393" t="s">
        <v>302</v>
      </c>
      <c r="Q16" s="394"/>
      <c r="R16" s="395"/>
      <c r="S16" s="392"/>
      <c r="T16" s="393" t="s">
        <v>302</v>
      </c>
      <c r="U16" s="394"/>
      <c r="V16" s="395"/>
      <c r="W16" s="396">
        <f t="shared" si="0"/>
        <v>0</v>
      </c>
      <c r="X16" s="397"/>
      <c r="Y16" s="392">
        <f t="shared" si="1"/>
        <v>0</v>
      </c>
      <c r="Z16" s="393" t="s">
        <v>302</v>
      </c>
      <c r="AA16" s="398">
        <f t="shared" si="2"/>
        <v>0</v>
      </c>
      <c r="AB16" s="399">
        <f t="shared" si="3"/>
        <v>0</v>
      </c>
      <c r="AC16" s="232"/>
      <c r="AD16" s="233">
        <f t="shared" si="4"/>
        <v>0</v>
      </c>
      <c r="AE16" s="234" t="str">
        <f>IFERROR(INDEX(V!$R:$R,MATCH(AF16,V!$L:$L,0)),"")</f>
        <v/>
      </c>
      <c r="AF16" s="235" t="str">
        <f t="shared" si="5"/>
        <v/>
      </c>
      <c r="AG16" s="234" t="str">
        <f>IFERROR(INDEX(V!$R:$R,MATCH(AH16,V!$L:$L,0)),"")</f>
        <v/>
      </c>
      <c r="AH16" s="235" t="str">
        <f t="shared" si="6"/>
        <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7" spans="1:42" x14ac:dyDescent="0.2">
      <c r="A17" s="391">
        <v>11</v>
      </c>
      <c r="B17" s="400"/>
      <c r="C17" s="392"/>
      <c r="D17" s="393" t="s">
        <v>302</v>
      </c>
      <c r="E17" s="394"/>
      <c r="F17" s="395"/>
      <c r="G17" s="392"/>
      <c r="H17" s="393" t="s">
        <v>302</v>
      </c>
      <c r="I17" s="394"/>
      <c r="J17" s="395"/>
      <c r="K17" s="392"/>
      <c r="L17" s="393" t="s">
        <v>302</v>
      </c>
      <c r="M17" s="394"/>
      <c r="N17" s="395"/>
      <c r="O17" s="392"/>
      <c r="P17" s="393" t="s">
        <v>302</v>
      </c>
      <c r="Q17" s="394"/>
      <c r="R17" s="395"/>
      <c r="S17" s="392"/>
      <c r="T17" s="393" t="s">
        <v>302</v>
      </c>
      <c r="U17" s="394"/>
      <c r="V17" s="395"/>
      <c r="W17" s="396">
        <f t="shared" si="0"/>
        <v>0</v>
      </c>
      <c r="X17" s="397"/>
      <c r="Y17" s="392">
        <f t="shared" si="1"/>
        <v>0</v>
      </c>
      <c r="Z17" s="393" t="s">
        <v>302</v>
      </c>
      <c r="AA17" s="398">
        <f t="shared" si="2"/>
        <v>0</v>
      </c>
      <c r="AB17" s="399">
        <f t="shared" si="3"/>
        <v>0</v>
      </c>
      <c r="AC17" s="232"/>
      <c r="AD17" s="233">
        <f t="shared" si="4"/>
        <v>0</v>
      </c>
      <c r="AE17" s="234" t="str">
        <f>IFERROR(INDEX(V!$R:$R,MATCH(AF17,V!$L:$L,0)),"")</f>
        <v/>
      </c>
      <c r="AF17" s="235" t="str">
        <f t="shared" si="5"/>
        <v/>
      </c>
      <c r="AG17" s="234" t="str">
        <f>IFERROR(INDEX(V!$R:$R,MATCH(AH17,V!$L:$L,0)),"")</f>
        <v/>
      </c>
      <c r="AH17" s="235" t="str">
        <f t="shared" si="6"/>
        <v/>
      </c>
      <c r="AI17" s="234" t="str">
        <f>IFERROR(INDEX(V!$R:$R,MATCH(AJ17,V!$L:$L,0)),"")</f>
        <v/>
      </c>
      <c r="AJ17" s="235" t="str">
        <f t="shared" si="7"/>
        <v/>
      </c>
      <c r="AK17" s="234" t="str">
        <f>IFERROR(INDEX(V!$R:$R,MATCH(AL17,V!$L:$L,0)),"")</f>
        <v/>
      </c>
      <c r="AL17" s="235" t="str">
        <f t="shared" si="8"/>
        <v/>
      </c>
      <c r="AM17" s="234" t="str">
        <f>IFERROR(INDEX(V!$R:$R,MATCH(AN17,V!$L:$L,0)),"")</f>
        <v/>
      </c>
      <c r="AN17" s="235" t="str">
        <f t="shared" si="9"/>
        <v/>
      </c>
      <c r="AO17" s="234" t="str">
        <f>IFERROR(INDEX(V!$R:$R,MATCH(AP17,V!$L:$L,0)),"")</f>
        <v/>
      </c>
      <c r="AP17" s="235" t="str">
        <f t="shared" si="10"/>
        <v/>
      </c>
    </row>
    <row r="18" spans="1:42" x14ac:dyDescent="0.2">
      <c r="A18" s="391">
        <v>12</v>
      </c>
      <c r="B18" s="359"/>
      <c r="C18" s="392"/>
      <c r="D18" s="393" t="s">
        <v>302</v>
      </c>
      <c r="E18" s="394"/>
      <c r="F18" s="395"/>
      <c r="G18" s="392"/>
      <c r="H18" s="393" t="s">
        <v>302</v>
      </c>
      <c r="I18" s="394"/>
      <c r="J18" s="395"/>
      <c r="K18" s="392"/>
      <c r="L18" s="393" t="s">
        <v>302</v>
      </c>
      <c r="M18" s="394"/>
      <c r="N18" s="395"/>
      <c r="O18" s="392"/>
      <c r="P18" s="393" t="s">
        <v>302</v>
      </c>
      <c r="Q18" s="394"/>
      <c r="R18" s="395"/>
      <c r="S18" s="392"/>
      <c r="T18" s="393" t="s">
        <v>302</v>
      </c>
      <c r="U18" s="394"/>
      <c r="V18" s="395"/>
      <c r="W18" s="396">
        <f t="shared" si="0"/>
        <v>0</v>
      </c>
      <c r="X18" s="397"/>
      <c r="Y18" s="392">
        <f t="shared" si="1"/>
        <v>0</v>
      </c>
      <c r="Z18" s="393" t="s">
        <v>302</v>
      </c>
      <c r="AA18" s="398">
        <f t="shared" si="2"/>
        <v>0</v>
      </c>
      <c r="AB18" s="399">
        <f t="shared" si="3"/>
        <v>0</v>
      </c>
      <c r="AC18" s="232"/>
      <c r="AD18" s="233">
        <f t="shared" si="4"/>
        <v>0</v>
      </c>
      <c r="AE18" s="234" t="str">
        <f>IFERROR(INDEX(V!$R:$R,MATCH(AF18,V!$L:$L,0)),"")</f>
        <v/>
      </c>
      <c r="AF18" s="235" t="str">
        <f t="shared" si="5"/>
        <v/>
      </c>
      <c r="AG18" s="234" t="str">
        <f>IFERROR(INDEX(V!$R:$R,MATCH(AH18,V!$L:$L,0)),"")</f>
        <v/>
      </c>
      <c r="AH18" s="235" t="str">
        <f t="shared" si="6"/>
        <v/>
      </c>
      <c r="AI18" s="234" t="str">
        <f>IFERROR(INDEX(V!$R:$R,MATCH(AJ18,V!$L:$L,0)),"")</f>
        <v/>
      </c>
      <c r="AJ18" s="235" t="str">
        <f t="shared" si="7"/>
        <v/>
      </c>
      <c r="AK18" s="234" t="str">
        <f>IFERROR(INDEX(V!$R:$R,MATCH(AL18,V!$L:$L,0)),"")</f>
        <v/>
      </c>
      <c r="AL18" s="235" t="str">
        <f t="shared" si="8"/>
        <v/>
      </c>
      <c r="AM18" s="234" t="str">
        <f>IFERROR(INDEX(V!$R:$R,MATCH(AN18,V!$L:$L,0)),"")</f>
        <v/>
      </c>
      <c r="AN18" s="235" t="str">
        <f t="shared" si="9"/>
        <v/>
      </c>
      <c r="AO18" s="234" t="str">
        <f>IFERROR(INDEX(V!$R:$R,MATCH(AP18,V!$L:$L,0)),"")</f>
        <v/>
      </c>
      <c r="AP18" s="235" t="str">
        <f t="shared" si="10"/>
        <v/>
      </c>
    </row>
    <row r="19" spans="1:42" x14ac:dyDescent="0.2">
      <c r="A19" s="391">
        <v>13</v>
      </c>
      <c r="B19" s="400"/>
      <c r="C19" s="392"/>
      <c r="D19" s="393" t="s">
        <v>302</v>
      </c>
      <c r="E19" s="394"/>
      <c r="F19" s="395"/>
      <c r="G19" s="392"/>
      <c r="H19" s="393" t="s">
        <v>302</v>
      </c>
      <c r="I19" s="394"/>
      <c r="J19" s="395"/>
      <c r="K19" s="392"/>
      <c r="L19" s="393" t="s">
        <v>302</v>
      </c>
      <c r="M19" s="394"/>
      <c r="N19" s="395"/>
      <c r="O19" s="392"/>
      <c r="P19" s="393" t="s">
        <v>302</v>
      </c>
      <c r="Q19" s="394"/>
      <c r="R19" s="395"/>
      <c r="S19" s="392"/>
      <c r="T19" s="393" t="s">
        <v>302</v>
      </c>
      <c r="U19" s="394"/>
      <c r="V19" s="395"/>
      <c r="W19" s="396">
        <f t="shared" si="0"/>
        <v>0</v>
      </c>
      <c r="X19" s="397"/>
      <c r="Y19" s="392">
        <f t="shared" si="1"/>
        <v>0</v>
      </c>
      <c r="Z19" s="393" t="s">
        <v>302</v>
      </c>
      <c r="AA19" s="398">
        <f t="shared" si="2"/>
        <v>0</v>
      </c>
      <c r="AB19" s="399">
        <f t="shared" si="3"/>
        <v>0</v>
      </c>
      <c r="AC19" s="232"/>
      <c r="AD19" s="233">
        <f t="shared" si="4"/>
        <v>0</v>
      </c>
      <c r="AE19" s="234" t="str">
        <f>IFERROR(INDEX(V!$R:$R,MATCH(AF19,V!$L:$L,0)),"")</f>
        <v/>
      </c>
      <c r="AF19" s="235" t="str">
        <f t="shared" si="5"/>
        <v/>
      </c>
      <c r="AG19" s="234" t="str">
        <f>IFERROR(INDEX(V!$R:$R,MATCH(AH19,V!$L:$L,0)),"")</f>
        <v/>
      </c>
      <c r="AH19" s="235" t="str">
        <f t="shared" si="6"/>
        <v/>
      </c>
      <c r="AI19" s="234" t="str">
        <f>IFERROR(INDEX(V!$R:$R,MATCH(AJ19,V!$L:$L,0)),"")</f>
        <v/>
      </c>
      <c r="AJ19" s="235" t="str">
        <f t="shared" si="7"/>
        <v/>
      </c>
      <c r="AK19" s="234" t="str">
        <f>IFERROR(INDEX(V!$R:$R,MATCH(AL19,V!$L:$L,0)),"")</f>
        <v/>
      </c>
      <c r="AL19" s="235" t="str">
        <f t="shared" si="8"/>
        <v/>
      </c>
      <c r="AM19" s="234" t="str">
        <f>IFERROR(INDEX(V!$R:$R,MATCH(AN19,V!$L:$L,0)),"")</f>
        <v/>
      </c>
      <c r="AN19" s="235" t="str">
        <f t="shared" si="9"/>
        <v/>
      </c>
      <c r="AO19" s="234" t="str">
        <f>IFERROR(INDEX(V!$R:$R,MATCH(AP19,V!$L:$L,0)),"")</f>
        <v/>
      </c>
      <c r="AP19" s="235" t="str">
        <f t="shared" si="10"/>
        <v/>
      </c>
    </row>
    <row r="299" spans="1:3" x14ac:dyDescent="0.2">
      <c r="A299" s="158"/>
      <c r="B299" s="158"/>
      <c r="C299" s="229" t="s">
        <v>231</v>
      </c>
    </row>
    <row r="300" spans="1:3" x14ac:dyDescent="0.2">
      <c r="A300" s="351">
        <v>1</v>
      </c>
      <c r="B300" s="402">
        <f>IFERROR(INDEX(B$1:B$100,MATCH(A300,A$1:A$100,0)),"")</f>
        <v>0</v>
      </c>
      <c r="C300" s="323">
        <f>IF(21-A300&gt;0,21-A300,1)</f>
        <v>20</v>
      </c>
    </row>
    <row r="301" spans="1:3" x14ac:dyDescent="0.2">
      <c r="A301" s="351">
        <v>2</v>
      </c>
      <c r="B301" s="402">
        <f t="shared" ref="B301:B312" si="11">IFERROR(INDEX(B$1:B$100,MATCH(A301,A$1:A$100,0)),"")</f>
        <v>0</v>
      </c>
      <c r="C301" s="323">
        <f t="shared" ref="C301:C312" si="12">IF(21-A301&gt;0,21-A301,1)</f>
        <v>19</v>
      </c>
    </row>
    <row r="302" spans="1:3" x14ac:dyDescent="0.2">
      <c r="A302" s="351">
        <v>3</v>
      </c>
      <c r="B302" s="402">
        <f t="shared" si="11"/>
        <v>0</v>
      </c>
      <c r="C302" s="323">
        <f t="shared" si="12"/>
        <v>18</v>
      </c>
    </row>
    <row r="303" spans="1:3" x14ac:dyDescent="0.2">
      <c r="A303" s="351">
        <v>4</v>
      </c>
      <c r="B303" s="402">
        <f t="shared" si="11"/>
        <v>0</v>
      </c>
      <c r="C303" s="323">
        <f t="shared" si="12"/>
        <v>17</v>
      </c>
    </row>
    <row r="304" spans="1:3" x14ac:dyDescent="0.2">
      <c r="A304" s="351">
        <v>5</v>
      </c>
      <c r="B304" s="402">
        <f t="shared" si="11"/>
        <v>0</v>
      </c>
      <c r="C304" s="323">
        <f t="shared" si="12"/>
        <v>16</v>
      </c>
    </row>
    <row r="305" spans="1:3" x14ac:dyDescent="0.2">
      <c r="A305" s="351">
        <v>6</v>
      </c>
      <c r="B305" s="402">
        <f t="shared" si="11"/>
        <v>0</v>
      </c>
      <c r="C305" s="323">
        <f t="shared" si="12"/>
        <v>15</v>
      </c>
    </row>
    <row r="306" spans="1:3" x14ac:dyDescent="0.2">
      <c r="A306" s="351">
        <v>7</v>
      </c>
      <c r="B306" s="402">
        <f t="shared" si="11"/>
        <v>0</v>
      </c>
      <c r="C306" s="323">
        <f t="shared" si="12"/>
        <v>14</v>
      </c>
    </row>
    <row r="307" spans="1:3" x14ac:dyDescent="0.2">
      <c r="A307" s="351">
        <v>8</v>
      </c>
      <c r="B307" s="402">
        <f t="shared" si="11"/>
        <v>0</v>
      </c>
      <c r="C307" s="323">
        <f t="shared" si="12"/>
        <v>13</v>
      </c>
    </row>
    <row r="308" spans="1:3" x14ac:dyDescent="0.2">
      <c r="A308" s="351">
        <v>9</v>
      </c>
      <c r="B308" s="402">
        <f t="shared" si="11"/>
        <v>0</v>
      </c>
      <c r="C308" s="323">
        <f t="shared" si="12"/>
        <v>12</v>
      </c>
    </row>
    <row r="309" spans="1:3" x14ac:dyDescent="0.2">
      <c r="A309" s="351">
        <v>10</v>
      </c>
      <c r="B309" s="402">
        <f t="shared" si="11"/>
        <v>0</v>
      </c>
      <c r="C309" s="323">
        <f t="shared" si="12"/>
        <v>11</v>
      </c>
    </row>
    <row r="310" spans="1:3" x14ac:dyDescent="0.2">
      <c r="A310" s="351">
        <v>11</v>
      </c>
      <c r="B310" s="402">
        <f t="shared" si="11"/>
        <v>0</v>
      </c>
      <c r="C310" s="323">
        <f t="shared" si="12"/>
        <v>10</v>
      </c>
    </row>
    <row r="311" spans="1:3" x14ac:dyDescent="0.2">
      <c r="A311" s="351">
        <v>12</v>
      </c>
      <c r="B311" s="402">
        <f t="shared" si="11"/>
        <v>0</v>
      </c>
      <c r="C311" s="323">
        <f t="shared" si="12"/>
        <v>9</v>
      </c>
    </row>
    <row r="312" spans="1:3" x14ac:dyDescent="0.2">
      <c r="A312" s="351">
        <v>13</v>
      </c>
      <c r="B312" s="402">
        <f t="shared" si="11"/>
        <v>0</v>
      </c>
      <c r="C312" s="323">
        <f t="shared" si="12"/>
        <v>8</v>
      </c>
    </row>
  </sheetData>
  <conditionalFormatting sqref="AJ7:AJ19">
    <cfRule type="expression" dxfId="864" priority="43">
      <formula>AND(AI7="",FIND(",",AJ7))</formula>
    </cfRule>
    <cfRule type="expression" dxfId="863" priority="45">
      <formula>AND(AI7="",COUNTIF(AJ7,"*,*")=0)</formula>
    </cfRule>
  </conditionalFormatting>
  <conditionalFormatting sqref="AH7:AH19">
    <cfRule type="expression" dxfId="862" priority="46">
      <formula>AND(AG7="",FIND(",",AH7))</formula>
    </cfRule>
    <cfRule type="expression" dxfId="861" priority="47">
      <formula>AND(AG7="",COUNTIF(AH7,"*,*")=0)</formula>
    </cfRule>
  </conditionalFormatting>
  <conditionalFormatting sqref="AL7:AL19">
    <cfRule type="expression" dxfId="860" priority="48">
      <formula>AND(AK7="",FIND(",",AL7))</formula>
    </cfRule>
    <cfRule type="expression" dxfId="859" priority="49">
      <formula>AND(AK7="",COUNTIF(AL7,"*,*")=0)</formula>
    </cfRule>
  </conditionalFormatting>
  <conditionalFormatting sqref="AF7:AF19">
    <cfRule type="expression" dxfId="858" priority="44">
      <formula>AND(AE7="",COUNTIF(AF7,"*,*")=0)</formula>
    </cfRule>
  </conditionalFormatting>
  <conditionalFormatting sqref="AN7:AN19">
    <cfRule type="expression" dxfId="857" priority="40">
      <formula>AND(AM7="",COUNTIF(AN7,"*,*")=0)</formula>
    </cfRule>
    <cfRule type="expression" dxfId="856" priority="42">
      <formula>AND(AM7="",FIND(",",AN7))</formula>
    </cfRule>
  </conditionalFormatting>
  <conditionalFormatting sqref="AP7:AP19">
    <cfRule type="expression" dxfId="855" priority="39">
      <formula>AND(AO7="",COUNTIF(AP7,"*,*")=0)</formula>
    </cfRule>
    <cfRule type="expression" dxfId="854" priority="41">
      <formula>AND(AO7="",FIND(",",AP7))</formula>
    </cfRule>
  </conditionalFormatting>
  <conditionalFormatting sqref="C7:C19 G7:G19 K7:K19 O7:O19 S7:S19">
    <cfRule type="expression" dxfId="853" priority="6">
      <formula>AND(C7=0,E7=13)</formula>
    </cfRule>
  </conditionalFormatting>
  <conditionalFormatting sqref="C7:C19">
    <cfRule type="expression" dxfId="852" priority="20">
      <formula>IF($C7&gt;$E7,TRUE)</formula>
    </cfRule>
  </conditionalFormatting>
  <conditionalFormatting sqref="E7:E19">
    <cfRule type="expression" dxfId="851" priority="21">
      <formula>IF($C7&lt;$E7,TRUE)</formula>
    </cfRule>
  </conditionalFormatting>
  <conditionalFormatting sqref="K7:K19">
    <cfRule type="expression" dxfId="850" priority="28">
      <formula>IF($K7&gt;$M7,TRUE)</formula>
    </cfRule>
  </conditionalFormatting>
  <conditionalFormatting sqref="M7:M19">
    <cfRule type="expression" dxfId="849" priority="29">
      <formula>IF($K7&lt;$M7,TRUE)</formula>
    </cfRule>
  </conditionalFormatting>
  <conditionalFormatting sqref="O7:O19">
    <cfRule type="expression" dxfId="848" priority="32">
      <formula>IF($O7&gt;$Q7,TRUE)</formula>
    </cfRule>
  </conditionalFormatting>
  <conditionalFormatting sqref="Q7:Q19">
    <cfRule type="expression" dxfId="847" priority="33">
      <formula>IF($O7&lt;$Q7,TRUE)</formula>
    </cfRule>
  </conditionalFormatting>
  <conditionalFormatting sqref="S7:S19">
    <cfRule type="expression" dxfId="846" priority="36">
      <formula>IF($S7&gt;$U7,TRUE)</formula>
    </cfRule>
  </conditionalFormatting>
  <conditionalFormatting sqref="U7:U19">
    <cfRule type="expression" dxfId="845" priority="37">
      <formula>IF($S7&lt;$U7,TRUE)</formula>
    </cfRule>
  </conditionalFormatting>
  <conditionalFormatting sqref="G7:G19">
    <cfRule type="expression" dxfId="844" priority="24">
      <formula>IF($G7&gt;$I7,TRUE)</formula>
    </cfRule>
  </conditionalFormatting>
  <conditionalFormatting sqref="I7:I19">
    <cfRule type="expression" dxfId="843" priority="25">
      <formula>IF($G7&lt;$I7,TRUE)</formula>
    </cfRule>
  </conditionalFormatting>
  <conditionalFormatting sqref="F7:F19">
    <cfRule type="containsText" dxfId="842" priority="11" operator="containsText" text="vaba voor">
      <formula>NOT(ISERROR(SEARCH("vaba voor",F7)))</formula>
    </cfRule>
  </conditionalFormatting>
  <conditionalFormatting sqref="N7:N19">
    <cfRule type="containsText" dxfId="841" priority="9" operator="containsText" text="vaba voor">
      <formula>NOT(ISERROR(SEARCH("vaba voor",N7)))</formula>
    </cfRule>
  </conditionalFormatting>
  <conditionalFormatting sqref="R7:R19">
    <cfRule type="containsText" dxfId="840" priority="12" operator="containsText" text="vaba voor">
      <formula>NOT(ISERROR(SEARCH("vaba voor",R7)))</formula>
    </cfRule>
  </conditionalFormatting>
  <conditionalFormatting sqref="V7:V19">
    <cfRule type="containsText" dxfId="839" priority="8" operator="containsText" text="vaba voor">
      <formula>NOT(ISERROR(SEARCH("vaba voor",V7)))</formula>
    </cfRule>
  </conditionalFormatting>
  <conditionalFormatting sqref="J7:J19">
    <cfRule type="containsText" dxfId="838" priority="10" operator="containsText" text="vaba voor">
      <formula>NOT(ISERROR(SEARCH("vaba voor",J7)))</formula>
    </cfRule>
  </conditionalFormatting>
  <conditionalFormatting sqref="C7:F19">
    <cfRule type="expression" dxfId="837" priority="16">
      <formula>IF(AND(ISNUMBER($C7),$C7=$E7),TRUE)</formula>
    </cfRule>
    <cfRule type="expression" dxfId="836" priority="18">
      <formula>IF($C7&gt;$E7,TRUE)</formula>
    </cfRule>
    <cfRule type="expression" dxfId="835" priority="19">
      <formula>IF($C7&lt;$E7,TRUE)</formula>
    </cfRule>
  </conditionalFormatting>
  <conditionalFormatting sqref="G7:J19">
    <cfRule type="expression" dxfId="834" priority="17">
      <formula>IF(AND(ISNUMBER($G7),$G7=$I7),TRUE)</formula>
    </cfRule>
    <cfRule type="expression" dxfId="833" priority="22">
      <formula>IF($G7&gt;$I7,TRUE)</formula>
    </cfRule>
    <cfRule type="expression" dxfId="832" priority="23">
      <formula>IF($G7&lt;$I7,TRUE)</formula>
    </cfRule>
  </conditionalFormatting>
  <conditionalFormatting sqref="K7:N19">
    <cfRule type="expression" dxfId="831" priority="15">
      <formula>IF(AND(ISNUMBER($K7),$K7=$M7),TRUE)</formula>
    </cfRule>
    <cfRule type="expression" dxfId="830" priority="26">
      <formula>IF($K7&gt;$M7,TRUE)</formula>
    </cfRule>
    <cfRule type="expression" dxfId="829" priority="27">
      <formula>IF($K7&lt;$M7,TRUE)</formula>
    </cfRule>
  </conditionalFormatting>
  <conditionalFormatting sqref="O7:R19">
    <cfRule type="expression" dxfId="828" priority="14">
      <formula>IF(AND(ISNUMBER($O7),$O7=$Q7),TRUE)</formula>
    </cfRule>
    <cfRule type="expression" dxfId="827" priority="30">
      <formula>IF($O7&gt;$Q7,TRUE)</formula>
    </cfRule>
    <cfRule type="expression" dxfId="826" priority="31">
      <formula>IF($O7&lt;$Q7,TRUE)</formula>
    </cfRule>
  </conditionalFormatting>
  <conditionalFormatting sqref="S7:V19">
    <cfRule type="expression" dxfId="825" priority="13">
      <formula>IF(AND(ISNUMBER($S7),$S7=$U7),TRUE)</formula>
    </cfRule>
    <cfRule type="expression" dxfId="824" priority="34">
      <formula>IF($S7&gt;$U7,TRUE)</formula>
    </cfRule>
    <cfRule type="expression" dxfId="823" priority="35">
      <formula>IF($S7&lt;$U7,TRUE)</formula>
    </cfRule>
  </conditionalFormatting>
  <conditionalFormatting sqref="E7:E19 I7:I19 M7:M19 Q7:Q19 U7:U19">
    <cfRule type="expression" dxfId="822" priority="7">
      <formula>AND(E7=0,C7=13)</formula>
    </cfRule>
  </conditionalFormatting>
  <conditionalFormatting sqref="A7:A19">
    <cfRule type="duplicateValues" dxfId="821" priority="38"/>
  </conditionalFormatting>
  <conditionalFormatting sqref="B300:B312">
    <cfRule type="expression" dxfId="820" priority="1">
      <formula>A300=3</formula>
    </cfRule>
    <cfRule type="expression" dxfId="819" priority="2">
      <formula>A300=2</formula>
    </cfRule>
    <cfRule type="expression" dxfId="818" priority="3">
      <formula>A300=1</formula>
    </cfRule>
    <cfRule type="containsBlanks" dxfId="817" priority="4">
      <formula>LEN(TRIM(B300))=0</formula>
    </cfRule>
    <cfRule type="duplicateValues" dxfId="816" priority="5"/>
  </conditionalFormatting>
  <pageMargins left="0.78740157480314965" right="0.39370078740157483" top="0.78740157480314965" bottom="0.39370078740157483" header="0.78740157480314965" footer="0"/>
  <pageSetup paperSize="9" scale="29" fitToHeight="0" orientation="portrait" verticalDpi="1200" r:id="rId1"/>
  <headerFooter>
    <oddHeader>&amp;R&amp;P. leht &amp;N&amp; -st</oddHead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16"/>
  <sheetViews>
    <sheetView showGridLines="0" workbookViewId="0">
      <pane ySplit="1" topLeftCell="A69" activePane="bottomLeft" state="frozen"/>
      <selection pane="bottomLeft" activeCell="N65" sqref="N65"/>
    </sheetView>
  </sheetViews>
  <sheetFormatPr defaultRowHeight="12.75" x14ac:dyDescent="0.2"/>
  <cols>
    <col min="1" max="1" width="3.28515625" style="1" customWidth="1"/>
    <col min="2" max="2" width="33.28515625" style="1" customWidth="1"/>
    <col min="3" max="31" width="9.140625" style="1"/>
    <col min="32" max="32" width="12.7109375" style="1" bestFit="1" customWidth="1"/>
    <col min="33" max="33" width="9.140625" style="1"/>
    <col min="34" max="34" width="13.85546875" style="1" bestFit="1" customWidth="1"/>
    <col min="35" max="35" width="9.140625" style="1"/>
    <col min="36" max="36" width="17.28515625" style="1" bestFit="1" customWidth="1"/>
    <col min="37" max="37" width="9.140625" style="1"/>
    <col min="38" max="38" width="13.85546875" style="1" bestFit="1" customWidth="1"/>
    <col min="39" max="39" width="9.140625" style="1"/>
    <col min="40" max="40" width="17.28515625" style="1" bestFit="1" customWidth="1"/>
    <col min="41" max="41" width="9.140625" style="1"/>
    <col min="42" max="42" width="13.85546875" style="1" bestFit="1" customWidth="1"/>
    <col min="43" max="16384" width="9.140625" style="1"/>
  </cols>
  <sheetData>
    <row r="1" spans="1:42" x14ac:dyDescent="0.2">
      <c r="A1" s="228" t="e">
        <f>UPPER((Kalend!#REF!)&amp;" - "&amp;(Kalend!#REF!))&amp;" - "&amp;LOWER(Kalend!#REF!)&amp;" - "&amp;(Kalend!#REF!)&amp;" kell "&amp;(Kalend!#REF!)&amp;" - "&amp;(Kalend!#REF!)</f>
        <v>#REF!</v>
      </c>
      <c r="C1" s="302"/>
      <c r="D1" s="302"/>
      <c r="E1" s="302"/>
      <c r="F1" s="302"/>
      <c r="G1" s="302"/>
      <c r="H1" s="302"/>
      <c r="I1" s="302"/>
      <c r="J1" s="302"/>
      <c r="K1" s="302"/>
      <c r="L1" s="302"/>
      <c r="M1" s="302"/>
      <c r="N1" s="302"/>
      <c r="O1" s="157" t="s">
        <v>313</v>
      </c>
      <c r="P1" s="272" t="s">
        <v>73</v>
      </c>
      <c r="Q1" s="273"/>
      <c r="R1" s="273"/>
      <c r="S1" s="273"/>
      <c r="T1" s="273"/>
      <c r="U1" s="39"/>
      <c r="V1" s="39"/>
      <c r="W1" s="158"/>
      <c r="X1" s="178"/>
      <c r="Y1" s="158"/>
      <c r="Z1" s="158"/>
      <c r="AA1" s="158"/>
      <c r="AD1" s="45" t="s">
        <v>73</v>
      </c>
      <c r="AE1" s="230"/>
      <c r="AF1" s="230"/>
      <c r="AG1" s="230"/>
      <c r="AH1" s="230"/>
      <c r="AI1" s="230"/>
      <c r="AJ1" s="230"/>
      <c r="AK1" s="230"/>
      <c r="AL1" s="230"/>
      <c r="AM1" s="230"/>
      <c r="AN1" s="230"/>
      <c r="AO1" s="353"/>
      <c r="AP1" s="353"/>
    </row>
    <row r="2" spans="1:42" x14ac:dyDescent="0.2">
      <c r="A2" s="302"/>
      <c r="C2" s="302"/>
      <c r="D2" s="302"/>
      <c r="E2" s="302"/>
      <c r="F2" s="302"/>
      <c r="G2" s="302"/>
      <c r="H2" s="302"/>
      <c r="I2" s="302"/>
      <c r="J2" s="302"/>
      <c r="K2" s="302"/>
      <c r="L2" s="302"/>
      <c r="M2" s="302"/>
      <c r="N2" s="302"/>
      <c r="O2" s="302"/>
      <c r="P2" s="158"/>
      <c r="Q2" s="158"/>
      <c r="R2" s="158"/>
      <c r="S2" s="158"/>
      <c r="T2" s="236"/>
      <c r="U2" s="236"/>
      <c r="V2" s="236"/>
      <c r="W2" s="158"/>
      <c r="X2" s="158"/>
      <c r="Y2" s="158"/>
      <c r="Z2" s="158"/>
      <c r="AD2" s="158"/>
      <c r="AE2" s="158"/>
      <c r="AF2" s="158"/>
      <c r="AG2" s="158"/>
      <c r="AH2" s="158"/>
      <c r="AI2" s="158"/>
      <c r="AJ2" s="239"/>
      <c r="AK2" s="158"/>
      <c r="AL2" s="158"/>
      <c r="AM2" s="158"/>
      <c r="AN2" s="158"/>
    </row>
    <row r="3" spans="1:42" x14ac:dyDescent="0.2">
      <c r="A3" s="302"/>
      <c r="C3" s="302"/>
      <c r="D3" s="302"/>
      <c r="E3" s="302"/>
      <c r="F3" s="302"/>
      <c r="G3" s="302"/>
      <c r="H3" s="302"/>
      <c r="I3" s="302"/>
      <c r="J3" s="302"/>
      <c r="K3" s="302"/>
      <c r="L3" s="302"/>
      <c r="M3" s="302"/>
      <c r="N3" s="302"/>
      <c r="O3" s="302"/>
      <c r="P3" s="158"/>
      <c r="Q3" s="158"/>
      <c r="R3" s="158"/>
      <c r="S3" s="158"/>
      <c r="T3" s="236"/>
      <c r="U3" s="236"/>
      <c r="V3" s="236"/>
      <c r="W3" s="158"/>
      <c r="X3" s="158"/>
      <c r="Y3" s="158"/>
      <c r="Z3" s="158"/>
      <c r="AA3" s="158"/>
      <c r="AE3" s="158"/>
      <c r="AG3" s="158"/>
      <c r="AH3" s="158"/>
      <c r="AI3" s="158"/>
      <c r="AJ3" s="158"/>
      <c r="AK3" s="158"/>
      <c r="AL3" s="158"/>
      <c r="AM3" s="158"/>
      <c r="AN3" s="158"/>
    </row>
    <row r="4" spans="1:42" x14ac:dyDescent="0.2">
      <c r="A4" s="302"/>
      <c r="C4" s="302"/>
      <c r="D4" s="302"/>
      <c r="E4" s="302"/>
      <c r="F4" s="302"/>
      <c r="G4" s="302"/>
      <c r="H4" s="302"/>
      <c r="I4" s="302"/>
      <c r="J4" s="302"/>
      <c r="K4" s="302"/>
      <c r="L4" s="302"/>
      <c r="M4" s="302"/>
      <c r="N4" s="302"/>
      <c r="O4" s="302"/>
      <c r="P4" s="158"/>
      <c r="Q4" s="158"/>
      <c r="R4" s="158"/>
      <c r="S4" s="158"/>
      <c r="T4" s="158"/>
      <c r="U4" s="158"/>
      <c r="V4" s="158"/>
      <c r="W4" s="158"/>
      <c r="X4" s="158"/>
      <c r="Y4" s="158"/>
      <c r="Z4" s="158"/>
      <c r="AA4" s="158"/>
      <c r="AE4" s="236"/>
      <c r="AF4" s="236"/>
      <c r="AG4" s="236"/>
      <c r="AH4" s="227"/>
      <c r="AI4" s="236"/>
      <c r="AJ4" s="236"/>
      <c r="AK4" s="236"/>
      <c r="AL4" s="236"/>
      <c r="AM4" s="236"/>
      <c r="AN4" s="236"/>
      <c r="AO4" s="236"/>
      <c r="AP4" s="236"/>
    </row>
    <row r="5" spans="1:42" x14ac:dyDescent="0.2">
      <c r="C5" s="302"/>
      <c r="D5" s="302"/>
      <c r="E5" s="302"/>
      <c r="F5" s="302"/>
      <c r="G5" s="302"/>
      <c r="H5" s="302"/>
      <c r="I5" s="302"/>
      <c r="J5" s="302"/>
      <c r="K5" s="302"/>
      <c r="L5" s="302"/>
      <c r="M5" s="302"/>
      <c r="N5" s="302"/>
      <c r="O5" s="302"/>
      <c r="P5" s="158"/>
      <c r="Q5" s="158"/>
      <c r="R5" s="158"/>
      <c r="S5" s="158"/>
      <c r="T5" s="158"/>
      <c r="U5" s="158"/>
      <c r="V5" s="158"/>
      <c r="W5" s="158"/>
      <c r="X5" s="158"/>
      <c r="Y5" s="158"/>
      <c r="Z5" s="158"/>
      <c r="AA5" s="158"/>
      <c r="AC5" s="158"/>
      <c r="AD5" s="413" t="s">
        <v>216</v>
      </c>
    </row>
    <row r="6" spans="1:42" x14ac:dyDescent="0.2">
      <c r="A6" s="198" t="s">
        <v>0</v>
      </c>
      <c r="B6" s="242"/>
      <c r="C6" s="163">
        <v>1</v>
      </c>
      <c r="D6" s="163">
        <v>2</v>
      </c>
      <c r="E6" s="163">
        <v>3</v>
      </c>
      <c r="F6" s="163">
        <v>4</v>
      </c>
      <c r="G6" s="163">
        <v>5</v>
      </c>
      <c r="H6" s="163" t="s">
        <v>170</v>
      </c>
      <c r="I6" s="162" t="s">
        <v>171</v>
      </c>
      <c r="J6" s="243" t="s">
        <v>240</v>
      </c>
      <c r="K6" s="244" t="s">
        <v>241</v>
      </c>
      <c r="L6" s="245" t="s">
        <v>242</v>
      </c>
      <c r="M6" s="245" t="s">
        <v>243</v>
      </c>
      <c r="N6" s="246" t="s">
        <v>172</v>
      </c>
      <c r="O6" s="246" t="s">
        <v>172</v>
      </c>
      <c r="P6" s="247" t="s">
        <v>244</v>
      </c>
      <c r="Q6" s="248" t="s">
        <v>21</v>
      </c>
      <c r="R6" s="248" t="b">
        <f>OR(AND(COUNTA(B7:B11)=3,COUNTA(C7:G11)=6),AND(COUNTA(B7:B11)=4,COUNTA(C7:G11)=12),AND(COUNTA(B7:B11)=5,COUNTA(C7:G11)=20))</f>
        <v>0</v>
      </c>
      <c r="S6" s="249" t="s">
        <v>245</v>
      </c>
      <c r="T6" s="250" t="s">
        <v>246</v>
      </c>
      <c r="U6" s="35"/>
      <c r="AC6" s="158"/>
      <c r="AD6" s="159" t="s">
        <v>305</v>
      </c>
      <c r="AE6" s="160"/>
      <c r="AF6" s="160" t="s">
        <v>232</v>
      </c>
      <c r="AG6" s="160"/>
      <c r="AH6" s="231" t="s">
        <v>233</v>
      </c>
      <c r="AI6" s="160"/>
      <c r="AJ6" s="160" t="s">
        <v>234</v>
      </c>
      <c r="AK6" s="161"/>
      <c r="AL6" s="160" t="s">
        <v>235</v>
      </c>
      <c r="AM6" s="161"/>
      <c r="AN6" s="161" t="s">
        <v>311</v>
      </c>
      <c r="AO6" s="412"/>
      <c r="AP6" s="161" t="s">
        <v>312</v>
      </c>
    </row>
    <row r="7" spans="1:42" x14ac:dyDescent="0.2">
      <c r="A7" s="201">
        <v>1</v>
      </c>
      <c r="B7" s="304"/>
      <c r="C7" s="204"/>
      <c r="D7" s="203"/>
      <c r="E7" s="203"/>
      <c r="F7" s="203"/>
      <c r="G7" s="203"/>
      <c r="H7" s="202" t="str">
        <f>(IF(D7-C8&gt;0,1)+IF(E7-C9&gt;0,1)+IF(F7-C10&gt;0,1)+IF(G7-C11&gt;0,1))&amp;"-"&amp;(IF(D7-C8&lt;0,1)+IF(E7-C9&lt;0,1)+IF(F7-C10&lt;0,1)+IF(G7-C11&lt;0,1))</f>
        <v>0-0</v>
      </c>
      <c r="I7" s="203" t="str">
        <f>IF(AND(B7&lt;&gt;"",R$6=TRUE),A$6&amp;RANK(S7,S$7:S$11,0)," ")</f>
        <v xml:space="preserve"> </v>
      </c>
      <c r="J7" s="305">
        <f>IF(AND(Q7=1,Q8=1,D7&gt;C8),1)+IF(AND(Q7=1,Q9=1,E7&gt;C9),1)+IF(AND(Q7=1,Q10=1,F7&gt;C10),1)+IF(AND(Q7=1,Q11=1,G7&gt;C11),1)+IF(AND(Q7=2,Q8=2,D7&gt;C8),1)+IF(AND(Q7=2,Q9=2,E7&gt;C9),1)+IF(AND(Q7=2,Q10=2,F7&gt;C10),1)+IF(AND(Q7=2,Q11=2,G7&gt;C11),1)+IF(AND(Q7=3,Q8=3,D7&gt;C8),1)+IF(AND(Q7=3,Q9=3,E7&gt;C9),1)+IF(AND(Q7=3,Q10=3,F7&gt;C10),1)+IF(AND(Q7=3,Q11=3,G7&gt;C11),1)</f>
        <v>0</v>
      </c>
      <c r="K7" s="306">
        <f>SUM(AND(T7=T8,D7&gt;C8),AND(T7=T9,E7&gt;C9),AND(T7=T10,F7&gt;C10),AND(T7=T11,G7&gt;C11))</f>
        <v>0</v>
      </c>
      <c r="L7" s="307">
        <f>IF(AND(Q7=1,Q8=1),D7-C8)+IF(AND(Q7=1,Q9=1),E7-C9)+IF(AND(Q7=1,Q10=1),F7-C10)+IF(AND(Q7=1,Q11=1),G7-C11)+IF(AND(Q7=2,Q8=2),D7-C8)+IF(AND(Q7=2,Q9=2),E7-C9)+IF(AND(Q7=2,Q10=2),F7-C10)+IF(AND(Q7=2,Q11=2),G7-C11)+IF(AND(Q7=3,Q8=3),D7-C8)+IF(AND(Q7=3,Q9=3),E7-C9)+IF(AND(Q7=3,Q10=3),F7-C10)+IF(AND(Q7=3,Q11=3),G7-C11)+IF(AND(Q7=4,Q8=4),D7-C8)+IF(AND(Q7=4,Q9=4),E7-C9)+IF(AND(Q7=4,Q10=4),F7-C10)+IF(AND(Q7=4,Q11=4),G7-C11)</f>
        <v>0</v>
      </c>
      <c r="M7" s="308">
        <f>SUM(AND(R7=R8,D7&gt;C8),AND(R7=R9,E7&gt;C9),AND(R7=R10,F7&gt;C10),AND(R7=R11,G7&gt;C11))</f>
        <v>0</v>
      </c>
      <c r="N7" s="417" t="str">
        <f>SUM(C7:G7)&amp;"-"&amp;SUM(C7:C11)</f>
        <v>0-0</v>
      </c>
      <c r="O7" s="354">
        <f>D7+E7+F7+G7-C8-C9-C10-C11</f>
        <v>0</v>
      </c>
      <c r="P7" s="309" t="e">
        <f>SUM(C7:G7,C7:C11)/SUM(C7:C11)</f>
        <v>#DIV/0!</v>
      </c>
      <c r="Q7" s="205">
        <f>VALUE(LEFT(H7,1))</f>
        <v>0</v>
      </c>
      <c r="R7" s="206">
        <f>Q7*100000+J7*10000+K7*1000+100*L7</f>
        <v>0</v>
      </c>
      <c r="S7" s="310">
        <f>R7+M7*0.1+IF(ISNONTEXT(B7),0,0.01)+0.0001*O7</f>
        <v>0</v>
      </c>
      <c r="T7" s="311" t="str">
        <f>Q7&amp;J7</f>
        <v>00</v>
      </c>
      <c r="U7" s="302"/>
      <c r="V7" s="302"/>
      <c r="W7" s="302"/>
      <c r="X7" s="302"/>
      <c r="Y7" s="302"/>
      <c r="Z7" s="302"/>
      <c r="AA7" s="302"/>
      <c r="AB7" s="302"/>
      <c r="AC7" s="302"/>
      <c r="AD7" s="233">
        <f>SUM(AE7:AP7)</f>
        <v>0</v>
      </c>
      <c r="AE7" s="234" t="str">
        <f>IFERROR(INDEX(V!$R:$R,MATCH(AF7,V!$L:$L,0)),"")</f>
        <v/>
      </c>
      <c r="AF7" s="235" t="str">
        <f>IFERROR(LEFT($B7,(FIND(",",$B7,1)-1)),"")</f>
        <v/>
      </c>
      <c r="AG7" s="234" t="str">
        <f>IFERROR(INDEX(V!$R:$R,MATCH(AH7,V!$L:$L,0)),"")</f>
        <v/>
      </c>
      <c r="AH7" s="235" t="str">
        <f>IFERROR(MID($B7,FIND(", ",$B7)+2,256),"")</f>
        <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201">
        <v>2</v>
      </c>
      <c r="B8" s="312"/>
      <c r="C8" s="203"/>
      <c r="D8" s="204"/>
      <c r="E8" s="203"/>
      <c r="F8" s="203"/>
      <c r="G8" s="203"/>
      <c r="H8" s="202" t="str">
        <f>(IF(C8-D7&gt;0,1)+IF(E8-D9&gt;0,1)+IF(F8-D10&gt;0,1)+IF(G8-D11&gt;0,1))&amp;"-"&amp;(IF(C8-D7&lt;0,1)+IF(E8-D9&lt;0,1)+IF(F8-D10&lt;0,1)+IF(G8-D11&lt;0,1))</f>
        <v>0-0</v>
      </c>
      <c r="I8" s="203" t="str">
        <f>IF(AND(B8&lt;&gt;"",R$6=TRUE),A$6&amp;RANK(S8,S$7:S$11,0)," ")</f>
        <v xml:space="preserve"> </v>
      </c>
      <c r="J8" s="313">
        <f>IF(AND(Q8=1,Q7=1,C8&gt;D7),1)+IF(AND(Q8=1,Q9=1,E8&gt;D9),1)+IF(AND(Q8=1,Q10=1,F8&gt;D10),1)+IF(AND(Q8=1,Q11=1,G8&gt;D11),1)+IF(AND(Q8=2,Q7=2,C8&gt;D7),1)+IF(AND(Q8=2,Q9=2,E8&gt;D9),1)+IF(AND(Q8=2,Q10=2,F8&gt;D10),1)+IF(AND(Q8=2,Q11=2,G8&gt;D11),1)+IF(AND(Q8=3,Q7=3,C8&gt;D7),1)+IF(AND(Q8=3,Q9=3,E8&gt;D9),1)+IF(AND(Q8=3,Q10=3,F8&gt;D10),1)+IF(AND(Q8=3,Q11=3,G8&gt;D11),1)</f>
        <v>0</v>
      </c>
      <c r="K8" s="308">
        <f>SUM(AND(T8=T7,C8&gt;D7),AND(T8=T9,E8&gt;D9),AND(T8=T10,F8&gt;D10),AND(T8=T11,G8&gt;D11))</f>
        <v>0</v>
      </c>
      <c r="L8" s="314">
        <f>IF(AND(Q8=1,Q7=1),C8-D7)+IF(AND(Q8=1,Q9=1),E8-D9)+IF(AND(Q8=1,Q10=1),F8-D10)+IF(AND(Q8=1,Q11=1),G8-D11)+IF(AND(Q8=2,Q7=2),C8-D7)+IF(AND(Q8=2,Q9=2),E8-D9)+IF(AND(Q8=2,Q10=2),F8-D10)+IF(AND(Q8=2,Q11=2),G8-D11)+IF(AND(Q8=3,Q7=3),C8-D7)+IF(AND(Q8=3,Q9=3),E8-D9)+IF(AND(Q8=3,Q10=3),F8-D10)+IF(AND(Q8=3,Q11=3),G8-D11)+IF(AND(Q8=4,Q7=4),C8-D7)+IF(AND(Q8=4,Q9=4),E8-D9)+IF(AND(Q8=4,Q10=4),F8-D10)+IF(AND(Q8=4,Q11=4),G8-D11)</f>
        <v>0</v>
      </c>
      <c r="M8" s="308">
        <f>SUM(AND(R8=R7,C8&gt;D7),AND(R8=R9,E8&gt;D9),AND(R8=R10,F8&gt;D10),AND(R8=R11,G8&gt;D11))</f>
        <v>0</v>
      </c>
      <c r="N8" s="417" t="str">
        <f>SUM(C8:G8)&amp;"-"&amp;SUM(D7:D11)</f>
        <v>0-0</v>
      </c>
      <c r="O8" s="354">
        <f>C8+E8+F8+G8-D7-D9-D10-D11</f>
        <v>0</v>
      </c>
      <c r="P8" s="309" t="e">
        <f>SUM(C8:G8,D7:D11)/SUM(D7:D11)</f>
        <v>#DIV/0!</v>
      </c>
      <c r="Q8" s="315">
        <f>VALUE(LEFT(H8,1))</f>
        <v>0</v>
      </c>
      <c r="R8" s="206">
        <f>Q8*100000+J8*10000+K8*1000+100*L8</f>
        <v>0</v>
      </c>
      <c r="S8" s="310">
        <f>R8+M8*0.1+IF(ISNONTEXT(B8),0,0.01)+0.0001*O8</f>
        <v>0</v>
      </c>
      <c r="T8" s="311" t="str">
        <f>Q8&amp;J8</f>
        <v>00</v>
      </c>
      <c r="U8" s="302"/>
      <c r="V8" s="302"/>
      <c r="W8" s="302"/>
      <c r="X8" s="302"/>
      <c r="Y8" s="302"/>
      <c r="Z8" s="302"/>
      <c r="AA8" s="302"/>
      <c r="AB8" s="302"/>
      <c r="AC8" s="309"/>
      <c r="AD8" s="233">
        <f t="shared" ref="AD8:AD19" si="0">SUM(AE8:AL8)</f>
        <v>0</v>
      </c>
      <c r="AE8" s="234" t="str">
        <f>IFERROR(INDEX(V!$R:$R,MATCH(AF8,V!$L:$L,0)),"")</f>
        <v/>
      </c>
      <c r="AF8" s="235" t="str">
        <f t="shared" ref="AF8:AF31" si="1">IFERROR(LEFT($B8,(FIND(",",$B8,1)-1)),"")</f>
        <v/>
      </c>
      <c r="AG8" s="234" t="str">
        <f>IFERROR(INDEX(V!$R:$R,MATCH(AH8,V!$L:$L,0)),"")</f>
        <v/>
      </c>
      <c r="AH8" s="235" t="str">
        <f t="shared" ref="AH8:AH31" si="2">IFERROR(MID($B8,FIND(", ",$B8)+2,256),"")</f>
        <v/>
      </c>
      <c r="AI8" s="234" t="str">
        <f>IFERROR(INDEX(V!$R:$R,MATCH(AJ8,V!$L:$L,0)),"")</f>
        <v/>
      </c>
      <c r="AJ8" s="235" t="str">
        <f t="shared" ref="AJ8:AJ31" si="3">IFERROR(MID($B8,FIND("^",SUBSTITUTE($B8,", ","^",1))+2,FIND("^",SUBSTITUTE($B8,", ","^",2))-FIND("^",SUBSTITUTE($B8,", ","^",1))-2),"")</f>
        <v/>
      </c>
      <c r="AK8" s="234" t="str">
        <f>IFERROR(INDEX(V!$R:$R,MATCH(AL8,V!$L:$L,0)),"")</f>
        <v/>
      </c>
      <c r="AL8" s="235" t="str">
        <f t="shared" ref="AL8:AL31" si="4">IFERROR(MID($B8,FIND(", ",$B8,FIND(", ",$B8,FIND(", ",$B8))+1)+2,30000),"")</f>
        <v/>
      </c>
      <c r="AM8" s="234" t="str">
        <f>IFERROR(INDEX(V!$R:$R,MATCH(AN8,V!$L:$L,0)),"")</f>
        <v/>
      </c>
      <c r="AN8" s="235" t="str">
        <f t="shared" ref="AN8:AN31" si="5">IFERROR(MID($B8,FIND(", ",$B8,FIND(", ",$B8)+1)+2,FIND(", ",$B8,FIND(", ",$B8,FIND(", ",$B8)+1)+1)-FIND(", ",$B8,FIND(", ",$B8)+1)-2),"")</f>
        <v/>
      </c>
      <c r="AO8" s="234" t="str">
        <f>IFERROR(INDEX(V!$R:$R,MATCH(AP8,V!$L:$L,0)),"")</f>
        <v/>
      </c>
      <c r="AP8" s="235" t="str">
        <f t="shared" ref="AP8:AP31" si="6">IFERROR(MID($B8,FIND(", ",$B8,FIND(", ",$B8,FIND(", ",$B8)+1)+1)+2,30000),"")</f>
        <v/>
      </c>
    </row>
    <row r="9" spans="1:42" x14ac:dyDescent="0.2">
      <c r="A9" s="201">
        <v>3</v>
      </c>
      <c r="B9" s="312"/>
      <c r="C9" s="203"/>
      <c r="D9" s="316"/>
      <c r="E9" s="204"/>
      <c r="F9" s="203"/>
      <c r="G9" s="203"/>
      <c r="H9" s="202" t="str">
        <f>(IF(C9-E7&gt;0,1)+IF(D9-E8&gt;0,1)+IF(F9-E10&gt;0,1)+IF(G9-E11&gt;0,1))&amp;"-"&amp;(IF(C9-E7&lt;0,1)+IF(D9-E8&lt;0,1)+IF(F9-E10&lt;0,1)+IF(G9-E11&lt;0,1))</f>
        <v>0-0</v>
      </c>
      <c r="I9" s="203" t="str">
        <f>IF(AND(B9&lt;&gt;"",R$6=TRUE),A$6&amp;RANK(S9,S$7:S$11,0)," ")</f>
        <v xml:space="preserve"> </v>
      </c>
      <c r="J9" s="313">
        <f>IF(AND(Q9=1,Q7=1,C9&gt;E7),1)+IF(AND(Q9=1,Q8=1,D9&gt;E8),1)+IF(AND(Q9=1,Q10=1,F9&gt;E10),1)+IF(AND(Q9=1,Q11=1,G9&gt;E11),1)+IF(AND(Q9=2,Q7=2,C9&gt;E7),1)+IF(AND(Q9=2,Q8=2,D9&gt;E8),1)+IF(AND(Q9=2,Q10=2,F9&gt;E10),1)+IF(AND(Q9=2,Q11=2,G9&gt;E11),1)+IF(AND(Q9=3,Q7=3,C9&gt;E7),1)+IF(AND(Q9=3,Q8=3,D9&gt;E8),1)+IF(AND(Q9=3,Q10=3,F9&gt;E10),1)+IF(AND(Q9=3,Q11=3,G9&gt;E11),1)</f>
        <v>0</v>
      </c>
      <c r="K9" s="308">
        <f>SUM(AND(T9=T7,C9&gt;E7),AND(T9=T8,D9&gt;E8),AND(T9=T10,F9&gt;E10),AND(T9=T11,G9&gt;E11))</f>
        <v>0</v>
      </c>
      <c r="L9" s="314">
        <f>IF(AND(Q9=1,Q7=1),C9-E7)+IF(AND(Q9=1,Q8=1),D9-E8)+IF(AND(Q9=1,Q10=1),F9-E10)+IF(AND(Q9=1,Q11=1),G9-E11)+IF(AND(Q9=2,Q7=2),C9-E7)+IF(AND(Q9=2,Q8=2),D9-E8)+IF(AND(Q9=2,Q10=2),F9-E10)+IF(AND(Q9=2,Q11=2),G9-E11)+IF(AND(Q9=3,Q7=3),C9-E7)+IF(AND(Q9=3,Q8=3),D9-E8)+IF(AND(Q9=3,Q10=3),F9-E10)+IF(AND(Q9=3,Q11=3),G9-E11)+IF(AND(Q9=4,Q7=4),C9-E7)+IF(AND(Q9=4,Q8=4),D9-E8)+IF(AND(Q9=4,Q10=4),F9-E10)+IF(AND(Q9=4,Q11=4),G9-E11)</f>
        <v>0</v>
      </c>
      <c r="M9" s="308">
        <f>SUM(AND(R9=R7,C9&gt;E7),AND(R9=R8,D9&gt;E8),AND(R9=R10,F9&gt;E10),AND(R9=R11,G9&gt;E11))</f>
        <v>0</v>
      </c>
      <c r="N9" s="417" t="str">
        <f>SUM(C9:G9)&amp;"-"&amp;SUM(E7:E11)</f>
        <v>0-0</v>
      </c>
      <c r="O9" s="354">
        <f>C9+D9+F9+G9-E7-E8-E10-E11</f>
        <v>0</v>
      </c>
      <c r="P9" s="309" t="e">
        <f>SUM(C9:G9,E7:E11)/SUM(E7:E11)</f>
        <v>#DIV/0!</v>
      </c>
      <c r="Q9" s="315">
        <f>VALUE(LEFT(H9,1))</f>
        <v>0</v>
      </c>
      <c r="R9" s="206">
        <f>Q9*100000+J9*10000+K9*1000+100*L9</f>
        <v>0</v>
      </c>
      <c r="S9" s="310">
        <f>R9+M9*0.1+IF(ISNONTEXT(B9),0,0.01)+0.0001*O9</f>
        <v>0</v>
      </c>
      <c r="T9" s="311" t="str">
        <f>Q9&amp;J9</f>
        <v>00</v>
      </c>
      <c r="U9" s="302"/>
      <c r="V9" s="302"/>
      <c r="W9" s="302"/>
      <c r="X9" s="302"/>
      <c r="Y9" s="302"/>
      <c r="Z9" s="302"/>
      <c r="AA9" s="302"/>
      <c r="AB9" s="302"/>
      <c r="AC9" s="309"/>
      <c r="AD9" s="233">
        <f t="shared" si="0"/>
        <v>0</v>
      </c>
      <c r="AE9" s="234" t="str">
        <f>IFERROR(INDEX(V!$R:$R,MATCH(AF9,V!$L:$L,0)),"")</f>
        <v/>
      </c>
      <c r="AF9" s="235" t="str">
        <f t="shared" si="1"/>
        <v/>
      </c>
      <c r="AG9" s="234" t="str">
        <f>IFERROR(INDEX(V!$R:$R,MATCH(AH9,V!$L:$L,0)),"")</f>
        <v/>
      </c>
      <c r="AH9" s="235" t="str">
        <f t="shared" si="2"/>
        <v/>
      </c>
      <c r="AI9" s="234" t="str">
        <f>IFERROR(INDEX(V!$R:$R,MATCH(AJ9,V!$L:$L,0)),"")</f>
        <v/>
      </c>
      <c r="AJ9" s="235" t="str">
        <f t="shared" si="3"/>
        <v/>
      </c>
      <c r="AK9" s="234" t="str">
        <f>IFERROR(INDEX(V!$R:$R,MATCH(AL9,V!$L:$L,0)),"")</f>
        <v/>
      </c>
      <c r="AL9" s="235" t="str">
        <f t="shared" si="4"/>
        <v/>
      </c>
      <c r="AM9" s="234" t="str">
        <f>IFERROR(INDEX(V!$R:$R,MATCH(AN9,V!$L:$L,0)),"")</f>
        <v/>
      </c>
      <c r="AN9" s="235" t="str">
        <f t="shared" si="5"/>
        <v/>
      </c>
      <c r="AO9" s="234" t="str">
        <f>IFERROR(INDEX(V!$R:$R,MATCH(AP9,V!$L:$L,0)),"")</f>
        <v/>
      </c>
      <c r="AP9" s="235" t="str">
        <f t="shared" si="6"/>
        <v/>
      </c>
    </row>
    <row r="10" spans="1:42" x14ac:dyDescent="0.2">
      <c r="A10" s="201">
        <v>4</v>
      </c>
      <c r="B10" s="317"/>
      <c r="C10" s="203"/>
      <c r="D10" s="316"/>
      <c r="E10" s="203"/>
      <c r="F10" s="204"/>
      <c r="G10" s="203"/>
      <c r="H10" s="202" t="str">
        <f>(IF(C10-F7&gt;0,1)+IF(D10-F8&gt;0,1)+IF(E10-F9&gt;0,1)+IF(G10-F11&gt;0,1))&amp;"-"&amp;(IF(C10-F7&lt;0,1)+IF(D10-F8&lt;0,1)+IF(E10-F9&lt;0,1)+IF(G10-F11&lt;0,1))</f>
        <v>0-0</v>
      </c>
      <c r="I10" s="203" t="str">
        <f>IF(AND(B10&lt;&gt;"",R$6=TRUE),A$6&amp;RANK(S10,S$7:S$11,0)," ")</f>
        <v xml:space="preserve"> </v>
      </c>
      <c r="J10" s="313">
        <f>IF(AND(Q10=1,Q7=1,C10&gt;F7),1)+IF(AND(Q10=1,Q8=1,D10&gt;F8),1)+IF(AND(Q10=1,Q9=1,E10&gt;F9),1)+IF(AND(Q10=1,Q11=1,G10&gt;F11),1)+IF(AND(Q10=2,Q7=2,C10&gt;F7),1)+IF(AND(Q10=2,Q8=2,D10&gt;F8),1)+IF(AND(Q10=2,Q9=2,E10&gt;F9),1)+IF(AND(Q10=2,Q11=2,G10&gt;F11),1)+IF(AND(Q10=3,Q7=3,C10&gt;F7),1)+IF(AND(Q10=3,Q8=3,D10&gt;F8),1)+IF(AND(Q10=3,Q9=3,E10&gt;F9),1)+IF(AND(Q10=3,Q11=3,G10&gt;F11),1)</f>
        <v>0</v>
      </c>
      <c r="K10" s="308">
        <f>SUM(AND(T10=T7,C10&gt;F7),AND(T10=T8,D10&gt;F8),AND(T10=T9,E10&gt;F9),AND(T10=T11,G10&gt;F11))</f>
        <v>0</v>
      </c>
      <c r="L10" s="314">
        <f>IF(AND(Q10=1,Q7=1),C10-F7)+IF(AND(Q10=1,Q8=1),D10-F8)+IF(AND(Q10=1,Q9=1),E10-F9)+IF(AND(Q10=1,Q11=1),G10-F11)+IF(AND(Q10=2,Q7=2),C10-F7)+IF(AND(Q10=2,Q8=2),D10-F8)+IF(AND(Q10=2,Q9=2),E10-F9)+IF(AND(Q10=2,Q11=2),G10-F11)+IF(AND(Q10=3,Q7=3),C10-F7)+IF(AND(Q10=3,Q8=3),D10-F8)+IF(AND(Q10=3,Q9=3),E10-F9)+IF(AND(Q10=3,Q11=3),G10-F11)+IF(AND(Q10=4,Q7=4),C10-F7)+IF(AND(Q10=4,Q8=4),D10-F8)+IF(AND(Q10=4,Q9=4),E10-F9)+IF(AND(Q10=4,Q11=4),G10-F11)</f>
        <v>0</v>
      </c>
      <c r="M10" s="308">
        <f>SUM(AND(R10=R7,C10&gt;F7),AND(R10=R8,D10&gt;F8),AND(R10=R9,E10&gt;F9),AND(R10=R11,G10&gt;F11))</f>
        <v>0</v>
      </c>
      <c r="N10" s="417" t="str">
        <f>SUM(C10:G10)&amp;"-"&amp;SUM(F7:F11)</f>
        <v>0-0</v>
      </c>
      <c r="O10" s="354">
        <f>C10+D10+E10+G10-F7-F8-F9-F11</f>
        <v>0</v>
      </c>
      <c r="P10" s="309" t="e">
        <f>SUM(C10:G10,F7:F11)/SUM(F7:F11)</f>
        <v>#DIV/0!</v>
      </c>
      <c r="Q10" s="315">
        <f>VALUE(LEFT(H10,1))</f>
        <v>0</v>
      </c>
      <c r="R10" s="206">
        <f>Q10*100000+J10*10000+K10*1000+100*L10</f>
        <v>0</v>
      </c>
      <c r="S10" s="310">
        <f>R10+M10*0.1+IF(ISNONTEXT(B10),0,0.01)+0.0001*O10</f>
        <v>0</v>
      </c>
      <c r="T10" s="311" t="str">
        <f>Q10&amp;J10</f>
        <v>00</v>
      </c>
      <c r="U10" s="302"/>
      <c r="V10" s="302"/>
      <c r="W10" s="302"/>
      <c r="X10" s="302"/>
      <c r="Y10" s="302"/>
      <c r="Z10" s="302"/>
      <c r="AA10" s="302"/>
      <c r="AB10" s="302"/>
      <c r="AC10" s="309"/>
      <c r="AD10" s="233">
        <f t="shared" si="0"/>
        <v>0</v>
      </c>
      <c r="AE10" s="234" t="str">
        <f>IFERROR(INDEX(V!$R:$R,MATCH(AF10,V!$L:$L,0)),"")</f>
        <v/>
      </c>
      <c r="AF10" s="235" t="str">
        <f t="shared" si="1"/>
        <v/>
      </c>
      <c r="AG10" s="234" t="str">
        <f>IFERROR(INDEX(V!$R:$R,MATCH(AH10,V!$L:$L,0)),"")</f>
        <v/>
      </c>
      <c r="AH10" s="235" t="str">
        <f t="shared" si="2"/>
        <v/>
      </c>
      <c r="AI10" s="234" t="str">
        <f>IFERROR(INDEX(V!$R:$R,MATCH(AJ10,V!$L:$L,0)),"")</f>
        <v/>
      </c>
      <c r="AJ10" s="235" t="str">
        <f t="shared" si="3"/>
        <v/>
      </c>
      <c r="AK10" s="234" t="str">
        <f>IFERROR(INDEX(V!$R:$R,MATCH(AL10,V!$L:$L,0)),"")</f>
        <v/>
      </c>
      <c r="AL10" s="235" t="str">
        <f t="shared" si="4"/>
        <v/>
      </c>
      <c r="AM10" s="234" t="str">
        <f>IFERROR(INDEX(V!$R:$R,MATCH(AN10,V!$L:$L,0)),"")</f>
        <v/>
      </c>
      <c r="AN10" s="235" t="str">
        <f t="shared" si="5"/>
        <v/>
      </c>
      <c r="AO10" s="234" t="str">
        <f>IFERROR(INDEX(V!$R:$R,MATCH(AP10,V!$L:$L,0)),"")</f>
        <v/>
      </c>
      <c r="AP10" s="235" t="str">
        <f t="shared" si="6"/>
        <v/>
      </c>
    </row>
    <row r="11" spans="1:42" x14ac:dyDescent="0.2">
      <c r="A11" s="201">
        <v>5</v>
      </c>
      <c r="B11" s="317"/>
      <c r="C11" s="203"/>
      <c r="D11" s="203"/>
      <c r="E11" s="203"/>
      <c r="F11" s="203"/>
      <c r="G11" s="204"/>
      <c r="H11" s="202" t="str">
        <f>(IF(C11-G7&gt;0,1)+IF(D11-G8&gt;0,1)+IF(E11-G9&gt;0,1)+IF(F11-G10&gt;0,1))&amp;"-"&amp;(IF(C11-G7&lt;0,1)+IF(D11-G8&lt;0,1)+IF(E11-G9&lt;0,1)+IF(F11-G10&lt;0,1))</f>
        <v>0-0</v>
      </c>
      <c r="I11" s="203" t="str">
        <f>IF(AND(B11&lt;&gt;"",R$6=TRUE),A$6&amp;RANK(S11,S$7:S$11,0)," ")</f>
        <v xml:space="preserve"> </v>
      </c>
      <c r="J11" s="313">
        <f>IF(AND(Q11=1,Q7=1,C11&gt;G7),1)+IF(AND(Q11=1,Q8=1,D11&gt;G8),1)+IF(AND(Q11=1,Q9=1,E11&gt;G9),1)+IF(AND(Q11=1,Q10=1,F11&gt;G10),1)+IF(AND(Q11=2,Q7=2,C11&gt;G7),1)+IF(AND(Q11=2,Q8=2,D11&gt;G8),1)+IF(AND(Q11=2,Q9=2,E11&gt;G9),1)+IF(AND(Q11=2,Q10=2,F11&gt;G10),1)+IF(AND(Q11=3,Q7=3,C11&gt;G7),1)+IF(AND(Q11=3,Q8=3,D11&gt;G8),1)+IF(AND(Q11=3,Q9=3,E11&gt;G9),1)+IF(AND(Q11=3,Q10=3,F11&gt;G10),1)</f>
        <v>0</v>
      </c>
      <c r="K11" s="308">
        <f>SUM(AND(T11=T7,C11&gt;G7),AND(T11=T8,D11&gt;G8),AND(T11=T9,E11&gt;G9),AND(T11=T10,F11&gt;G10))</f>
        <v>0</v>
      </c>
      <c r="L11" s="314">
        <f>IF(AND(Q11=1,Q7=1),C11-G7)+IF(AND(Q11=1,Q8=1),D11-G8)+IF(AND(Q11=1,Q9=1),E11-G9)+IF(AND(Q11=1,Q10=1),F11-G10)+IF(AND(Q11=2,Q7=2),C11-G7)+IF(AND(Q11=2,Q8=2),D11-G8)+IF(AND(Q11=2,Q9=2),E11-G9)+IF(AND(Q11=2,Q10=2),F11-G10)+IF(AND(Q11=3,Q7=3),C11-G7)+IF(AND(Q11=3,Q8=3),D11-G8)+IF(AND(Q11=3,Q9=3),E11-G9)+IF(AND(Q11=3,Q10=3),F11-G10)+IF(AND(Q11=4,Q7=4),C11-G7)+IF(AND(Q11=4,Q8=4),D11-G8)+IF(AND(Q11=4,Q9=4),E11-G9)+IF(AND(Q11=4,Q10=4),F11-G10)</f>
        <v>0</v>
      </c>
      <c r="M11" s="308">
        <f>SUM(AND(R11=R7,C11&gt;G7),AND(R11=R8,D11&gt;G8),AND(R11=R9,E11&gt;G9),AND(R11=R10,F11&gt;G10))</f>
        <v>0</v>
      </c>
      <c r="N11" s="417" t="str">
        <f>SUM(C11:G11)&amp;"-"&amp;SUM(G7:G11)</f>
        <v>0-0</v>
      </c>
      <c r="O11" s="354">
        <f>C11+D11+E11+F11-G7-G8-G9-G10</f>
        <v>0</v>
      </c>
      <c r="P11" s="309" t="e">
        <f>SUM(C11:G11,G7:G11)/SUM(G7:G11)</f>
        <v>#DIV/0!</v>
      </c>
      <c r="Q11" s="315">
        <f>VALUE(LEFT(H11,1))</f>
        <v>0</v>
      </c>
      <c r="R11" s="206">
        <f>Q11*100000+J11*10000+K11*1000+100*L11</f>
        <v>0</v>
      </c>
      <c r="S11" s="310">
        <f>R11+M11*0.1+IF(ISNONTEXT(B11),0,0.01)+0.0001*O11</f>
        <v>0</v>
      </c>
      <c r="T11" s="311" t="str">
        <f>Q11&amp;J11</f>
        <v>00</v>
      </c>
      <c r="U11" s="302"/>
      <c r="V11" s="302"/>
      <c r="W11" s="302"/>
      <c r="X11" s="302"/>
      <c r="Y11" s="302"/>
      <c r="Z11" s="302"/>
      <c r="AA11" s="302"/>
      <c r="AB11" s="302"/>
      <c r="AC11" s="309"/>
      <c r="AD11" s="233">
        <f t="shared" si="0"/>
        <v>0</v>
      </c>
      <c r="AE11" s="234" t="str">
        <f>IFERROR(INDEX(V!$R:$R,MATCH(AF11,V!$L:$L,0)),"")</f>
        <v/>
      </c>
      <c r="AF11" s="235" t="str">
        <f t="shared" si="1"/>
        <v/>
      </c>
      <c r="AG11" s="234" t="str">
        <f>IFERROR(INDEX(V!$R:$R,MATCH(AH11,V!$L:$L,0)),"")</f>
        <v/>
      </c>
      <c r="AH11" s="235" t="str">
        <f t="shared" si="2"/>
        <v/>
      </c>
      <c r="AI11" s="234" t="str">
        <f>IFERROR(INDEX(V!$R:$R,MATCH(AJ11,V!$L:$L,0)),"")</f>
        <v/>
      </c>
      <c r="AJ11" s="235" t="str">
        <f t="shared" si="3"/>
        <v/>
      </c>
      <c r="AK11" s="234" t="str">
        <f>IFERROR(INDEX(V!$R:$R,MATCH(AL11,V!$L:$L,0)),"")</f>
        <v/>
      </c>
      <c r="AL11" s="235" t="str">
        <f t="shared" si="4"/>
        <v/>
      </c>
      <c r="AM11" s="234" t="str">
        <f>IFERROR(INDEX(V!$R:$R,MATCH(AN11,V!$L:$L,0)),"")</f>
        <v/>
      </c>
      <c r="AN11" s="235" t="str">
        <f t="shared" si="5"/>
        <v/>
      </c>
      <c r="AO11" s="234" t="str">
        <f>IFERROR(INDEX(V!$R:$R,MATCH(AP11,V!$L:$L,0)),"")</f>
        <v/>
      </c>
      <c r="AP11" s="235" t="str">
        <f t="shared" si="6"/>
        <v/>
      </c>
    </row>
    <row r="12" spans="1:42" x14ac:dyDescent="0.2">
      <c r="A12" s="318"/>
      <c r="B12" s="319"/>
      <c r="C12" s="320"/>
      <c r="D12" s="321"/>
      <c r="E12" s="322"/>
      <c r="F12" s="322"/>
      <c r="G12" s="323"/>
      <c r="H12" s="324"/>
      <c r="I12" s="325"/>
      <c r="J12" s="302"/>
      <c r="K12" s="302"/>
      <c r="L12" s="302"/>
      <c r="M12" s="302"/>
      <c r="N12" s="302"/>
      <c r="O12" s="302"/>
      <c r="P12" s="302"/>
      <c r="Q12" s="302"/>
      <c r="R12" s="326" t="s">
        <v>247</v>
      </c>
      <c r="S12" s="302"/>
      <c r="T12" s="302"/>
      <c r="U12" s="302"/>
      <c r="V12" s="302"/>
      <c r="W12" s="302"/>
      <c r="X12" s="302"/>
      <c r="Y12" s="302"/>
      <c r="Z12" s="302"/>
      <c r="AA12" s="302"/>
      <c r="AB12" s="302"/>
      <c r="AC12" s="309"/>
      <c r="AD12" s="233">
        <f t="shared" si="0"/>
        <v>0</v>
      </c>
      <c r="AE12" s="234" t="str">
        <f>IFERROR(INDEX(V!$R:$R,MATCH(AF12,V!$L:$L,0)),"")</f>
        <v/>
      </c>
      <c r="AF12" s="235" t="str">
        <f t="shared" si="1"/>
        <v/>
      </c>
      <c r="AG12" s="234" t="str">
        <f>IFERROR(INDEX(V!$R:$R,MATCH(AH12,V!$L:$L,0)),"")</f>
        <v/>
      </c>
      <c r="AH12" s="235" t="str">
        <f t="shared" si="2"/>
        <v/>
      </c>
      <c r="AI12" s="234" t="str">
        <f>IFERROR(INDEX(V!$R:$R,MATCH(AJ12,V!$L:$L,0)),"")</f>
        <v/>
      </c>
      <c r="AJ12" s="235" t="str">
        <f t="shared" si="3"/>
        <v/>
      </c>
      <c r="AK12" s="234" t="str">
        <f>IFERROR(INDEX(V!$R:$R,MATCH(AL12,V!$L:$L,0)),"")</f>
        <v/>
      </c>
      <c r="AL12" s="235" t="str">
        <f t="shared" si="4"/>
        <v/>
      </c>
      <c r="AM12" s="234" t="str">
        <f>IFERROR(INDEX(V!$R:$R,MATCH(AN12,V!$L:$L,0)),"")</f>
        <v/>
      </c>
      <c r="AN12" s="235" t="str">
        <f t="shared" si="5"/>
        <v/>
      </c>
      <c r="AO12" s="234" t="str">
        <f>IFERROR(INDEX(V!$R:$R,MATCH(AP12,V!$L:$L,0)),"")</f>
        <v/>
      </c>
      <c r="AP12" s="235" t="str">
        <f t="shared" si="6"/>
        <v/>
      </c>
    </row>
    <row r="13" spans="1:42" x14ac:dyDescent="0.2">
      <c r="A13" s="201" t="s">
        <v>1</v>
      </c>
      <c r="B13" s="327"/>
      <c r="C13" s="292">
        <v>1</v>
      </c>
      <c r="D13" s="292">
        <v>2</v>
      </c>
      <c r="E13" s="292">
        <v>3</v>
      </c>
      <c r="F13" s="292">
        <v>4</v>
      </c>
      <c r="G13" s="292">
        <v>5</v>
      </c>
      <c r="H13" s="293" t="s">
        <v>170</v>
      </c>
      <c r="I13" s="293" t="s">
        <v>171</v>
      </c>
      <c r="J13" s="328" t="s">
        <v>240</v>
      </c>
      <c r="K13" s="329" t="s">
        <v>241</v>
      </c>
      <c r="L13" s="330" t="s">
        <v>242</v>
      </c>
      <c r="M13" s="330" t="s">
        <v>243</v>
      </c>
      <c r="N13" s="297" t="s">
        <v>172</v>
      </c>
      <c r="O13" s="297" t="s">
        <v>172</v>
      </c>
      <c r="P13" s="298" t="s">
        <v>244</v>
      </c>
      <c r="Q13" s="331" t="s">
        <v>21</v>
      </c>
      <c r="R13" s="331" t="b">
        <f>OR(AND(COUNTA(B14:B18)=3,COUNTA(C14:G18)=6),AND(COUNTA(B14:B18)=4,COUNTA(C14:G18)=12),AND(COUNTA(B14:B18)=5,COUNTA(C14:G18)=20))</f>
        <v>0</v>
      </c>
      <c r="S13" s="332" t="s">
        <v>245</v>
      </c>
      <c r="T13" s="333" t="s">
        <v>246</v>
      </c>
      <c r="U13" s="302"/>
      <c r="V13" s="302"/>
      <c r="W13" s="302"/>
      <c r="X13" s="302"/>
      <c r="Y13" s="302"/>
      <c r="Z13" s="302"/>
      <c r="AA13" s="302"/>
      <c r="AB13" s="302"/>
      <c r="AC13" s="309"/>
      <c r="AD13" s="233">
        <f t="shared" si="0"/>
        <v>0</v>
      </c>
      <c r="AE13" s="234" t="str">
        <f>IFERROR(INDEX(V!$R:$R,MATCH(AF13,V!$L:$L,0)),"")</f>
        <v/>
      </c>
      <c r="AF13" s="235" t="str">
        <f t="shared" si="1"/>
        <v/>
      </c>
      <c r="AG13" s="234" t="str">
        <f>IFERROR(INDEX(V!$R:$R,MATCH(AH13,V!$L:$L,0)),"")</f>
        <v/>
      </c>
      <c r="AH13" s="235" t="str">
        <f t="shared" si="2"/>
        <v/>
      </c>
      <c r="AI13" s="234" t="str">
        <f>IFERROR(INDEX(V!$R:$R,MATCH(AJ13,V!$L:$L,0)),"")</f>
        <v/>
      </c>
      <c r="AJ13" s="235" t="str">
        <f t="shared" si="3"/>
        <v/>
      </c>
      <c r="AK13" s="234" t="str">
        <f>IFERROR(INDEX(V!$R:$R,MATCH(AL13,V!$L:$L,0)),"")</f>
        <v/>
      </c>
      <c r="AL13" s="235" t="str">
        <f t="shared" si="4"/>
        <v/>
      </c>
      <c r="AM13" s="234" t="str">
        <f>IFERROR(INDEX(V!$R:$R,MATCH(AN13,V!$L:$L,0)),"")</f>
        <v/>
      </c>
      <c r="AN13" s="235" t="str">
        <f t="shared" si="5"/>
        <v/>
      </c>
      <c r="AO13" s="234" t="str">
        <f>IFERROR(INDEX(V!$R:$R,MATCH(AP13,V!$L:$L,0)),"")</f>
        <v/>
      </c>
      <c r="AP13" s="235" t="str">
        <f t="shared" si="6"/>
        <v/>
      </c>
    </row>
    <row r="14" spans="1:42" x14ac:dyDescent="0.2">
      <c r="A14" s="201">
        <v>1</v>
      </c>
      <c r="B14" s="334"/>
      <c r="C14" s="204"/>
      <c r="D14" s="203"/>
      <c r="E14" s="203"/>
      <c r="F14" s="203"/>
      <c r="G14" s="203"/>
      <c r="H14" s="202" t="str">
        <f>(IF(D14-C15&gt;0,1)+IF(E14-C16&gt;0,1)+IF(F14-C17&gt;0,1)+IF(G14-C18&gt;0,1))&amp;"-"&amp;(IF(D14-C15&lt;0,1)+IF(E14-C16&lt;0,1)+IF(F14-C17&lt;0,1)+IF(G14-C18&lt;0,1))</f>
        <v>0-0</v>
      </c>
      <c r="I14" s="203" t="str">
        <f>IF(AND(B14&lt;&gt;"",R$6=TRUE),A$13&amp;RANK(S14,S$14:S$18,0)," ")</f>
        <v xml:space="preserve"> </v>
      </c>
      <c r="J14" s="305">
        <f>IF(AND(Q14=1,Q15=1,D14&gt;C15),1)+IF(AND(Q14=1,Q16=1,E14&gt;C16),1)+IF(AND(Q14=1,Q17=1,F14&gt;C17),1)+IF(AND(Q14=1,Q18=1,G14&gt;C18),1)+IF(AND(Q14=2,Q15=2,D14&gt;C15),1)+IF(AND(Q14=2,Q16=2,E14&gt;C16),1)+IF(AND(Q14=2,Q17=2,F14&gt;C17),1)+IF(AND(Q14=2,Q18=2,G14&gt;C18),1)+IF(AND(Q14=3,Q15=3,D14&gt;C15),1)+IF(AND(Q14=3,Q16=3,E14&gt;C16),1)+IF(AND(Q14=3,Q17=3,F14&gt;C17),1)+IF(AND(Q14=3,Q18=3,G14&gt;C18),1)</f>
        <v>0</v>
      </c>
      <c r="K14" s="306">
        <f>SUM(AND(T14=T15,D14&gt;C15),AND(T14=T16,E14&gt;C16),AND(T14=T17,F14&gt;C17),AND(T14=T18,G14&gt;C18))</f>
        <v>0</v>
      </c>
      <c r="L14" s="307">
        <f>IF(AND(Q14=1,Q15=1),D14-C15)+IF(AND(Q14=1,Q16=1),E14-C16)+IF(AND(Q14=1,Q17=1),F14-C17)+IF(AND(Q14=1,Q18=1),G14-C18)+IF(AND(Q14=2,Q15=2),D14-C15)+IF(AND(Q14=2,Q16=2),E14-C16)+IF(AND(Q14=2,Q17=2),F14-C17)+IF(AND(Q14=2,Q18=2),G14-C18)+IF(AND(Q14=3,Q15=3),D14-C15)+IF(AND(Q14=3,Q16=3),E14-C16)+IF(AND(Q14=3,Q17=3),F14-C17)+IF(AND(Q14=3,Q18=3),G14-C18)+IF(AND(Q14=4,Q15=4),D14-C15)+IF(AND(Q14=4,Q16=4),E14-C16)+IF(AND(Q14=4,Q17=4),F14-C17)+IF(AND(Q14=4,Q18=4),G14-C18)</f>
        <v>0</v>
      </c>
      <c r="M14" s="308">
        <f>SUM(AND(R14=R15,D14&gt;C15),AND(R14=R16,E14&gt;C16),AND(R14=R17,F14&gt;C17),AND(R14=R18,G14&gt;C18))</f>
        <v>0</v>
      </c>
      <c r="N14" s="417" t="str">
        <f>SUM(C14:G14)&amp;"-"&amp;SUM(C14:C18)</f>
        <v>0-0</v>
      </c>
      <c r="O14" s="354">
        <f>D14+E14+F14+G14-C15-C16-C17-C18</f>
        <v>0</v>
      </c>
      <c r="P14" s="309" t="e">
        <f>SUM(C14:G14,C14:C18)/SUM(C14:C18)</f>
        <v>#DIV/0!</v>
      </c>
      <c r="Q14" s="205">
        <f>VALUE(LEFT(H14,1))</f>
        <v>0</v>
      </c>
      <c r="R14" s="206">
        <f>Q14*100000+J14*10000+K14*1000+100*L14</f>
        <v>0</v>
      </c>
      <c r="S14" s="310">
        <f>R14+M14*0.1+IF(ISNONTEXT(B14),0,0.01)+0.0001*O14</f>
        <v>0</v>
      </c>
      <c r="T14" s="311" t="str">
        <f>Q14&amp;J14</f>
        <v>00</v>
      </c>
      <c r="U14" s="302"/>
      <c r="V14" s="302"/>
      <c r="W14" s="302"/>
      <c r="X14" s="302"/>
      <c r="Y14" s="302"/>
      <c r="Z14" s="302"/>
      <c r="AA14" s="302"/>
      <c r="AB14" s="302"/>
      <c r="AC14" s="309"/>
      <c r="AD14" s="233">
        <f t="shared" si="0"/>
        <v>0</v>
      </c>
      <c r="AE14" s="234" t="str">
        <f>IFERROR(INDEX(V!$R:$R,MATCH(AF14,V!$L:$L,0)),"")</f>
        <v/>
      </c>
      <c r="AF14" s="235" t="str">
        <f t="shared" si="1"/>
        <v/>
      </c>
      <c r="AG14" s="234" t="str">
        <f>IFERROR(INDEX(V!$R:$R,MATCH(AH14,V!$L:$L,0)),"")</f>
        <v/>
      </c>
      <c r="AH14" s="235" t="str">
        <f t="shared" si="2"/>
        <v/>
      </c>
      <c r="AI14" s="234" t="str">
        <f>IFERROR(INDEX(V!$R:$R,MATCH(AJ14,V!$L:$L,0)),"")</f>
        <v/>
      </c>
      <c r="AJ14" s="235" t="str">
        <f t="shared" si="3"/>
        <v/>
      </c>
      <c r="AK14" s="234" t="str">
        <f>IFERROR(INDEX(V!$R:$R,MATCH(AL14,V!$L:$L,0)),"")</f>
        <v/>
      </c>
      <c r="AL14" s="235" t="str">
        <f t="shared" si="4"/>
        <v/>
      </c>
      <c r="AM14" s="234" t="str">
        <f>IFERROR(INDEX(V!$R:$R,MATCH(AN14,V!$L:$L,0)),"")</f>
        <v/>
      </c>
      <c r="AN14" s="235" t="str">
        <f t="shared" si="5"/>
        <v/>
      </c>
      <c r="AO14" s="234" t="str">
        <f>IFERROR(INDEX(V!$R:$R,MATCH(AP14,V!$L:$L,0)),"")</f>
        <v/>
      </c>
      <c r="AP14" s="235" t="str">
        <f t="shared" si="6"/>
        <v/>
      </c>
    </row>
    <row r="15" spans="1:42" x14ac:dyDescent="0.2">
      <c r="A15" s="201">
        <v>2</v>
      </c>
      <c r="B15" s="304"/>
      <c r="C15" s="203"/>
      <c r="D15" s="204"/>
      <c r="E15" s="203"/>
      <c r="F15" s="203"/>
      <c r="G15" s="203"/>
      <c r="H15" s="202" t="str">
        <f>(IF(C15-D14&gt;0,1)+IF(E15-D16&gt;0,1)+IF(F15-D17&gt;0,1)+IF(G15-D18&gt;0,1))&amp;"-"&amp;(IF(C15-D14&lt;0,1)+IF(E15-D16&lt;0,1)+IF(F15-D17&lt;0,1)+IF(G15-D18&lt;0,1))</f>
        <v>0-0</v>
      </c>
      <c r="I15" s="203" t="str">
        <f>IF(AND(B15&lt;&gt;"",R$6=TRUE),A$13&amp;RANK(S15,S$14:S$18,0)," ")</f>
        <v xml:space="preserve"> </v>
      </c>
      <c r="J15" s="313">
        <f>IF(AND(Q15=1,Q14=1,C15&gt;D14),1)+IF(AND(Q15=1,Q16=1,E15&gt;D16),1)+IF(AND(Q15=1,Q17=1,F15&gt;D17),1)+IF(AND(Q15=1,Q18=1,G15&gt;D18),1)+IF(AND(Q15=2,Q14=2,C15&gt;D14),1)+IF(AND(Q15=2,Q16=2,E15&gt;D16),1)+IF(AND(Q15=2,Q17=2,F15&gt;D17),1)+IF(AND(Q15=2,Q18=2,G15&gt;D18),1)+IF(AND(Q15=3,Q14=3,C15&gt;D14),1)+IF(AND(Q15=3,Q16=3,E15&gt;D16),1)+IF(AND(Q15=3,Q17=3,F15&gt;D17),1)+IF(AND(Q15=3,Q18=3,G15&gt;D18),1)</f>
        <v>0</v>
      </c>
      <c r="K15" s="308">
        <f>SUM(AND(T15=T14,C15&gt;D14),AND(T15=T16,E15&gt;D16),AND(T15=T17,F15&gt;D17),AND(T15=T18,G15&gt;D18))</f>
        <v>0</v>
      </c>
      <c r="L15" s="314">
        <f>IF(AND(Q15=1,Q14=1),C15-D14)+IF(AND(Q15=1,Q16=1),E15-D16)+IF(AND(Q15=1,Q17=1),F15-D17)+IF(AND(Q15=1,Q18=1),G15-D18)+IF(AND(Q15=2,Q14=2),C15-D14)+IF(AND(Q15=2,Q16=2),E15-D16)+IF(AND(Q15=2,Q17=2),F15-D17)+IF(AND(Q15=2,Q18=2),G15-D18)+IF(AND(Q15=3,Q14=3),C15-D14)+IF(AND(Q15=3,Q16=3),E15-D16)+IF(AND(Q15=3,Q17=3),F15-D17)+IF(AND(Q15=3,Q18=3),G15-D18)+IF(AND(Q15=4,Q14=4),C15-D14)+IF(AND(Q15=4,Q16=4),E15-D16)+IF(AND(Q15=4,Q17=4),F15-D17)+IF(AND(Q15=4,Q18=4),G15-D18)</f>
        <v>0</v>
      </c>
      <c r="M15" s="308">
        <f>SUM(AND(R15=R14,C15&gt;D14),AND(R15=R16,E15&gt;D16),AND(R15=R17,F15&gt;D17),AND(R15=R18,G15&gt;D18))</f>
        <v>0</v>
      </c>
      <c r="N15" s="417" t="str">
        <f>SUM(C15:G15)&amp;"-"&amp;SUM(D14:D18)</f>
        <v>0-0</v>
      </c>
      <c r="O15" s="354">
        <f>C15+E15+F15+G15-D14-D16-D17-D18</f>
        <v>0</v>
      </c>
      <c r="P15" s="309" t="e">
        <f>SUM(C15:G15,D14:D18)/SUM(D14:D18)</f>
        <v>#DIV/0!</v>
      </c>
      <c r="Q15" s="315">
        <f>VALUE(LEFT(H15,1))</f>
        <v>0</v>
      </c>
      <c r="R15" s="206">
        <f>Q15*100000+J15*10000+K15*1000+100*L15</f>
        <v>0</v>
      </c>
      <c r="S15" s="310">
        <f>R15+M15*0.1+IF(ISNONTEXT(B15),0,0.01)+0.0001*O15</f>
        <v>0</v>
      </c>
      <c r="T15" s="311" t="str">
        <f>Q15&amp;J15</f>
        <v>00</v>
      </c>
      <c r="U15" s="302"/>
      <c r="V15" s="302"/>
      <c r="W15" s="302"/>
      <c r="X15" s="302"/>
      <c r="Y15" s="302"/>
      <c r="Z15" s="302"/>
      <c r="AA15" s="302"/>
      <c r="AB15" s="302"/>
      <c r="AC15" s="309"/>
      <c r="AD15" s="233">
        <f t="shared" si="0"/>
        <v>0</v>
      </c>
      <c r="AE15" s="234" t="str">
        <f>IFERROR(INDEX(V!$R:$R,MATCH(AF15,V!$L:$L,0)),"")</f>
        <v/>
      </c>
      <c r="AF15" s="235" t="str">
        <f t="shared" si="1"/>
        <v/>
      </c>
      <c r="AG15" s="234" t="str">
        <f>IFERROR(INDEX(V!$R:$R,MATCH(AH15,V!$L:$L,0)),"")</f>
        <v/>
      </c>
      <c r="AH15" s="235" t="str">
        <f t="shared" si="2"/>
        <v/>
      </c>
      <c r="AI15" s="234" t="str">
        <f>IFERROR(INDEX(V!$R:$R,MATCH(AJ15,V!$L:$L,0)),"")</f>
        <v/>
      </c>
      <c r="AJ15" s="235" t="str">
        <f t="shared" si="3"/>
        <v/>
      </c>
      <c r="AK15" s="234" t="str">
        <f>IFERROR(INDEX(V!$R:$R,MATCH(AL15,V!$L:$L,0)),"")</f>
        <v/>
      </c>
      <c r="AL15" s="235" t="str">
        <f t="shared" si="4"/>
        <v/>
      </c>
      <c r="AM15" s="234" t="str">
        <f>IFERROR(INDEX(V!$R:$R,MATCH(AN15,V!$L:$L,0)),"")</f>
        <v/>
      </c>
      <c r="AN15" s="235" t="str">
        <f t="shared" si="5"/>
        <v/>
      </c>
      <c r="AO15" s="234" t="str">
        <f>IFERROR(INDEX(V!$R:$R,MATCH(AP15,V!$L:$L,0)),"")</f>
        <v/>
      </c>
      <c r="AP15" s="235" t="str">
        <f t="shared" si="6"/>
        <v/>
      </c>
    </row>
    <row r="16" spans="1:42" x14ac:dyDescent="0.2">
      <c r="A16" s="201">
        <v>3</v>
      </c>
      <c r="B16" s="312"/>
      <c r="C16" s="203"/>
      <c r="D16" s="316"/>
      <c r="E16" s="204"/>
      <c r="F16" s="203"/>
      <c r="G16" s="203"/>
      <c r="H16" s="202" t="str">
        <f>(IF(C16-E14&gt;0,1)+IF(D16-E15&gt;0,1)+IF(F16-E17&gt;0,1)+IF(G16-E18&gt;0,1))&amp;"-"&amp;(IF(C16-E14&lt;0,1)+IF(D16-E15&lt;0,1)+IF(F16-E17&lt;0,1)+IF(G16-E18&lt;0,1))</f>
        <v>0-0</v>
      </c>
      <c r="I16" s="203" t="str">
        <f>IF(AND(B16&lt;&gt;"",R$6=TRUE),A$13&amp;RANK(S16,S$14:S$18,0)," ")</f>
        <v xml:space="preserve"> </v>
      </c>
      <c r="J16" s="313">
        <f>IF(AND(Q16=1,Q14=1,C16&gt;E14),1)+IF(AND(Q16=1,Q15=1,D16&gt;E15),1)+IF(AND(Q16=1,Q17=1,F16&gt;E17),1)+IF(AND(Q16=1,Q18=1,G16&gt;E18),1)+IF(AND(Q16=2,Q14=2,C16&gt;E14),1)+IF(AND(Q16=2,Q15=2,D16&gt;E15),1)+IF(AND(Q16=2,Q17=2,F16&gt;E17),1)+IF(AND(Q16=2,Q18=2,G16&gt;E18),1)+IF(AND(Q16=3,Q14=3,C16&gt;E14),1)+IF(AND(Q16=3,Q15=3,D16&gt;E15),1)+IF(AND(Q16=3,Q17=3,F16&gt;E17),1)+IF(AND(Q16=3,Q18=3,G16&gt;E18),1)</f>
        <v>0</v>
      </c>
      <c r="K16" s="308">
        <f>SUM(AND(T16=T14,C16&gt;E14),AND(T16=T15,D16&gt;E15),AND(T16=T17,F16&gt;E17),AND(T16=T18,G16&gt;E18))</f>
        <v>0</v>
      </c>
      <c r="L16" s="314">
        <f>IF(AND(Q16=1,Q14=1),C16-E14)+IF(AND(Q16=1,Q15=1),D16-E15)+IF(AND(Q16=1,Q17=1),F16-E17)+IF(AND(Q16=1,Q18=1),G16-E18)+IF(AND(Q16=2,Q14=2),C16-E14)+IF(AND(Q16=2,Q15=2),D16-E15)+IF(AND(Q16=2,Q17=2),F16-E17)+IF(AND(Q16=2,Q18=2),G16-E18)+IF(AND(Q16=3,Q14=3),C16-E14)+IF(AND(Q16=3,Q15=3),D16-E15)+IF(AND(Q16=3,Q17=3),F16-E17)+IF(AND(Q16=3,Q18=3),G16-E18)+IF(AND(Q16=4,Q14=4),C16-E14)+IF(AND(Q16=4,Q15=4),D16-E15)+IF(AND(Q16=4,Q17=4),F16-E17)+IF(AND(Q16=4,Q18=4),G16-E18)</f>
        <v>0</v>
      </c>
      <c r="M16" s="308">
        <f>SUM(AND(R16=R14,C16&gt;E14),AND(R16=R15,D16&gt;E15),AND(R16=R17,F16&gt;E17),AND(R16=R18,G16&gt;E18))</f>
        <v>0</v>
      </c>
      <c r="N16" s="417" t="str">
        <f>SUM(C16:G16)&amp;"-"&amp;SUM(E14:E18)</f>
        <v>0-0</v>
      </c>
      <c r="O16" s="354">
        <f>C16+D16+F16+G16-E14-E15-E17-E18</f>
        <v>0</v>
      </c>
      <c r="P16" s="309" t="e">
        <f>SUM(C16:G16,E14:E18)/SUM(E14:E18)</f>
        <v>#DIV/0!</v>
      </c>
      <c r="Q16" s="315">
        <f>VALUE(LEFT(H16,1))</f>
        <v>0</v>
      </c>
      <c r="R16" s="206">
        <f>Q16*100000+J16*10000+K16*1000+100*L16</f>
        <v>0</v>
      </c>
      <c r="S16" s="310">
        <f>R16+M16*0.1+IF(ISNONTEXT(B16),0,0.01)+0.0001*O16</f>
        <v>0</v>
      </c>
      <c r="T16" s="311" t="str">
        <f>Q16&amp;J16</f>
        <v>00</v>
      </c>
      <c r="U16" s="302"/>
      <c r="V16" s="302"/>
      <c r="W16" s="302"/>
      <c r="X16" s="302"/>
      <c r="Y16" s="302"/>
      <c r="Z16" s="302"/>
      <c r="AA16" s="302"/>
      <c r="AB16" s="302"/>
      <c r="AC16" s="309"/>
      <c r="AD16" s="233">
        <f t="shared" si="0"/>
        <v>0</v>
      </c>
      <c r="AE16" s="234" t="str">
        <f>IFERROR(INDEX(V!$R:$R,MATCH(AF16,V!$L:$L,0)),"")</f>
        <v/>
      </c>
      <c r="AF16" s="235" t="str">
        <f t="shared" si="1"/>
        <v/>
      </c>
      <c r="AG16" s="234" t="str">
        <f>IFERROR(INDEX(V!$R:$R,MATCH(AH16,V!$L:$L,0)),"")</f>
        <v/>
      </c>
      <c r="AH16" s="235" t="str">
        <f t="shared" si="2"/>
        <v/>
      </c>
      <c r="AI16" s="234" t="str">
        <f>IFERROR(INDEX(V!$R:$R,MATCH(AJ16,V!$L:$L,0)),"")</f>
        <v/>
      </c>
      <c r="AJ16" s="235" t="str">
        <f t="shared" si="3"/>
        <v/>
      </c>
      <c r="AK16" s="234" t="str">
        <f>IFERROR(INDEX(V!$R:$R,MATCH(AL16,V!$L:$L,0)),"")</f>
        <v/>
      </c>
      <c r="AL16" s="235" t="str">
        <f t="shared" si="4"/>
        <v/>
      </c>
      <c r="AM16" s="234" t="str">
        <f>IFERROR(INDEX(V!$R:$R,MATCH(AN16,V!$L:$L,0)),"")</f>
        <v/>
      </c>
      <c r="AN16" s="235" t="str">
        <f t="shared" si="5"/>
        <v/>
      </c>
      <c r="AO16" s="234" t="str">
        <f>IFERROR(INDEX(V!$R:$R,MATCH(AP16,V!$L:$L,0)),"")</f>
        <v/>
      </c>
      <c r="AP16" s="235" t="str">
        <f t="shared" si="6"/>
        <v/>
      </c>
    </row>
    <row r="17" spans="1:42" x14ac:dyDescent="0.2">
      <c r="A17" s="201">
        <v>4</v>
      </c>
      <c r="B17" s="317"/>
      <c r="C17" s="203"/>
      <c r="D17" s="316"/>
      <c r="E17" s="203"/>
      <c r="F17" s="204"/>
      <c r="G17" s="335"/>
      <c r="H17" s="202" t="str">
        <f>(IF(C17-F14&gt;0,1)+IF(D17-F15&gt;0,1)+IF(E17-F16&gt;0,1)+IF(G17-F18&gt;0,1))&amp;"-"&amp;(IF(C17-F14&lt;0,1)+IF(D17-F15&lt;0,1)+IF(E17-F16&lt;0,1)+IF(G17-F18&lt;0,1))</f>
        <v>0-0</v>
      </c>
      <c r="I17" s="203" t="str">
        <f>IF(AND(B17&lt;&gt;"",R$6=TRUE),A$13&amp;RANK(S17,S$14:S$18,0)," ")</f>
        <v xml:space="preserve"> </v>
      </c>
      <c r="J17" s="313">
        <f>IF(AND(Q17=1,Q14=1,C17&gt;F14),1)+IF(AND(Q17=1,Q15=1,D17&gt;F15),1)+IF(AND(Q17=1,Q16=1,E17&gt;F16),1)+IF(AND(Q17=1,Q18=1,G17&gt;F18),1)+IF(AND(Q17=2,Q14=2,C17&gt;F14),1)+IF(AND(Q17=2,Q15=2,D17&gt;F15),1)+IF(AND(Q17=2,Q16=2,E17&gt;F16),1)+IF(AND(Q17=2,Q18=2,G17&gt;F18),1)+IF(AND(Q17=3,Q14=3,C17&gt;F14),1)+IF(AND(Q17=3,Q15=3,D17&gt;F15),1)+IF(AND(Q17=3,Q16=3,E17&gt;F16),1)+IF(AND(Q17=3,Q18=3,G17&gt;F18),1)</f>
        <v>0</v>
      </c>
      <c r="K17" s="308">
        <f>SUM(AND(T17=T14,C17&gt;F14),AND(T17=T15,D17&gt;F15),AND(T17=T16,E17&gt;F16),AND(T17=T18,G17&gt;F18))</f>
        <v>0</v>
      </c>
      <c r="L17" s="314">
        <f>IF(AND(Q17=1,Q14=1),C17-F14)+IF(AND(Q17=1,Q15=1),D17-F15)+IF(AND(Q17=1,Q16=1),E17-F16)+IF(AND(Q17=1,Q18=1),G17-F18)+IF(AND(Q17=2,Q14=2),C17-F14)+IF(AND(Q17=2,Q15=2),D17-F15)+IF(AND(Q17=2,Q16=2),E17-F16)+IF(AND(Q17=2,Q18=2),G17-F18)+IF(AND(Q17=3,Q14=3),C17-F14)+IF(AND(Q17=3,Q15=3),D17-F15)+IF(AND(Q17=3,Q16=3),E17-F16)+IF(AND(Q17=3,Q18=3),G17-F18)+IF(AND(Q17=4,Q14=4),C17-F14)+IF(AND(Q17=4,Q15=4),D17-F15)+IF(AND(Q17=4,Q16=4),E17-F16)+IF(AND(Q17=4,Q18=4),G17-F18)</f>
        <v>0</v>
      </c>
      <c r="M17" s="308">
        <f>SUM(AND(R17=R14,C17&gt;F14),AND(R17=R15,D17&gt;F15),AND(R17=R16,E17&gt;F16),AND(R17=R18,G17&gt;F18))</f>
        <v>0</v>
      </c>
      <c r="N17" s="417" t="str">
        <f>SUM(C17:G17)&amp;"-"&amp;SUM(F14:F18)</f>
        <v>0-0</v>
      </c>
      <c r="O17" s="354">
        <f>C17+D17+E17+G17-F14-F15-F16-F18</f>
        <v>0</v>
      </c>
      <c r="P17" s="309" t="e">
        <f>SUM(C17:G17,F14:F18)/SUM(F14:F18)</f>
        <v>#DIV/0!</v>
      </c>
      <c r="Q17" s="315">
        <f>VALUE(LEFT(H17,1))</f>
        <v>0</v>
      </c>
      <c r="R17" s="206">
        <f>Q17*100000+J17*10000+K17*1000+100*L17</f>
        <v>0</v>
      </c>
      <c r="S17" s="310">
        <f>R17+M17*0.1+IF(ISNONTEXT(B17),0,0.01)+0.0001*O17</f>
        <v>0</v>
      </c>
      <c r="T17" s="311" t="str">
        <f>Q17&amp;J17</f>
        <v>00</v>
      </c>
      <c r="U17" s="302"/>
      <c r="V17" s="302"/>
      <c r="W17" s="302"/>
      <c r="X17" s="302"/>
      <c r="Y17" s="302"/>
      <c r="Z17" s="302"/>
      <c r="AA17" s="302"/>
      <c r="AB17" s="302"/>
      <c r="AC17" s="309"/>
      <c r="AD17" s="233">
        <f t="shared" si="0"/>
        <v>0</v>
      </c>
      <c r="AE17" s="234" t="str">
        <f>IFERROR(INDEX(V!$R:$R,MATCH(AF17,V!$L:$L,0)),"")</f>
        <v/>
      </c>
      <c r="AF17" s="235" t="str">
        <f t="shared" si="1"/>
        <v/>
      </c>
      <c r="AG17" s="234" t="str">
        <f>IFERROR(INDEX(V!$R:$R,MATCH(AH17,V!$L:$L,0)),"")</f>
        <v/>
      </c>
      <c r="AH17" s="235" t="str">
        <f t="shared" si="2"/>
        <v/>
      </c>
      <c r="AI17" s="234" t="str">
        <f>IFERROR(INDEX(V!$R:$R,MATCH(AJ17,V!$L:$L,0)),"")</f>
        <v/>
      </c>
      <c r="AJ17" s="235" t="str">
        <f t="shared" si="3"/>
        <v/>
      </c>
      <c r="AK17" s="234" t="str">
        <f>IFERROR(INDEX(V!$R:$R,MATCH(AL17,V!$L:$L,0)),"")</f>
        <v/>
      </c>
      <c r="AL17" s="235" t="str">
        <f t="shared" si="4"/>
        <v/>
      </c>
      <c r="AM17" s="234" t="str">
        <f>IFERROR(INDEX(V!$R:$R,MATCH(AN17,V!$L:$L,0)),"")</f>
        <v/>
      </c>
      <c r="AN17" s="235" t="str">
        <f t="shared" si="5"/>
        <v/>
      </c>
      <c r="AO17" s="234" t="str">
        <f>IFERROR(INDEX(V!$R:$R,MATCH(AP17,V!$L:$L,0)),"")</f>
        <v/>
      </c>
      <c r="AP17" s="235" t="str">
        <f t="shared" si="6"/>
        <v/>
      </c>
    </row>
    <row r="18" spans="1:42" x14ac:dyDescent="0.2">
      <c r="A18" s="201">
        <v>5</v>
      </c>
      <c r="B18" s="317"/>
      <c r="C18" s="203"/>
      <c r="D18" s="203"/>
      <c r="E18" s="203"/>
      <c r="F18" s="203"/>
      <c r="G18" s="204"/>
      <c r="H18" s="202" t="str">
        <f>(IF(C18-G14&gt;0,1)+IF(D18-G15&gt;0,1)+IF(E18-G16&gt;0,1)+IF(F18-G17&gt;0,1))&amp;"-"&amp;(IF(C18-G14&lt;0,1)+IF(D18-G15&lt;0,1)+IF(E18-G16&lt;0,1)+IF(F18-G17&lt;0,1))</f>
        <v>0-0</v>
      </c>
      <c r="I18" s="203" t="str">
        <f>IF(AND(B18&lt;&gt;"",R$6=TRUE),A$13&amp;RANK(S18,S$14:S$18,0)," ")</f>
        <v xml:space="preserve"> </v>
      </c>
      <c r="J18" s="313">
        <f>IF(AND(Q18=1,Q14=1,C18&gt;G14),1)+IF(AND(Q18=1,Q15=1,D18&gt;G15),1)+IF(AND(Q18=1,Q16=1,E18&gt;G16),1)+IF(AND(Q18=1,Q17=1,F18&gt;G17),1)+IF(AND(Q18=2,Q14=2,C18&gt;G14),1)+IF(AND(Q18=2,Q15=2,D18&gt;G15),1)+IF(AND(Q18=2,Q16=2,E18&gt;G16),1)+IF(AND(Q18=2,Q17=2,F18&gt;G17),1)+IF(AND(Q18=3,Q14=3,C18&gt;G14),1)+IF(AND(Q18=3,Q15=3,D18&gt;G15),1)+IF(AND(Q18=3,Q16=3,E18&gt;G16),1)+IF(AND(Q18=3,Q17=3,F18&gt;G17),1)</f>
        <v>0</v>
      </c>
      <c r="K18" s="308">
        <f>SUM(AND(T18=T14,C18&gt;G14),AND(T18=T15,D18&gt;G15),AND(T18=T16,E18&gt;G16),AND(T18=T17,F18&gt;G17))</f>
        <v>0</v>
      </c>
      <c r="L18" s="314">
        <f>IF(AND(Q18=1,Q14=1),C18-G14)+IF(AND(Q18=1,Q15=1),D18-G15)+IF(AND(Q18=1,Q16=1),E18-G16)+IF(AND(Q18=1,Q17=1),F18-G17)+IF(AND(Q18=2,Q14=2),C18-G14)+IF(AND(Q18=2,Q15=2),D18-G15)+IF(AND(Q18=2,Q16=2),E18-G16)+IF(AND(Q18=2,Q17=2),F18-G17)+IF(AND(Q18=3,Q14=3),C18-G14)+IF(AND(Q18=3,Q15=3),D18-G15)+IF(AND(Q18=3,Q16=3),E18-G16)+IF(AND(Q18=3,Q17=3),F18-G17)+IF(AND(Q18=4,Q14=4),C18-G14)+IF(AND(Q18=4,Q15=4),D18-G15)+IF(AND(Q18=4,Q16=4),E18-G16)+IF(AND(Q18=4,Q17=4),F18-G17)</f>
        <v>0</v>
      </c>
      <c r="M18" s="308">
        <f>SUM(AND(R18=R14,C18&gt;G14),AND(R18=R15,D18&gt;G15),AND(R18=R16,E18&gt;G16),AND(R18=R17,F18&gt;G17))</f>
        <v>0</v>
      </c>
      <c r="N18" s="417" t="str">
        <f>SUM(C18:G18)&amp;"-"&amp;SUM(G14:G18)</f>
        <v>0-0</v>
      </c>
      <c r="O18" s="354">
        <f>C18+D18+E18+F18-G14-G15-G16-G17</f>
        <v>0</v>
      </c>
      <c r="P18" s="309" t="e">
        <f>SUM(C18:G18,G14:G18)/SUM(G14:G18)</f>
        <v>#DIV/0!</v>
      </c>
      <c r="Q18" s="315">
        <f>VALUE(LEFT(H18,1))</f>
        <v>0</v>
      </c>
      <c r="R18" s="206">
        <f>Q18*100000+J18*10000+K18*1000+100*L18</f>
        <v>0</v>
      </c>
      <c r="S18" s="310">
        <f>R18+M18*0.1+IF(ISNONTEXT(B18),0,0.01)+0.0001*O18</f>
        <v>0</v>
      </c>
      <c r="T18" s="311" t="str">
        <f>Q18&amp;J18</f>
        <v>00</v>
      </c>
      <c r="U18" s="302"/>
      <c r="V18" s="302"/>
      <c r="W18" s="302"/>
      <c r="X18" s="302"/>
      <c r="Y18" s="302"/>
      <c r="Z18" s="302"/>
      <c r="AA18" s="302"/>
      <c r="AB18" s="302"/>
      <c r="AC18" s="309"/>
      <c r="AD18" s="233">
        <f t="shared" si="0"/>
        <v>0</v>
      </c>
      <c r="AE18" s="234" t="str">
        <f>IFERROR(INDEX(V!$R:$R,MATCH(AF18,V!$L:$L,0)),"")</f>
        <v/>
      </c>
      <c r="AF18" s="235" t="str">
        <f t="shared" si="1"/>
        <v/>
      </c>
      <c r="AG18" s="234" t="str">
        <f>IFERROR(INDEX(V!$R:$R,MATCH(AH18,V!$L:$L,0)),"")</f>
        <v/>
      </c>
      <c r="AH18" s="235" t="str">
        <f t="shared" si="2"/>
        <v/>
      </c>
      <c r="AI18" s="234" t="str">
        <f>IFERROR(INDEX(V!$R:$R,MATCH(AJ18,V!$L:$L,0)),"")</f>
        <v/>
      </c>
      <c r="AJ18" s="235" t="str">
        <f t="shared" si="3"/>
        <v/>
      </c>
      <c r="AK18" s="234" t="str">
        <f>IFERROR(INDEX(V!$R:$R,MATCH(AL18,V!$L:$L,0)),"")</f>
        <v/>
      </c>
      <c r="AL18" s="235" t="str">
        <f t="shared" si="4"/>
        <v/>
      </c>
      <c r="AM18" s="234" t="str">
        <f>IFERROR(INDEX(V!$R:$R,MATCH(AN18,V!$L:$L,0)),"")</f>
        <v/>
      </c>
      <c r="AN18" s="235" t="str">
        <f t="shared" si="5"/>
        <v/>
      </c>
      <c r="AO18" s="234" t="str">
        <f>IFERROR(INDEX(V!$R:$R,MATCH(AP18,V!$L:$L,0)),"")</f>
        <v/>
      </c>
      <c r="AP18" s="235" t="str">
        <f t="shared" si="6"/>
        <v/>
      </c>
    </row>
    <row r="19" spans="1:42" x14ac:dyDescent="0.2">
      <c r="A19" s="318"/>
      <c r="B19" s="319"/>
      <c r="C19" s="320"/>
      <c r="D19" s="321"/>
      <c r="E19" s="320"/>
      <c r="F19" s="322"/>
      <c r="G19" s="323"/>
      <c r="H19" s="324"/>
      <c r="I19" s="336"/>
      <c r="J19" s="302"/>
      <c r="K19" s="302"/>
      <c r="L19" s="302"/>
      <c r="M19" s="302"/>
      <c r="N19" s="302"/>
      <c r="O19" s="302"/>
      <c r="P19" s="302"/>
      <c r="Q19" s="302"/>
      <c r="R19" s="326" t="s">
        <v>247</v>
      </c>
      <c r="S19" s="302"/>
      <c r="T19" s="302"/>
      <c r="U19" s="302"/>
      <c r="V19" s="302"/>
      <c r="W19" s="302"/>
      <c r="X19" s="302"/>
      <c r="Y19" s="302"/>
      <c r="Z19" s="302"/>
      <c r="AA19" s="302"/>
      <c r="AB19" s="302"/>
      <c r="AC19" s="309"/>
      <c r="AD19" s="233">
        <f t="shared" si="0"/>
        <v>0</v>
      </c>
      <c r="AE19" s="234" t="str">
        <f>IFERROR(INDEX(V!$R:$R,MATCH(AF19,V!$L:$L,0)),"")</f>
        <v/>
      </c>
      <c r="AF19" s="235" t="str">
        <f t="shared" si="1"/>
        <v/>
      </c>
      <c r="AG19" s="234" t="str">
        <f>IFERROR(INDEX(V!$R:$R,MATCH(AH19,V!$L:$L,0)),"")</f>
        <v/>
      </c>
      <c r="AH19" s="235" t="str">
        <f t="shared" si="2"/>
        <v/>
      </c>
      <c r="AI19" s="234" t="str">
        <f>IFERROR(INDEX(V!$R:$R,MATCH(AJ19,V!$L:$L,0)),"")</f>
        <v/>
      </c>
      <c r="AJ19" s="235" t="str">
        <f t="shared" si="3"/>
        <v/>
      </c>
      <c r="AK19" s="234" t="str">
        <f>IFERROR(INDEX(V!$R:$R,MATCH(AL19,V!$L:$L,0)),"")</f>
        <v/>
      </c>
      <c r="AL19" s="235" t="str">
        <f t="shared" si="4"/>
        <v/>
      </c>
      <c r="AM19" s="234" t="str">
        <f>IFERROR(INDEX(V!$R:$R,MATCH(AN19,V!$L:$L,0)),"")</f>
        <v/>
      </c>
      <c r="AN19" s="235" t="str">
        <f t="shared" si="5"/>
        <v/>
      </c>
      <c r="AO19" s="234" t="str">
        <f>IFERROR(INDEX(V!$R:$R,MATCH(AP19,V!$L:$L,0)),"")</f>
        <v/>
      </c>
      <c r="AP19" s="235" t="str">
        <f t="shared" si="6"/>
        <v/>
      </c>
    </row>
    <row r="20" spans="1:42" x14ac:dyDescent="0.2">
      <c r="A20" s="201" t="s">
        <v>2</v>
      </c>
      <c r="B20" s="327"/>
      <c r="C20" s="292">
        <v>1</v>
      </c>
      <c r="D20" s="292">
        <v>2</v>
      </c>
      <c r="E20" s="292">
        <v>3</v>
      </c>
      <c r="F20" s="292">
        <v>4</v>
      </c>
      <c r="G20" s="292">
        <v>5</v>
      </c>
      <c r="H20" s="293" t="s">
        <v>170</v>
      </c>
      <c r="I20" s="293" t="s">
        <v>171</v>
      </c>
      <c r="J20" s="328" t="s">
        <v>240</v>
      </c>
      <c r="K20" s="329" t="s">
        <v>241</v>
      </c>
      <c r="L20" s="330" t="s">
        <v>242</v>
      </c>
      <c r="M20" s="330" t="s">
        <v>243</v>
      </c>
      <c r="N20" s="297" t="s">
        <v>172</v>
      </c>
      <c r="O20" s="297" t="s">
        <v>172</v>
      </c>
      <c r="P20" s="298" t="s">
        <v>244</v>
      </c>
      <c r="Q20" s="331" t="s">
        <v>21</v>
      </c>
      <c r="R20" s="331" t="b">
        <f>OR(AND(COUNTA(B21:B25)=3,COUNTA(C21:G25)=6),AND(COUNTA(B21:B25)=4,COUNTA(C21:G25)=12),AND(COUNTA(B21:B25)=5,COUNTA(C21:G25)=20))</f>
        <v>0</v>
      </c>
      <c r="S20" s="332" t="s">
        <v>245</v>
      </c>
      <c r="T20" s="333" t="s">
        <v>246</v>
      </c>
      <c r="U20" s="302"/>
      <c r="V20" s="302"/>
      <c r="W20" s="302"/>
      <c r="X20" s="302"/>
      <c r="Y20" s="302"/>
      <c r="Z20" s="302"/>
      <c r="AA20" s="302"/>
      <c r="AB20" s="302"/>
      <c r="AC20" s="302"/>
      <c r="AD20" s="233">
        <f t="shared" ref="AD20:AD31" si="7">SUM(AE20:AL20)</f>
        <v>0</v>
      </c>
      <c r="AE20" s="234" t="str">
        <f>IFERROR(INDEX(V!$R:$R,MATCH(AF20,V!$L:$L,0)),"")</f>
        <v/>
      </c>
      <c r="AF20" s="235" t="str">
        <f t="shared" si="1"/>
        <v/>
      </c>
      <c r="AG20" s="234" t="str">
        <f>IFERROR(INDEX(V!$R:$R,MATCH(AH20,V!$L:$L,0)),"")</f>
        <v/>
      </c>
      <c r="AH20" s="235" t="str">
        <f t="shared" si="2"/>
        <v/>
      </c>
      <c r="AI20" s="234" t="str">
        <f>IFERROR(INDEX(V!$R:$R,MATCH(AJ20,V!$L:$L,0)),"")</f>
        <v/>
      </c>
      <c r="AJ20" s="235" t="str">
        <f t="shared" si="3"/>
        <v/>
      </c>
      <c r="AK20" s="234" t="str">
        <f>IFERROR(INDEX(V!$R:$R,MATCH(AL20,V!$L:$L,0)),"")</f>
        <v/>
      </c>
      <c r="AL20" s="235" t="str">
        <f t="shared" si="4"/>
        <v/>
      </c>
      <c r="AM20" s="234" t="str">
        <f>IFERROR(INDEX(V!$R:$R,MATCH(AN20,V!$L:$L,0)),"")</f>
        <v/>
      </c>
      <c r="AN20" s="235" t="str">
        <f t="shared" si="5"/>
        <v/>
      </c>
      <c r="AO20" s="234" t="str">
        <f>IFERROR(INDEX(V!$R:$R,MATCH(AP20,V!$L:$L,0)),"")</f>
        <v/>
      </c>
      <c r="AP20" s="235" t="str">
        <f t="shared" si="6"/>
        <v/>
      </c>
    </row>
    <row r="21" spans="1:42" x14ac:dyDescent="0.2">
      <c r="A21" s="201">
        <v>1</v>
      </c>
      <c r="B21" s="304"/>
      <c r="C21" s="204"/>
      <c r="D21" s="203"/>
      <c r="E21" s="203"/>
      <c r="F21" s="203"/>
      <c r="G21" s="203"/>
      <c r="H21" s="202" t="str">
        <f>(IF(D21-C22&gt;0,1)+IF(E21-C23&gt;0,1)+IF(F21-C24&gt;0,1)+IF(G21-C25&gt;0,1))&amp;"-"&amp;(IF(D21-C22&lt;0,1)+IF(E21-C23&lt;0,1)+IF(F21-C24&lt;0,1)+IF(G21-C25&lt;0,1))</f>
        <v>0-0</v>
      </c>
      <c r="I21" s="203" t="str">
        <f>IF(AND(B21&lt;&gt;"",R$20=TRUE),A$20&amp;RANK(S21,S$21:S$25,0)," ")</f>
        <v xml:space="preserve"> </v>
      </c>
      <c r="J21" s="305">
        <f>IF(AND(Q21=1,Q22=1,D21&gt;C22),1)+IF(AND(Q21=1,Q23=1,E21&gt;C23),1)+IF(AND(Q21=1,Q24=1,F21&gt;C24),1)+IF(AND(Q21=1,Q25=1,G21&gt;C25),1)+IF(AND(Q21=2,Q22=2,D21&gt;C22),1)+IF(AND(Q21=2,Q23=2,E21&gt;C23),1)+IF(AND(Q21=2,Q24=2,F21&gt;C24),1)+IF(AND(Q21=2,Q25=2,G21&gt;C25),1)+IF(AND(Q21=3,Q22=3,D21&gt;C22),1)+IF(AND(Q21=3,Q23=3,E21&gt;C23),1)+IF(AND(Q21=3,Q24=3,F21&gt;C24),1)+IF(AND(Q21=3,Q25=3,G21&gt;C25),1)</f>
        <v>0</v>
      </c>
      <c r="K21" s="306">
        <f>SUM(AND(T21=T22,D21&gt;C22),AND(T21=T23,E21&gt;C23),AND(T21=T24,F21&gt;C24),AND(T21=T25,G21&gt;C25))</f>
        <v>0</v>
      </c>
      <c r="L21" s="307">
        <f>IF(AND(Q21=1,Q22=1),D21-C22)+IF(AND(Q21=1,Q23=1),E21-C23)+IF(AND(Q21=1,Q24=1),F21-C24)+IF(AND(Q21=1,Q25=1),G21-C25)+IF(AND(Q21=2,Q22=2),D21-C22)+IF(AND(Q21=2,Q23=2),E21-C23)+IF(AND(Q21=2,Q24=2),F21-C24)+IF(AND(Q21=2,Q25=2),G21-C25)+IF(AND(Q21=3,Q22=3),D21-C22)+IF(AND(Q21=3,Q23=3),E21-C23)+IF(AND(Q21=3,Q24=3),F21-C24)+IF(AND(Q21=3,Q25=3),G21-C25)+IF(AND(Q21=4,Q22=4),D21-C22)+IF(AND(Q21=4,Q23=4),E21-C23)+IF(AND(Q21=4,Q24=4),F21-C24)+IF(AND(Q21=4,Q25=4),G21-C25)</f>
        <v>0</v>
      </c>
      <c r="M21" s="308">
        <f>SUM(AND(R21=R22,D21&gt;C22),AND(R21=R23,E21&gt;C23),AND(R21=R24,F21&gt;C24),AND(R21=R25,G21&gt;C25))</f>
        <v>0</v>
      </c>
      <c r="N21" s="417" t="str">
        <f>SUM(C21:G21)&amp;"-"&amp;SUM(C21:C25)</f>
        <v>0-0</v>
      </c>
      <c r="O21" s="354">
        <f>D21+E21+F21+G21-C22-C23-C24-C25</f>
        <v>0</v>
      </c>
      <c r="P21" s="309" t="e">
        <f>SUM(C21:G21,C21:C25)/SUM(C21:C25)</f>
        <v>#DIV/0!</v>
      </c>
      <c r="Q21" s="205">
        <f>VALUE(LEFT(H21,1))</f>
        <v>0</v>
      </c>
      <c r="R21" s="206">
        <f>Q21*100000+J21*10000+K21*1000+100*L21</f>
        <v>0</v>
      </c>
      <c r="S21" s="310">
        <f>R21+M21*0.1+IF(ISNONTEXT(B21),0,0.01)+0.0001*O21</f>
        <v>0</v>
      </c>
      <c r="T21" s="311" t="str">
        <f>Q21&amp;J21</f>
        <v>00</v>
      </c>
      <c r="U21" s="302"/>
      <c r="V21" s="302"/>
      <c r="W21" s="302"/>
      <c r="X21" s="302"/>
      <c r="Y21" s="302"/>
      <c r="Z21" s="302"/>
      <c r="AA21" s="302"/>
      <c r="AB21" s="302"/>
      <c r="AC21" s="302"/>
      <c r="AD21" s="233">
        <f t="shared" si="7"/>
        <v>0</v>
      </c>
      <c r="AE21" s="234" t="str">
        <f>IFERROR(INDEX(V!$R:$R,MATCH(AF21,V!$L:$L,0)),"")</f>
        <v/>
      </c>
      <c r="AF21" s="235" t="str">
        <f t="shared" si="1"/>
        <v/>
      </c>
      <c r="AG21" s="234" t="str">
        <f>IFERROR(INDEX(V!$R:$R,MATCH(AH21,V!$L:$L,0)),"")</f>
        <v/>
      </c>
      <c r="AH21" s="235" t="str">
        <f t="shared" si="2"/>
        <v/>
      </c>
      <c r="AI21" s="234" t="str">
        <f>IFERROR(INDEX(V!$R:$R,MATCH(AJ21,V!$L:$L,0)),"")</f>
        <v/>
      </c>
      <c r="AJ21" s="235" t="str">
        <f t="shared" si="3"/>
        <v/>
      </c>
      <c r="AK21" s="234" t="str">
        <f>IFERROR(INDEX(V!$R:$R,MATCH(AL21,V!$L:$L,0)),"")</f>
        <v/>
      </c>
      <c r="AL21" s="235" t="str">
        <f t="shared" si="4"/>
        <v/>
      </c>
      <c r="AM21" s="234" t="str">
        <f>IFERROR(INDEX(V!$R:$R,MATCH(AN21,V!$L:$L,0)),"")</f>
        <v/>
      </c>
      <c r="AN21" s="235" t="str">
        <f t="shared" si="5"/>
        <v/>
      </c>
      <c r="AO21" s="234" t="str">
        <f>IFERROR(INDEX(V!$R:$R,MATCH(AP21,V!$L:$L,0)),"")</f>
        <v/>
      </c>
      <c r="AP21" s="235" t="str">
        <f t="shared" si="6"/>
        <v/>
      </c>
    </row>
    <row r="22" spans="1:42" x14ac:dyDescent="0.2">
      <c r="A22" s="201">
        <v>2</v>
      </c>
      <c r="B22" s="312"/>
      <c r="C22" s="203"/>
      <c r="D22" s="204"/>
      <c r="E22" s="203"/>
      <c r="F22" s="203"/>
      <c r="G22" s="203"/>
      <c r="H22" s="202" t="str">
        <f>(IF(C22-D21&gt;0,1)+IF(E22-D23&gt;0,1)+IF(F22-D24&gt;0,1)+IF(G22-D25&gt;0,1))&amp;"-"&amp;(IF(C22-D21&lt;0,1)+IF(E22-D23&lt;0,1)+IF(F22-D24&lt;0,1)+IF(G22-D25&lt;0,1))</f>
        <v>0-0</v>
      </c>
      <c r="I22" s="203" t="str">
        <f t="shared" ref="I22:I25" si="8">IF(AND(B22&lt;&gt;"",R$20=TRUE),A$20&amp;RANK(S22,S$21:S$25,0)," ")</f>
        <v xml:space="preserve"> </v>
      </c>
      <c r="J22" s="313">
        <f>IF(AND(Q22=1,Q21=1,C22&gt;D21),1)+IF(AND(Q22=1,Q23=1,E22&gt;D23),1)+IF(AND(Q22=1,Q24=1,F22&gt;D24),1)+IF(AND(Q22=1,Q25=1,G22&gt;D25),1)+IF(AND(Q22=2,Q21=2,C22&gt;D21),1)+IF(AND(Q22=2,Q23=2,E22&gt;D23),1)+IF(AND(Q22=2,Q24=2,F22&gt;D24),1)+IF(AND(Q22=2,Q25=2,G22&gt;D25),1)+IF(AND(Q22=3,Q21=3,C22&gt;D21),1)+IF(AND(Q22=3,Q23=3,E22&gt;D23),1)+IF(AND(Q22=3,Q24=3,F22&gt;D24),1)+IF(AND(Q22=3,Q25=3,G22&gt;D25),1)</f>
        <v>0</v>
      </c>
      <c r="K22" s="308">
        <f>SUM(AND(T22=T21,C22&gt;D21),AND(T22=T23,E22&gt;D23),AND(T22=T24,F22&gt;D24),AND(T22=T25,G22&gt;D25))</f>
        <v>0</v>
      </c>
      <c r="L22" s="314">
        <f>IF(AND(Q22=1,Q21=1),C22-D21)+IF(AND(Q22=1,Q23=1),E22-D23)+IF(AND(Q22=1,Q24=1),F22-D24)+IF(AND(Q22=1,Q25=1),G22-D25)+IF(AND(Q22=2,Q21=2),C22-D21)+IF(AND(Q22=2,Q23=2),E22-D23)+IF(AND(Q22=2,Q24=2),F22-D24)+IF(AND(Q22=2,Q25=2),G22-D25)+IF(AND(Q22=3,Q21=3),C22-D21)+IF(AND(Q22=3,Q23=3),E22-D23)+IF(AND(Q22=3,Q24=3),F22-D24)+IF(AND(Q22=3,Q25=3),G22-D25)+IF(AND(Q22=4,Q21=4),C22-D21)+IF(AND(Q22=4,Q23=4),E22-D23)+IF(AND(Q22=4,Q24=4),F22-D24)+IF(AND(Q22=4,Q25=4),G22-D25)</f>
        <v>0</v>
      </c>
      <c r="M22" s="308">
        <f>SUM(AND(R22=R21,C22&gt;D21),AND(R22=R23,E22&gt;D23),AND(R22=R24,F22&gt;D24),AND(R22=R25,G22&gt;D25))</f>
        <v>0</v>
      </c>
      <c r="N22" s="417" t="str">
        <f>SUM(C22:G22)&amp;"-"&amp;SUM(D21:D25)</f>
        <v>0-0</v>
      </c>
      <c r="O22" s="354">
        <f>C22+E22+F22+G22-D21-D23-D24-D25</f>
        <v>0</v>
      </c>
      <c r="P22" s="309" t="e">
        <f>SUM(C22:G22,D21:D25)/SUM(D21:D25)</f>
        <v>#DIV/0!</v>
      </c>
      <c r="Q22" s="315">
        <f>VALUE(LEFT(H22,1))</f>
        <v>0</v>
      </c>
      <c r="R22" s="206">
        <f>Q22*100000+J22*10000+K22*1000+100*L22</f>
        <v>0</v>
      </c>
      <c r="S22" s="310">
        <f>R22+M22*0.1+IF(ISNONTEXT(B22),0,0.01)+0.0001*O22</f>
        <v>0</v>
      </c>
      <c r="T22" s="311" t="str">
        <f>Q22&amp;J22</f>
        <v>00</v>
      </c>
      <c r="U22" s="302"/>
      <c r="V22" s="302"/>
      <c r="W22" s="302"/>
      <c r="X22" s="302"/>
      <c r="Y22" s="302"/>
      <c r="Z22" s="302"/>
      <c r="AA22" s="302"/>
      <c r="AB22" s="302"/>
      <c r="AC22" s="302"/>
      <c r="AD22" s="233">
        <f t="shared" si="7"/>
        <v>0</v>
      </c>
      <c r="AE22" s="234" t="str">
        <f>IFERROR(INDEX(V!$R:$R,MATCH(AF22,V!$L:$L,0)),"")</f>
        <v/>
      </c>
      <c r="AF22" s="235" t="str">
        <f t="shared" si="1"/>
        <v/>
      </c>
      <c r="AG22" s="234" t="str">
        <f>IFERROR(INDEX(V!$R:$R,MATCH(AH22,V!$L:$L,0)),"")</f>
        <v/>
      </c>
      <c r="AH22" s="235" t="str">
        <f t="shared" si="2"/>
        <v/>
      </c>
      <c r="AI22" s="234" t="str">
        <f>IFERROR(INDEX(V!$R:$R,MATCH(AJ22,V!$L:$L,0)),"")</f>
        <v/>
      </c>
      <c r="AJ22" s="235" t="str">
        <f t="shared" si="3"/>
        <v/>
      </c>
      <c r="AK22" s="234" t="str">
        <f>IFERROR(INDEX(V!$R:$R,MATCH(AL22,V!$L:$L,0)),"")</f>
        <v/>
      </c>
      <c r="AL22" s="235" t="str">
        <f t="shared" si="4"/>
        <v/>
      </c>
      <c r="AM22" s="234" t="str">
        <f>IFERROR(INDEX(V!$R:$R,MATCH(AN22,V!$L:$L,0)),"")</f>
        <v/>
      </c>
      <c r="AN22" s="235" t="str">
        <f t="shared" si="5"/>
        <v/>
      </c>
      <c r="AO22" s="234" t="str">
        <f>IFERROR(INDEX(V!$R:$R,MATCH(AP22,V!$L:$L,0)),"")</f>
        <v/>
      </c>
      <c r="AP22" s="235" t="str">
        <f t="shared" si="6"/>
        <v/>
      </c>
    </row>
    <row r="23" spans="1:42" x14ac:dyDescent="0.2">
      <c r="A23" s="201">
        <v>3</v>
      </c>
      <c r="B23" s="312"/>
      <c r="C23" s="203"/>
      <c r="D23" s="316"/>
      <c r="E23" s="204"/>
      <c r="F23" s="203"/>
      <c r="G23" s="203"/>
      <c r="H23" s="202" t="str">
        <f>(IF(C23-E21&gt;0,1)+IF(D23-E22&gt;0,1)+IF(F23-E24&gt;0,1)+IF(G23-E25&gt;0,1))&amp;"-"&amp;(IF(C23-E21&lt;0,1)+IF(D23-E22&lt;0,1)+IF(F23-E24&lt;0,1)+IF(G23-E25&lt;0,1))</f>
        <v>0-0</v>
      </c>
      <c r="I23" s="203" t="str">
        <f t="shared" si="8"/>
        <v xml:space="preserve"> </v>
      </c>
      <c r="J23" s="313">
        <f>IF(AND(Q23=1,Q21=1,C23&gt;E21),1)+IF(AND(Q23=1,Q22=1,D23&gt;E22),1)+IF(AND(Q23=1,Q24=1,F23&gt;E24),1)+IF(AND(Q23=1,Q25=1,G23&gt;E25),1)+IF(AND(Q23=2,Q21=2,C23&gt;E21),1)+IF(AND(Q23=2,Q22=2,D23&gt;E22),1)+IF(AND(Q23=2,Q24=2,F23&gt;E24),1)+IF(AND(Q23=2,Q25=2,G23&gt;E25),1)+IF(AND(Q23=3,Q21=3,C23&gt;E21),1)+IF(AND(Q23=3,Q22=3,D23&gt;E22),1)+IF(AND(Q23=3,Q24=3,F23&gt;E24),1)+IF(AND(Q23=3,Q25=3,G23&gt;E25),1)</f>
        <v>0</v>
      </c>
      <c r="K23" s="308">
        <f>SUM(AND(T23=T21,C23&gt;E21),AND(T23=T22,D23&gt;E22),AND(T23=T24,F23&gt;E24),AND(T23=T25,G23&gt;E25))</f>
        <v>0</v>
      </c>
      <c r="L23" s="314">
        <f>IF(AND(Q23=1,Q21=1),C23-E21)+IF(AND(Q23=1,Q22=1),D23-E22)+IF(AND(Q23=1,Q24=1),F23-E24)+IF(AND(Q23=1,Q25=1),G23-E25)+IF(AND(Q23=2,Q21=2),C23-E21)+IF(AND(Q23=2,Q22=2),D23-E22)+IF(AND(Q23=2,Q24=2),F23-E24)+IF(AND(Q23=2,Q25=2),G23-E25)+IF(AND(Q23=3,Q21=3),C23-E21)+IF(AND(Q23=3,Q22=3),D23-E22)+IF(AND(Q23=3,Q24=3),F23-E24)+IF(AND(Q23=3,Q25=3),G23-E25)+IF(AND(Q23=4,Q21=4),C23-E21)+IF(AND(Q23=4,Q22=4),D23-E22)+IF(AND(Q23=4,Q24=4),F23-E24)+IF(AND(Q23=4,Q25=4),G23-E25)</f>
        <v>0</v>
      </c>
      <c r="M23" s="308">
        <f>SUM(AND(R23=R21,C23&gt;E21),AND(R23=R22,D23&gt;E22),AND(R23=R24,F23&gt;E24),AND(R23=R25,G23&gt;E25))</f>
        <v>0</v>
      </c>
      <c r="N23" s="417" t="str">
        <f>SUM(C23:G23)&amp;"-"&amp;SUM(E21:E25)</f>
        <v>0-0</v>
      </c>
      <c r="O23" s="354">
        <f>C23+D23+F23+G23-E21-E22-E24-E25</f>
        <v>0</v>
      </c>
      <c r="P23" s="309" t="e">
        <f>SUM(C23:G23,E21:E25)/SUM(E21:E25)</f>
        <v>#DIV/0!</v>
      </c>
      <c r="Q23" s="315">
        <f>VALUE(LEFT(H23,1))</f>
        <v>0</v>
      </c>
      <c r="R23" s="206">
        <f>Q23*100000+J23*10000+K23*1000+100*L23</f>
        <v>0</v>
      </c>
      <c r="S23" s="310">
        <f>R23+M23*0.1+IF(ISNONTEXT(B23),0,0.01)+0.0001*O23</f>
        <v>0</v>
      </c>
      <c r="T23" s="311" t="str">
        <f>Q23&amp;J23</f>
        <v>00</v>
      </c>
      <c r="U23" s="302"/>
      <c r="V23" s="302"/>
      <c r="W23" s="302"/>
      <c r="X23" s="302"/>
      <c r="Y23" s="302"/>
      <c r="Z23" s="302"/>
      <c r="AA23" s="302"/>
      <c r="AB23" s="302"/>
      <c r="AC23" s="302"/>
      <c r="AD23" s="233">
        <f t="shared" si="7"/>
        <v>0</v>
      </c>
      <c r="AE23" s="234" t="str">
        <f>IFERROR(INDEX(V!$R:$R,MATCH(AF23,V!$L:$L,0)),"")</f>
        <v/>
      </c>
      <c r="AF23" s="235" t="str">
        <f t="shared" si="1"/>
        <v/>
      </c>
      <c r="AG23" s="234" t="str">
        <f>IFERROR(INDEX(V!$R:$R,MATCH(AH23,V!$L:$L,0)),"")</f>
        <v/>
      </c>
      <c r="AH23" s="235" t="str">
        <f t="shared" si="2"/>
        <v/>
      </c>
      <c r="AI23" s="234" t="str">
        <f>IFERROR(INDEX(V!$R:$R,MATCH(AJ23,V!$L:$L,0)),"")</f>
        <v/>
      </c>
      <c r="AJ23" s="235" t="str">
        <f t="shared" si="3"/>
        <v/>
      </c>
      <c r="AK23" s="234" t="str">
        <f>IFERROR(INDEX(V!$R:$R,MATCH(AL23,V!$L:$L,0)),"")</f>
        <v/>
      </c>
      <c r="AL23" s="235" t="str">
        <f t="shared" si="4"/>
        <v/>
      </c>
      <c r="AM23" s="234" t="str">
        <f>IFERROR(INDEX(V!$R:$R,MATCH(AN23,V!$L:$L,0)),"")</f>
        <v/>
      </c>
      <c r="AN23" s="235" t="str">
        <f t="shared" si="5"/>
        <v/>
      </c>
      <c r="AO23" s="234" t="str">
        <f>IFERROR(INDEX(V!$R:$R,MATCH(AP23,V!$L:$L,0)),"")</f>
        <v/>
      </c>
      <c r="AP23" s="235" t="str">
        <f t="shared" si="6"/>
        <v/>
      </c>
    </row>
    <row r="24" spans="1:42" x14ac:dyDescent="0.2">
      <c r="A24" s="201">
        <v>4</v>
      </c>
      <c r="B24" s="312"/>
      <c r="C24" s="203"/>
      <c r="D24" s="316"/>
      <c r="E24" s="203"/>
      <c r="F24" s="204"/>
      <c r="G24" s="335"/>
      <c r="H24" s="202" t="str">
        <f>(IF(C24-F21&gt;0,1)+IF(D24-F22&gt;0,1)+IF(E24-F23&gt;0,1)+IF(G24-F25&gt;0,1))&amp;"-"&amp;(IF(C24-F21&lt;0,1)+IF(D24-F22&lt;0,1)+IF(E24-F23&lt;0,1)+IF(G24-F25&lt;0,1))</f>
        <v>0-0</v>
      </c>
      <c r="I24" s="203" t="str">
        <f t="shared" si="8"/>
        <v xml:space="preserve"> </v>
      </c>
      <c r="J24" s="313">
        <f>IF(AND(Q24=1,Q21=1,C24&gt;F21),1)+IF(AND(Q24=1,Q22=1,D24&gt;F22),1)+IF(AND(Q24=1,Q23=1,E24&gt;F23),1)+IF(AND(Q24=1,Q25=1,G24&gt;F25),1)+IF(AND(Q24=2,Q21=2,C24&gt;F21),1)+IF(AND(Q24=2,Q22=2,D24&gt;F22),1)+IF(AND(Q24=2,Q23=2,E24&gt;F23),1)+IF(AND(Q24=2,Q25=2,G24&gt;F25),1)+IF(AND(Q24=3,Q21=3,C24&gt;F21),1)+IF(AND(Q24=3,Q22=3,D24&gt;F22),1)+IF(AND(Q24=3,Q23=3,E24&gt;F23),1)+IF(AND(Q24=3,Q25=3,G24&gt;F25),1)</f>
        <v>0</v>
      </c>
      <c r="K24" s="308">
        <f>SUM(AND(T24=T21,C24&gt;F21),AND(T24=T22,D24&gt;F22),AND(T24=T23,E24&gt;F23),AND(T24=T25,G24&gt;F25))</f>
        <v>0</v>
      </c>
      <c r="L24" s="314">
        <f>IF(AND(Q24=1,Q21=1),C24-F21)+IF(AND(Q24=1,Q22=1),D24-F22)+IF(AND(Q24=1,Q23=1),E24-F23)+IF(AND(Q24=1,Q25=1),G24-F25)+IF(AND(Q24=2,Q21=2),C24-F21)+IF(AND(Q24=2,Q22=2),D24-F22)+IF(AND(Q24=2,Q23=2),E24-F23)+IF(AND(Q24=2,Q25=2),G24-F25)+IF(AND(Q24=3,Q21=3),C24-F21)+IF(AND(Q24=3,Q22=3),D24-F22)+IF(AND(Q24=3,Q23=3),E24-F23)+IF(AND(Q24=3,Q25=3),G24-F25)+IF(AND(Q24=4,Q21=4),C24-F21)+IF(AND(Q24=4,Q22=4),D24-F22)+IF(AND(Q24=4,Q23=4),E24-F23)+IF(AND(Q24=4,Q25=4),G24-F25)</f>
        <v>0</v>
      </c>
      <c r="M24" s="308">
        <f>SUM(AND(R24=R21,C24&gt;F21),AND(R24=R22,D24&gt;F22),AND(R24=R23,E24&gt;F23),AND(R24=R25,G24&gt;F25))</f>
        <v>0</v>
      </c>
      <c r="N24" s="417" t="str">
        <f>SUM(C24:G24)&amp;"-"&amp;SUM(F21:F25)</f>
        <v>0-0</v>
      </c>
      <c r="O24" s="354">
        <f>C24+D24+E24+G24-F21-F22-F23-F25</f>
        <v>0</v>
      </c>
      <c r="P24" s="309" t="e">
        <f>SUM(C24:G24,F21:F25)/SUM(F21:F25)</f>
        <v>#DIV/0!</v>
      </c>
      <c r="Q24" s="315">
        <f>VALUE(LEFT(H24,1))</f>
        <v>0</v>
      </c>
      <c r="R24" s="206">
        <f>Q24*100000+J24*10000+K24*1000+100*L24</f>
        <v>0</v>
      </c>
      <c r="S24" s="310">
        <f>R24+M24*0.1+IF(ISNONTEXT(B24),0,0.01)+0.0001*O24</f>
        <v>0</v>
      </c>
      <c r="T24" s="311" t="str">
        <f>Q24&amp;J24</f>
        <v>00</v>
      </c>
      <c r="U24" s="302"/>
      <c r="V24" s="302"/>
      <c r="W24" s="302"/>
      <c r="X24" s="302"/>
      <c r="Y24" s="302"/>
      <c r="Z24" s="302"/>
      <c r="AA24" s="302"/>
      <c r="AB24" s="302"/>
      <c r="AC24" s="302"/>
      <c r="AD24" s="233">
        <f t="shared" si="7"/>
        <v>0</v>
      </c>
      <c r="AE24" s="234" t="str">
        <f>IFERROR(INDEX(V!$R:$R,MATCH(AF24,V!$L:$L,0)),"")</f>
        <v/>
      </c>
      <c r="AF24" s="235" t="str">
        <f t="shared" si="1"/>
        <v/>
      </c>
      <c r="AG24" s="234" t="str">
        <f>IFERROR(INDEX(V!$R:$R,MATCH(AH24,V!$L:$L,0)),"")</f>
        <v/>
      </c>
      <c r="AH24" s="235" t="str">
        <f t="shared" si="2"/>
        <v/>
      </c>
      <c r="AI24" s="234" t="str">
        <f>IFERROR(INDEX(V!$R:$R,MATCH(AJ24,V!$L:$L,0)),"")</f>
        <v/>
      </c>
      <c r="AJ24" s="235" t="str">
        <f t="shared" si="3"/>
        <v/>
      </c>
      <c r="AK24" s="234" t="str">
        <f>IFERROR(INDEX(V!$R:$R,MATCH(AL24,V!$L:$L,0)),"")</f>
        <v/>
      </c>
      <c r="AL24" s="235" t="str">
        <f t="shared" si="4"/>
        <v/>
      </c>
      <c r="AM24" s="234" t="str">
        <f>IFERROR(INDEX(V!$R:$R,MATCH(AN24,V!$L:$L,0)),"")</f>
        <v/>
      </c>
      <c r="AN24" s="235" t="str">
        <f t="shared" si="5"/>
        <v/>
      </c>
      <c r="AO24" s="234" t="str">
        <f>IFERROR(INDEX(V!$R:$R,MATCH(AP24,V!$L:$L,0)),"")</f>
        <v/>
      </c>
      <c r="AP24" s="235" t="str">
        <f t="shared" si="6"/>
        <v/>
      </c>
    </row>
    <row r="25" spans="1:42" x14ac:dyDescent="0.2">
      <c r="A25" s="201">
        <v>5</v>
      </c>
      <c r="B25" s="317"/>
      <c r="C25" s="203"/>
      <c r="D25" s="203"/>
      <c r="E25" s="203"/>
      <c r="F25" s="203"/>
      <c r="G25" s="204"/>
      <c r="H25" s="202" t="str">
        <f>(IF(C25-G21&gt;0,1)+IF(D25-G22&gt;0,1)+IF(E25-G23&gt;0,1)+IF(F25-G24&gt;0,1))&amp;"-"&amp;(IF(C25-G21&lt;0,1)+IF(D25-G22&lt;0,1)+IF(E25-G23&lt;0,1)+IF(F25-G24&lt;0,1))</f>
        <v>0-0</v>
      </c>
      <c r="I25" s="203" t="str">
        <f t="shared" si="8"/>
        <v xml:space="preserve"> </v>
      </c>
      <c r="J25" s="313">
        <f>IF(AND(Q25=1,Q21=1,C25&gt;G21),1)+IF(AND(Q25=1,Q22=1,D25&gt;G22),1)+IF(AND(Q25=1,Q23=1,E25&gt;G23),1)+IF(AND(Q25=1,Q24=1,F25&gt;G24),1)+IF(AND(Q25=2,Q21=2,C25&gt;G21),1)+IF(AND(Q25=2,Q22=2,D25&gt;G22),1)+IF(AND(Q25=2,Q23=2,E25&gt;G23),1)+IF(AND(Q25=2,Q24=2,F25&gt;G24),1)+IF(AND(Q25=3,Q21=3,C25&gt;G21),1)+IF(AND(Q25=3,Q22=3,D25&gt;G22),1)+IF(AND(Q25=3,Q23=3,E25&gt;G23),1)+IF(AND(Q25=3,Q24=3,F25&gt;G24),1)</f>
        <v>0</v>
      </c>
      <c r="K25" s="308">
        <f>SUM(AND(T25=T21,C25&gt;G21),AND(T25=T22,D25&gt;G22),AND(T25=T23,E25&gt;G23),AND(T25=T24,F25&gt;G24))</f>
        <v>0</v>
      </c>
      <c r="L25" s="314">
        <f>IF(AND(Q25=1,Q21=1),C25-G21)+IF(AND(Q25=1,Q22=1),D25-G22)+IF(AND(Q25=1,Q23=1),E25-G23)+IF(AND(Q25=1,Q24=1),F25-G24)+IF(AND(Q25=2,Q21=2),C25-G21)+IF(AND(Q25=2,Q22=2),D25-G22)+IF(AND(Q25=2,Q23=2),E25-G23)+IF(AND(Q25=2,Q24=2),F25-G24)+IF(AND(Q25=3,Q21=3),C25-G21)+IF(AND(Q25=3,Q22=3),D25-G22)+IF(AND(Q25=3,Q23=3),E25-G23)+IF(AND(Q25=3,Q24=3),F25-G24)+IF(AND(Q25=4,Q21=4),C25-G21)+IF(AND(Q25=4,Q22=4),D25-G22)+IF(AND(Q25=4,Q23=4),E25-G23)+IF(AND(Q25=4,Q24=4),F25-G24)</f>
        <v>0</v>
      </c>
      <c r="M25" s="308">
        <f>SUM(AND(R25=R21,C25&gt;G21),AND(R25=R22,D25&gt;G22),AND(R25=R23,E25&gt;G23),AND(R25=R24,F25&gt;G24))</f>
        <v>0</v>
      </c>
      <c r="N25" s="417" t="str">
        <f>SUM(C25:G25)&amp;"-"&amp;SUM(G21:G25)</f>
        <v>0-0</v>
      </c>
      <c r="O25" s="354">
        <f>C25+D25+E25+F25-G21-G22-G23-G24</f>
        <v>0</v>
      </c>
      <c r="P25" s="309" t="e">
        <f>SUM(C25:G25,G21:G25)/SUM(G21:G25)</f>
        <v>#DIV/0!</v>
      </c>
      <c r="Q25" s="315">
        <f>VALUE(LEFT(H25,1))</f>
        <v>0</v>
      </c>
      <c r="R25" s="206">
        <f>Q25*100000+J25*10000+K25*1000+100*L25</f>
        <v>0</v>
      </c>
      <c r="S25" s="310">
        <f>R25+M25*0.1+IF(ISNONTEXT(B25),0,0.01)+0.0001*O25</f>
        <v>0</v>
      </c>
      <c r="T25" s="311" t="str">
        <f>Q25&amp;J25</f>
        <v>00</v>
      </c>
      <c r="U25" s="302"/>
      <c r="V25" s="302"/>
      <c r="W25" s="302"/>
      <c r="X25" s="302"/>
      <c r="Y25" s="302"/>
      <c r="Z25" s="302"/>
      <c r="AA25" s="302"/>
      <c r="AB25" s="302"/>
      <c r="AC25" s="302"/>
      <c r="AD25" s="233">
        <f t="shared" si="7"/>
        <v>0</v>
      </c>
      <c r="AE25" s="234" t="str">
        <f>IFERROR(INDEX(V!$R:$R,MATCH(AF25,V!$L:$L,0)),"")</f>
        <v/>
      </c>
      <c r="AF25" s="235" t="str">
        <f t="shared" si="1"/>
        <v/>
      </c>
      <c r="AG25" s="234" t="str">
        <f>IFERROR(INDEX(V!$R:$R,MATCH(AH25,V!$L:$L,0)),"")</f>
        <v/>
      </c>
      <c r="AH25" s="235" t="str">
        <f t="shared" si="2"/>
        <v/>
      </c>
      <c r="AI25" s="234" t="str">
        <f>IFERROR(INDEX(V!$R:$R,MATCH(AJ25,V!$L:$L,0)),"")</f>
        <v/>
      </c>
      <c r="AJ25" s="235" t="str">
        <f t="shared" si="3"/>
        <v/>
      </c>
      <c r="AK25" s="234" t="str">
        <f>IFERROR(INDEX(V!$R:$R,MATCH(AL25,V!$L:$L,0)),"")</f>
        <v/>
      </c>
      <c r="AL25" s="235" t="str">
        <f t="shared" si="4"/>
        <v/>
      </c>
      <c r="AM25" s="234" t="str">
        <f>IFERROR(INDEX(V!$R:$R,MATCH(AN25,V!$L:$L,0)),"")</f>
        <v/>
      </c>
      <c r="AN25" s="235" t="str">
        <f t="shared" si="5"/>
        <v/>
      </c>
      <c r="AO25" s="234" t="str">
        <f>IFERROR(INDEX(V!$R:$R,MATCH(AP25,V!$L:$L,0)),"")</f>
        <v/>
      </c>
      <c r="AP25" s="235" t="str">
        <f t="shared" si="6"/>
        <v/>
      </c>
    </row>
    <row r="26" spans="1:42" x14ac:dyDescent="0.2">
      <c r="A26" s="337"/>
      <c r="B26" s="338"/>
      <c r="C26" s="323"/>
      <c r="D26" s="323"/>
      <c r="E26" s="323"/>
      <c r="F26" s="339"/>
      <c r="G26" s="339"/>
      <c r="H26" s="340"/>
      <c r="I26" s="341"/>
      <c r="J26" s="302"/>
      <c r="K26" s="302"/>
      <c r="L26" s="302"/>
      <c r="M26" s="302"/>
      <c r="N26" s="302"/>
      <c r="O26" s="302"/>
      <c r="P26" s="302"/>
      <c r="Q26" s="302"/>
      <c r="R26" s="326" t="s">
        <v>247</v>
      </c>
      <c r="S26" s="302"/>
      <c r="T26" s="302"/>
      <c r="U26" s="302"/>
      <c r="V26" s="302"/>
      <c r="W26" s="302"/>
      <c r="X26" s="302"/>
      <c r="Y26" s="302"/>
      <c r="Z26" s="302"/>
      <c r="AA26" s="302"/>
      <c r="AB26" s="302"/>
      <c r="AC26" s="302"/>
      <c r="AD26" s="233">
        <f t="shared" si="7"/>
        <v>0</v>
      </c>
      <c r="AE26" s="234" t="str">
        <f>IFERROR(INDEX(V!$R:$R,MATCH(AF26,V!$L:$L,0)),"")</f>
        <v/>
      </c>
      <c r="AF26" s="235" t="str">
        <f t="shared" si="1"/>
        <v/>
      </c>
      <c r="AG26" s="234" t="str">
        <f>IFERROR(INDEX(V!$R:$R,MATCH(AH26,V!$L:$L,0)),"")</f>
        <v/>
      </c>
      <c r="AH26" s="235" t="str">
        <f t="shared" si="2"/>
        <v/>
      </c>
      <c r="AI26" s="234" t="str">
        <f>IFERROR(INDEX(V!$R:$R,MATCH(AJ26,V!$L:$L,0)),"")</f>
        <v/>
      </c>
      <c r="AJ26" s="235" t="str">
        <f t="shared" si="3"/>
        <v/>
      </c>
      <c r="AK26" s="234" t="str">
        <f>IFERROR(INDEX(V!$R:$R,MATCH(AL26,V!$L:$L,0)),"")</f>
        <v/>
      </c>
      <c r="AL26" s="235" t="str">
        <f t="shared" si="4"/>
        <v/>
      </c>
      <c r="AM26" s="234" t="str">
        <f>IFERROR(INDEX(V!$R:$R,MATCH(AN26,V!$L:$L,0)),"")</f>
        <v/>
      </c>
      <c r="AN26" s="235" t="str">
        <f t="shared" si="5"/>
        <v/>
      </c>
      <c r="AO26" s="234" t="str">
        <f>IFERROR(INDEX(V!$R:$R,MATCH(AP26,V!$L:$L,0)),"")</f>
        <v/>
      </c>
      <c r="AP26" s="235" t="str">
        <f t="shared" si="6"/>
        <v/>
      </c>
    </row>
    <row r="27" spans="1:42" x14ac:dyDescent="0.2">
      <c r="A27" s="201" t="s">
        <v>3</v>
      </c>
      <c r="B27" s="327"/>
      <c r="C27" s="292">
        <v>1</v>
      </c>
      <c r="D27" s="292">
        <v>2</v>
      </c>
      <c r="E27" s="292">
        <v>3</v>
      </c>
      <c r="F27" s="292">
        <v>4</v>
      </c>
      <c r="G27" s="292">
        <v>5</v>
      </c>
      <c r="H27" s="293" t="s">
        <v>170</v>
      </c>
      <c r="I27" s="293" t="s">
        <v>171</v>
      </c>
      <c r="J27" s="328" t="s">
        <v>240</v>
      </c>
      <c r="K27" s="329" t="s">
        <v>241</v>
      </c>
      <c r="L27" s="330" t="s">
        <v>242</v>
      </c>
      <c r="M27" s="330" t="s">
        <v>243</v>
      </c>
      <c r="N27" s="297" t="s">
        <v>172</v>
      </c>
      <c r="O27" s="297" t="s">
        <v>172</v>
      </c>
      <c r="P27" s="298" t="s">
        <v>244</v>
      </c>
      <c r="Q27" s="331" t="s">
        <v>21</v>
      </c>
      <c r="R27" s="331" t="b">
        <f>OR(AND(COUNTA(B28:B32)=3,COUNTA(C28:G32)=6),AND(COUNTA(B28:B32)=4,COUNTA(C28:G32)=12),AND(COUNTA(B28:B32)=5,COUNTA(C28:G32)=20))</f>
        <v>0</v>
      </c>
      <c r="S27" s="332" t="s">
        <v>245</v>
      </c>
      <c r="T27" s="333" t="s">
        <v>246</v>
      </c>
      <c r="U27" s="302"/>
      <c r="V27" s="302"/>
      <c r="W27" s="302"/>
      <c r="X27" s="302"/>
      <c r="Y27" s="302"/>
      <c r="Z27" s="302"/>
      <c r="AA27" s="302"/>
      <c r="AB27" s="302"/>
      <c r="AC27" s="302"/>
      <c r="AD27" s="233">
        <f t="shared" si="7"/>
        <v>0</v>
      </c>
      <c r="AE27" s="234" t="str">
        <f>IFERROR(INDEX(V!$R:$R,MATCH(AF27,V!$L:$L,0)),"")</f>
        <v/>
      </c>
      <c r="AF27" s="235" t="str">
        <f t="shared" si="1"/>
        <v/>
      </c>
      <c r="AG27" s="234" t="str">
        <f>IFERROR(INDEX(V!$R:$R,MATCH(AH27,V!$L:$L,0)),"")</f>
        <v/>
      </c>
      <c r="AH27" s="235" t="str">
        <f t="shared" si="2"/>
        <v/>
      </c>
      <c r="AI27" s="234" t="str">
        <f>IFERROR(INDEX(V!$R:$R,MATCH(AJ27,V!$L:$L,0)),"")</f>
        <v/>
      </c>
      <c r="AJ27" s="235" t="str">
        <f t="shared" si="3"/>
        <v/>
      </c>
      <c r="AK27" s="234" t="str">
        <f>IFERROR(INDEX(V!$R:$R,MATCH(AL27,V!$L:$L,0)),"")</f>
        <v/>
      </c>
      <c r="AL27" s="235" t="str">
        <f t="shared" si="4"/>
        <v/>
      </c>
      <c r="AM27" s="234" t="str">
        <f>IFERROR(INDEX(V!$R:$R,MATCH(AN27,V!$L:$L,0)),"")</f>
        <v/>
      </c>
      <c r="AN27" s="235" t="str">
        <f t="shared" si="5"/>
        <v/>
      </c>
      <c r="AO27" s="234" t="str">
        <f>IFERROR(INDEX(V!$R:$R,MATCH(AP27,V!$L:$L,0)),"")</f>
        <v/>
      </c>
      <c r="AP27" s="235" t="str">
        <f t="shared" si="6"/>
        <v/>
      </c>
    </row>
    <row r="28" spans="1:42" x14ac:dyDescent="0.2">
      <c r="A28" s="201">
        <v>1</v>
      </c>
      <c r="B28" s="342"/>
      <c r="C28" s="204"/>
      <c r="D28" s="203"/>
      <c r="E28" s="203"/>
      <c r="F28" s="203"/>
      <c r="G28" s="203"/>
      <c r="H28" s="202" t="str">
        <f>(IF(D28-C29&gt;0,1)+IF(E28-C30&gt;0,1)+IF(F28-C31&gt;0,1)+IF(G28-C32&gt;0,1))&amp;"-"&amp;(IF(D28-C29&lt;0,1)+IF(E28-C30&lt;0,1)+IF(F28-C31&lt;0,1)+IF(G28-C32&lt;0,1))</f>
        <v>0-0</v>
      </c>
      <c r="I28" s="203" t="str">
        <f>IF(AND(B28&lt;&gt;"",R$27=TRUE),A$27&amp;RANK(S28,S$28:S$32,0)," ")</f>
        <v xml:space="preserve"> </v>
      </c>
      <c r="J28" s="305">
        <f>IF(AND(Q28=1,Q29=1,D28&gt;C29),1)+IF(AND(Q28=1,Q30=1,E28&gt;C30),1)+IF(AND(Q28=1,Q31=1,F28&gt;C31),1)+IF(AND(Q28=1,Q32=1,G28&gt;C32),1)+IF(AND(Q28=2,Q29=2,D28&gt;C29),1)+IF(AND(Q28=2,Q30=2,E28&gt;C30),1)+IF(AND(Q28=2,Q31=2,F28&gt;C31),1)+IF(AND(Q28=2,Q32=2,G28&gt;C32),1)+IF(AND(Q28=3,Q29=3,D28&gt;C29),1)+IF(AND(Q28=3,Q30=3,E28&gt;C30),1)+IF(AND(Q28=3,Q31=3,F28&gt;C31),1)+IF(AND(Q28=3,Q32=3,G28&gt;C32),1)</f>
        <v>0</v>
      </c>
      <c r="K28" s="306">
        <f>SUM(AND(T28=T29,D28&gt;C29),AND(T28=T30,E28&gt;C30),AND(T28=T31,F28&gt;C31),AND(T28=T32,G28&gt;C32))</f>
        <v>0</v>
      </c>
      <c r="L28" s="307">
        <f>IF(AND(Q28=1,Q29=1),D28-C29)+IF(AND(Q28=1,Q30=1),E28-C30)+IF(AND(Q28=1,Q31=1),F28-C31)+IF(AND(Q28=1,Q32=1),G28-C32)+IF(AND(Q28=2,Q29=2),D28-C29)+IF(AND(Q28=2,Q30=2),E28-C30)+IF(AND(Q28=2,Q31=2),F28-C31)+IF(AND(Q28=2,Q32=2),G28-C32)+IF(AND(Q28=3,Q29=3),D28-C29)+IF(AND(Q28=3,Q30=3),E28-C30)+IF(AND(Q28=3,Q31=3),F28-C31)+IF(AND(Q28=3,Q32=3),G28-C32)+IF(AND(Q28=4,Q29=4),D28-C29)+IF(AND(Q28=4,Q30=4),E28-C30)+IF(AND(Q28=4,Q31=4),F28-C31)+IF(AND(Q28=4,Q32=4),G28-C32)</f>
        <v>0</v>
      </c>
      <c r="M28" s="308">
        <f>SUM(AND(R28=R29,D28&gt;C29),AND(R28=R30,E28&gt;C30),AND(R28=R31,F28&gt;C31),AND(R28=R32,G28&gt;C32))</f>
        <v>0</v>
      </c>
      <c r="N28" s="417" t="str">
        <f>SUM(C28:G28)&amp;"-"&amp;SUM(C28:C32)</f>
        <v>0-0</v>
      </c>
      <c r="O28" s="354">
        <f>D28+E28+F28+G28-C29-C30-C31-C32</f>
        <v>0</v>
      </c>
      <c r="P28" s="309" t="e">
        <f>SUM(C28:G28,C28:C32)/SUM(C28:C32)</f>
        <v>#DIV/0!</v>
      </c>
      <c r="Q28" s="205">
        <f>VALUE(LEFT(H28,1))</f>
        <v>0</v>
      </c>
      <c r="R28" s="206">
        <f>Q28*100000+J28*10000+K28*1000+100*L28</f>
        <v>0</v>
      </c>
      <c r="S28" s="310">
        <f>R28+M28*0.1+IF(ISNONTEXT(B28),0,0.01)+0.0001*O28</f>
        <v>0</v>
      </c>
      <c r="T28" s="311" t="str">
        <f>Q28&amp;J28</f>
        <v>00</v>
      </c>
      <c r="U28" s="302"/>
      <c r="V28" s="302"/>
      <c r="W28" s="302"/>
      <c r="X28" s="302"/>
      <c r="Y28" s="302"/>
      <c r="Z28" s="302"/>
      <c r="AA28" s="302"/>
      <c r="AB28" s="302"/>
      <c r="AC28" s="302"/>
      <c r="AD28" s="233">
        <f t="shared" si="7"/>
        <v>0</v>
      </c>
      <c r="AE28" s="234" t="str">
        <f>IFERROR(INDEX(V!$R:$R,MATCH(AF28,V!$L:$L,0)),"")</f>
        <v/>
      </c>
      <c r="AF28" s="235" t="str">
        <f t="shared" si="1"/>
        <v/>
      </c>
      <c r="AG28" s="234" t="str">
        <f>IFERROR(INDEX(V!$R:$R,MATCH(AH28,V!$L:$L,0)),"")</f>
        <v/>
      </c>
      <c r="AH28" s="235" t="str">
        <f t="shared" si="2"/>
        <v/>
      </c>
      <c r="AI28" s="234" t="str">
        <f>IFERROR(INDEX(V!$R:$R,MATCH(AJ28,V!$L:$L,0)),"")</f>
        <v/>
      </c>
      <c r="AJ28" s="235" t="str">
        <f t="shared" si="3"/>
        <v/>
      </c>
      <c r="AK28" s="234" t="str">
        <f>IFERROR(INDEX(V!$R:$R,MATCH(AL28,V!$L:$L,0)),"")</f>
        <v/>
      </c>
      <c r="AL28" s="235" t="str">
        <f t="shared" si="4"/>
        <v/>
      </c>
      <c r="AM28" s="234" t="str">
        <f>IFERROR(INDEX(V!$R:$R,MATCH(AN28,V!$L:$L,0)),"")</f>
        <v/>
      </c>
      <c r="AN28" s="235" t="str">
        <f t="shared" si="5"/>
        <v/>
      </c>
      <c r="AO28" s="234" t="str">
        <f>IFERROR(INDEX(V!$R:$R,MATCH(AP28,V!$L:$L,0)),"")</f>
        <v/>
      </c>
      <c r="AP28" s="235" t="str">
        <f t="shared" si="6"/>
        <v/>
      </c>
    </row>
    <row r="29" spans="1:42" x14ac:dyDescent="0.2">
      <c r="A29" s="201">
        <v>2</v>
      </c>
      <c r="B29" s="312"/>
      <c r="C29" s="203"/>
      <c r="D29" s="204"/>
      <c r="E29" s="203"/>
      <c r="F29" s="203"/>
      <c r="G29" s="203"/>
      <c r="H29" s="202" t="str">
        <f>(IF(C29-D28&gt;0,1)+IF(E29-D30&gt;0,1)+IF(F29-D31&gt;0,1)+IF(G29-D32&gt;0,1))&amp;"-"&amp;(IF(C29-D28&lt;0,1)+IF(E29-D30&lt;0,1)+IF(F29-D31&lt;0,1)+IF(G29-D32&lt;0,1))</f>
        <v>0-0</v>
      </c>
      <c r="I29" s="203" t="str">
        <f t="shared" ref="I29:I32" si="9">IF(AND(B29&lt;&gt;"",R$27=TRUE),A$27&amp;RANK(S29,S$28:S$32,0)," ")</f>
        <v xml:space="preserve"> </v>
      </c>
      <c r="J29" s="313">
        <f>IF(AND(Q29=1,Q28=1,C29&gt;D28),1)+IF(AND(Q29=1,Q30=1,E29&gt;D30),1)+IF(AND(Q29=1,Q31=1,F29&gt;D31),1)+IF(AND(Q29=1,Q32=1,G29&gt;D32),1)+IF(AND(Q29=2,Q28=2,C29&gt;D28),1)+IF(AND(Q29=2,Q30=2,E29&gt;D30),1)+IF(AND(Q29=2,Q31=2,F29&gt;D31),1)+IF(AND(Q29=2,Q32=2,G29&gt;D32),1)+IF(AND(Q29=3,Q28=3,C29&gt;D28),1)+IF(AND(Q29=3,Q30=3,E29&gt;D30),1)+IF(AND(Q29=3,Q31=3,F29&gt;D31),1)+IF(AND(Q29=3,Q32=3,G29&gt;D32),1)</f>
        <v>0</v>
      </c>
      <c r="K29" s="308">
        <f>SUM(AND(T29=T28,C29&gt;D28),AND(T29=T30,E29&gt;D30),AND(T29=T31,F29&gt;D31),AND(T29=T32,G29&gt;D32))</f>
        <v>0</v>
      </c>
      <c r="L29" s="314">
        <f>IF(AND(Q29=1,Q28=1),C29-D28)+IF(AND(Q29=1,Q30=1),E29-D30)+IF(AND(Q29=1,Q31=1),F29-D31)+IF(AND(Q29=1,Q32=1),G29-D32)+IF(AND(Q29=2,Q28=2),C29-D28)+IF(AND(Q29=2,Q30=2),E29-D30)+IF(AND(Q29=2,Q31=2),F29-D31)+IF(AND(Q29=2,Q32=2),G29-D32)+IF(AND(Q29=3,Q28=3),C29-D28)+IF(AND(Q29=3,Q30=3),E29-D30)+IF(AND(Q29=3,Q31=3),F29-D31)+IF(AND(Q29=3,Q32=3),G29-D32)+IF(AND(Q29=4,Q28=4),C29-D28)+IF(AND(Q29=4,Q30=4),E29-D30)+IF(AND(Q29=4,Q31=4),F29-D31)+IF(AND(Q29=4,Q32=4),G29-D32)</f>
        <v>0</v>
      </c>
      <c r="M29" s="308">
        <f>SUM(AND(R29=R28,C29&gt;D28),AND(R29=R30,E29&gt;D30),AND(R29=R31,F29&gt;D31),AND(R29=R32,G29&gt;D32))</f>
        <v>0</v>
      </c>
      <c r="N29" s="417" t="str">
        <f>SUM(C29:G29)&amp;"-"&amp;SUM(D28:D32)</f>
        <v>0-0</v>
      </c>
      <c r="O29" s="354">
        <f>C29+E29+F29+G29-D28-D30-D31-D32</f>
        <v>0</v>
      </c>
      <c r="P29" s="309" t="e">
        <f>SUM(C29:G29,D28:D32)/SUM(D28:D32)</f>
        <v>#DIV/0!</v>
      </c>
      <c r="Q29" s="315">
        <f>VALUE(LEFT(H29,1))</f>
        <v>0</v>
      </c>
      <c r="R29" s="206">
        <f>Q29*100000+J29*10000+K29*1000+100*L29</f>
        <v>0</v>
      </c>
      <c r="S29" s="310">
        <f>R29+M29*0.1+IF(ISNONTEXT(B29),0,0.01)+0.0001*O29</f>
        <v>0</v>
      </c>
      <c r="T29" s="311" t="str">
        <f>Q29&amp;J29</f>
        <v>00</v>
      </c>
      <c r="U29" s="302"/>
      <c r="V29" s="302"/>
      <c r="W29" s="302"/>
      <c r="X29" s="302"/>
      <c r="Y29" s="302"/>
      <c r="Z29" s="302"/>
      <c r="AA29" s="302"/>
      <c r="AB29" s="302"/>
      <c r="AC29" s="302"/>
      <c r="AD29" s="233">
        <f t="shared" si="7"/>
        <v>0</v>
      </c>
      <c r="AE29" s="234" t="str">
        <f>IFERROR(INDEX(V!$R:$R,MATCH(AF29,V!$L:$L,0)),"")</f>
        <v/>
      </c>
      <c r="AF29" s="235" t="str">
        <f t="shared" si="1"/>
        <v/>
      </c>
      <c r="AG29" s="234" t="str">
        <f>IFERROR(INDEX(V!$R:$R,MATCH(AH29,V!$L:$L,0)),"")</f>
        <v/>
      </c>
      <c r="AH29" s="235" t="str">
        <f t="shared" si="2"/>
        <v/>
      </c>
      <c r="AI29" s="234" t="str">
        <f>IFERROR(INDEX(V!$R:$R,MATCH(AJ29,V!$L:$L,0)),"")</f>
        <v/>
      </c>
      <c r="AJ29" s="235" t="str">
        <f t="shared" si="3"/>
        <v/>
      </c>
      <c r="AK29" s="234" t="str">
        <f>IFERROR(INDEX(V!$R:$R,MATCH(AL29,V!$L:$L,0)),"")</f>
        <v/>
      </c>
      <c r="AL29" s="235" t="str">
        <f t="shared" si="4"/>
        <v/>
      </c>
      <c r="AM29" s="234" t="str">
        <f>IFERROR(INDEX(V!$R:$R,MATCH(AN29,V!$L:$L,0)),"")</f>
        <v/>
      </c>
      <c r="AN29" s="235" t="str">
        <f t="shared" si="5"/>
        <v/>
      </c>
      <c r="AO29" s="234" t="str">
        <f>IFERROR(INDEX(V!$R:$R,MATCH(AP29,V!$L:$L,0)),"")</f>
        <v/>
      </c>
      <c r="AP29" s="235" t="str">
        <f t="shared" si="6"/>
        <v/>
      </c>
    </row>
    <row r="30" spans="1:42" x14ac:dyDescent="0.2">
      <c r="A30" s="201">
        <v>3</v>
      </c>
      <c r="B30" s="312"/>
      <c r="C30" s="203"/>
      <c r="D30" s="316"/>
      <c r="E30" s="204"/>
      <c r="F30" s="203"/>
      <c r="G30" s="203"/>
      <c r="H30" s="202" t="str">
        <f>(IF(C30-E28&gt;0,1)+IF(D30-E29&gt;0,1)+IF(F30-E31&gt;0,1)+IF(G30-E32&gt;0,1))&amp;"-"&amp;(IF(C30-E28&lt;0,1)+IF(D30-E29&lt;0,1)+IF(F30-E31&lt;0,1)+IF(G30-E32&lt;0,1))</f>
        <v>0-0</v>
      </c>
      <c r="I30" s="203" t="str">
        <f t="shared" si="9"/>
        <v xml:space="preserve"> </v>
      </c>
      <c r="J30" s="313">
        <f>IF(AND(Q30=1,Q28=1,C30&gt;E28),1)+IF(AND(Q30=1,Q29=1,D30&gt;E29),1)+IF(AND(Q30=1,Q31=1,F30&gt;E31),1)+IF(AND(Q30=1,Q32=1,G30&gt;E32),1)+IF(AND(Q30=2,Q28=2,C30&gt;E28),1)+IF(AND(Q30=2,Q29=2,D30&gt;E29),1)+IF(AND(Q30=2,Q31=2,F30&gt;E31),1)+IF(AND(Q30=2,Q32=2,G30&gt;E32),1)+IF(AND(Q30=3,Q28=3,C30&gt;E28),1)+IF(AND(Q30=3,Q29=3,D30&gt;E29),1)+IF(AND(Q30=3,Q31=3,F30&gt;E31),1)+IF(AND(Q30=3,Q32=3,G30&gt;E32),1)</f>
        <v>0</v>
      </c>
      <c r="K30" s="308">
        <f>SUM(AND(T30=T28,C30&gt;E28),AND(T30=T29,D30&gt;E29),AND(T30=T31,F30&gt;E31),AND(T30=T32,G30&gt;E32))</f>
        <v>0</v>
      </c>
      <c r="L30" s="314">
        <f>IF(AND(Q30=1,Q28=1),C30-E28)+IF(AND(Q30=1,Q29=1),D30-E29)+IF(AND(Q30=1,Q31=1),F30-E31)+IF(AND(Q30=1,Q32=1),G30-E32)+IF(AND(Q30=2,Q28=2),C30-E28)+IF(AND(Q30=2,Q29=2),D30-E29)+IF(AND(Q30=2,Q31=2),F30-E31)+IF(AND(Q30=2,Q32=2),G30-E32)+IF(AND(Q30=3,Q28=3),C30-E28)+IF(AND(Q30=3,Q29=3),D30-E29)+IF(AND(Q30=3,Q31=3),F30-E31)+IF(AND(Q30=3,Q32=3),G30-E32)+IF(AND(Q30=4,Q28=4),C30-E28)+IF(AND(Q30=4,Q29=4),D30-E29)+IF(AND(Q30=4,Q31=4),F30-E31)+IF(AND(Q30=4,Q32=4),G30-E32)</f>
        <v>0</v>
      </c>
      <c r="M30" s="308">
        <f>SUM(AND(R30=R28,C30&gt;E28),AND(R30=R29,D30&gt;E29),AND(R30=R31,F30&gt;E31),AND(R30=R32,G30&gt;E32))</f>
        <v>0</v>
      </c>
      <c r="N30" s="417" t="str">
        <f>SUM(C30:G30)&amp;"-"&amp;SUM(E28:E32)</f>
        <v>0-0</v>
      </c>
      <c r="O30" s="354">
        <f>C30+D30+F30+G30-E28-E29-E31-E32</f>
        <v>0</v>
      </c>
      <c r="P30" s="309" t="e">
        <f>SUM(C30:G30,E28:E32)/SUM(E28:E32)</f>
        <v>#DIV/0!</v>
      </c>
      <c r="Q30" s="315">
        <f>VALUE(LEFT(H30,1))</f>
        <v>0</v>
      </c>
      <c r="R30" s="206">
        <f>Q30*100000+J30*10000+K30*1000+100*L30</f>
        <v>0</v>
      </c>
      <c r="S30" s="310">
        <f>R30+M30*0.1+IF(ISNONTEXT(B30),0,0.01)+0.0001*O30</f>
        <v>0</v>
      </c>
      <c r="T30" s="311" t="str">
        <f>Q30&amp;J30</f>
        <v>00</v>
      </c>
      <c r="U30" s="302"/>
      <c r="V30" s="302"/>
      <c r="W30" s="302"/>
      <c r="X30" s="302"/>
      <c r="Y30" s="302"/>
      <c r="Z30" s="302"/>
      <c r="AA30" s="302"/>
      <c r="AB30" s="302"/>
      <c r="AC30" s="302"/>
      <c r="AD30" s="233">
        <f t="shared" si="7"/>
        <v>0</v>
      </c>
      <c r="AE30" s="234" t="str">
        <f>IFERROR(INDEX(V!$R:$R,MATCH(AF30,V!$L:$L,0)),"")</f>
        <v/>
      </c>
      <c r="AF30" s="235" t="str">
        <f t="shared" si="1"/>
        <v/>
      </c>
      <c r="AG30" s="234" t="str">
        <f>IFERROR(INDEX(V!$R:$R,MATCH(AH30,V!$L:$L,0)),"")</f>
        <v/>
      </c>
      <c r="AH30" s="235" t="str">
        <f t="shared" si="2"/>
        <v/>
      </c>
      <c r="AI30" s="234" t="str">
        <f>IFERROR(INDEX(V!$R:$R,MATCH(AJ30,V!$L:$L,0)),"")</f>
        <v/>
      </c>
      <c r="AJ30" s="235" t="str">
        <f t="shared" si="3"/>
        <v/>
      </c>
      <c r="AK30" s="234" t="str">
        <f>IFERROR(INDEX(V!$R:$R,MATCH(AL30,V!$L:$L,0)),"")</f>
        <v/>
      </c>
      <c r="AL30" s="235" t="str">
        <f t="shared" si="4"/>
        <v/>
      </c>
      <c r="AM30" s="234" t="str">
        <f>IFERROR(INDEX(V!$R:$R,MATCH(AN30,V!$L:$L,0)),"")</f>
        <v/>
      </c>
      <c r="AN30" s="235" t="str">
        <f t="shared" si="5"/>
        <v/>
      </c>
      <c r="AO30" s="234" t="str">
        <f>IFERROR(INDEX(V!$R:$R,MATCH(AP30,V!$L:$L,0)),"")</f>
        <v/>
      </c>
      <c r="AP30" s="235" t="str">
        <f t="shared" si="6"/>
        <v/>
      </c>
    </row>
    <row r="31" spans="1:42" x14ac:dyDescent="0.2">
      <c r="A31" s="201">
        <v>4</v>
      </c>
      <c r="B31" s="317"/>
      <c r="C31" s="203"/>
      <c r="D31" s="316"/>
      <c r="E31" s="203"/>
      <c r="F31" s="204"/>
      <c r="G31" s="335"/>
      <c r="H31" s="202" t="str">
        <f>(IF(C31-F28&gt;0,1)+IF(D31-F29&gt;0,1)+IF(E31-F30&gt;0,1)+IF(G31-F32&gt;0,1))&amp;"-"&amp;(IF(C31-F28&lt;0,1)+IF(D31-F29&lt;0,1)+IF(E31-F30&lt;0,1)+IF(G31-F32&lt;0,1))</f>
        <v>0-0</v>
      </c>
      <c r="I31" s="203" t="str">
        <f t="shared" si="9"/>
        <v xml:space="preserve"> </v>
      </c>
      <c r="J31" s="313">
        <f>IF(AND(Q31=1,Q28=1,C31&gt;F28),1)+IF(AND(Q31=1,Q29=1,D31&gt;F29),1)+IF(AND(Q31=1,Q30=1,E31&gt;F30),1)+IF(AND(Q31=1,Q32=1,G31&gt;F32),1)+IF(AND(Q31=2,Q28=2,C31&gt;F28),1)+IF(AND(Q31=2,Q29=2,D31&gt;F29),1)+IF(AND(Q31=2,Q30=2,E31&gt;F30),1)+IF(AND(Q31=2,Q32=2,G31&gt;F32),1)+IF(AND(Q31=3,Q28=3,C31&gt;F28),1)+IF(AND(Q31=3,Q29=3,D31&gt;F29),1)+IF(AND(Q31=3,Q30=3,E31&gt;F30),1)+IF(AND(Q31=3,Q32=3,G31&gt;F32),1)</f>
        <v>0</v>
      </c>
      <c r="K31" s="308">
        <f>SUM(AND(T31=T28,C31&gt;F28),AND(T31=T29,D31&gt;F29),AND(T31=T30,E31&gt;F30),AND(T31=T32,G31&gt;F32))</f>
        <v>0</v>
      </c>
      <c r="L31" s="314">
        <f>IF(AND(Q31=1,Q28=1),C31-F28)+IF(AND(Q31=1,Q29=1),D31-F29)+IF(AND(Q31=1,Q30=1),E31-F30)+IF(AND(Q31=1,Q32=1),G31-F32)+IF(AND(Q31=2,Q28=2),C31-F28)+IF(AND(Q31=2,Q29=2),D31-F29)+IF(AND(Q31=2,Q30=2),E31-F30)+IF(AND(Q31=2,Q32=2),G31-F32)+IF(AND(Q31=3,Q28=3),C31-F28)+IF(AND(Q31=3,Q29=3),D31-F29)+IF(AND(Q31=3,Q30=3),E31-F30)+IF(AND(Q31=3,Q32=3),G31-F32)+IF(AND(Q31=4,Q28=4),C31-F28)+IF(AND(Q31=4,Q29=4),D31-F29)+IF(AND(Q31=4,Q30=4),E31-F30)+IF(AND(Q31=4,Q32=4),G31-F32)</f>
        <v>0</v>
      </c>
      <c r="M31" s="308">
        <f>SUM(AND(R31=R28,C31&gt;F28),AND(R31=R29,D31&gt;F29),AND(R31=R30,E31&gt;F30),AND(R31=R32,G31&gt;F32))</f>
        <v>0</v>
      </c>
      <c r="N31" s="417" t="str">
        <f>SUM(C31:G31)&amp;"-"&amp;SUM(F28:F32)</f>
        <v>0-0</v>
      </c>
      <c r="O31" s="354">
        <f>C31+D31+E31+G31-F28-F29-F30-F32</f>
        <v>0</v>
      </c>
      <c r="P31" s="309" t="e">
        <f>SUM(C31:G31,F28:F32)/SUM(F28:F32)</f>
        <v>#DIV/0!</v>
      </c>
      <c r="Q31" s="315">
        <f>VALUE(LEFT(H31,1))</f>
        <v>0</v>
      </c>
      <c r="R31" s="206">
        <f>Q31*100000+J31*10000+K31*1000+100*L31</f>
        <v>0</v>
      </c>
      <c r="S31" s="310">
        <f>R31+M31*0.1+IF(ISNONTEXT(B31),0,0.01)+0.0001*O31</f>
        <v>0</v>
      </c>
      <c r="T31" s="311" t="str">
        <f>Q31&amp;J31</f>
        <v>00</v>
      </c>
      <c r="U31" s="302"/>
      <c r="V31" s="302"/>
      <c r="W31" s="302"/>
      <c r="X31" s="302"/>
      <c r="Y31" s="302"/>
      <c r="Z31" s="302"/>
      <c r="AA31" s="302"/>
      <c r="AB31" s="302"/>
      <c r="AC31" s="302"/>
      <c r="AD31" s="233">
        <f t="shared" si="7"/>
        <v>0</v>
      </c>
      <c r="AE31" s="234" t="str">
        <f>IFERROR(INDEX(V!$R:$R,MATCH(AF31,V!$L:$L,0)),"")</f>
        <v/>
      </c>
      <c r="AF31" s="235" t="str">
        <f t="shared" si="1"/>
        <v/>
      </c>
      <c r="AG31" s="234" t="str">
        <f>IFERROR(INDEX(V!$R:$R,MATCH(AH31,V!$L:$L,0)),"")</f>
        <v/>
      </c>
      <c r="AH31" s="235" t="str">
        <f t="shared" si="2"/>
        <v/>
      </c>
      <c r="AI31" s="234" t="str">
        <f>IFERROR(INDEX(V!$R:$R,MATCH(AJ31,V!$L:$L,0)),"")</f>
        <v/>
      </c>
      <c r="AJ31" s="235" t="str">
        <f t="shared" si="3"/>
        <v/>
      </c>
      <c r="AK31" s="234" t="str">
        <f>IFERROR(INDEX(V!$R:$R,MATCH(AL31,V!$L:$L,0)),"")</f>
        <v/>
      </c>
      <c r="AL31" s="235" t="str">
        <f t="shared" si="4"/>
        <v/>
      </c>
      <c r="AM31" s="234" t="str">
        <f>IFERROR(INDEX(V!$R:$R,MATCH(AN31,V!$L:$L,0)),"")</f>
        <v/>
      </c>
      <c r="AN31" s="235" t="str">
        <f t="shared" si="5"/>
        <v/>
      </c>
      <c r="AO31" s="234" t="str">
        <f>IFERROR(INDEX(V!$R:$R,MATCH(AP31,V!$L:$L,0)),"")</f>
        <v/>
      </c>
      <c r="AP31" s="235" t="str">
        <f t="shared" si="6"/>
        <v/>
      </c>
    </row>
    <row r="32" spans="1:42" x14ac:dyDescent="0.2">
      <c r="A32" s="198">
        <v>5</v>
      </c>
      <c r="B32" s="285"/>
      <c r="C32" s="166"/>
      <c r="D32" s="166"/>
      <c r="E32" s="166"/>
      <c r="F32" s="166"/>
      <c r="G32" s="165"/>
      <c r="H32" s="169" t="str">
        <f>(IF(C32-G28&gt;0,1)+IF(D32-G29&gt;0,1)+IF(E32-G30&gt;0,1)+IF(F32-G31&gt;0,1))&amp;"-"&amp;(IF(C32-G28&lt;0,1)+IF(D32-G29&lt;0,1)+IF(E32-G30&lt;0,1)+IF(F32-G31&lt;0,1))</f>
        <v>0-0</v>
      </c>
      <c r="I32" s="203" t="str">
        <f t="shared" si="9"/>
        <v xml:space="preserve"> </v>
      </c>
      <c r="J32" s="182">
        <f>IF(AND(Q32=1,Q28=1,C32&gt;G28),1)+IF(AND(Q32=1,Q29=1,D32&gt;G29),1)+IF(AND(Q32=1,Q30=1,E32&gt;G30),1)+IF(AND(Q32=1,Q31=1,F32&gt;G31),1)+IF(AND(Q32=2,Q28=2,C32&gt;G28),1)+IF(AND(Q32=2,Q29=2,D32&gt;G29),1)+IF(AND(Q32=2,Q30=2,E32&gt;G30),1)+IF(AND(Q32=2,Q31=2,F32&gt;G31),1)+IF(AND(Q32=3,Q28=3,C32&gt;G28),1)+IF(AND(Q32=3,Q29=3,D32&gt;G29),1)+IF(AND(Q32=3,Q30=3,E32&gt;G30),1)+IF(AND(Q32=3,Q31=3,F32&gt;G31),1)</f>
        <v>0</v>
      </c>
      <c r="K32" s="253">
        <f>SUM(AND(T32=T28,C32&gt;G28),AND(T32=T29,D32&gt;G29),AND(T32=T30,E32&gt;G30),AND(T32=T31,F32&gt;G31))</f>
        <v>0</v>
      </c>
      <c r="L32" s="259">
        <f>IF(AND(Q32=1,Q28=1),C32-G28)+IF(AND(Q32=1,Q29=1),D32-G29)+IF(AND(Q32=1,Q30=1),E32-G30)+IF(AND(Q32=1,Q31=1),F32-G31)+IF(AND(Q32=2,Q28=2),C32-G28)+IF(AND(Q32=2,Q29=2),D32-G29)+IF(AND(Q32=2,Q30=2),E32-G30)+IF(AND(Q32=2,Q31=2),F32-G31)+IF(AND(Q32=3,Q28=3),C32-G28)+IF(AND(Q32=3,Q29=3),D32-G29)+IF(AND(Q32=3,Q30=3),E32-G30)+IF(AND(Q32=3,Q31=3),F32-G31)+IF(AND(Q32=4,Q28=4),C32-G28)+IF(AND(Q32=4,Q29=4),D32-G29)+IF(AND(Q32=4,Q30=4),E32-G30)+IF(AND(Q32=4,Q31=4),F32-G31)</f>
        <v>0</v>
      </c>
      <c r="M32" s="253">
        <f>SUM(AND(R32=R28,C32&gt;G28),AND(R32=R29,D32&gt;G29),AND(R32=R30,E32&gt;G30),AND(R32=R31,F32&gt;G31))</f>
        <v>0</v>
      </c>
      <c r="N32" s="418" t="str">
        <f>SUM(C32:G32)&amp;"-"&amp;SUM(G28:G32)</f>
        <v>0-0</v>
      </c>
      <c r="O32" s="355">
        <f>C32+D32+E32+F32-G28-G29-G30-G31</f>
        <v>0</v>
      </c>
      <c r="P32" s="254" t="e">
        <f>SUM(C32:G32,G28:G32)/SUM(G28:G32)</f>
        <v>#DIV/0!</v>
      </c>
      <c r="Q32" s="180">
        <f>VALUE(LEFT(H32,1))</f>
        <v>0</v>
      </c>
      <c r="R32" s="256">
        <f>Q32*100000+J32*10000+K32*1000+100*L32</f>
        <v>0</v>
      </c>
      <c r="S32" s="257">
        <f>R32+M32*0.1+IF(ISNONTEXT(B32),0,0.01)+0.0001*O32</f>
        <v>0</v>
      </c>
      <c r="T32" s="258" t="str">
        <f>Q32&amp;J32</f>
        <v>00</v>
      </c>
      <c r="U32" s="35"/>
    </row>
    <row r="33" spans="1:21" x14ac:dyDescent="0.2">
      <c r="A33" s="42"/>
      <c r="B33" s="290"/>
      <c r="C33" s="41"/>
      <c r="D33" s="41"/>
      <c r="E33" s="41"/>
      <c r="F33" s="40"/>
      <c r="G33" s="41"/>
      <c r="H33" s="268"/>
      <c r="I33" s="269"/>
      <c r="J33" s="35"/>
      <c r="K33" s="35"/>
      <c r="L33" s="35"/>
      <c r="M33" s="35"/>
      <c r="N33" s="35"/>
      <c r="O33" s="35"/>
      <c r="P33" s="35"/>
      <c r="Q33" s="35"/>
      <c r="R33" s="262" t="s">
        <v>247</v>
      </c>
      <c r="S33" s="35"/>
      <c r="T33" s="35"/>
      <c r="U33" s="35"/>
    </row>
    <row r="34" spans="1:21" x14ac:dyDescent="0.2">
      <c r="A34" s="198" t="s">
        <v>4</v>
      </c>
      <c r="B34" s="287"/>
      <c r="C34" s="163">
        <v>1</v>
      </c>
      <c r="D34" s="163">
        <v>2</v>
      </c>
      <c r="E34" s="163">
        <v>3</v>
      </c>
      <c r="F34" s="163">
        <v>4</v>
      </c>
      <c r="G34" s="163">
        <v>5</v>
      </c>
      <c r="H34" s="163" t="s">
        <v>170</v>
      </c>
      <c r="I34" s="162" t="s">
        <v>171</v>
      </c>
      <c r="J34" s="164" t="s">
        <v>240</v>
      </c>
      <c r="K34" s="263" t="s">
        <v>241</v>
      </c>
      <c r="L34" s="185" t="s">
        <v>242</v>
      </c>
      <c r="M34" s="185" t="s">
        <v>243</v>
      </c>
      <c r="N34" s="246" t="s">
        <v>172</v>
      </c>
      <c r="O34" s="246" t="s">
        <v>172</v>
      </c>
      <c r="P34" s="247" t="s">
        <v>244</v>
      </c>
      <c r="Q34" s="264" t="s">
        <v>21</v>
      </c>
      <c r="R34" s="264" t="b">
        <f>OR(AND(COUNTA(B35:B39)=3,COUNTA(C35:G39)=6),AND(COUNTA(B35:B39)=4,COUNTA(C35:G39)=12),AND(COUNTA(B35:B39)=5,COUNTA(C35:G39)=20))</f>
        <v>0</v>
      </c>
      <c r="S34" s="265" t="s">
        <v>245</v>
      </c>
      <c r="T34" s="266" t="s">
        <v>246</v>
      </c>
      <c r="U34" s="35"/>
    </row>
    <row r="35" spans="1:21" x14ac:dyDescent="0.2">
      <c r="A35" s="198">
        <v>1</v>
      </c>
      <c r="B35" s="289"/>
      <c r="C35" s="165"/>
      <c r="D35" s="166"/>
      <c r="E35" s="166"/>
      <c r="F35" s="166"/>
      <c r="G35" s="166"/>
      <c r="H35" s="169" t="str">
        <f>(IF(D35-C36&gt;0,1)+IF(E35-C37&gt;0,1)+IF(F35-C38&gt;0,1)+IF(G35-C39&gt;0,1))&amp;"-"&amp;(IF(D35-C36&lt;0,1)+IF(E35-C37&lt;0,1)+IF(F35-C38&lt;0,1)+IF(G35-C39&lt;0,1))</f>
        <v>0-0</v>
      </c>
      <c r="I35" s="166" t="str">
        <f>IF(AND(B35&lt;&gt;"",R$34=TRUE),A$34&amp;RANK(S35,S$35:S$39,0)," ")</f>
        <v xml:space="preserve"> </v>
      </c>
      <c r="J35" s="181">
        <f>IF(AND(Q35=1,Q36=1,D35&gt;C36),1)+IF(AND(Q35=1,Q37=1,E35&gt;C37),1)+IF(AND(Q35=1,Q38=1,F35&gt;C38),1)+IF(AND(Q35=1,Q39=1,G35&gt;C39),1)+IF(AND(Q35=2,Q36=2,D35&gt;C36),1)+IF(AND(Q35=2,Q37=2,E35&gt;C37),1)+IF(AND(Q35=2,Q38=2,F35&gt;C38),1)+IF(AND(Q35=2,Q39=2,G35&gt;C39),1)+IF(AND(Q35=3,Q36=3,D35&gt;C36),1)+IF(AND(Q35=3,Q37=3,E35&gt;C37),1)+IF(AND(Q35=3,Q38=3,F35&gt;C38),1)+IF(AND(Q35=3,Q39=3,G35&gt;C39),1)</f>
        <v>0</v>
      </c>
      <c r="K35" s="251">
        <f>SUM(AND(T35=T36,D35&gt;C36),AND(T35=T37,E35&gt;C37),AND(T35=T38,F35&gt;C38),AND(T35=T39,G35&gt;C39))</f>
        <v>0</v>
      </c>
      <c r="L35" s="252">
        <f>IF(AND(Q35=1,Q36=1),D35-C36)+IF(AND(Q35=1,Q37=1),E35-C37)+IF(AND(Q35=1,Q38=1),F35-C38)+IF(AND(Q35=1,Q39=1),G35-C39)+IF(AND(Q35=2,Q36=2),D35-C36)+IF(AND(Q35=2,Q37=2),E35-C37)+IF(AND(Q35=2,Q38=2),F35-C38)+IF(AND(Q35=2,Q39=2),G35-C39)+IF(AND(Q35=3,Q36=3),D35-C36)+IF(AND(Q35=3,Q37=3),E35-C37)+IF(AND(Q35=3,Q38=3),F35-C38)+IF(AND(Q35=3,Q39=3),G35-C39)+IF(AND(Q35=4,Q36=4),D35-C36)+IF(AND(Q35=4,Q37=4),E35-C37)+IF(AND(Q35=4,Q38=4),F35-C38)+IF(AND(Q35=4,Q39=4),G35-C39)</f>
        <v>0</v>
      </c>
      <c r="M35" s="253">
        <f>SUM(AND(R35=R36,D35&gt;C36),AND(R35=R37,E35&gt;C37),AND(R35=R38,F35&gt;C38),AND(R35=R39,G35&gt;C39))</f>
        <v>0</v>
      </c>
      <c r="N35" s="418" t="str">
        <f>SUM(C35:G35)&amp;"-"&amp;SUM(C35:C39)</f>
        <v>0-0</v>
      </c>
      <c r="O35" s="355">
        <f>D35+E35+F35+G35-C36-C37-C38-C39</f>
        <v>0</v>
      </c>
      <c r="P35" s="254" t="e">
        <f>SUM(C35:G35,C35:C39)/SUM(C35:C39)</f>
        <v>#DIV/0!</v>
      </c>
      <c r="Q35" s="255">
        <f>VALUE(LEFT(H35,1))</f>
        <v>0</v>
      </c>
      <c r="R35" s="256">
        <f>Q35*100000+J35*10000+K35*1000+100*L35</f>
        <v>0</v>
      </c>
      <c r="S35" s="257">
        <f>R35+M35*0.1+IF(ISNONTEXT(B35),0,0.01)+0.0001*O35</f>
        <v>0</v>
      </c>
      <c r="T35" s="258" t="str">
        <f>Q35&amp;J35</f>
        <v>00</v>
      </c>
      <c r="U35" s="35"/>
    </row>
    <row r="36" spans="1:21" x14ac:dyDescent="0.2">
      <c r="A36" s="198">
        <v>2</v>
      </c>
      <c r="B36" s="284"/>
      <c r="C36" s="166"/>
      <c r="D36" s="165"/>
      <c r="E36" s="166"/>
      <c r="F36" s="166"/>
      <c r="G36" s="166"/>
      <c r="H36" s="169" t="str">
        <f>(IF(C36-D35&gt;0,1)+IF(E36-D37&gt;0,1)+IF(F36-D38&gt;0,1)+IF(G36-D39&gt;0,1))&amp;"-"&amp;(IF(C36-D35&lt;0,1)+IF(E36-D37&lt;0,1)+IF(F36-D38&lt;0,1)+IF(G36-D39&lt;0,1))</f>
        <v>0-0</v>
      </c>
      <c r="I36" s="166" t="str">
        <f t="shared" ref="I36:I39" si="10">IF(AND(B36&lt;&gt;"",R$34=TRUE),A$34&amp;RANK(S36,S$35:S$39,0)," ")</f>
        <v xml:space="preserve"> </v>
      </c>
      <c r="J36" s="182">
        <f>IF(AND(Q36=1,Q35=1,C36&gt;D35),1)+IF(AND(Q36=1,Q37=1,E36&gt;D37),1)+IF(AND(Q36=1,Q38=1,F36&gt;D38),1)+IF(AND(Q36=1,Q39=1,G36&gt;D39),1)+IF(AND(Q36=2,Q35=2,C36&gt;D35),1)+IF(AND(Q36=2,Q37=2,E36&gt;D37),1)+IF(AND(Q36=2,Q38=2,F36&gt;D38),1)+IF(AND(Q36=2,Q39=2,G36&gt;D39),1)+IF(AND(Q36=3,Q35=3,C36&gt;D35),1)+IF(AND(Q36=3,Q37=3,E36&gt;D37),1)+IF(AND(Q36=3,Q38=3,F36&gt;D38),1)+IF(AND(Q36=3,Q39=3,G36&gt;D39),1)</f>
        <v>0</v>
      </c>
      <c r="K36" s="253">
        <f>SUM(AND(T36=T35,C36&gt;D35),AND(T36=T37,E36&gt;D37),AND(T36=T38,F36&gt;D38),AND(T36=T39,G36&gt;D39))</f>
        <v>0</v>
      </c>
      <c r="L36" s="259">
        <f>IF(AND(Q36=1,Q35=1),C36-D35)+IF(AND(Q36=1,Q37=1),E36-D37)+IF(AND(Q36=1,Q38=1),F36-D38)+IF(AND(Q36=1,Q39=1),G36-D39)+IF(AND(Q36=2,Q35=2),C36-D35)+IF(AND(Q36=2,Q37=2),E36-D37)+IF(AND(Q36=2,Q38=2),F36-D38)+IF(AND(Q36=2,Q39=2),G36-D39)+IF(AND(Q36=3,Q35=3),C36-D35)+IF(AND(Q36=3,Q37=3),E36-D37)+IF(AND(Q36=3,Q38=3),F36-D38)+IF(AND(Q36=3,Q39=3),G36-D39)+IF(AND(Q36=4,Q35=4),C36-D35)+IF(AND(Q36=4,Q37=4),E36-D37)+IF(AND(Q36=4,Q38=4),F36-D38)+IF(AND(Q36=4,Q39=4),G36-D39)</f>
        <v>0</v>
      </c>
      <c r="M36" s="253">
        <f>SUM(AND(R36=R35,C36&gt;D35),AND(R36=R37,E36&gt;D37),AND(R36=R38,F36&gt;D38),AND(R36=R39,G36&gt;D39))</f>
        <v>0</v>
      </c>
      <c r="N36" s="418" t="str">
        <f>SUM(C36:G36)&amp;"-"&amp;SUM(D35:D39)</f>
        <v>0-0</v>
      </c>
      <c r="O36" s="355">
        <f>C36+E36+F36+G36-D35-D37-D38-D39</f>
        <v>0</v>
      </c>
      <c r="P36" s="254" t="e">
        <f>SUM(C36:G36,D35:D39)/SUM(D35:D39)</f>
        <v>#DIV/0!</v>
      </c>
      <c r="Q36" s="180">
        <f>VALUE(LEFT(H36,1))</f>
        <v>0</v>
      </c>
      <c r="R36" s="256">
        <f>Q36*100000+J36*10000+K36*1000+100*L36</f>
        <v>0</v>
      </c>
      <c r="S36" s="257">
        <f>R36+M36*0.1+IF(ISNONTEXT(B36),0,0.01)+0.0001*O36</f>
        <v>0</v>
      </c>
      <c r="T36" s="258" t="str">
        <f>Q36&amp;J36</f>
        <v>00</v>
      </c>
      <c r="U36" s="35"/>
    </row>
    <row r="37" spans="1:21" x14ac:dyDescent="0.2">
      <c r="A37" s="198">
        <v>3</v>
      </c>
      <c r="B37" s="284"/>
      <c r="C37" s="166"/>
      <c r="D37" s="168"/>
      <c r="E37" s="165"/>
      <c r="F37" s="166"/>
      <c r="G37" s="166"/>
      <c r="H37" s="169" t="str">
        <f>(IF(C37-E35&gt;0,1)+IF(D37-E36&gt;0,1)+IF(F37-E38&gt;0,1)+IF(G37-E39&gt;0,1))&amp;"-"&amp;(IF(C37-E35&lt;0,1)+IF(D37-E36&lt;0,1)+IF(F37-E38&lt;0,1)+IF(G37-E39&lt;0,1))</f>
        <v>0-0</v>
      </c>
      <c r="I37" s="166" t="str">
        <f t="shared" si="10"/>
        <v xml:space="preserve"> </v>
      </c>
      <c r="J37" s="182">
        <f>IF(AND(Q37=1,Q35=1,C37&gt;E35),1)+IF(AND(Q37=1,Q36=1,D37&gt;E36),1)+IF(AND(Q37=1,Q38=1,F37&gt;E38),1)+IF(AND(Q37=1,Q39=1,G37&gt;E39),1)+IF(AND(Q37=2,Q35=2,C37&gt;E35),1)+IF(AND(Q37=2,Q36=2,D37&gt;E36),1)+IF(AND(Q37=2,Q38=2,F37&gt;E38),1)+IF(AND(Q37=2,Q39=2,G37&gt;E39),1)+IF(AND(Q37=3,Q35=3,C37&gt;E35),1)+IF(AND(Q37=3,Q36=3,D37&gt;E36),1)+IF(AND(Q37=3,Q38=3,F37&gt;E38),1)+IF(AND(Q37=3,Q39=3,G37&gt;E39),1)</f>
        <v>0</v>
      </c>
      <c r="K37" s="253">
        <f>SUM(AND(T37=T35,C37&gt;E35),AND(T37=T36,D37&gt;E36),AND(T37=T38,F37&gt;E38),AND(T37=T39,G37&gt;E39))</f>
        <v>0</v>
      </c>
      <c r="L37" s="259">
        <f>IF(AND(Q37=1,Q35=1),C37-E35)+IF(AND(Q37=1,Q36=1),D37-E36)+IF(AND(Q37=1,Q38=1),F37-E38)+IF(AND(Q37=1,Q39=1),G37-E39)+IF(AND(Q37=2,Q35=2),C37-E35)+IF(AND(Q37=2,Q36=2),D37-E36)+IF(AND(Q37=2,Q38=2),F37-E38)+IF(AND(Q37=2,Q39=2),G37-E39)+IF(AND(Q37=3,Q35=3),C37-E35)+IF(AND(Q37=3,Q36=3),D37-E36)+IF(AND(Q37=3,Q38=3),F37-E38)+IF(AND(Q37=3,Q39=3),G37-E39)+IF(AND(Q37=4,Q35=4),C37-E35)+IF(AND(Q37=4,Q36=4),D37-E36)+IF(AND(Q37=4,Q38=4),F37-E38)+IF(AND(Q37=4,Q39=4),G37-E39)</f>
        <v>0</v>
      </c>
      <c r="M37" s="253">
        <f>SUM(AND(R37=R35,C37&gt;E35),AND(R37=R36,D37&gt;E36),AND(R37=R38,F37&gt;E38),AND(R37=R39,G37&gt;E39))</f>
        <v>0</v>
      </c>
      <c r="N37" s="418" t="str">
        <f>SUM(C37:G37)&amp;"-"&amp;SUM(E35:E39)</f>
        <v>0-0</v>
      </c>
      <c r="O37" s="355">
        <f>C37+D37+F37+G37-E35-E36-E38-E39</f>
        <v>0</v>
      </c>
      <c r="P37" s="254" t="e">
        <f>SUM(C37:G37,E35:E39)/SUM(E35:E39)</f>
        <v>#DIV/0!</v>
      </c>
      <c r="Q37" s="180">
        <f>VALUE(LEFT(H37,1))</f>
        <v>0</v>
      </c>
      <c r="R37" s="256">
        <f>Q37*100000+J37*10000+K37*1000+100*L37</f>
        <v>0</v>
      </c>
      <c r="S37" s="257">
        <f>R37+M37*0.1+IF(ISNONTEXT(B37),0,0.01)+0.0001*O37</f>
        <v>0</v>
      </c>
      <c r="T37" s="258" t="str">
        <f>Q37&amp;J37</f>
        <v>00</v>
      </c>
      <c r="U37" s="35"/>
    </row>
    <row r="38" spans="1:21" x14ac:dyDescent="0.2">
      <c r="A38" s="198">
        <v>4</v>
      </c>
      <c r="B38" s="285"/>
      <c r="C38" s="166"/>
      <c r="D38" s="168"/>
      <c r="E38" s="166"/>
      <c r="F38" s="165"/>
      <c r="G38" s="167"/>
      <c r="H38" s="169" t="str">
        <f>(IF(C38-F35&gt;0,1)+IF(D38-F36&gt;0,1)+IF(E38-F37&gt;0,1)+IF(G38-F39&gt;0,1))&amp;"-"&amp;(IF(C38-F35&lt;0,1)+IF(D38-F36&lt;0,1)+IF(E38-F37&lt;0,1)+IF(G38-F39&lt;0,1))</f>
        <v>0-0</v>
      </c>
      <c r="I38" s="166" t="str">
        <f t="shared" si="10"/>
        <v xml:space="preserve"> </v>
      </c>
      <c r="J38" s="182">
        <f>IF(AND(Q38=1,Q35=1,C38&gt;F35),1)+IF(AND(Q38=1,Q36=1,D38&gt;F36),1)+IF(AND(Q38=1,Q37=1,E38&gt;F37),1)+IF(AND(Q38=1,Q39=1,G38&gt;F39),1)+IF(AND(Q38=2,Q35=2,C38&gt;F35),1)+IF(AND(Q38=2,Q36=2,D38&gt;F36),1)+IF(AND(Q38=2,Q37=2,E38&gt;F37),1)+IF(AND(Q38=2,Q39=2,G38&gt;F39),1)+IF(AND(Q38=3,Q35=3,C38&gt;F35),1)+IF(AND(Q38=3,Q36=3,D38&gt;F36),1)+IF(AND(Q38=3,Q37=3,E38&gt;F37),1)+IF(AND(Q38=3,Q39=3,G38&gt;F39),1)</f>
        <v>0</v>
      </c>
      <c r="K38" s="253">
        <f>SUM(AND(T38=T35,C38&gt;F35),AND(T38=T36,D38&gt;F36),AND(T38=T37,E38&gt;F37),AND(T38=T39,G38&gt;F39))</f>
        <v>0</v>
      </c>
      <c r="L38" s="259">
        <f>IF(AND(Q38=1,Q35=1),C38-F35)+IF(AND(Q38=1,Q36=1),D38-F36)+IF(AND(Q38=1,Q37=1),E38-F37)+IF(AND(Q38=1,Q39=1),G38-F39)+IF(AND(Q38=2,Q35=2),C38-F35)+IF(AND(Q38=2,Q36=2),D38-F36)+IF(AND(Q38=2,Q37=2),E38-F37)+IF(AND(Q38=2,Q39=2),G38-F39)+IF(AND(Q38=3,Q35=3),C38-F35)+IF(AND(Q38=3,Q36=3),D38-F36)+IF(AND(Q38=3,Q37=3),E38-F37)+IF(AND(Q38=3,Q39=3),G38-F39)+IF(AND(Q38=4,Q35=4),C38-F35)+IF(AND(Q38=4,Q36=4),D38-F36)+IF(AND(Q38=4,Q37=4),E38-F37)+IF(AND(Q38=4,Q39=4),G38-F39)</f>
        <v>0</v>
      </c>
      <c r="M38" s="253">
        <f>SUM(AND(R38=R35,C38&gt;F35),AND(R38=R36,D38&gt;F36),AND(R38=R37,E38&gt;F37),AND(R38=R39,G38&gt;F39))</f>
        <v>0</v>
      </c>
      <c r="N38" s="418" t="str">
        <f>SUM(C38:G38)&amp;"-"&amp;SUM(F35:F39)</f>
        <v>0-0</v>
      </c>
      <c r="O38" s="355">
        <f>C38+D38+E38+G38-F35-F36-F37-F39</f>
        <v>0</v>
      </c>
      <c r="P38" s="254" t="e">
        <f>SUM(C38:G38,F35:F39)/SUM(F35:F39)</f>
        <v>#DIV/0!</v>
      </c>
      <c r="Q38" s="180">
        <f>VALUE(LEFT(H38,1))</f>
        <v>0</v>
      </c>
      <c r="R38" s="256">
        <f>Q38*100000+J38*10000+K38*1000+100*L38</f>
        <v>0</v>
      </c>
      <c r="S38" s="257">
        <f>R38+M38*0.1+IF(ISNONTEXT(B38),0,0.01)+0.0001*O38</f>
        <v>0</v>
      </c>
      <c r="T38" s="258" t="str">
        <f>Q38&amp;J38</f>
        <v>00</v>
      </c>
      <c r="U38" s="35"/>
    </row>
    <row r="39" spans="1:21" x14ac:dyDescent="0.2">
      <c r="A39" s="198">
        <v>5</v>
      </c>
      <c r="B39" s="285"/>
      <c r="C39" s="166"/>
      <c r="D39" s="166"/>
      <c r="E39" s="166"/>
      <c r="F39" s="166"/>
      <c r="G39" s="165"/>
      <c r="H39" s="169" t="str">
        <f>(IF(C39-G35&gt;0,1)+IF(D39-G36&gt;0,1)+IF(E39-G37&gt;0,1)+IF(F39-G38&gt;0,1))&amp;"-"&amp;(IF(C39-G35&lt;0,1)+IF(D39-G36&lt;0,1)+IF(E39-G37&lt;0,1)+IF(F39-G38&lt;0,1))</f>
        <v>0-0</v>
      </c>
      <c r="I39" s="166" t="str">
        <f t="shared" si="10"/>
        <v xml:space="preserve"> </v>
      </c>
      <c r="J39" s="182">
        <f>IF(AND(Q39=1,Q35=1,C39&gt;G35),1)+IF(AND(Q39=1,Q36=1,D39&gt;G36),1)+IF(AND(Q39=1,Q37=1,E39&gt;G37),1)+IF(AND(Q39=1,Q38=1,F39&gt;G38),1)+IF(AND(Q39=2,Q35=2,C39&gt;G35),1)+IF(AND(Q39=2,Q36=2,D39&gt;G36),1)+IF(AND(Q39=2,Q37=2,E39&gt;G37),1)+IF(AND(Q39=2,Q38=2,F39&gt;G38),1)+IF(AND(Q39=3,Q35=3,C39&gt;G35),1)+IF(AND(Q39=3,Q36=3,D39&gt;G36),1)+IF(AND(Q39=3,Q37=3,E39&gt;G37),1)+IF(AND(Q39=3,Q38=3,F39&gt;G38),1)</f>
        <v>0</v>
      </c>
      <c r="K39" s="253">
        <f>SUM(AND(T39=T35,C39&gt;G35),AND(T39=T36,D39&gt;G36),AND(T39=T37,E39&gt;G37),AND(T39=T38,F39&gt;G38))</f>
        <v>0</v>
      </c>
      <c r="L39" s="259">
        <f>IF(AND(Q39=1,Q35=1),C39-G35)+IF(AND(Q39=1,Q36=1),D39-G36)+IF(AND(Q39=1,Q37=1),E39-G37)+IF(AND(Q39=1,Q38=1),F39-G38)+IF(AND(Q39=2,Q35=2),C39-G35)+IF(AND(Q39=2,Q36=2),D39-G36)+IF(AND(Q39=2,Q37=2),E39-G37)+IF(AND(Q39=2,Q38=2),F39-G38)+IF(AND(Q39=3,Q35=3),C39-G35)+IF(AND(Q39=3,Q36=3),D39-G36)+IF(AND(Q39=3,Q37=3),E39-G37)+IF(AND(Q39=3,Q38=3),F39-G38)+IF(AND(Q39=4,Q35=4),C39-G35)+IF(AND(Q39=4,Q36=4),D39-G36)+IF(AND(Q39=4,Q37=4),E39-G37)+IF(AND(Q39=4,Q38=4),F39-G38)</f>
        <v>0</v>
      </c>
      <c r="M39" s="253">
        <f>SUM(AND(R39=R35,C39&gt;G35),AND(R39=R36,D39&gt;G36),AND(R39=R37,E39&gt;G37),AND(R39=R38,F39&gt;G38))</f>
        <v>0</v>
      </c>
      <c r="N39" s="418" t="str">
        <f>SUM(C39:G39)&amp;"-"&amp;SUM(G35:G39)</f>
        <v>0-0</v>
      </c>
      <c r="O39" s="355">
        <f>C39+D39+E39+F39-G35-G36-G37-G38</f>
        <v>0</v>
      </c>
      <c r="P39" s="254" t="e">
        <f>SUM(C39:G39,G35:G39)/SUM(G35:G39)</f>
        <v>#DIV/0!</v>
      </c>
      <c r="Q39" s="180">
        <f>VALUE(LEFT(H39,1))</f>
        <v>0</v>
      </c>
      <c r="R39" s="256">
        <f>Q39*100000+J39*10000+K39*1000+100*L39</f>
        <v>0</v>
      </c>
      <c r="S39" s="257">
        <f>R39+M39*0.1+IF(ISNONTEXT(B39),0,0.01)+0.0001*O39</f>
        <v>0</v>
      </c>
      <c r="T39" s="258" t="str">
        <f>Q39&amp;J39</f>
        <v>00</v>
      </c>
      <c r="U39" s="35"/>
    </row>
    <row r="40" spans="1:21" x14ac:dyDescent="0.2">
      <c r="A40" s="42"/>
      <c r="B40" s="286"/>
      <c r="C40" s="40"/>
      <c r="D40" s="260"/>
      <c r="E40" s="40"/>
      <c r="F40" s="43"/>
      <c r="G40" s="41"/>
      <c r="H40" s="261"/>
      <c r="I40" s="184"/>
      <c r="J40" s="35"/>
      <c r="K40" s="35"/>
      <c r="L40" s="35"/>
      <c r="M40" s="35"/>
      <c r="N40" s="35"/>
      <c r="O40" s="35"/>
      <c r="P40" s="35"/>
      <c r="Q40" s="35"/>
      <c r="R40" s="262" t="s">
        <v>247</v>
      </c>
      <c r="S40" s="35"/>
      <c r="T40" s="35"/>
      <c r="U40" s="35"/>
    </row>
    <row r="41" spans="1:21" x14ac:dyDescent="0.2">
      <c r="A41" s="198" t="s">
        <v>5</v>
      </c>
      <c r="B41" s="287"/>
      <c r="C41" s="163">
        <v>1</v>
      </c>
      <c r="D41" s="163">
        <v>2</v>
      </c>
      <c r="E41" s="163">
        <v>3</v>
      </c>
      <c r="F41" s="163">
        <v>4</v>
      </c>
      <c r="G41" s="163">
        <v>5</v>
      </c>
      <c r="H41" s="162" t="s">
        <v>170</v>
      </c>
      <c r="I41" s="162" t="s">
        <v>171</v>
      </c>
      <c r="J41" s="164" t="s">
        <v>240</v>
      </c>
      <c r="K41" s="263" t="s">
        <v>241</v>
      </c>
      <c r="L41" s="185" t="s">
        <v>242</v>
      </c>
      <c r="M41" s="185" t="s">
        <v>243</v>
      </c>
      <c r="N41" s="246" t="s">
        <v>172</v>
      </c>
      <c r="O41" s="246" t="s">
        <v>172</v>
      </c>
      <c r="P41" s="247" t="s">
        <v>244</v>
      </c>
      <c r="Q41" s="264" t="s">
        <v>21</v>
      </c>
      <c r="R41" s="264" t="b">
        <f>OR(AND(COUNTA(B42:B46)=3,COUNTA(C42:G46)=6),AND(COUNTA(B42:B46)=4,COUNTA(C42:G46)=12),AND(COUNTA(B42:B46)=5,COUNTA(C42:G46)=20))</f>
        <v>0</v>
      </c>
      <c r="S41" s="265" t="s">
        <v>245</v>
      </c>
      <c r="T41" s="266" t="s">
        <v>246</v>
      </c>
      <c r="U41" s="35"/>
    </row>
    <row r="42" spans="1:21" x14ac:dyDescent="0.2">
      <c r="A42" s="198">
        <v>1</v>
      </c>
      <c r="B42" s="289"/>
      <c r="C42" s="165"/>
      <c r="D42" s="166"/>
      <c r="E42" s="166"/>
      <c r="F42" s="166"/>
      <c r="G42" s="166"/>
      <c r="H42" s="169" t="str">
        <f>(IF(D42-C43&gt;0,1)+IF(E42-C44&gt;0,1)+IF(F42-C45&gt;0,1)+IF(G42-C46&gt;0,1))&amp;"-"&amp;(IF(D42-C43&lt;0,1)+IF(E42-C44&lt;0,1)+IF(F42-C45&lt;0,1)+IF(G42-C46&lt;0,1))</f>
        <v>0-0</v>
      </c>
      <c r="I42" s="166" t="str">
        <f>IF(AND(B42&lt;&gt;"",R$41=TRUE),A$41&amp;RANK(S42,S$42:S$46,0)," ")</f>
        <v xml:space="preserve"> </v>
      </c>
      <c r="J42" s="181">
        <f>IF(AND(Q42=1,Q43=1,D42&gt;C43),1)+IF(AND(Q42=1,Q44=1,E42&gt;C44),1)+IF(AND(Q42=1,Q45=1,F42&gt;C45),1)+IF(AND(Q42=1,Q46=1,G42&gt;C46),1)+IF(AND(Q42=2,Q43=2,D42&gt;C43),1)+IF(AND(Q42=2,Q44=2,E42&gt;C44),1)+IF(AND(Q42=2,Q45=2,F42&gt;C45),1)+IF(AND(Q42=2,Q46=2,G42&gt;C46),1)+IF(AND(Q42=3,Q43=3,D42&gt;C43),1)+IF(AND(Q42=3,Q44=3,E42&gt;C44),1)+IF(AND(Q42=3,Q45=3,F42&gt;C45),1)+IF(AND(Q42=3,Q46=3,G42&gt;C46),1)</f>
        <v>0</v>
      </c>
      <c r="K42" s="251">
        <f>SUM(AND(T42=T43,D42&gt;C43),AND(T42=T44,E42&gt;C44),AND(T42=T45,F42&gt;C45),AND(T42=T46,G42&gt;C46))</f>
        <v>0</v>
      </c>
      <c r="L42" s="252">
        <f>IF(AND(Q42=1,Q43=1),D42-C43)+IF(AND(Q42=1,Q44=1),E42-C44)+IF(AND(Q42=1,Q45=1),F42-C45)+IF(AND(Q42=1,Q46=1),G42-C46)+IF(AND(Q42=2,Q43=2),D42-C43)+IF(AND(Q42=2,Q44=2),E42-C44)+IF(AND(Q42=2,Q45=2),F42-C45)+IF(AND(Q42=2,Q46=2),G42-C46)+IF(AND(Q42=3,Q43=3),D42-C43)+IF(AND(Q42=3,Q44=3),E42-C44)+IF(AND(Q42=3,Q45=3),F42-C45)+IF(AND(Q42=3,Q46=3),G42-C46)+IF(AND(Q42=4,Q43=4),D42-C43)+IF(AND(Q42=4,Q44=4),E42-C44)+IF(AND(Q42=4,Q45=4),F42-C45)+IF(AND(Q42=4,Q46=4),G42-C46)</f>
        <v>0</v>
      </c>
      <c r="M42" s="253">
        <f>SUM(AND(R42=R43,D42&gt;C43),AND(R42=R44,E42&gt;C44),AND(R42=R45,F42&gt;C45),AND(R42=R46,G42&gt;C46))</f>
        <v>0</v>
      </c>
      <c r="N42" s="418" t="str">
        <f>SUM(C42:G42)&amp;"-"&amp;SUM(C42:C46)</f>
        <v>0-0</v>
      </c>
      <c r="O42" s="355">
        <f>D42+E42+F42+G42-C43-C44-C45-C46</f>
        <v>0</v>
      </c>
      <c r="P42" s="254" t="e">
        <f>SUM(C42:G42,C42:C46)/SUM(C42:C46)</f>
        <v>#DIV/0!</v>
      </c>
      <c r="Q42" s="255">
        <f>VALUE(LEFT(H42,1))</f>
        <v>0</v>
      </c>
      <c r="R42" s="256">
        <f>Q42*100000+J42*10000+K42*1000+100*L42</f>
        <v>0</v>
      </c>
      <c r="S42" s="257">
        <f>R42+M42*0.1+IF(ISNONTEXT(B42),0,0.01)+0.0001*O42</f>
        <v>0</v>
      </c>
      <c r="T42" s="258" t="str">
        <f>Q42&amp;J42</f>
        <v>00</v>
      </c>
      <c r="U42" s="35"/>
    </row>
    <row r="43" spans="1:21" x14ac:dyDescent="0.2">
      <c r="A43" s="198">
        <v>2</v>
      </c>
      <c r="B43" s="284"/>
      <c r="C43" s="166"/>
      <c r="D43" s="165"/>
      <c r="E43" s="166"/>
      <c r="F43" s="166"/>
      <c r="G43" s="166"/>
      <c r="H43" s="169" t="str">
        <f>(IF(C43-D42&gt;0,1)+IF(E43-D44&gt;0,1)+IF(F43-D45&gt;0,1)+IF(G43-D46&gt;0,1))&amp;"-"&amp;(IF(C43-D42&lt;0,1)+IF(E43-D44&lt;0,1)+IF(F43-D45&lt;0,1)+IF(G43-D46&lt;0,1))</f>
        <v>0-0</v>
      </c>
      <c r="I43" s="166" t="str">
        <f t="shared" ref="I43:I46" si="11">IF(AND(B43&lt;&gt;"",R$41=TRUE),A$41&amp;RANK(S43,S$42:S$46,0)," ")</f>
        <v xml:space="preserve"> </v>
      </c>
      <c r="J43" s="182">
        <f>IF(AND(Q43=1,Q42=1,C43&gt;D42),1)+IF(AND(Q43=1,Q44=1,E43&gt;D44),1)+IF(AND(Q43=1,Q45=1,F43&gt;D45),1)+IF(AND(Q43=1,Q46=1,G43&gt;D46),1)+IF(AND(Q43=2,Q42=2,C43&gt;D42),1)+IF(AND(Q43=2,Q44=2,E43&gt;D44),1)+IF(AND(Q43=2,Q45=2,F43&gt;D45),1)+IF(AND(Q43=2,Q46=2,G43&gt;D46),1)+IF(AND(Q43=3,Q42=3,C43&gt;D42),1)+IF(AND(Q43=3,Q44=3,E43&gt;D44),1)+IF(AND(Q43=3,Q45=3,F43&gt;D45),1)+IF(AND(Q43=3,Q46=3,G43&gt;D46),1)</f>
        <v>0</v>
      </c>
      <c r="K43" s="253">
        <f>SUM(AND(T43=T42,C43&gt;D42),AND(T43=T44,E43&gt;D44),AND(T43=T45,F43&gt;D45),AND(T43=T46,G43&gt;D46))</f>
        <v>0</v>
      </c>
      <c r="L43" s="259">
        <f>IF(AND(Q43=1,Q42=1),C43-D42)+IF(AND(Q43=1,Q44=1),E43-D44)+IF(AND(Q43=1,Q45=1),F43-D45)+IF(AND(Q43=1,Q46=1),G43-D46)+IF(AND(Q43=2,Q42=2),C43-D42)+IF(AND(Q43=2,Q44=2),E43-D44)+IF(AND(Q43=2,Q45=2),F43-D45)+IF(AND(Q43=2,Q46=2),G43-D46)+IF(AND(Q43=3,Q42=3),C43-D42)+IF(AND(Q43=3,Q44=3),E43-D44)+IF(AND(Q43=3,Q45=3),F43-D45)+IF(AND(Q43=3,Q46=3),G43-D46)+IF(AND(Q43=4,Q42=4),C43-D42)+IF(AND(Q43=4,Q44=4),E43-D44)+IF(AND(Q43=4,Q45=4),F43-D45)+IF(AND(Q43=4,Q46=4),G43-D46)</f>
        <v>0</v>
      </c>
      <c r="M43" s="253">
        <f>SUM(AND(R43=R42,C43&gt;D42),AND(R43=R44,E43&gt;D44),AND(R43=R45,F43&gt;D45),AND(R43=R46,G43&gt;D46))</f>
        <v>0</v>
      </c>
      <c r="N43" s="418" t="str">
        <f>SUM(C43:G43)&amp;"-"&amp;SUM(D42:D46)</f>
        <v>0-0</v>
      </c>
      <c r="O43" s="355">
        <f>C43+E43+F43+G43-D42-D44-D45-D46</f>
        <v>0</v>
      </c>
      <c r="P43" s="254" t="e">
        <f>SUM(C43:G43,D42:D46)/SUM(D42:D46)</f>
        <v>#DIV/0!</v>
      </c>
      <c r="Q43" s="180">
        <f>VALUE(LEFT(H43,1))</f>
        <v>0</v>
      </c>
      <c r="R43" s="256">
        <f>Q43*100000+J43*10000+K43*1000+100*L43</f>
        <v>0</v>
      </c>
      <c r="S43" s="257">
        <f>R43+M43*0.1+IF(ISNONTEXT(B43),0,0.01)+0.0001*O43</f>
        <v>0</v>
      </c>
      <c r="T43" s="258" t="str">
        <f>Q43&amp;J43</f>
        <v>00</v>
      </c>
      <c r="U43" s="35"/>
    </row>
    <row r="44" spans="1:21" x14ac:dyDescent="0.2">
      <c r="A44" s="198">
        <v>3</v>
      </c>
      <c r="B44" s="284"/>
      <c r="C44" s="166"/>
      <c r="D44" s="168"/>
      <c r="E44" s="165"/>
      <c r="F44" s="166"/>
      <c r="G44" s="166"/>
      <c r="H44" s="169" t="str">
        <f>(IF(C44-E42&gt;0,1)+IF(D44-E43&gt;0,1)+IF(F44-E45&gt;0,1)+IF(G44-E46&gt;0,1))&amp;"-"&amp;(IF(C44-E42&lt;0,1)+IF(D44-E43&lt;0,1)+IF(F44-E45&lt;0,1)+IF(G44-E46&lt;0,1))</f>
        <v>0-0</v>
      </c>
      <c r="I44" s="166" t="str">
        <f t="shared" si="11"/>
        <v xml:space="preserve"> </v>
      </c>
      <c r="J44" s="182">
        <f>IF(AND(Q44=1,Q42=1,C44&gt;E42),1)+IF(AND(Q44=1,Q43=1,D44&gt;E43),1)+IF(AND(Q44=1,Q45=1,F44&gt;E45),1)+IF(AND(Q44=1,Q46=1,G44&gt;E46),1)+IF(AND(Q44=2,Q42=2,C44&gt;E42),1)+IF(AND(Q44=2,Q43=2,D44&gt;E43),1)+IF(AND(Q44=2,Q45=2,F44&gt;E45),1)+IF(AND(Q44=2,Q46=2,G44&gt;E46),1)+IF(AND(Q44=3,Q42=3,C44&gt;E42),1)+IF(AND(Q44=3,Q43=3,D44&gt;E43),1)+IF(AND(Q44=3,Q45=3,F44&gt;E45),1)+IF(AND(Q44=3,Q46=3,G44&gt;E46),1)</f>
        <v>0</v>
      </c>
      <c r="K44" s="253">
        <f>SUM(AND(T44=T42,C44&gt;E42),AND(T44=T43,D44&gt;E43),AND(T44=T45,F44&gt;E45),AND(T44=T46,G44&gt;E46))</f>
        <v>0</v>
      </c>
      <c r="L44" s="259">
        <f>IF(AND(Q44=1,Q42=1),C44-E42)+IF(AND(Q44=1,Q43=1),D44-E43)+IF(AND(Q44=1,Q45=1),F44-E45)+IF(AND(Q44=1,Q46=1),G44-E46)+IF(AND(Q44=2,Q42=2),C44-E42)+IF(AND(Q44=2,Q43=2),D44-E43)+IF(AND(Q44=2,Q45=2),F44-E45)+IF(AND(Q44=2,Q46=2),G44-E46)+IF(AND(Q44=3,Q42=3),C44-E42)+IF(AND(Q44=3,Q43=3),D44-E43)+IF(AND(Q44=3,Q45=3),F44-E45)+IF(AND(Q44=3,Q46=3),G44-E46)+IF(AND(Q44=4,Q42=4),C44-E42)+IF(AND(Q44=4,Q43=4),D44-E43)+IF(AND(Q44=4,Q45=4),F44-E45)+IF(AND(Q44=4,Q46=4),G44-E46)</f>
        <v>0</v>
      </c>
      <c r="M44" s="253">
        <f>SUM(AND(R44=R42,C44&gt;E42),AND(R44=R43,D44&gt;E43),AND(R44=R45,F44&gt;E45),AND(R44=R46,G44&gt;E46))</f>
        <v>0</v>
      </c>
      <c r="N44" s="418" t="str">
        <f>SUM(C44:G44)&amp;"-"&amp;SUM(E42:E46)</f>
        <v>0-0</v>
      </c>
      <c r="O44" s="355">
        <f>C44+D44+F44+G44-E42-E43-E45-E46</f>
        <v>0</v>
      </c>
      <c r="P44" s="254" t="e">
        <f>SUM(C44:G44,E42:E46)/SUM(E42:E46)</f>
        <v>#DIV/0!</v>
      </c>
      <c r="Q44" s="180">
        <f>VALUE(LEFT(H44,1))</f>
        <v>0</v>
      </c>
      <c r="R44" s="256">
        <f>Q44*100000+J44*10000+K44*1000+100*L44</f>
        <v>0</v>
      </c>
      <c r="S44" s="257">
        <f>R44+M44*0.1+IF(ISNONTEXT(B44),0,0.01)+0.0001*O44</f>
        <v>0</v>
      </c>
      <c r="T44" s="258" t="str">
        <f>Q44&amp;J44</f>
        <v>00</v>
      </c>
      <c r="U44" s="35"/>
    </row>
    <row r="45" spans="1:21" x14ac:dyDescent="0.2">
      <c r="A45" s="198">
        <v>4</v>
      </c>
      <c r="B45" s="285"/>
      <c r="C45" s="166"/>
      <c r="D45" s="168"/>
      <c r="E45" s="166"/>
      <c r="F45" s="165"/>
      <c r="G45" s="167"/>
      <c r="H45" s="169" t="str">
        <f>(IF(C45-F42&gt;0,1)+IF(D45-F43&gt;0,1)+IF(E45-F44&gt;0,1)+IF(G45-F46&gt;0,1))&amp;"-"&amp;(IF(C45-F42&lt;0,1)+IF(D45-F43&lt;0,1)+IF(E45-F44&lt;0,1)+IF(G45-F46&lt;0,1))</f>
        <v>0-0</v>
      </c>
      <c r="I45" s="166" t="str">
        <f t="shared" si="11"/>
        <v xml:space="preserve"> </v>
      </c>
      <c r="J45" s="182">
        <f>IF(AND(Q45=1,Q42=1,C45&gt;F42),1)+IF(AND(Q45=1,Q43=1,D45&gt;F43),1)+IF(AND(Q45=1,Q44=1,E45&gt;F44),1)+IF(AND(Q45=1,Q46=1,G45&gt;F46),1)+IF(AND(Q45=2,Q42=2,C45&gt;F42),1)+IF(AND(Q45=2,Q43=2,D45&gt;F43),1)+IF(AND(Q45=2,Q44=2,E45&gt;F44),1)+IF(AND(Q45=2,Q46=2,G45&gt;F46),1)+IF(AND(Q45=3,Q42=3,C45&gt;F42),1)+IF(AND(Q45=3,Q43=3,D45&gt;F43),1)+IF(AND(Q45=3,Q44=3,E45&gt;F44),1)+IF(AND(Q45=3,Q46=3,G45&gt;F46),1)</f>
        <v>0</v>
      </c>
      <c r="K45" s="253">
        <f>SUM(AND(T45=T42,C45&gt;F42),AND(T45=T43,D45&gt;F43),AND(T45=T44,E45&gt;F44),AND(T45=T46,G45&gt;F46))</f>
        <v>0</v>
      </c>
      <c r="L45" s="259">
        <f>IF(AND(Q45=1,Q42=1),C45-F42)+IF(AND(Q45=1,Q43=1),D45-F43)+IF(AND(Q45=1,Q44=1),E45-F44)+IF(AND(Q45=1,Q46=1),G45-F46)+IF(AND(Q45=2,Q42=2),C45-F42)+IF(AND(Q45=2,Q43=2),D45-F43)+IF(AND(Q45=2,Q44=2),E45-F44)+IF(AND(Q45=2,Q46=2),G45-F46)+IF(AND(Q45=3,Q42=3),C45-F42)+IF(AND(Q45=3,Q43=3),D45-F43)+IF(AND(Q45=3,Q44=3),E45-F44)+IF(AND(Q45=3,Q46=3),G45-F46)+IF(AND(Q45=4,Q42=4),C45-F42)+IF(AND(Q45=4,Q43=4),D45-F43)+IF(AND(Q45=4,Q44=4),E45-F44)+IF(AND(Q45=4,Q46=4),G45-F46)</f>
        <v>0</v>
      </c>
      <c r="M45" s="253">
        <f>SUM(AND(R45=R42,C45&gt;F42),AND(R45=R43,D45&gt;F43),AND(R45=R44,E45&gt;F44),AND(R45=R46,G45&gt;F46))</f>
        <v>0</v>
      </c>
      <c r="N45" s="418" t="str">
        <f>SUM(C45:G45)&amp;"-"&amp;SUM(F42:F46)</f>
        <v>0-0</v>
      </c>
      <c r="O45" s="355">
        <f>C45+D45+E45+G45-F42-F43-F44-F46</f>
        <v>0</v>
      </c>
      <c r="P45" s="254" t="e">
        <f>SUM(C45:G45,F42:F46)/SUM(F42:F46)</f>
        <v>#DIV/0!</v>
      </c>
      <c r="Q45" s="180">
        <f>VALUE(LEFT(H45,1))</f>
        <v>0</v>
      </c>
      <c r="R45" s="256">
        <f>Q45*100000+J45*10000+K45*1000+100*L45</f>
        <v>0</v>
      </c>
      <c r="S45" s="257">
        <f>R45+M45*0.1+IF(ISNONTEXT(B45),0,0.01)+0.0001*O45</f>
        <v>0</v>
      </c>
      <c r="T45" s="258" t="str">
        <f>Q45&amp;J45</f>
        <v>00</v>
      </c>
      <c r="U45" s="35"/>
    </row>
    <row r="46" spans="1:21" x14ac:dyDescent="0.2">
      <c r="A46" s="198">
        <v>5</v>
      </c>
      <c r="B46" s="285"/>
      <c r="C46" s="166"/>
      <c r="D46" s="166"/>
      <c r="E46" s="166"/>
      <c r="F46" s="166"/>
      <c r="G46" s="165"/>
      <c r="H46" s="169" t="str">
        <f>(IF(C46-G42&gt;0,1)+IF(D46-G43&gt;0,1)+IF(E46-G44&gt;0,1)+IF(F46-G45&gt;0,1))&amp;"-"&amp;(IF(C46-G42&lt;0,1)+IF(D46-G43&lt;0,1)+IF(E46-G44&lt;0,1)+IF(F46-G45&lt;0,1))</f>
        <v>0-0</v>
      </c>
      <c r="I46" s="166" t="str">
        <f t="shared" si="11"/>
        <v xml:space="preserve"> </v>
      </c>
      <c r="J46" s="182">
        <f>IF(AND(Q46=1,Q42=1,C46&gt;G42),1)+IF(AND(Q46=1,Q43=1,D46&gt;G43),1)+IF(AND(Q46=1,Q44=1,E46&gt;G44),1)+IF(AND(Q46=1,Q45=1,F46&gt;G45),1)+IF(AND(Q46=2,Q42=2,C46&gt;G42),1)+IF(AND(Q46=2,Q43=2,D46&gt;G43),1)+IF(AND(Q46=2,Q44=2,E46&gt;G44),1)+IF(AND(Q46=2,Q45=2,F46&gt;G45),1)+IF(AND(Q46=3,Q42=3,C46&gt;G42),1)+IF(AND(Q46=3,Q43=3,D46&gt;G43),1)+IF(AND(Q46=3,Q44=3,E46&gt;G44),1)+IF(AND(Q46=3,Q45=3,F46&gt;G45),1)</f>
        <v>0</v>
      </c>
      <c r="K46" s="253">
        <f>SUM(AND(T46=T42,C46&gt;G42),AND(T46=T43,D46&gt;G43),AND(T46=T44,E46&gt;G44),AND(T46=T45,F46&gt;G45))</f>
        <v>0</v>
      </c>
      <c r="L46" s="259">
        <f>IF(AND(Q46=1,Q42=1),C46-G42)+IF(AND(Q46=1,Q43=1),D46-G43)+IF(AND(Q46=1,Q44=1),E46-G44)+IF(AND(Q46=1,Q45=1),F46-G45)+IF(AND(Q46=2,Q42=2),C46-G42)+IF(AND(Q46=2,Q43=2),D46-G43)+IF(AND(Q46=2,Q44=2),E46-G44)+IF(AND(Q46=2,Q45=2),F46-G45)+IF(AND(Q46=3,Q42=3),C46-G42)+IF(AND(Q46=3,Q43=3),D46-G43)+IF(AND(Q46=3,Q44=3),E46-G44)+IF(AND(Q46=3,Q45=3),F46-G45)+IF(AND(Q46=4,Q42=4),C46-G42)+IF(AND(Q46=4,Q43=4),D46-G43)+IF(AND(Q46=4,Q44=4),E46-G44)+IF(AND(Q46=4,Q45=4),F46-G45)</f>
        <v>0</v>
      </c>
      <c r="M46" s="253">
        <f>SUM(AND(R46=R42,C46&gt;G42),AND(R46=R43,D46&gt;G43),AND(R46=R44,E46&gt;G44),AND(R46=R45,F46&gt;G45))</f>
        <v>0</v>
      </c>
      <c r="N46" s="418" t="str">
        <f>SUM(C46:G46)&amp;"-"&amp;SUM(G42:G46)</f>
        <v>0-0</v>
      </c>
      <c r="O46" s="355">
        <f>C46+D46+E46+F46-G42-G43-G44-G45</f>
        <v>0</v>
      </c>
      <c r="P46" s="254" t="e">
        <f>SUM(C46:G46,G42:G46)/SUM(G42:G46)</f>
        <v>#DIV/0!</v>
      </c>
      <c r="Q46" s="180">
        <f>VALUE(LEFT(H46,1))</f>
        <v>0</v>
      </c>
      <c r="R46" s="256">
        <f>Q46*100000+J46*10000+K46*1000+100*L46</f>
        <v>0</v>
      </c>
      <c r="S46" s="257">
        <f>R46+M46*0.1+IF(ISNONTEXT(B46),0,0.01)+0.0001*O46</f>
        <v>0</v>
      </c>
      <c r="T46" s="258" t="str">
        <f>Q46&amp;J46</f>
        <v>00</v>
      </c>
      <c r="U46" s="35"/>
    </row>
    <row r="47" spans="1:21" x14ac:dyDescent="0.2">
      <c r="A47" s="42"/>
      <c r="B47" s="286"/>
      <c r="C47" s="40"/>
      <c r="D47" s="260"/>
      <c r="E47" s="40"/>
      <c r="F47" s="43"/>
      <c r="G47" s="41"/>
      <c r="H47" s="261"/>
      <c r="I47" s="184"/>
      <c r="J47" s="35"/>
      <c r="K47" s="35"/>
      <c r="L47" s="35"/>
      <c r="M47" s="35"/>
      <c r="N47" s="35"/>
      <c r="O47" s="35"/>
      <c r="P47" s="35"/>
      <c r="Q47" s="35"/>
      <c r="R47" s="262" t="s">
        <v>247</v>
      </c>
      <c r="S47" s="35"/>
      <c r="T47" s="35"/>
      <c r="U47" s="35"/>
    </row>
    <row r="48" spans="1:21" x14ac:dyDescent="0.2">
      <c r="A48" s="198" t="s">
        <v>6</v>
      </c>
      <c r="B48" s="287"/>
      <c r="C48" s="163">
        <v>1</v>
      </c>
      <c r="D48" s="163">
        <v>2</v>
      </c>
      <c r="E48" s="163">
        <v>3</v>
      </c>
      <c r="F48" s="163">
        <v>4</v>
      </c>
      <c r="G48" s="163">
        <v>5</v>
      </c>
      <c r="H48" s="162" t="s">
        <v>170</v>
      </c>
      <c r="I48" s="162" t="s">
        <v>171</v>
      </c>
      <c r="J48" s="164" t="s">
        <v>240</v>
      </c>
      <c r="K48" s="263" t="s">
        <v>241</v>
      </c>
      <c r="L48" s="185" t="s">
        <v>242</v>
      </c>
      <c r="M48" s="185" t="s">
        <v>243</v>
      </c>
      <c r="N48" s="246" t="s">
        <v>172</v>
      </c>
      <c r="O48" s="246" t="s">
        <v>172</v>
      </c>
      <c r="P48" s="247" t="s">
        <v>244</v>
      </c>
      <c r="Q48" s="264" t="s">
        <v>21</v>
      </c>
      <c r="R48" s="264" t="b">
        <f>OR(AND(COUNTA(B49:B53)=3,COUNTA(C49:G53)=6),AND(COUNTA(B49:B53)=4,COUNTA(C49:G53)=12),AND(COUNTA(B49:B53)=5,COUNTA(C49:G53)=20))</f>
        <v>0</v>
      </c>
      <c r="S48" s="265" t="s">
        <v>245</v>
      </c>
      <c r="T48" s="266" t="s">
        <v>246</v>
      </c>
      <c r="U48" s="35"/>
    </row>
    <row r="49" spans="1:21" x14ac:dyDescent="0.2">
      <c r="A49" s="198">
        <v>1</v>
      </c>
      <c r="B49" s="289"/>
      <c r="C49" s="165"/>
      <c r="D49" s="166"/>
      <c r="E49" s="166"/>
      <c r="F49" s="166"/>
      <c r="G49" s="166"/>
      <c r="H49" s="169" t="str">
        <f>(IF(D49-C50&gt;0,1)+IF(E49-C51&gt;0,1)+IF(F49-C52&gt;0,1)+IF(G49-C53&gt;0,1))&amp;"-"&amp;(IF(D49-C50&lt;0,1)+IF(E49-C51&lt;0,1)+IF(F49-C52&lt;0,1)+IF(G49-C53&lt;0,1))</f>
        <v>0-0</v>
      </c>
      <c r="I49" s="166" t="str">
        <f>IF(AND(B49&lt;&gt;"",R$48=TRUE),A$48&amp;RANK(S49,S$49:S$53,0)," ")</f>
        <v xml:space="preserve"> </v>
      </c>
      <c r="J49" s="181">
        <f>IF(AND(Q49=1,Q50=1,D49&gt;C50),1)+IF(AND(Q49=1,Q51=1,E49&gt;C51),1)+IF(AND(Q49=1,Q52=1,F49&gt;C52),1)+IF(AND(Q49=1,Q53=1,G49&gt;C53),1)+IF(AND(Q49=2,Q50=2,D49&gt;C50),1)+IF(AND(Q49=2,Q51=2,E49&gt;C51),1)+IF(AND(Q49=2,Q52=2,F49&gt;C52),1)+IF(AND(Q49=2,Q53=2,G49&gt;C53),1)+IF(AND(Q49=3,Q50=3,D49&gt;C50),1)+IF(AND(Q49=3,Q51=3,E49&gt;C51),1)+IF(AND(Q49=3,Q52=3,F49&gt;C52),1)+IF(AND(Q49=3,Q53=3,G49&gt;C53),1)</f>
        <v>0</v>
      </c>
      <c r="K49" s="251">
        <f>SUM(AND(T49=T50,D49&gt;C50),AND(T49=T51,E49&gt;C51),AND(T49=T52,F49&gt;C52),AND(T49=T53,G49&gt;C53))</f>
        <v>0</v>
      </c>
      <c r="L49" s="252">
        <f>IF(AND(Q49=1,Q50=1),D49-C50)+IF(AND(Q49=1,Q51=1),E49-C51)+IF(AND(Q49=1,Q52=1),F49-C52)+IF(AND(Q49=1,Q53=1),G49-C53)+IF(AND(Q49=2,Q50=2),D49-C50)+IF(AND(Q49=2,Q51=2),E49-C51)+IF(AND(Q49=2,Q52=2),F49-C52)+IF(AND(Q49=2,Q53=2),G49-C53)+IF(AND(Q49=3,Q50=3),D49-C50)+IF(AND(Q49=3,Q51=3),E49-C51)+IF(AND(Q49=3,Q52=3),F49-C52)+IF(AND(Q49=3,Q53=3),G49-C53)+IF(AND(Q49=4,Q50=4),D49-C50)+IF(AND(Q49=4,Q51=4),E49-C51)+IF(AND(Q49=4,Q52=4),F49-C52)+IF(AND(Q49=4,Q53=4),G49-C53)</f>
        <v>0</v>
      </c>
      <c r="M49" s="253">
        <f>SUM(AND(R49=R50,D49&gt;C50),AND(R49=R51,E49&gt;C51),AND(R49=R52,F49&gt;C52),AND(R49=R53,G49&gt;C53))</f>
        <v>0</v>
      </c>
      <c r="N49" s="418" t="str">
        <f>SUM(C49:G49)&amp;"-"&amp;SUM(C49:C53)</f>
        <v>0-0</v>
      </c>
      <c r="O49" s="355">
        <f>D49+E49+F49+G49-C50-C51-C52-C53</f>
        <v>0</v>
      </c>
      <c r="P49" s="254" t="e">
        <f>SUM(C49:G49,C49:C53)/SUM(C49:C53)</f>
        <v>#DIV/0!</v>
      </c>
      <c r="Q49" s="255">
        <f>VALUE(LEFT(H49,1))</f>
        <v>0</v>
      </c>
      <c r="R49" s="256">
        <f>Q49*100000+J49*10000+K49*1000+100*L49</f>
        <v>0</v>
      </c>
      <c r="S49" s="257">
        <f>R49+M49*0.1+IF(ISNONTEXT(B49),0,0.01)+0.0001*O49</f>
        <v>0</v>
      </c>
      <c r="T49" s="258" t="str">
        <f>Q49&amp;J49</f>
        <v>00</v>
      </c>
      <c r="U49" s="35"/>
    </row>
    <row r="50" spans="1:21" x14ac:dyDescent="0.2">
      <c r="A50" s="198">
        <v>2</v>
      </c>
      <c r="B50" s="284"/>
      <c r="C50" s="166"/>
      <c r="D50" s="165"/>
      <c r="E50" s="166"/>
      <c r="F50" s="166"/>
      <c r="G50" s="166"/>
      <c r="H50" s="169" t="str">
        <f>(IF(C50-D49&gt;0,1)+IF(E50-D51&gt;0,1)+IF(F50-D52&gt;0,1)+IF(G50-D53&gt;0,1))&amp;"-"&amp;(IF(C50-D49&lt;0,1)+IF(E50-D51&lt;0,1)+IF(F50-D52&lt;0,1)+IF(G50-D53&lt;0,1))</f>
        <v>0-0</v>
      </c>
      <c r="I50" s="166" t="str">
        <f>IF(AND(B50&lt;&gt;"",R$48=TRUE),A$48&amp;RANK(R50,R$49:R$53,0)," ")</f>
        <v xml:space="preserve"> </v>
      </c>
      <c r="J50" s="182">
        <f>IF(AND(Q50=1,Q49=1,C50&gt;D49),1)+IF(AND(Q50=1,Q51=1,E50&gt;D51),1)+IF(AND(Q50=1,Q52=1,F50&gt;D52),1)+IF(AND(Q50=1,Q53=1,G50&gt;D53),1)+IF(AND(Q50=2,Q49=2,C50&gt;D49),1)+IF(AND(Q50=2,Q51=2,E50&gt;D51),1)+IF(AND(Q50=2,Q52=2,F50&gt;D52),1)+IF(AND(Q50=2,Q53=2,G50&gt;D53),1)+IF(AND(Q50=3,Q49=3,C50&gt;D49),1)+IF(AND(Q50=3,Q51=3,E50&gt;D51),1)+IF(AND(Q50=3,Q52=3,F50&gt;D52),1)+IF(AND(Q50=3,Q53=3,G50&gt;D53),1)</f>
        <v>0</v>
      </c>
      <c r="K50" s="253">
        <f>SUM(AND(T50=T49,C50&gt;D49),AND(T50=T51,E50&gt;D51),AND(T50=T52,F50&gt;D52),AND(T50=T53,G50&gt;D53))</f>
        <v>0</v>
      </c>
      <c r="L50" s="259">
        <f>IF(AND(Q50=1,Q49=1),C50-D49)+IF(AND(Q50=1,Q51=1),E50-D51)+IF(AND(Q50=1,Q52=1),F50-D52)+IF(AND(Q50=1,Q53=1),G50-D53)+IF(AND(Q50=2,Q49=2),C50-D49)+IF(AND(Q50=2,Q51=2),E50-D51)+IF(AND(Q50=2,Q52=2),F50-D52)+IF(AND(Q50=2,Q53=2),G50-D53)+IF(AND(Q50=3,Q49=3),C50-D49)+IF(AND(Q50=3,Q51=3),E50-D51)+IF(AND(Q50=3,Q52=3),F50-D52)+IF(AND(Q50=3,Q53=3),G50-D53)+IF(AND(Q50=4,Q49=4),C50-D49)+IF(AND(Q50=4,Q51=4),E50-D51)+IF(AND(Q50=4,Q52=4),F50-D52)+IF(AND(Q50=4,Q53=4),G50-D53)</f>
        <v>0</v>
      </c>
      <c r="M50" s="253">
        <f>SUM(AND(R50=R49,C50&gt;D49),AND(R50=R51,E50&gt;D51),AND(R50=R52,F50&gt;D52),AND(R50=R53,G50&gt;D53))</f>
        <v>0</v>
      </c>
      <c r="N50" s="418" t="str">
        <f>SUM(C50:G50)&amp;"-"&amp;SUM(D49:D53)</f>
        <v>0-0</v>
      </c>
      <c r="O50" s="355">
        <f>C50+E50+F50+G50-D49-D51-D52-D53</f>
        <v>0</v>
      </c>
      <c r="P50" s="254" t="e">
        <f>SUM(C50:G50,D49:D53)/SUM(D49:D53)</f>
        <v>#DIV/0!</v>
      </c>
      <c r="Q50" s="180">
        <f>VALUE(LEFT(H50,1))</f>
        <v>0</v>
      </c>
      <c r="R50" s="256">
        <f>Q50*100000+J50*10000+K50*1000+100*L50</f>
        <v>0</v>
      </c>
      <c r="S50" s="257">
        <f>R50+M50*0.1+IF(ISNONTEXT(B50),0,0.01)+0.0001*O50</f>
        <v>0</v>
      </c>
      <c r="T50" s="258" t="str">
        <f>Q50&amp;J50</f>
        <v>00</v>
      </c>
      <c r="U50" s="35"/>
    </row>
    <row r="51" spans="1:21" x14ac:dyDescent="0.2">
      <c r="A51" s="198">
        <v>3</v>
      </c>
      <c r="B51" s="284"/>
      <c r="C51" s="166"/>
      <c r="D51" s="168"/>
      <c r="E51" s="165"/>
      <c r="F51" s="166"/>
      <c r="G51" s="166"/>
      <c r="H51" s="169" t="str">
        <f>(IF(C51-E49&gt;0,1)+IF(D51-E50&gt;0,1)+IF(F51-E52&gt;0,1)+IF(G51-E53&gt;0,1))&amp;"-"&amp;(IF(C51-E49&lt;0,1)+IF(D51-E50&lt;0,1)+IF(F51-E52&lt;0,1)+IF(G51-E53&lt;0,1))</f>
        <v>0-0</v>
      </c>
      <c r="I51" s="166" t="str">
        <f>IF(AND(B51&lt;&gt;"",R$48=TRUE),A$48&amp;RANK(R51,R$49:R$53,0)," ")</f>
        <v xml:space="preserve"> </v>
      </c>
      <c r="J51" s="182">
        <f>IF(AND(Q51=1,Q49=1,C51&gt;E49),1)+IF(AND(Q51=1,Q50=1,D51&gt;E50),1)+IF(AND(Q51=1,Q52=1,F51&gt;E52),1)+IF(AND(Q51=1,Q53=1,G51&gt;E53),1)+IF(AND(Q51=2,Q49=2,C51&gt;E49),1)+IF(AND(Q51=2,Q50=2,D51&gt;E50),1)+IF(AND(Q51=2,Q52=2,F51&gt;E52),1)+IF(AND(Q51=2,Q53=2,G51&gt;E53),1)+IF(AND(Q51=3,Q49=3,C51&gt;E49),1)+IF(AND(Q51=3,Q50=3,D51&gt;E50),1)+IF(AND(Q51=3,Q52=3,F51&gt;E52),1)+IF(AND(Q51=3,Q53=3,G51&gt;E53),1)</f>
        <v>0</v>
      </c>
      <c r="K51" s="253">
        <f>SUM(AND(T51=T49,C51&gt;E49),AND(T51=T50,D51&gt;E50),AND(T51=T52,F51&gt;E52),AND(T51=T53,G51&gt;E53))</f>
        <v>0</v>
      </c>
      <c r="L51" s="259">
        <f>IF(AND(Q51=1,Q49=1),C51-E49)+IF(AND(Q51=1,Q50=1),D51-E50)+IF(AND(Q51=1,Q52=1),F51-E52)+IF(AND(Q51=1,Q53=1),G51-E53)+IF(AND(Q51=2,Q49=2),C51-E49)+IF(AND(Q51=2,Q50=2),D51-E50)+IF(AND(Q51=2,Q52=2),F51-E52)+IF(AND(Q51=2,Q53=2),G51-E53)+IF(AND(Q51=3,Q49=3),C51-E49)+IF(AND(Q51=3,Q50=3),D51-E50)+IF(AND(Q51=3,Q52=3),F51-E52)+IF(AND(Q51=3,Q53=3),G51-E53)+IF(AND(Q51=4,Q49=4),C51-E49)+IF(AND(Q51=4,Q50=4),D51-E50)+IF(AND(Q51=4,Q52=4),F51-E52)+IF(AND(Q51=4,Q53=4),G51-E53)</f>
        <v>0</v>
      </c>
      <c r="M51" s="253">
        <f>SUM(AND(R51=R49,C51&gt;E49),AND(R51=R50,D51&gt;E50),AND(R51=R52,F51&gt;E52),AND(R51=R53,G51&gt;E53))</f>
        <v>0</v>
      </c>
      <c r="N51" s="418" t="str">
        <f>SUM(C51:G51)&amp;"-"&amp;SUM(E49:E53)</f>
        <v>0-0</v>
      </c>
      <c r="O51" s="355">
        <f>C51+D51+F51+G51-E49-E50-E52-E53</f>
        <v>0</v>
      </c>
      <c r="P51" s="254" t="e">
        <f>SUM(C51:G51,E49:E53)/SUM(E49:E53)</f>
        <v>#DIV/0!</v>
      </c>
      <c r="Q51" s="180">
        <f>VALUE(LEFT(H51,1))</f>
        <v>0</v>
      </c>
      <c r="R51" s="256">
        <f>Q51*100000+J51*10000+K51*1000+100*L51</f>
        <v>0</v>
      </c>
      <c r="S51" s="257">
        <f>R51+M51*0.1+IF(ISNONTEXT(B51),0,0.01)+0.0001*O51</f>
        <v>0</v>
      </c>
      <c r="T51" s="258" t="str">
        <f>Q51&amp;J51</f>
        <v>00</v>
      </c>
      <c r="U51" s="35"/>
    </row>
    <row r="52" spans="1:21" x14ac:dyDescent="0.2">
      <c r="A52" s="198">
        <v>4</v>
      </c>
      <c r="B52" s="285"/>
      <c r="C52" s="166"/>
      <c r="D52" s="168"/>
      <c r="E52" s="166"/>
      <c r="F52" s="165"/>
      <c r="G52" s="167"/>
      <c r="H52" s="169" t="str">
        <f>(IF(C52-F49&gt;0,1)+IF(D52-F50&gt;0,1)+IF(E52-F51&gt;0,1)+IF(G52-F53&gt;0,1))&amp;"-"&amp;(IF(C52-F49&lt;0,1)+IF(D52-F50&lt;0,1)+IF(E52-F51&lt;0,1)+IF(G52-F53&lt;0,1))</f>
        <v>0-0</v>
      </c>
      <c r="I52" s="166" t="str">
        <f>IF(AND(B52&lt;&gt;"",R$48=TRUE),A$48&amp;RANK(R52,R$49:R$53,0)," ")</f>
        <v xml:space="preserve"> </v>
      </c>
      <c r="J52" s="182">
        <f>IF(AND(Q52=1,Q49=1,C52&gt;F49),1)+IF(AND(Q52=1,Q50=1,D52&gt;F50),1)+IF(AND(Q52=1,Q51=1,E52&gt;F51),1)+IF(AND(Q52=1,Q53=1,G52&gt;F53),1)+IF(AND(Q52=2,Q49=2,C52&gt;F49),1)+IF(AND(Q52=2,Q50=2,D52&gt;F50),1)+IF(AND(Q52=2,Q51=2,E52&gt;F51),1)+IF(AND(Q52=2,Q53=2,G52&gt;F53),1)+IF(AND(Q52=3,Q49=3,C52&gt;F49),1)+IF(AND(Q52=3,Q50=3,D52&gt;F50),1)+IF(AND(Q52=3,Q51=3,E52&gt;F51),1)+IF(AND(Q52=3,Q53=3,G52&gt;F53),1)</f>
        <v>0</v>
      </c>
      <c r="K52" s="253">
        <f>SUM(AND(T52=T49,C52&gt;F49),AND(T52=T50,D52&gt;F50),AND(T52=T51,E52&gt;F51),AND(T52=T53,G52&gt;F53))</f>
        <v>0</v>
      </c>
      <c r="L52" s="259">
        <f>IF(AND(Q52=1,Q49=1),C52-F49)+IF(AND(Q52=1,Q50=1),D52-F50)+IF(AND(Q52=1,Q51=1),E52-F51)+IF(AND(Q52=1,Q53=1),G52-F53)+IF(AND(Q52=2,Q49=2),C52-F49)+IF(AND(Q52=2,Q50=2),D52-F50)+IF(AND(Q52=2,Q51=2),E52-F51)+IF(AND(Q52=2,Q53=2),G52-F53)+IF(AND(Q52=3,Q49=3),C52-F49)+IF(AND(Q52=3,Q50=3),D52-F50)+IF(AND(Q52=3,Q51=3),E52-F51)+IF(AND(Q52=3,Q53=3),G52-F53)+IF(AND(Q52=4,Q49=4),C52-F49)+IF(AND(Q52=4,Q50=4),D52-F50)+IF(AND(Q52=4,Q51=4),E52-F51)+IF(AND(Q52=4,Q53=4),G52-F53)</f>
        <v>0</v>
      </c>
      <c r="M52" s="253">
        <f>SUM(AND(R52=R49,C52&gt;F49),AND(R52=R50,D52&gt;F50),AND(R52=R51,E52&gt;F51),AND(R52=R53,G52&gt;F53))</f>
        <v>0</v>
      </c>
      <c r="N52" s="418" t="str">
        <f>SUM(C52:G52)&amp;"-"&amp;SUM(F49:F53)</f>
        <v>0-0</v>
      </c>
      <c r="O52" s="355">
        <f>C52+D52+E52+G52-F49-F50-F51-F53</f>
        <v>0</v>
      </c>
      <c r="P52" s="254" t="e">
        <f>SUM(C52:G52,F49:F53)/SUM(F49:F53)</f>
        <v>#DIV/0!</v>
      </c>
      <c r="Q52" s="180">
        <f>VALUE(LEFT(H52,1))</f>
        <v>0</v>
      </c>
      <c r="R52" s="256">
        <f>Q52*100000+J52*10000+K52*1000+100*L52</f>
        <v>0</v>
      </c>
      <c r="S52" s="257">
        <f>R52+M52*0.1+IF(ISNONTEXT(B52),0,0.01)+0.0001*O52</f>
        <v>0</v>
      </c>
      <c r="T52" s="258" t="str">
        <f>Q52&amp;J52</f>
        <v>00</v>
      </c>
      <c r="U52" s="35"/>
    </row>
    <row r="53" spans="1:21" x14ac:dyDescent="0.2">
      <c r="A53" s="198">
        <v>5</v>
      </c>
      <c r="B53" s="285"/>
      <c r="C53" s="166"/>
      <c r="D53" s="166"/>
      <c r="E53" s="166"/>
      <c r="F53" s="166"/>
      <c r="G53" s="165"/>
      <c r="H53" s="169" t="str">
        <f>(IF(C53-G49&gt;0,1)+IF(D53-G50&gt;0,1)+IF(E53-G51&gt;0,1)+IF(F53-G52&gt;0,1))&amp;"-"&amp;(IF(C53-G49&lt;0,1)+IF(D53-G50&lt;0,1)+IF(E53-G51&lt;0,1)+IF(F53-G52&lt;0,1))</f>
        <v>0-0</v>
      </c>
      <c r="I53" s="166" t="str">
        <f>IF(AND(B53&lt;&gt;"",R$48=TRUE),A$48&amp;RANK(R53,R$49:R$53,0)," ")</f>
        <v xml:space="preserve"> </v>
      </c>
      <c r="J53" s="182">
        <f>IF(AND(Q53=1,Q49=1,C53&gt;G49),1)+IF(AND(Q53=1,Q50=1,D53&gt;G50),1)+IF(AND(Q53=1,Q51=1,E53&gt;G51),1)+IF(AND(Q53=1,Q52=1,F53&gt;G52),1)+IF(AND(Q53=2,Q49=2,C53&gt;G49),1)+IF(AND(Q53=2,Q50=2,D53&gt;G50),1)+IF(AND(Q53=2,Q51=2,E53&gt;G51),1)+IF(AND(Q53=2,Q52=2,F53&gt;G52),1)+IF(AND(Q53=3,Q49=3,C53&gt;G49),1)+IF(AND(Q53=3,Q50=3,D53&gt;G50),1)+IF(AND(Q53=3,Q51=3,E53&gt;G51),1)+IF(AND(Q53=3,Q52=3,F53&gt;G52),1)</f>
        <v>0</v>
      </c>
      <c r="K53" s="253">
        <f>SUM(AND(T53=T49,C53&gt;G49),AND(T53=T50,D53&gt;G50),AND(T53=T51,E53&gt;G51),AND(T53=T52,F53&gt;G52))</f>
        <v>0</v>
      </c>
      <c r="L53" s="259">
        <f>IF(AND(Q53=1,Q49=1),C53-G49)+IF(AND(Q53=1,Q50=1),D53-G50)+IF(AND(Q53=1,Q51=1),E53-G51)+IF(AND(Q53=1,Q52=1),F53-G52)+IF(AND(Q53=2,Q49=2),C53-G49)+IF(AND(Q53=2,Q50=2),D53-G50)+IF(AND(Q53=2,Q51=2),E53-G51)+IF(AND(Q53=2,Q52=2),F53-G52)+IF(AND(Q53=3,Q49=3),C53-G49)+IF(AND(Q53=3,Q50=3),D53-G50)+IF(AND(Q53=3,Q51=3),E53-G51)+IF(AND(Q53=3,Q52=3),F53-G52)+IF(AND(Q53=4,Q49=4),C53-G49)+IF(AND(Q53=4,Q50=4),D53-G50)+IF(AND(Q53=4,Q51=4),E53-G51)+IF(AND(Q53=4,Q52=4),F53-G52)</f>
        <v>0</v>
      </c>
      <c r="M53" s="253">
        <f>SUM(AND(R53=R49,C53&gt;G49),AND(R53=R50,D53&gt;G50),AND(R53=R51,E53&gt;G51),AND(R53=R52,F53&gt;G52))</f>
        <v>0</v>
      </c>
      <c r="N53" s="418" t="str">
        <f>SUM(C53:G53)&amp;"-"&amp;SUM(G49:G53)</f>
        <v>0-0</v>
      </c>
      <c r="O53" s="355">
        <f>C53+D53+E53+F53-G49-G50-G51-G52</f>
        <v>0</v>
      </c>
      <c r="P53" s="254" t="e">
        <f>SUM(C53:G53,G49:G53)/SUM(G49:G53)</f>
        <v>#DIV/0!</v>
      </c>
      <c r="Q53" s="180">
        <f>VALUE(LEFT(H53,1))</f>
        <v>0</v>
      </c>
      <c r="R53" s="256">
        <f>Q53*100000+J53*10000+K53*1000+100*L53</f>
        <v>0</v>
      </c>
      <c r="S53" s="257">
        <f>R53+M53*0.1+IF(ISNONTEXT(B53),0,0.01)+0.0001*O53</f>
        <v>0</v>
      </c>
      <c r="T53" s="258" t="str">
        <f>Q53&amp;J53</f>
        <v>00</v>
      </c>
      <c r="U53" s="35"/>
    </row>
    <row r="54" spans="1:21" x14ac:dyDescent="0.2">
      <c r="A54" s="215"/>
      <c r="B54" s="288"/>
      <c r="C54" s="41"/>
      <c r="D54" s="41"/>
      <c r="E54" s="41"/>
      <c r="F54" s="217"/>
      <c r="G54" s="217"/>
      <c r="H54" s="267"/>
      <c r="I54" s="186"/>
      <c r="J54" s="35"/>
      <c r="K54" s="35"/>
      <c r="L54" s="35"/>
      <c r="M54" s="35"/>
      <c r="N54" s="35"/>
      <c r="O54" s="35"/>
      <c r="P54" s="35"/>
      <c r="Q54" s="35"/>
      <c r="R54" s="262" t="s">
        <v>247</v>
      </c>
      <c r="S54" s="35"/>
      <c r="T54" s="35"/>
      <c r="U54" s="35"/>
    </row>
    <row r="55" spans="1:21" x14ac:dyDescent="0.2">
      <c r="A55" s="198" t="s">
        <v>7</v>
      </c>
      <c r="B55" s="287"/>
      <c r="C55" s="163">
        <v>1</v>
      </c>
      <c r="D55" s="163">
        <v>2</v>
      </c>
      <c r="E55" s="163">
        <v>3</v>
      </c>
      <c r="F55" s="163">
        <v>4</v>
      </c>
      <c r="G55" s="163">
        <v>5</v>
      </c>
      <c r="H55" s="162" t="s">
        <v>170</v>
      </c>
      <c r="I55" s="162" t="s">
        <v>171</v>
      </c>
      <c r="J55" s="164" t="s">
        <v>240</v>
      </c>
      <c r="K55" s="263" t="s">
        <v>241</v>
      </c>
      <c r="L55" s="185" t="s">
        <v>242</v>
      </c>
      <c r="M55" s="185" t="s">
        <v>243</v>
      </c>
      <c r="N55" s="246" t="s">
        <v>172</v>
      </c>
      <c r="O55" s="246" t="s">
        <v>172</v>
      </c>
      <c r="P55" s="247" t="s">
        <v>244</v>
      </c>
      <c r="Q55" s="264" t="s">
        <v>21</v>
      </c>
      <c r="R55" s="264" t="b">
        <f>OR(AND(COUNTA(B56:B60)=3,COUNTA(C56:G60)=6),AND(COUNTA(B56:B60)=4,COUNTA(C56:G60)=12),AND(COUNTA(B56:B60)=5,COUNTA(C56:G60)=20))</f>
        <v>0</v>
      </c>
      <c r="S55" s="265" t="s">
        <v>245</v>
      </c>
      <c r="T55" s="266" t="s">
        <v>246</v>
      </c>
      <c r="U55" s="35"/>
    </row>
    <row r="56" spans="1:21" x14ac:dyDescent="0.2">
      <c r="A56" s="198">
        <v>1</v>
      </c>
      <c r="B56" s="289"/>
      <c r="C56" s="165"/>
      <c r="D56" s="166"/>
      <c r="E56" s="166"/>
      <c r="F56" s="166"/>
      <c r="G56" s="166"/>
      <c r="H56" s="169" t="str">
        <f>(IF(D56-C57&gt;0,1)+IF(E56-C58&gt;0,1)+IF(F56-C59&gt;0,1)+IF(G56-C60&gt;0,1))&amp;"-"&amp;(IF(D56-C57&lt;0,1)+IF(E56-C58&lt;0,1)+IF(F56-C59&lt;0,1)+IF(G56-C60&lt;0,1))</f>
        <v>0-0</v>
      </c>
      <c r="I56" s="166" t="str">
        <f>IF(AND(B56&lt;&gt;"",R$55=TRUE),A$55&amp;RANK(S56,S$56:S$60,0)," ")</f>
        <v xml:space="preserve"> </v>
      </c>
      <c r="J56" s="181">
        <f>IF(AND(Q56=1,Q57=1,D56&gt;C57),1)+IF(AND(Q56=1,Q58=1,E56&gt;C58),1)+IF(AND(Q56=1,Q59=1,F56&gt;C59),1)+IF(AND(Q56=1,Q60=1,G56&gt;C60),1)+IF(AND(Q56=2,Q57=2,D56&gt;C57),1)+IF(AND(Q56=2,Q58=2,E56&gt;C58),1)+IF(AND(Q56=2,Q59=2,F56&gt;C59),1)+IF(AND(Q56=2,Q60=2,G56&gt;C60),1)+IF(AND(Q56=3,Q57=3,D56&gt;C57),1)+IF(AND(Q56=3,Q58=3,E56&gt;C58),1)+IF(AND(Q56=3,Q59=3,F56&gt;C59),1)+IF(AND(Q56=3,Q60=3,G56&gt;C60),1)</f>
        <v>0</v>
      </c>
      <c r="K56" s="251">
        <f>SUM(AND(T56=T57,D56&gt;C57),AND(T56=T58,E56&gt;C58),AND(T56=T59,F56&gt;C59),AND(T56=T60,G56&gt;C60))</f>
        <v>0</v>
      </c>
      <c r="L56" s="252">
        <f>IF(AND(Q56=1,Q57=1),D56-C57)+IF(AND(Q56=1,Q58=1),E56-C58)+IF(AND(Q56=1,Q59=1),F56-C59)+IF(AND(Q56=1,Q60=1),G56-C60)+IF(AND(Q56=2,Q57=2),D56-C57)+IF(AND(Q56=2,Q58=2),E56-C58)+IF(AND(Q56=2,Q59=2),F56-C59)+IF(AND(Q56=2,Q60=2),G56-C60)+IF(AND(Q56=3,Q57=3),D56-C57)+IF(AND(Q56=3,Q58=3),E56-C58)+IF(AND(Q56=3,Q59=3),F56-C59)+IF(AND(Q56=3,Q60=3),G56-C60)+IF(AND(Q56=4,Q57=4),D56-C57)+IF(AND(Q56=4,Q58=4),E56-C58)+IF(AND(Q56=4,Q59=4),F56-C59)+IF(AND(Q56=4,Q60=4),G56-C60)</f>
        <v>0</v>
      </c>
      <c r="M56" s="253">
        <f>SUM(AND(R56=R57,D56&gt;C57),AND(R56=R58,E56&gt;C58),AND(R56=R59,F56&gt;C59),AND(R56=R60,G56&gt;C60))</f>
        <v>0</v>
      </c>
      <c r="N56" s="418" t="str">
        <f>SUM(C56:G56)&amp;"-"&amp;SUM(C56:C60)</f>
        <v>0-0</v>
      </c>
      <c r="O56" s="355">
        <f>D56+E56+F56+G56-C57-C58-C59-C60</f>
        <v>0</v>
      </c>
      <c r="P56" s="254" t="e">
        <f>SUM(C56:G56,C56:C60)/SUM(C56:C60)</f>
        <v>#DIV/0!</v>
      </c>
      <c r="Q56" s="255">
        <f>VALUE(LEFT(H56,1))</f>
        <v>0</v>
      </c>
      <c r="R56" s="256">
        <f>Q56*100000+J56*10000+K56*1000+100*L56</f>
        <v>0</v>
      </c>
      <c r="S56" s="257">
        <f>R56+M56*0.1+IF(ISNONTEXT(B56),0,0.01)+0.0001*O56</f>
        <v>0</v>
      </c>
      <c r="T56" s="258" t="str">
        <f>Q56&amp;J56</f>
        <v>00</v>
      </c>
      <c r="U56" s="35"/>
    </row>
    <row r="57" spans="1:21" x14ac:dyDescent="0.2">
      <c r="A57" s="198">
        <v>2</v>
      </c>
      <c r="B57" s="284"/>
      <c r="C57" s="166"/>
      <c r="D57" s="165"/>
      <c r="E57" s="166"/>
      <c r="F57" s="166"/>
      <c r="G57" s="166"/>
      <c r="H57" s="169" t="str">
        <f>(IF(C57-D56&gt;0,1)+IF(E57-D58&gt;0,1)+IF(F57-D59&gt;0,1)+IF(G57-D60&gt;0,1))&amp;"-"&amp;(IF(C57-D56&lt;0,1)+IF(E57-D58&lt;0,1)+IF(F57-D59&lt;0,1)+IF(G57-D60&lt;0,1))</f>
        <v>0-0</v>
      </c>
      <c r="I57" s="166" t="str">
        <f t="shared" ref="I57:I60" si="12">IF(AND(B57&lt;&gt;"",R$55=TRUE),A$55&amp;RANK(S57,S$56:S$60,0)," ")</f>
        <v xml:space="preserve"> </v>
      </c>
      <c r="J57" s="182">
        <f>IF(AND(Q57=1,Q56=1,C57&gt;D56),1)+IF(AND(Q57=1,Q58=1,E57&gt;D58),1)+IF(AND(Q57=1,Q59=1,F57&gt;D59),1)+IF(AND(Q57=1,Q60=1,G57&gt;D60),1)+IF(AND(Q57=2,Q56=2,C57&gt;D56),1)+IF(AND(Q57=2,Q58=2,E57&gt;D58),1)+IF(AND(Q57=2,Q59=2,F57&gt;D59),1)+IF(AND(Q57=2,Q60=2,G57&gt;D60),1)+IF(AND(Q57=3,Q56=3,C57&gt;D56),1)+IF(AND(Q57=3,Q58=3,E57&gt;D58),1)+IF(AND(Q57=3,Q59=3,F57&gt;D59),1)+IF(AND(Q57=3,Q60=3,G57&gt;D60),1)</f>
        <v>0</v>
      </c>
      <c r="K57" s="253">
        <f>SUM(AND(T57=T56,C57&gt;D56),AND(T57=T58,E57&gt;D58),AND(T57=T59,F57&gt;D59),AND(T57=T60,G57&gt;D60))</f>
        <v>0</v>
      </c>
      <c r="L57" s="259">
        <f>IF(AND(Q57=1,Q56=1),C57-D56)+IF(AND(Q57=1,Q58=1),E57-D58)+IF(AND(Q57=1,Q59=1),F57-D59)+IF(AND(Q57=1,Q60=1),G57-D60)+IF(AND(Q57=2,Q56=2),C57-D56)+IF(AND(Q57=2,Q58=2),E57-D58)+IF(AND(Q57=2,Q59=2),F57-D59)+IF(AND(Q57=2,Q60=2),G57-D60)+IF(AND(Q57=3,Q56=3),C57-D56)+IF(AND(Q57=3,Q58=3),E57-D58)+IF(AND(Q57=3,Q59=3),F57-D59)+IF(AND(Q57=3,Q60=3),G57-D60)+IF(AND(Q57=4,Q56=4),C57-D56)+IF(AND(Q57=4,Q58=4),E57-D58)+IF(AND(Q57=4,Q59=4),F57-D59)+IF(AND(Q57=4,Q60=4),G57-D60)</f>
        <v>0</v>
      </c>
      <c r="M57" s="253">
        <f>SUM(AND(R57=R56,C57&gt;D56),AND(R57=R58,E57&gt;D58),AND(R57=R59,F57&gt;D59),AND(R57=R60,G57&gt;D60))</f>
        <v>0</v>
      </c>
      <c r="N57" s="418" t="str">
        <f>SUM(C57:G57)&amp;"-"&amp;SUM(D56:D60)</f>
        <v>0-0</v>
      </c>
      <c r="O57" s="355">
        <f>C57+E57+F57+G57-D56-D58-D59-D60</f>
        <v>0</v>
      </c>
      <c r="P57" s="254" t="e">
        <f>SUM(C57:G57,D56:D60)/SUM(D56:D60)</f>
        <v>#DIV/0!</v>
      </c>
      <c r="Q57" s="180">
        <f>VALUE(LEFT(H57,1))</f>
        <v>0</v>
      </c>
      <c r="R57" s="256">
        <f>Q57*100000+J57*10000+K57*1000+100*L57</f>
        <v>0</v>
      </c>
      <c r="S57" s="257">
        <f>R57+M57*0.1+IF(ISNONTEXT(B57),0,0.01)+0.0001*O57</f>
        <v>0</v>
      </c>
      <c r="T57" s="258" t="str">
        <f>Q57&amp;J57</f>
        <v>00</v>
      </c>
      <c r="U57" s="35"/>
    </row>
    <row r="58" spans="1:21" x14ac:dyDescent="0.2">
      <c r="A58" s="198">
        <v>3</v>
      </c>
      <c r="B58" s="284"/>
      <c r="C58" s="166"/>
      <c r="D58" s="168"/>
      <c r="E58" s="165"/>
      <c r="F58" s="166"/>
      <c r="G58" s="166"/>
      <c r="H58" s="169" t="str">
        <f>(IF(C58-E56&gt;0,1)+IF(D58-E57&gt;0,1)+IF(F58-E59&gt;0,1)+IF(G58-E60&gt;0,1))&amp;"-"&amp;(IF(C58-E56&lt;0,1)+IF(D58-E57&lt;0,1)+IF(F58-E59&lt;0,1)+IF(G58-E60&lt;0,1))</f>
        <v>0-0</v>
      </c>
      <c r="I58" s="166" t="str">
        <f t="shared" si="12"/>
        <v xml:space="preserve"> </v>
      </c>
      <c r="J58" s="182">
        <f>IF(AND(Q58=1,Q56=1,C58&gt;E56),1)+IF(AND(Q58=1,Q57=1,D58&gt;E57),1)+IF(AND(Q58=1,Q59=1,F58&gt;E59),1)+IF(AND(Q58=1,Q60=1,G58&gt;E60),1)+IF(AND(Q58=2,Q56=2,C58&gt;E56),1)+IF(AND(Q58=2,Q57=2,D58&gt;E57),1)+IF(AND(Q58=2,Q59=2,F58&gt;E59),1)+IF(AND(Q58=2,Q60=2,G58&gt;E60),1)+IF(AND(Q58=3,Q56=3,C58&gt;E56),1)+IF(AND(Q58=3,Q57=3,D58&gt;E57),1)+IF(AND(Q58=3,Q59=3,F58&gt;E59),1)+IF(AND(Q58=3,Q60=3,G58&gt;E60),1)</f>
        <v>0</v>
      </c>
      <c r="K58" s="253">
        <f>SUM(AND(T58=T56,C58&gt;E56),AND(T58=T57,D58&gt;E57),AND(T58=T59,F58&gt;E59),AND(T58=T60,G58&gt;E60))</f>
        <v>0</v>
      </c>
      <c r="L58" s="259">
        <f>IF(AND(Q58=1,Q56=1),C58-E56)+IF(AND(Q58=1,Q57=1),D58-E57)+IF(AND(Q58=1,Q59=1),F58-E59)+IF(AND(Q58=1,Q60=1),G58-E60)+IF(AND(Q58=2,Q56=2),C58-E56)+IF(AND(Q58=2,Q57=2),D58-E57)+IF(AND(Q58=2,Q59=2),F58-E59)+IF(AND(Q58=2,Q60=2),G58-E60)+IF(AND(Q58=3,Q56=3),C58-E56)+IF(AND(Q58=3,Q57=3),D58-E57)+IF(AND(Q58=3,Q59=3),F58-E59)+IF(AND(Q58=3,Q60=3),G58-E60)+IF(AND(Q58=4,Q56=4),C58-E56)+IF(AND(Q58=4,Q57=4),D58-E57)+IF(AND(Q58=4,Q59=4),F58-E59)+IF(AND(Q58=4,Q60=4),G58-E60)</f>
        <v>0</v>
      </c>
      <c r="M58" s="253">
        <f>SUM(AND(R58=R56,C58&gt;E56),AND(R58=R57,D58&gt;E57),AND(R58=R59,F58&gt;E59),AND(R58=R60,G58&gt;E60))</f>
        <v>0</v>
      </c>
      <c r="N58" s="418" t="str">
        <f>SUM(C58:G58)&amp;"-"&amp;SUM(E56:E60)</f>
        <v>0-0</v>
      </c>
      <c r="O58" s="355">
        <f>C58+D58+F58+G58-E56-E57-E59-E60</f>
        <v>0</v>
      </c>
      <c r="P58" s="254" t="e">
        <f>SUM(C58:G58,E56:E60)/SUM(E56:E60)</f>
        <v>#DIV/0!</v>
      </c>
      <c r="Q58" s="180">
        <f>VALUE(LEFT(H58,1))</f>
        <v>0</v>
      </c>
      <c r="R58" s="256">
        <f>Q58*100000+J58*10000+K58*1000+100*L58</f>
        <v>0</v>
      </c>
      <c r="S58" s="257">
        <f>R58+M58*0.1+IF(ISNONTEXT(B58),0,0.01)+0.0001*O58</f>
        <v>0</v>
      </c>
      <c r="T58" s="258" t="str">
        <f>Q58&amp;J58</f>
        <v>00</v>
      </c>
      <c r="U58" s="35"/>
    </row>
    <row r="59" spans="1:21" x14ac:dyDescent="0.2">
      <c r="A59" s="198">
        <v>4</v>
      </c>
      <c r="B59" s="285"/>
      <c r="C59" s="166"/>
      <c r="D59" s="168"/>
      <c r="E59" s="166"/>
      <c r="F59" s="165"/>
      <c r="G59" s="167"/>
      <c r="H59" s="169" t="str">
        <f>(IF(C59-F56&gt;0,1)+IF(D59-F57&gt;0,1)+IF(E59-F58&gt;0,1)+IF(G59-F60&gt;0,1))&amp;"-"&amp;(IF(C59-F56&lt;0,1)+IF(D59-F57&lt;0,1)+IF(E59-F58&lt;0,1)+IF(G59-F60&lt;0,1))</f>
        <v>0-0</v>
      </c>
      <c r="I59" s="166" t="str">
        <f t="shared" si="12"/>
        <v xml:space="preserve"> </v>
      </c>
      <c r="J59" s="182">
        <f>IF(AND(Q59=1,Q56=1,C59&gt;F56),1)+IF(AND(Q59=1,Q57=1,D59&gt;F57),1)+IF(AND(Q59=1,Q58=1,E59&gt;F58),1)+IF(AND(Q59=1,Q60=1,G59&gt;F60),1)+IF(AND(Q59=2,Q56=2,C59&gt;F56),1)+IF(AND(Q59=2,Q57=2,D59&gt;F57),1)+IF(AND(Q59=2,Q58=2,E59&gt;F58),1)+IF(AND(Q59=2,Q60=2,G59&gt;F60),1)+IF(AND(Q59=3,Q56=3,C59&gt;F56),1)+IF(AND(Q59=3,Q57=3,D59&gt;F57),1)+IF(AND(Q59=3,Q58=3,E59&gt;F58),1)+IF(AND(Q59=3,Q60=3,G59&gt;F60),1)</f>
        <v>0</v>
      </c>
      <c r="K59" s="253">
        <f>SUM(AND(T59=T56,C59&gt;F56),AND(T59=T57,D59&gt;F57),AND(T59=T58,E59&gt;F58),AND(T59=T60,G59&gt;F60))</f>
        <v>0</v>
      </c>
      <c r="L59" s="259">
        <f>IF(AND(Q59=1,Q56=1),C59-F56)+IF(AND(Q59=1,Q57=1),D59-F57)+IF(AND(Q59=1,Q58=1),E59-F58)+IF(AND(Q59=1,Q60=1),G59-F60)+IF(AND(Q59=2,Q56=2),C59-F56)+IF(AND(Q59=2,Q57=2),D59-F57)+IF(AND(Q59=2,Q58=2),E59-F58)+IF(AND(Q59=2,Q60=2),G59-F60)+IF(AND(Q59=3,Q56=3),C59-F56)+IF(AND(Q59=3,Q57=3),D59-F57)+IF(AND(Q59=3,Q58=3),E59-F58)+IF(AND(Q59=3,Q60=3),G59-F60)+IF(AND(Q59=4,Q56=4),C59-F56)+IF(AND(Q59=4,Q57=4),D59-F57)+IF(AND(Q59=4,Q58=4),E59-F58)+IF(AND(Q59=4,Q60=4),G59-F60)</f>
        <v>0</v>
      </c>
      <c r="M59" s="253">
        <f>SUM(AND(R59=R56,C59&gt;F56),AND(R59=R57,D59&gt;F57),AND(R59=R58,E59&gt;F58),AND(R59=R60,G59&gt;F60))</f>
        <v>0</v>
      </c>
      <c r="N59" s="418" t="str">
        <f>SUM(C59:G59)&amp;"-"&amp;SUM(F56:F60)</f>
        <v>0-0</v>
      </c>
      <c r="O59" s="355">
        <f>C59+D59+E59+G59-F56-F57-F58-F60</f>
        <v>0</v>
      </c>
      <c r="P59" s="254" t="e">
        <f>SUM(C59:G59,F56:F60)/SUM(F56:F60)</f>
        <v>#DIV/0!</v>
      </c>
      <c r="Q59" s="180">
        <f>VALUE(LEFT(H59,1))</f>
        <v>0</v>
      </c>
      <c r="R59" s="256">
        <f>Q59*100000+J59*10000+K59*1000+100*L59</f>
        <v>0</v>
      </c>
      <c r="S59" s="257">
        <f>R59+M59*0.1+IF(ISNONTEXT(B59),0,0.01)+0.0001*O59</f>
        <v>0</v>
      </c>
      <c r="T59" s="258" t="str">
        <f>Q59&amp;J59</f>
        <v>00</v>
      </c>
      <c r="U59" s="35"/>
    </row>
    <row r="60" spans="1:21" x14ac:dyDescent="0.2">
      <c r="A60" s="198">
        <v>5</v>
      </c>
      <c r="B60" s="285"/>
      <c r="C60" s="166"/>
      <c r="D60" s="166"/>
      <c r="E60" s="166"/>
      <c r="F60" s="166"/>
      <c r="G60" s="165"/>
      <c r="H60" s="169" t="str">
        <f>(IF(C60-G56&gt;0,1)+IF(D60-G57&gt;0,1)+IF(E60-G58&gt;0,1)+IF(F60-G59&gt;0,1))&amp;"-"&amp;(IF(C60-G56&lt;0,1)+IF(D60-G57&lt;0,1)+IF(E60-G58&lt;0,1)+IF(F60-G59&lt;0,1))</f>
        <v>0-0</v>
      </c>
      <c r="I60" s="166" t="str">
        <f t="shared" si="12"/>
        <v xml:space="preserve"> </v>
      </c>
      <c r="J60" s="182">
        <f>IF(AND(Q60=1,Q56=1,C60&gt;G56),1)+IF(AND(Q60=1,Q57=1,D60&gt;G57),1)+IF(AND(Q60=1,Q58=1,E60&gt;G58),1)+IF(AND(Q60=1,Q59=1,F60&gt;G59),1)+IF(AND(Q60=2,Q56=2,C60&gt;G56),1)+IF(AND(Q60=2,Q57=2,D60&gt;G57),1)+IF(AND(Q60=2,Q58=2,E60&gt;G58),1)+IF(AND(Q60=2,Q59=2,F60&gt;G59),1)+IF(AND(Q60=3,Q56=3,C60&gt;G56),1)+IF(AND(Q60=3,Q57=3,D60&gt;G57),1)+IF(AND(Q60=3,Q58=3,E60&gt;G58),1)+IF(AND(Q60=3,Q59=3,F60&gt;G59),1)</f>
        <v>0</v>
      </c>
      <c r="K60" s="253">
        <f>SUM(AND(T60=T56,C60&gt;G56),AND(T60=T57,D60&gt;G57),AND(T60=T58,E60&gt;G58),AND(T60=T59,F60&gt;G59))</f>
        <v>0</v>
      </c>
      <c r="L60" s="259">
        <f>IF(AND(Q60=1,Q56=1),C60-G56)+IF(AND(Q60=1,Q57=1),D60-G57)+IF(AND(Q60=1,Q58=1),E60-G58)+IF(AND(Q60=1,Q59=1),F60-G59)+IF(AND(Q60=2,Q56=2),C60-G56)+IF(AND(Q60=2,Q57=2),D60-G57)+IF(AND(Q60=2,Q58=2),E60-G58)+IF(AND(Q60=2,Q59=2),F60-G59)+IF(AND(Q60=3,Q56=3),C60-G56)+IF(AND(Q60=3,Q57=3),D60-G57)+IF(AND(Q60=3,Q58=3),E60-G58)+IF(AND(Q60=3,Q59=3),F60-G59)+IF(AND(Q60=4,Q56=4),C60-G56)+IF(AND(Q60=4,Q57=4),D60-G57)+IF(AND(Q60=4,Q58=4),E60-G58)+IF(AND(Q60=4,Q59=4),F60-G59)</f>
        <v>0</v>
      </c>
      <c r="M60" s="253">
        <f>SUM(AND(R60=R56,C60&gt;G56),AND(R60=R57,D60&gt;G57),AND(R60=R58,E60&gt;G58),AND(R60=R59,F60&gt;G59))</f>
        <v>0</v>
      </c>
      <c r="N60" s="418" t="str">
        <f>SUM(C60:G60)&amp;"-"&amp;SUM(G56:G60)</f>
        <v>0-0</v>
      </c>
      <c r="O60" s="355">
        <f>C60+D60+E60+F60-G56-G57-G58-G59</f>
        <v>0</v>
      </c>
      <c r="P60" s="254" t="e">
        <f>SUM(C60:G60,G56:G60)/SUM(G56:G60)</f>
        <v>#DIV/0!</v>
      </c>
      <c r="Q60" s="180">
        <f>VALUE(LEFT(H60,1))</f>
        <v>0</v>
      </c>
      <c r="R60" s="256">
        <f>Q60*100000+J60*10000+K60*1000+100*L60</f>
        <v>0</v>
      </c>
      <c r="S60" s="257">
        <f>R60+M60*0.1+IF(ISNONTEXT(B60),0,0.01)+0.0001*O60</f>
        <v>0</v>
      </c>
      <c r="T60" s="258" t="str">
        <f>Q60&amp;J60</f>
        <v>00</v>
      </c>
      <c r="U60" s="35"/>
    </row>
    <row r="61" spans="1:21" x14ac:dyDescent="0.2">
      <c r="A61" s="41"/>
      <c r="B61" s="41"/>
      <c r="C61" s="41"/>
      <c r="D61" s="41"/>
      <c r="E61" s="41"/>
      <c r="F61" s="41"/>
      <c r="G61" s="41"/>
      <c r="H61" s="41"/>
      <c r="I61" s="41"/>
      <c r="J61" s="41"/>
      <c r="K61" s="35"/>
      <c r="L61" s="41"/>
      <c r="M61" s="35"/>
      <c r="N61" s="41"/>
      <c r="O61" s="186"/>
      <c r="P61" s="35"/>
      <c r="Q61" s="35"/>
      <c r="R61" s="35"/>
      <c r="S61" s="35"/>
      <c r="T61" s="35"/>
      <c r="U61" s="35"/>
    </row>
    <row r="62" spans="1:21" x14ac:dyDescent="0.2">
      <c r="A62" s="41"/>
      <c r="B62" s="207" t="s">
        <v>173</v>
      </c>
      <c r="C62" s="170" t="s">
        <v>177</v>
      </c>
      <c r="D62" s="270"/>
      <c r="E62" s="41"/>
      <c r="F62" s="35"/>
      <c r="G62" s="41"/>
      <c r="H62" s="41"/>
      <c r="I62" s="41"/>
      <c r="J62" s="41"/>
      <c r="K62" s="35"/>
      <c r="L62" s="41"/>
      <c r="M62" s="35"/>
      <c r="N62" s="41"/>
      <c r="O62" s="186"/>
      <c r="P62" s="35"/>
      <c r="Q62" s="35"/>
      <c r="R62" s="35"/>
      <c r="S62" s="35"/>
      <c r="T62" s="35"/>
      <c r="U62" s="35"/>
    </row>
    <row r="63" spans="1:21" x14ac:dyDescent="0.2">
      <c r="A63" s="41"/>
      <c r="B63" s="207" t="s">
        <v>176</v>
      </c>
      <c r="C63" s="170" t="s">
        <v>193</v>
      </c>
      <c r="D63" s="41"/>
      <c r="E63" s="41"/>
      <c r="F63" s="35"/>
      <c r="G63" s="41"/>
      <c r="H63" s="41"/>
      <c r="I63" s="41"/>
      <c r="J63" s="41"/>
      <c r="K63" s="35"/>
      <c r="L63" s="41"/>
      <c r="M63" s="35"/>
      <c r="N63" s="41"/>
      <c r="O63" s="186"/>
      <c r="P63" s="35"/>
      <c r="Q63" s="35"/>
      <c r="R63" s="35"/>
      <c r="S63" s="35"/>
      <c r="T63" s="35"/>
      <c r="U63" s="35"/>
    </row>
    <row r="64" spans="1:21" x14ac:dyDescent="0.2">
      <c r="A64" s="41"/>
      <c r="B64" s="207" t="s">
        <v>179</v>
      </c>
      <c r="C64" s="170" t="s">
        <v>185</v>
      </c>
      <c r="D64" s="41"/>
      <c r="E64" s="41"/>
      <c r="F64" s="35"/>
      <c r="G64" s="41"/>
      <c r="H64" s="41"/>
      <c r="I64" s="41"/>
      <c r="J64" s="41"/>
      <c r="K64" s="35"/>
      <c r="L64" s="41"/>
      <c r="M64" s="35"/>
      <c r="N64" s="41"/>
      <c r="O64" s="186"/>
      <c r="P64" s="35"/>
      <c r="Q64" s="35"/>
      <c r="R64" s="35"/>
      <c r="S64" s="35"/>
      <c r="T64" s="35"/>
      <c r="U64" s="35"/>
    </row>
    <row r="65" spans="1:21" x14ac:dyDescent="0.2">
      <c r="A65" s="41"/>
      <c r="B65" s="41"/>
      <c r="C65" s="41"/>
      <c r="D65" s="41"/>
      <c r="E65" s="41"/>
      <c r="F65" s="41"/>
      <c r="G65" s="41"/>
      <c r="H65" s="41"/>
      <c r="I65" s="41"/>
      <c r="J65" s="41"/>
      <c r="K65" s="35"/>
      <c r="L65" s="41"/>
      <c r="M65" s="35"/>
      <c r="N65" s="41"/>
      <c r="O65" s="186"/>
      <c r="P65" s="35"/>
      <c r="Q65" s="35"/>
      <c r="R65" s="35"/>
      <c r="S65" s="35"/>
      <c r="T65" s="35"/>
      <c r="U65" s="35"/>
    </row>
    <row r="66" spans="1:21" x14ac:dyDescent="0.2">
      <c r="A66" s="41"/>
      <c r="B66" s="207" t="s">
        <v>173</v>
      </c>
      <c r="C66" s="170" t="s">
        <v>186</v>
      </c>
      <c r="D66" s="170" t="s">
        <v>185</v>
      </c>
      <c r="E66" s="41"/>
      <c r="F66" s="41"/>
      <c r="G66" s="41"/>
      <c r="H66" s="41"/>
      <c r="I66" s="41"/>
      <c r="J66" s="41"/>
      <c r="K66" s="35"/>
      <c r="L66" s="41"/>
      <c r="M66" s="35"/>
      <c r="N66" s="41"/>
      <c r="O66" s="186"/>
      <c r="P66" s="35"/>
      <c r="Q66" s="35"/>
      <c r="R66" s="35"/>
      <c r="S66" s="35"/>
      <c r="T66" s="35"/>
      <c r="U66" s="35"/>
    </row>
    <row r="67" spans="1:21" x14ac:dyDescent="0.2">
      <c r="A67" s="41"/>
      <c r="B67" s="207" t="s">
        <v>176</v>
      </c>
      <c r="C67" s="170" t="s">
        <v>177</v>
      </c>
      <c r="D67" s="170" t="s">
        <v>175</v>
      </c>
      <c r="E67" s="41"/>
      <c r="F67" s="41"/>
      <c r="G67" s="41"/>
      <c r="H67" s="41"/>
      <c r="I67" s="41"/>
      <c r="J67" s="41"/>
      <c r="K67" s="35"/>
      <c r="L67" s="41"/>
      <c r="M67" s="35"/>
      <c r="N67" s="41"/>
      <c r="O67" s="186"/>
      <c r="P67" s="35"/>
      <c r="Q67" s="35"/>
      <c r="R67" s="35"/>
      <c r="S67" s="35"/>
      <c r="T67" s="35"/>
      <c r="U67" s="35"/>
    </row>
    <row r="68" spans="1:21" x14ac:dyDescent="0.2">
      <c r="A68" s="41"/>
      <c r="B68" s="207" t="s">
        <v>179</v>
      </c>
      <c r="C68" s="170" t="s">
        <v>193</v>
      </c>
      <c r="D68" s="170" t="s">
        <v>181</v>
      </c>
      <c r="E68" s="41"/>
      <c r="F68" s="41"/>
      <c r="G68" s="41"/>
      <c r="H68" s="41"/>
      <c r="I68" s="41"/>
      <c r="J68" s="41"/>
      <c r="K68" s="35"/>
      <c r="L68" s="41"/>
      <c r="M68" s="35"/>
      <c r="N68" s="41"/>
      <c r="O68" s="186"/>
      <c r="P68" s="35"/>
      <c r="Q68" s="35"/>
      <c r="R68" s="35"/>
      <c r="S68" s="35"/>
      <c r="T68" s="35"/>
      <c r="U68" s="35"/>
    </row>
    <row r="69" spans="1:21" x14ac:dyDescent="0.2">
      <c r="A69" s="41"/>
      <c r="B69" s="218"/>
      <c r="C69" s="43"/>
      <c r="D69" s="43"/>
      <c r="E69" s="41"/>
      <c r="F69" s="41"/>
      <c r="G69" s="41"/>
      <c r="H69" s="41"/>
      <c r="I69" s="41"/>
      <c r="J69" s="41"/>
      <c r="K69" s="35"/>
      <c r="L69" s="41"/>
      <c r="M69" s="35"/>
      <c r="N69" s="41"/>
      <c r="O69" s="186"/>
      <c r="P69" s="35"/>
      <c r="Q69" s="35"/>
      <c r="R69" s="35"/>
      <c r="S69" s="35"/>
      <c r="T69" s="35"/>
      <c r="U69" s="35"/>
    </row>
    <row r="70" spans="1:21" x14ac:dyDescent="0.2">
      <c r="A70" s="41"/>
      <c r="B70" s="207" t="s">
        <v>173</v>
      </c>
      <c r="C70" s="170" t="s">
        <v>174</v>
      </c>
      <c r="D70" s="170" t="s">
        <v>175</v>
      </c>
      <c r="E70" s="41"/>
      <c r="F70" s="35"/>
      <c r="G70" s="35"/>
      <c r="H70" s="41"/>
      <c r="I70" s="41"/>
      <c r="J70" s="41"/>
      <c r="K70" s="35"/>
      <c r="L70" s="41"/>
      <c r="M70" s="35"/>
      <c r="N70" s="41"/>
      <c r="O70" s="186"/>
      <c r="P70" s="35"/>
      <c r="Q70" s="35"/>
      <c r="R70" s="35"/>
      <c r="S70" s="35"/>
      <c r="T70" s="35"/>
      <c r="U70" s="35"/>
    </row>
    <row r="71" spans="1:21" x14ac:dyDescent="0.2">
      <c r="A71" s="41"/>
      <c r="B71" s="207" t="s">
        <v>176</v>
      </c>
      <c r="C71" s="170" t="s">
        <v>186</v>
      </c>
      <c r="D71" s="170" t="s">
        <v>185</v>
      </c>
      <c r="E71" s="41"/>
      <c r="F71" s="35"/>
      <c r="G71" s="35"/>
      <c r="H71" s="35"/>
      <c r="I71" s="41"/>
      <c r="J71" s="41"/>
      <c r="K71" s="35"/>
      <c r="L71" s="41"/>
      <c r="M71" s="35"/>
      <c r="N71" s="41"/>
      <c r="O71" s="186"/>
      <c r="P71" s="35"/>
      <c r="Q71" s="35"/>
      <c r="R71" s="35"/>
      <c r="S71" s="35"/>
      <c r="T71" s="35"/>
      <c r="U71" s="35"/>
    </row>
    <row r="72" spans="1:21" x14ac:dyDescent="0.2">
      <c r="A72" s="41"/>
      <c r="B72" s="207" t="s">
        <v>179</v>
      </c>
      <c r="C72" s="170" t="s">
        <v>177</v>
      </c>
      <c r="D72" s="170" t="s">
        <v>178</v>
      </c>
      <c r="E72" s="41"/>
      <c r="F72" s="35"/>
      <c r="G72" s="35"/>
      <c r="H72" s="41"/>
      <c r="I72" s="41"/>
      <c r="J72" s="41"/>
      <c r="K72" s="35"/>
      <c r="L72" s="41"/>
      <c r="M72" s="35"/>
      <c r="N72" s="41"/>
      <c r="O72" s="186"/>
      <c r="P72" s="35"/>
      <c r="Q72" s="35"/>
      <c r="R72" s="35"/>
      <c r="S72" s="35"/>
      <c r="T72" s="35"/>
      <c r="U72" s="35"/>
    </row>
    <row r="73" spans="1:21" x14ac:dyDescent="0.2">
      <c r="A73" s="41"/>
      <c r="B73" s="207" t="s">
        <v>182</v>
      </c>
      <c r="C73" s="271" t="s">
        <v>193</v>
      </c>
      <c r="D73" s="170" t="s">
        <v>183</v>
      </c>
      <c r="E73" s="41"/>
      <c r="F73" s="35"/>
      <c r="G73" s="35"/>
      <c r="H73" s="41"/>
      <c r="I73" s="41"/>
      <c r="J73" s="41"/>
      <c r="K73" s="35"/>
      <c r="L73" s="41"/>
      <c r="M73" s="35"/>
      <c r="N73" s="41"/>
      <c r="O73" s="186"/>
      <c r="P73" s="35"/>
      <c r="Q73" s="35"/>
      <c r="R73" s="35"/>
      <c r="S73" s="35"/>
      <c r="T73" s="35"/>
      <c r="U73" s="35"/>
    </row>
    <row r="74" spans="1:21" x14ac:dyDescent="0.2">
      <c r="A74" s="41"/>
      <c r="B74" s="207" t="s">
        <v>184</v>
      </c>
      <c r="C74" s="170" t="s">
        <v>180</v>
      </c>
      <c r="D74" s="170" t="s">
        <v>181</v>
      </c>
      <c r="E74" s="41"/>
      <c r="F74" s="35"/>
      <c r="G74" s="35"/>
      <c r="H74" s="41"/>
      <c r="I74" s="41"/>
      <c r="J74" s="41"/>
      <c r="K74" s="35"/>
      <c r="L74" s="41"/>
      <c r="M74" s="35"/>
      <c r="N74" s="41"/>
      <c r="O74" s="186"/>
      <c r="P74" s="35"/>
      <c r="Q74" s="35"/>
      <c r="R74" s="35"/>
      <c r="S74" s="35"/>
      <c r="T74" s="35"/>
      <c r="U74" s="35"/>
    </row>
    <row r="76" spans="1:21" x14ac:dyDescent="0.2">
      <c r="B76" s="1" t="s">
        <v>321</v>
      </c>
    </row>
    <row r="77" spans="1:21" x14ac:dyDescent="0.2">
      <c r="B77" s="1" t="s">
        <v>320</v>
      </c>
    </row>
    <row r="78" spans="1:21" x14ac:dyDescent="0.2">
      <c r="B78" s="1" t="s">
        <v>319</v>
      </c>
    </row>
    <row r="79" spans="1:21" hidden="1" x14ac:dyDescent="0.2"/>
    <row r="80" spans="1:21"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9" hidden="1" x14ac:dyDescent="0.2"/>
    <row r="98" spans="1:9" hidden="1" x14ac:dyDescent="0.2"/>
    <row r="100" spans="1:9" x14ac:dyDescent="0.2">
      <c r="A100" s="173" t="s">
        <v>194</v>
      </c>
      <c r="B100" s="174"/>
      <c r="C100" s="175"/>
      <c r="D100" s="175"/>
      <c r="E100" s="175"/>
      <c r="F100" s="172"/>
      <c r="G100" s="170"/>
      <c r="H100" s="156"/>
      <c r="I100" s="44"/>
    </row>
    <row r="101" spans="1:9" x14ac:dyDescent="0.2">
      <c r="A101" s="156"/>
      <c r="B101" s="156"/>
      <c r="C101" s="156"/>
      <c r="D101" s="156"/>
      <c r="E101" s="156"/>
      <c r="F101" s="156"/>
      <c r="G101" s="156"/>
      <c r="H101" s="156"/>
      <c r="I101" s="44"/>
    </row>
    <row r="102" spans="1:9" x14ac:dyDescent="0.2">
      <c r="A102" s="187" t="s">
        <v>195</v>
      </c>
      <c r="B102" s="176" t="str">
        <f>IFERROR(INDEX(B$1:B$100,MATCH(A102,I$1:I$100,0)),"")</f>
        <v/>
      </c>
      <c r="C102" s="188" t="str">
        <f>IF(B102="-",0,IF(B104="-",13,""))</f>
        <v/>
      </c>
      <c r="D102" s="156"/>
      <c r="E102" s="156"/>
      <c r="F102" s="156"/>
      <c r="G102" s="156"/>
      <c r="H102" s="156"/>
      <c r="I102" s="44"/>
    </row>
    <row r="103" spans="1:9" x14ac:dyDescent="0.2">
      <c r="A103" s="189"/>
      <c r="B103" s="274"/>
      <c r="C103" s="190" t="str">
        <f>IF(COUNT(C102,C104)=2,IF(C102&gt;C104,B102,B104),"")</f>
        <v/>
      </c>
      <c r="D103" s="156"/>
      <c r="E103" s="188" t="str">
        <f>IF(C103="-",0,IF(C107="-",13,""))</f>
        <v/>
      </c>
      <c r="F103" s="156"/>
      <c r="G103" s="156"/>
      <c r="H103" s="156"/>
      <c r="I103" s="156"/>
    </row>
    <row r="104" spans="1:9" x14ac:dyDescent="0.2">
      <c r="A104" s="189" t="s">
        <v>196</v>
      </c>
      <c r="B104" s="275" t="str">
        <f>IFERROR(INDEX(B$1:B$100,MATCH(A104,I$1:I$100,0)),"")</f>
        <v/>
      </c>
      <c r="C104" s="191" t="str">
        <f>IF(B104="-",0,IF(B102="-",13,""))</f>
        <v/>
      </c>
      <c r="D104" s="224"/>
      <c r="E104" s="156"/>
      <c r="F104" s="156"/>
      <c r="G104" s="156"/>
      <c r="H104" s="156"/>
      <c r="I104" s="156"/>
    </row>
    <row r="105" spans="1:9" x14ac:dyDescent="0.2">
      <c r="A105" s="189"/>
      <c r="B105" s="179"/>
      <c r="C105" s="156"/>
      <c r="D105" s="192"/>
      <c r="E105" s="190" t="str">
        <f>IF(COUNT(E103,E107)=2,IF(E103&gt;E107,C103,C107),"")</f>
        <v/>
      </c>
      <c r="F105" s="156"/>
      <c r="G105" s="188" t="str">
        <f>IF(E105="-",0,IF(E113="-",13,""))</f>
        <v/>
      </c>
      <c r="H105" s="156"/>
      <c r="I105" s="156"/>
    </row>
    <row r="106" spans="1:9" x14ac:dyDescent="0.2">
      <c r="A106" s="189" t="s">
        <v>197</v>
      </c>
      <c r="B106" s="176" t="str">
        <f>IFERROR(INDEX(B$1:B$100,MATCH(A106,I$1:I$100,0)),"")</f>
        <v/>
      </c>
      <c r="C106" s="188" t="str">
        <f>IF(B106="-",0,IF(B108="-",13,""))</f>
        <v/>
      </c>
      <c r="D106" s="192"/>
      <c r="E106" s="193"/>
      <c r="F106" s="224"/>
      <c r="G106" s="156"/>
      <c r="H106" s="156"/>
      <c r="I106" s="156"/>
    </row>
    <row r="107" spans="1:9" x14ac:dyDescent="0.2">
      <c r="A107" s="189"/>
      <c r="B107" s="274"/>
      <c r="C107" s="190" t="str">
        <f>IF(COUNT(C106,C108)=2,IF(C106&gt;C108,B106,B108),"")</f>
        <v/>
      </c>
      <c r="D107" s="276"/>
      <c r="E107" s="191" t="str">
        <f>IF(C107="-",0,IF(C103="-",13,""))</f>
        <v/>
      </c>
      <c r="F107" s="192"/>
      <c r="G107" s="156"/>
      <c r="H107" s="156"/>
      <c r="I107" s="156"/>
    </row>
    <row r="108" spans="1:9" x14ac:dyDescent="0.2">
      <c r="A108" s="189" t="s">
        <v>198</v>
      </c>
      <c r="B108" s="275" t="str">
        <f>IFERROR(INDEX(B$1:B$100,MATCH(A108,I$1:I$100,0)),"")</f>
        <v/>
      </c>
      <c r="C108" s="191" t="str">
        <f>IF(B108="-",0,IF(B106="-",13,""))</f>
        <v/>
      </c>
      <c r="D108" s="156"/>
      <c r="E108" s="174"/>
      <c r="F108" s="192"/>
      <c r="G108" s="156"/>
      <c r="H108" s="156"/>
      <c r="I108" s="156"/>
    </row>
    <row r="109" spans="1:9" ht="13.5" thickBot="1" x14ac:dyDescent="0.25">
      <c r="A109" s="155"/>
      <c r="B109" s="179"/>
      <c r="C109" s="156"/>
      <c r="D109" s="156"/>
      <c r="E109" s="174"/>
      <c r="F109" s="192"/>
      <c r="G109" s="156"/>
      <c r="H109" s="277" t="str">
        <f>IF(COUNT(G105,G113)=2,IF(G105&gt;G113,E105,E113),"")</f>
        <v/>
      </c>
      <c r="I109" s="156"/>
    </row>
    <row r="110" spans="1:9" x14ac:dyDescent="0.2">
      <c r="A110" s="187" t="s">
        <v>199</v>
      </c>
      <c r="B110" s="176" t="str">
        <f>IFERROR(INDEX(B$1:B$100,MATCH(A110,I$1:I$100,0)),"")</f>
        <v/>
      </c>
      <c r="C110" s="188" t="str">
        <f>IF(B110="-",0,IF(B112="-",13,""))</f>
        <v/>
      </c>
      <c r="D110" s="156"/>
      <c r="E110" s="156"/>
      <c r="F110" s="192"/>
      <c r="G110" s="194"/>
      <c r="H110" s="177" t="s">
        <v>187</v>
      </c>
      <c r="I110" s="278"/>
    </row>
    <row r="111" spans="1:9" x14ac:dyDescent="0.2">
      <c r="A111" s="189"/>
      <c r="B111" s="274"/>
      <c r="C111" s="190" t="str">
        <f>IF(COUNT(C110,C112)=2,IF(C110&gt;C112,B110,B112),"")</f>
        <v/>
      </c>
      <c r="D111" s="156"/>
      <c r="E111" s="188" t="str">
        <f>IF(C111="-",0,IF(C115="-",13,""))</f>
        <v/>
      </c>
      <c r="F111" s="192"/>
      <c r="G111" s="174"/>
      <c r="H111" s="156"/>
      <c r="I111" s="156"/>
    </row>
    <row r="112" spans="1:9" x14ac:dyDescent="0.2">
      <c r="A112" s="189" t="s">
        <v>200</v>
      </c>
      <c r="B112" s="275" t="str">
        <f>IFERROR(INDEX(B$1:B$100,MATCH(A112,I$1:I$100,0)),"")</f>
        <v/>
      </c>
      <c r="C112" s="191" t="str">
        <f>IF(B112="-",0,IF(B110="-",13,""))</f>
        <v/>
      </c>
      <c r="D112" s="224"/>
      <c r="E112" s="156"/>
      <c r="F112" s="192"/>
      <c r="G112" s="174"/>
      <c r="H112" s="156"/>
      <c r="I112" s="156"/>
    </row>
    <row r="113" spans="1:9" x14ac:dyDescent="0.2">
      <c r="A113" s="189"/>
      <c r="B113" s="179"/>
      <c r="C113" s="156"/>
      <c r="D113" s="192"/>
      <c r="E113" s="190" t="str">
        <f>IF(COUNT(E111,E115)=2,IF(E111&gt;E115,C111,C115),"")</f>
        <v/>
      </c>
      <c r="F113" s="276"/>
      <c r="G113" s="191" t="str">
        <f>IF(E113="-",0,IF(E105="-",13,""))</f>
        <v/>
      </c>
      <c r="H113" s="156"/>
      <c r="I113" s="156"/>
    </row>
    <row r="114" spans="1:9" ht="13.5" thickBot="1" x14ac:dyDescent="0.25">
      <c r="A114" s="189" t="s">
        <v>202</v>
      </c>
      <c r="B114" s="176" t="str">
        <f>IFERROR(INDEX(B$1:B$100,MATCH(A114,I$1:I$100,0)),"")</f>
        <v/>
      </c>
      <c r="C114" s="188" t="str">
        <f>IF(B114="-",0,IF(B116="-",13,""))</f>
        <v/>
      </c>
      <c r="D114" s="192"/>
      <c r="E114" s="193"/>
      <c r="F114" s="174"/>
      <c r="G114" s="174"/>
      <c r="H114" s="277" t="str">
        <f>IF(COUNT(G105,G113)=2,IF(G105&lt;G113,E105,E113),"")</f>
        <v/>
      </c>
      <c r="I114" s="279"/>
    </row>
    <row r="115" spans="1:9" x14ac:dyDescent="0.2">
      <c r="A115" s="189"/>
      <c r="B115" s="274"/>
      <c r="C115" s="190" t="str">
        <f>IF(COUNT(C114,C116)=2,IF(C114&gt;C116,B114,B116),"")</f>
        <v/>
      </c>
      <c r="D115" s="276"/>
      <c r="E115" s="191" t="str">
        <f>IF(C115="-",0,IF(C111="-",13,""))</f>
        <v/>
      </c>
      <c r="F115" s="156"/>
      <c r="G115" s="174"/>
      <c r="H115" s="177" t="s">
        <v>188</v>
      </c>
      <c r="I115" s="174"/>
    </row>
    <row r="116" spans="1:9" x14ac:dyDescent="0.2">
      <c r="A116" s="189" t="s">
        <v>201</v>
      </c>
      <c r="B116" s="275" t="str">
        <f>IFERROR(INDEX(B$1:B$100,MATCH(A116,I$1:I$100,0)),"")</f>
        <v/>
      </c>
      <c r="C116" s="191" t="str">
        <f>IF(B116="-",0,IF(B114="-",13,""))</f>
        <v/>
      </c>
      <c r="D116" s="156"/>
      <c r="E116" s="174"/>
      <c r="F116" s="174"/>
      <c r="G116" s="174"/>
      <c r="H116" s="156"/>
      <c r="I116" s="156"/>
    </row>
    <row r="117" spans="1:9" x14ac:dyDescent="0.2">
      <c r="A117" s="155"/>
      <c r="B117" s="179"/>
      <c r="C117" s="156"/>
      <c r="D117" s="156"/>
      <c r="E117" s="171" t="str">
        <f>IF(COUNT(E103,E107)=2,IF(E103&lt;E107,C103,C107),"")</f>
        <v/>
      </c>
      <c r="F117" s="156"/>
      <c r="G117" s="188" t="str">
        <f>IF(E117="-",0,IF(E119="-",13,""))</f>
        <v/>
      </c>
      <c r="H117" s="156"/>
      <c r="I117" s="156"/>
    </row>
    <row r="118" spans="1:9" ht="13.5" thickBot="1" x14ac:dyDescent="0.25">
      <c r="A118" s="156"/>
      <c r="B118" s="156"/>
      <c r="C118" s="156"/>
      <c r="D118" s="156"/>
      <c r="E118" s="280"/>
      <c r="F118" s="224"/>
      <c r="G118" s="279"/>
      <c r="H118" s="277" t="str">
        <f>IF(COUNT(G117,G119)=2,IF(G117&gt;G119,E117,E119),"")</f>
        <v/>
      </c>
      <c r="I118" s="279"/>
    </row>
    <row r="119" spans="1:9" x14ac:dyDescent="0.2">
      <c r="A119" s="156"/>
      <c r="B119" s="156"/>
      <c r="C119" s="156"/>
      <c r="D119" s="156"/>
      <c r="E119" s="281" t="str">
        <f>IF(COUNT(E111,E115)=2,IF(E111&lt;E115,C111,C115),"")</f>
        <v/>
      </c>
      <c r="F119" s="276"/>
      <c r="G119" s="191" t="str">
        <f>IF(E119="-",0,IF(E117="-",13,""))</f>
        <v/>
      </c>
      <c r="H119" s="183" t="s">
        <v>189</v>
      </c>
      <c r="I119" s="174"/>
    </row>
    <row r="120" spans="1:9" x14ac:dyDescent="0.2">
      <c r="A120" s="156"/>
      <c r="B120" s="156"/>
      <c r="C120" s="156"/>
      <c r="D120" s="156"/>
      <c r="E120" s="156"/>
      <c r="F120" s="156"/>
      <c r="G120" s="156"/>
      <c r="H120" s="174"/>
      <c r="I120" s="174"/>
    </row>
    <row r="121" spans="1:9" ht="13.5" thickBot="1" x14ac:dyDescent="0.25">
      <c r="A121" s="156"/>
      <c r="B121" s="156"/>
      <c r="C121" s="156"/>
      <c r="D121" s="156"/>
      <c r="E121" s="174"/>
      <c r="F121" s="174"/>
      <c r="G121" s="156"/>
      <c r="H121" s="277" t="str">
        <f>IF(COUNT(G117,G119)=2,IF(G117&lt;G119,E117,E119),"")</f>
        <v/>
      </c>
      <c r="I121" s="279"/>
    </row>
    <row r="122" spans="1:9" x14ac:dyDescent="0.2">
      <c r="A122" s="156"/>
      <c r="B122" s="156"/>
      <c r="C122" s="156"/>
      <c r="D122" s="156"/>
      <c r="E122" s="156"/>
      <c r="F122" s="156"/>
      <c r="G122" s="156"/>
      <c r="H122" s="155" t="s">
        <v>190</v>
      </c>
      <c r="I122" s="156"/>
    </row>
    <row r="123" spans="1:9" x14ac:dyDescent="0.2">
      <c r="A123" s="156"/>
      <c r="B123" s="156"/>
      <c r="C123" s="281" t="str">
        <f>IF(COUNT(C102,C104)=2,IF(C102&lt;C104,B102,B104),"")</f>
        <v/>
      </c>
      <c r="D123" s="156"/>
      <c r="E123" s="188" t="str">
        <f>IF(C123="-",0,IF(C125="-",13,""))</f>
        <v/>
      </c>
      <c r="F123" s="188"/>
      <c r="G123" s="188"/>
      <c r="H123" s="156"/>
      <c r="I123" s="156"/>
    </row>
    <row r="124" spans="1:9" x14ac:dyDescent="0.2">
      <c r="A124" s="156"/>
      <c r="B124" s="156"/>
      <c r="C124" s="282"/>
      <c r="D124" s="225"/>
      <c r="E124" s="190" t="str">
        <f>IF(COUNT(E123,E125)=2,IF(E123&gt;E125,C123,C125),"")</f>
        <v/>
      </c>
      <c r="F124" s="156"/>
      <c r="G124" s="188" t="str">
        <f>IF(E124="-",0,IF(E128="-",13,""))</f>
        <v/>
      </c>
      <c r="H124" s="156"/>
      <c r="I124" s="156"/>
    </row>
    <row r="125" spans="1:9" x14ac:dyDescent="0.2">
      <c r="A125" s="156"/>
      <c r="B125" s="156"/>
      <c r="C125" s="281" t="str">
        <f>IF(COUNT(C106,C108)=2,IF(C106&lt;C108,B106,B108),"")</f>
        <v/>
      </c>
      <c r="D125" s="283"/>
      <c r="E125" s="191" t="str">
        <f>IF(C125="-",0,IF(C123="-",13,""))</f>
        <v/>
      </c>
      <c r="F125" s="225"/>
      <c r="G125" s="188"/>
      <c r="H125" s="156"/>
      <c r="I125" s="156"/>
    </row>
    <row r="126" spans="1:9" ht="13.5" thickBot="1" x14ac:dyDescent="0.25">
      <c r="A126" s="156"/>
      <c r="B126" s="156"/>
      <c r="C126" s="188"/>
      <c r="D126" s="188"/>
      <c r="E126" s="156"/>
      <c r="F126" s="196"/>
      <c r="G126" s="188"/>
      <c r="H126" s="277" t="str">
        <f>IF(COUNT(G124,G128)=2,IF(G124&gt;G128,E124,E128),"")</f>
        <v/>
      </c>
      <c r="I126" s="156"/>
    </row>
    <row r="127" spans="1:9" x14ac:dyDescent="0.2">
      <c r="A127" s="156"/>
      <c r="B127" s="156"/>
      <c r="C127" s="281" t="str">
        <f>IF(COUNT(C110,C112)=2,IF(C110&lt;C112,B110,B112),"")</f>
        <v/>
      </c>
      <c r="D127" s="188"/>
      <c r="E127" s="188" t="str">
        <f>IF(C127="-",0,IF(C129="-",13,""))</f>
        <v/>
      </c>
      <c r="F127" s="196"/>
      <c r="G127" s="197"/>
      <c r="H127" s="177" t="s">
        <v>191</v>
      </c>
      <c r="I127" s="278"/>
    </row>
    <row r="128" spans="1:9" x14ac:dyDescent="0.2">
      <c r="A128" s="156"/>
      <c r="B128" s="156"/>
      <c r="C128" s="282"/>
      <c r="D128" s="225"/>
      <c r="E128" s="190" t="str">
        <f>IF(COUNT(E127,E129)=2,IF(E127&gt;E129,C127,C129),"")</f>
        <v/>
      </c>
      <c r="F128" s="276"/>
      <c r="G128" s="191" t="str">
        <f>IF(E128="-",0,IF(E124="-",13,""))</f>
        <v/>
      </c>
      <c r="H128" s="156"/>
      <c r="I128" s="156"/>
    </row>
    <row r="129" spans="1:9" ht="13.5" thickBot="1" x14ac:dyDescent="0.25">
      <c r="A129" s="156"/>
      <c r="B129" s="156"/>
      <c r="C129" s="281" t="str">
        <f>IF(COUNT(C114,C116)=2,IF(C114&lt;C116,B114,B116),"")</f>
        <v/>
      </c>
      <c r="D129" s="283"/>
      <c r="E129" s="191" t="str">
        <f>IF(C129="-",0,IF(C127="-",13,""))</f>
        <v/>
      </c>
      <c r="F129" s="188"/>
      <c r="G129" s="195"/>
      <c r="H129" s="277" t="str">
        <f>IF(COUNT(G124,G128)=2,IF(G124&lt;G128,E124,E128),"")</f>
        <v/>
      </c>
      <c r="I129" s="279"/>
    </row>
    <row r="130" spans="1:9" x14ac:dyDescent="0.2">
      <c r="A130" s="156"/>
      <c r="B130" s="156"/>
      <c r="C130" s="188"/>
      <c r="D130" s="188"/>
      <c r="E130" s="188"/>
      <c r="F130" s="188"/>
      <c r="G130" s="195"/>
      <c r="H130" s="177" t="s">
        <v>192</v>
      </c>
      <c r="I130" s="174"/>
    </row>
    <row r="131" spans="1:9" x14ac:dyDescent="0.2">
      <c r="A131" s="156"/>
      <c r="B131" s="156"/>
      <c r="C131" s="188"/>
      <c r="D131" s="195"/>
      <c r="E131" s="171" t="str">
        <f>IF(COUNT(E123,E125)=2,IF(E123&lt;E125,C123,C125),"")</f>
        <v/>
      </c>
      <c r="F131" s="156"/>
      <c r="G131" s="188" t="str">
        <f>IF(E131="-",0,IF(E133="-",13,""))</f>
        <v/>
      </c>
      <c r="H131" s="174"/>
      <c r="I131" s="174"/>
    </row>
    <row r="132" spans="1:9" ht="13.5" thickBot="1" x14ac:dyDescent="0.25">
      <c r="A132" s="156"/>
      <c r="B132" s="156"/>
      <c r="C132" s="188"/>
      <c r="D132" s="195"/>
      <c r="E132" s="280"/>
      <c r="F132" s="224"/>
      <c r="G132" s="279"/>
      <c r="H132" s="277" t="str">
        <f>IF(COUNT(G131,G133)=2,IF(G131&gt;G133,E131,E133),"")</f>
        <v/>
      </c>
      <c r="I132" s="279"/>
    </row>
    <row r="133" spans="1:9" x14ac:dyDescent="0.2">
      <c r="A133" s="156"/>
      <c r="B133" s="156"/>
      <c r="C133" s="188"/>
      <c r="D133" s="195"/>
      <c r="E133" s="281" t="str">
        <f>IF(COUNT(E127,E129)=2,IF(E127&lt;E129,C127,C129),"")</f>
        <v/>
      </c>
      <c r="F133" s="276"/>
      <c r="G133" s="191" t="str">
        <f>IF(E133="-",0,IF(E131="-",13,""))</f>
        <v/>
      </c>
      <c r="H133" s="177" t="s">
        <v>203</v>
      </c>
      <c r="I133" s="174"/>
    </row>
    <row r="134" spans="1:9" x14ac:dyDescent="0.2">
      <c r="A134" s="156"/>
      <c r="B134" s="156"/>
      <c r="C134" s="156"/>
      <c r="D134" s="174"/>
      <c r="E134" s="156"/>
      <c r="F134" s="156"/>
      <c r="G134" s="156"/>
      <c r="H134" s="174"/>
      <c r="I134" s="174"/>
    </row>
    <row r="135" spans="1:9" ht="13.5" thickBot="1" x14ac:dyDescent="0.25">
      <c r="A135" s="156"/>
      <c r="B135" s="156"/>
      <c r="C135" s="156"/>
      <c r="D135" s="156"/>
      <c r="E135" s="174"/>
      <c r="F135" s="174"/>
      <c r="G135" s="156"/>
      <c r="H135" s="279" t="str">
        <f>IF(COUNT(G131,G133)=2,IF(G131&lt;G133,E131,E133),"")</f>
        <v/>
      </c>
      <c r="I135" s="279"/>
    </row>
    <row r="136" spans="1:9" x14ac:dyDescent="0.2">
      <c r="A136" s="42"/>
      <c r="B136" s="43"/>
      <c r="C136" s="172"/>
      <c r="D136" s="172"/>
      <c r="E136" s="172"/>
      <c r="F136" s="172"/>
      <c r="G136" s="208"/>
      <c r="H136" s="177" t="s">
        <v>204</v>
      </c>
      <c r="I136" s="41"/>
    </row>
    <row r="138" spans="1:9" x14ac:dyDescent="0.2">
      <c r="A138" s="173" t="s">
        <v>217</v>
      </c>
      <c r="B138" s="174"/>
      <c r="C138" s="175"/>
      <c r="D138" s="175"/>
      <c r="E138" s="175"/>
      <c r="F138" s="172"/>
      <c r="G138" s="170"/>
      <c r="H138" s="156"/>
      <c r="I138" s="44"/>
    </row>
    <row r="139" spans="1:9" x14ac:dyDescent="0.2">
      <c r="A139" s="156"/>
      <c r="B139" s="156"/>
      <c r="C139" s="156"/>
      <c r="D139" s="156"/>
      <c r="E139" s="156"/>
      <c r="F139" s="156"/>
      <c r="G139" s="156"/>
      <c r="H139" s="156"/>
      <c r="I139" s="44"/>
    </row>
    <row r="140" spans="1:9" x14ac:dyDescent="0.2">
      <c r="A140" s="187" t="s">
        <v>205</v>
      </c>
      <c r="B140" s="176" t="str">
        <f>IFERROR(INDEX(B$1:B$100,MATCH(A140,I$1:I$100,0)),"")</f>
        <v/>
      </c>
      <c r="C140" s="188" t="str">
        <f>IF(B140="-",0,IF(B142="-",13,""))</f>
        <v/>
      </c>
      <c r="D140" s="156"/>
      <c r="E140" s="156"/>
      <c r="F140" s="156"/>
      <c r="G140" s="156"/>
      <c r="H140" s="156"/>
      <c r="I140" s="44"/>
    </row>
    <row r="141" spans="1:9" x14ac:dyDescent="0.2">
      <c r="A141" s="189"/>
      <c r="B141" s="274"/>
      <c r="C141" s="190" t="str">
        <f>IF(COUNT(C140,C142)=2,IF(C140&gt;C142,B140,B142),"")</f>
        <v/>
      </c>
      <c r="D141" s="156"/>
      <c r="E141" s="188" t="str">
        <f>IF(C141="-",0,IF(C145="-",13,""))</f>
        <v/>
      </c>
      <c r="F141" s="156"/>
      <c r="G141" s="156"/>
      <c r="H141" s="156"/>
      <c r="I141" s="156"/>
    </row>
    <row r="142" spans="1:9" x14ac:dyDescent="0.2">
      <c r="A142" s="189" t="s">
        <v>249</v>
      </c>
      <c r="B142" s="275" t="str">
        <f>IFERROR(INDEX(B$1:B$100,MATCH(A142,I$1:I$100,0)),"")</f>
        <v/>
      </c>
      <c r="C142" s="191" t="str">
        <f>IF(B142="-",0,IF(B140="-",13,""))</f>
        <v/>
      </c>
      <c r="D142" s="224"/>
      <c r="E142" s="156"/>
      <c r="F142" s="156"/>
      <c r="G142" s="156"/>
      <c r="H142" s="156"/>
      <c r="I142" s="156"/>
    </row>
    <row r="143" spans="1:9" x14ac:dyDescent="0.2">
      <c r="A143" s="189"/>
      <c r="B143" s="179"/>
      <c r="C143" s="156"/>
      <c r="D143" s="192"/>
      <c r="E143" s="190" t="str">
        <f>IF(COUNT(E141,E145)=2,IF(E141&gt;E145,C141,C145),"")</f>
        <v/>
      </c>
      <c r="F143" s="156"/>
      <c r="G143" s="188" t="str">
        <f>IF(E143="-",0,IF(E151="-",13,""))</f>
        <v/>
      </c>
      <c r="H143" s="156"/>
      <c r="I143" s="156"/>
    </row>
    <row r="144" spans="1:9" x14ac:dyDescent="0.2">
      <c r="A144" s="189" t="s">
        <v>206</v>
      </c>
      <c r="B144" s="176" t="str">
        <f>IFERROR(INDEX(B$1:B$100,MATCH(A144,I$1:I$100,0)),"")</f>
        <v/>
      </c>
      <c r="C144" s="188" t="str">
        <f>IF(B144="-",0,IF(B146="-",13,""))</f>
        <v/>
      </c>
      <c r="D144" s="192"/>
      <c r="E144" s="193"/>
      <c r="F144" s="224"/>
      <c r="G144" s="156"/>
      <c r="H144" s="156"/>
      <c r="I144" s="156"/>
    </row>
    <row r="145" spans="1:9" x14ac:dyDescent="0.2">
      <c r="A145" s="189"/>
      <c r="B145" s="274"/>
      <c r="C145" s="190" t="str">
        <f>IF(COUNT(C144,C146)=2,IF(C144&gt;C146,B144,B146),"")</f>
        <v/>
      </c>
      <c r="D145" s="276"/>
      <c r="E145" s="191" t="str">
        <f>IF(C145="-",0,IF(C141="-",13,""))</f>
        <v/>
      </c>
      <c r="F145" s="192"/>
      <c r="G145" s="156"/>
      <c r="H145" s="156"/>
      <c r="I145" s="156"/>
    </row>
    <row r="146" spans="1:9" x14ac:dyDescent="0.2">
      <c r="A146" s="189" t="s">
        <v>250</v>
      </c>
      <c r="B146" s="275" t="str">
        <f>IFERROR(INDEX(B$1:B$100,MATCH(A146,I$1:I$100,0)),"")</f>
        <v/>
      </c>
      <c r="C146" s="191" t="str">
        <f>IF(B146="-",0,IF(B144="-",13,""))</f>
        <v/>
      </c>
      <c r="D146" s="156"/>
      <c r="E146" s="174"/>
      <c r="F146" s="192"/>
      <c r="G146" s="156"/>
      <c r="H146" s="156"/>
      <c r="I146" s="156"/>
    </row>
    <row r="147" spans="1:9" ht="13.5" thickBot="1" x14ac:dyDescent="0.25">
      <c r="A147" s="155"/>
      <c r="B147" s="179"/>
      <c r="C147" s="156"/>
      <c r="D147" s="156"/>
      <c r="E147" s="174"/>
      <c r="F147" s="192"/>
      <c r="G147" s="156"/>
      <c r="H147" s="277" t="str">
        <f>IF(COUNT(G143,G151)=2,IF(G143&gt;G151,E143,E151),"")</f>
        <v/>
      </c>
      <c r="I147" s="156"/>
    </row>
    <row r="148" spans="1:9" x14ac:dyDescent="0.2">
      <c r="A148" s="187" t="s">
        <v>208</v>
      </c>
      <c r="B148" s="176" t="str">
        <f>IFERROR(INDEX(B$1:B$100,MATCH(A148,I$1:I$100,0)),"")</f>
        <v/>
      </c>
      <c r="C148" s="188" t="str">
        <f>IF(B148="-",0,IF(B150="-",13,""))</f>
        <v/>
      </c>
      <c r="D148" s="156"/>
      <c r="E148" s="156"/>
      <c r="F148" s="192"/>
      <c r="G148" s="194"/>
      <c r="H148" s="177" t="s">
        <v>209</v>
      </c>
      <c r="I148" s="278"/>
    </row>
    <row r="149" spans="1:9" x14ac:dyDescent="0.2">
      <c r="A149" s="189"/>
      <c r="B149" s="274"/>
      <c r="C149" s="190" t="str">
        <f>IF(COUNT(C148,C150)=2,IF(C148&gt;C150,B148,B150),"")</f>
        <v/>
      </c>
      <c r="D149" s="156"/>
      <c r="E149" s="188" t="str">
        <f>IF(C149="-",0,IF(C153="-",13,""))</f>
        <v/>
      </c>
      <c r="F149" s="192"/>
      <c r="G149" s="174"/>
      <c r="H149" s="156"/>
      <c r="I149" s="156"/>
    </row>
    <row r="150" spans="1:9" x14ac:dyDescent="0.2">
      <c r="A150" s="189" t="s">
        <v>251</v>
      </c>
      <c r="B150" s="275" t="str">
        <f>IFERROR(INDEX(B$1:B$100,MATCH(A150,I$1:I$100,0)),"")</f>
        <v/>
      </c>
      <c r="C150" s="191" t="str">
        <f>IF(B150="-",0,IF(B148="-",13,""))</f>
        <v/>
      </c>
      <c r="D150" s="224"/>
      <c r="E150" s="156"/>
      <c r="F150" s="192"/>
      <c r="G150" s="174"/>
      <c r="H150" s="156"/>
      <c r="I150" s="156"/>
    </row>
    <row r="151" spans="1:9" x14ac:dyDescent="0.2">
      <c r="A151" s="189"/>
      <c r="B151" s="179"/>
      <c r="C151" s="156"/>
      <c r="D151" s="192"/>
      <c r="E151" s="190" t="str">
        <f>IF(COUNT(E149,E153)=2,IF(E149&gt;E153,C149,C153),"")</f>
        <v/>
      </c>
      <c r="F151" s="276"/>
      <c r="G151" s="191" t="str">
        <f>IF(E151="-",0,IF(E143="-",13,""))</f>
        <v/>
      </c>
      <c r="H151" s="156"/>
      <c r="I151" s="156"/>
    </row>
    <row r="152" spans="1:9" ht="13.5" thickBot="1" x14ac:dyDescent="0.25">
      <c r="A152" s="189" t="s">
        <v>210</v>
      </c>
      <c r="B152" s="176" t="str">
        <f>IFERROR(INDEX(B$1:B$100,MATCH(A152,I$1:I$100,0)),"")</f>
        <v/>
      </c>
      <c r="C152" s="188" t="str">
        <f>IF(B152="-",0,IF(B154="-",13,""))</f>
        <v/>
      </c>
      <c r="D152" s="192"/>
      <c r="E152" s="193"/>
      <c r="F152" s="174"/>
      <c r="G152" s="174"/>
      <c r="H152" s="277" t="str">
        <f>IF(COUNT(G143,G151)=2,IF(G143&lt;G151,E143,E151),"")</f>
        <v/>
      </c>
      <c r="I152" s="279"/>
    </row>
    <row r="153" spans="1:9" x14ac:dyDescent="0.2">
      <c r="A153" s="189"/>
      <c r="B153" s="274"/>
      <c r="C153" s="190" t="str">
        <f>IF(COUNT(C152,C154)=2,IF(C152&gt;C154,B152,B154),"")</f>
        <v/>
      </c>
      <c r="D153" s="276"/>
      <c r="E153" s="191" t="str">
        <f>IF(C153="-",0,IF(C149="-",13,""))</f>
        <v/>
      </c>
      <c r="F153" s="156"/>
      <c r="G153" s="174"/>
      <c r="H153" s="177" t="s">
        <v>211</v>
      </c>
      <c r="I153" s="174"/>
    </row>
    <row r="154" spans="1:9" x14ac:dyDescent="0.2">
      <c r="A154" s="189" t="s">
        <v>252</v>
      </c>
      <c r="B154" s="275" t="str">
        <f>IFERROR(INDEX(B$1:B$100,MATCH(A154,I$1:I$100,0)),"")</f>
        <v/>
      </c>
      <c r="C154" s="191" t="str">
        <f>IF(B154="-",0,IF(B152="-",13,""))</f>
        <v/>
      </c>
      <c r="D154" s="156"/>
      <c r="E154" s="174"/>
      <c r="F154" s="174"/>
      <c r="G154" s="174"/>
      <c r="H154" s="156"/>
      <c r="I154" s="156"/>
    </row>
    <row r="155" spans="1:9" x14ac:dyDescent="0.2">
      <c r="A155" s="155"/>
      <c r="B155" s="179"/>
      <c r="C155" s="156"/>
      <c r="D155" s="156"/>
      <c r="E155" s="171" t="str">
        <f>IF(COUNT(E141,E145)=2,IF(E141&lt;E145,C141,C145),"")</f>
        <v/>
      </c>
      <c r="F155" s="156"/>
      <c r="G155" s="188" t="str">
        <f>IF(E155="-",0,IF(E157="-",13,""))</f>
        <v/>
      </c>
      <c r="H155" s="156"/>
      <c r="I155" s="156"/>
    </row>
    <row r="156" spans="1:9" ht="13.5" thickBot="1" x14ac:dyDescent="0.25">
      <c r="A156" s="156"/>
      <c r="B156" s="156"/>
      <c r="C156" s="156"/>
      <c r="D156" s="156"/>
      <c r="E156" s="280"/>
      <c r="F156" s="224"/>
      <c r="G156" s="279"/>
      <c r="H156" s="277" t="str">
        <f>IF(COUNT(G155,G157)=2,IF(G155&gt;G157,E155,E157),"")</f>
        <v/>
      </c>
      <c r="I156" s="279"/>
    </row>
    <row r="157" spans="1:9" x14ac:dyDescent="0.2">
      <c r="A157" s="156"/>
      <c r="B157" s="156"/>
      <c r="C157" s="156"/>
      <c r="D157" s="156"/>
      <c r="E157" s="281" t="str">
        <f>IF(COUNT(E149,E153)=2,IF(E149&lt;E153,C149,C153),"")</f>
        <v/>
      </c>
      <c r="F157" s="276"/>
      <c r="G157" s="191" t="str">
        <f>IF(E157="-",0,IF(E155="-",13,""))</f>
        <v/>
      </c>
      <c r="H157" s="183" t="s">
        <v>212</v>
      </c>
      <c r="I157" s="174"/>
    </row>
    <row r="158" spans="1:9" x14ac:dyDescent="0.2">
      <c r="A158" s="156"/>
      <c r="B158" s="156"/>
      <c r="C158" s="156"/>
      <c r="D158" s="156"/>
      <c r="E158" s="156"/>
      <c r="F158" s="156"/>
      <c r="G158" s="156"/>
      <c r="H158" s="174"/>
      <c r="I158" s="174"/>
    </row>
    <row r="159" spans="1:9" ht="13.5" thickBot="1" x14ac:dyDescent="0.25">
      <c r="A159" s="156"/>
      <c r="B159" s="156"/>
      <c r="C159" s="156"/>
      <c r="D159" s="156"/>
      <c r="E159" s="174"/>
      <c r="F159" s="174"/>
      <c r="G159" s="156"/>
      <c r="H159" s="277" t="str">
        <f>IF(COUNT(G155,G157)=2,IF(G155&lt;G157,E155,E157),"")</f>
        <v/>
      </c>
      <c r="I159" s="279"/>
    </row>
    <row r="160" spans="1:9" x14ac:dyDescent="0.2">
      <c r="A160" s="156"/>
      <c r="B160" s="156"/>
      <c r="C160" s="156"/>
      <c r="D160" s="156"/>
      <c r="E160" s="156"/>
      <c r="F160" s="156"/>
      <c r="G160" s="156"/>
      <c r="H160" s="155" t="s">
        <v>213</v>
      </c>
      <c r="I160" s="156"/>
    </row>
    <row r="161" spans="1:9" x14ac:dyDescent="0.2">
      <c r="A161" s="156"/>
      <c r="B161" s="156"/>
      <c r="C161" s="281" t="str">
        <f>IF(COUNT(C140,C142)=2,IF(C140&lt;C142,B140,B142),"")</f>
        <v/>
      </c>
      <c r="D161" s="156"/>
      <c r="E161" s="188" t="str">
        <f>IF(C161="-",0,IF(C163="-",13,""))</f>
        <v/>
      </c>
      <c r="F161" s="188"/>
      <c r="G161" s="188"/>
      <c r="H161" s="156"/>
      <c r="I161" s="156"/>
    </row>
    <row r="162" spans="1:9" x14ac:dyDescent="0.2">
      <c r="A162" s="156"/>
      <c r="B162" s="156"/>
      <c r="C162" s="282"/>
      <c r="D162" s="225"/>
      <c r="E162" s="190" t="str">
        <f>IF(COUNT(E161,E163)=2,IF(E161&gt;E163,C161,C163),"")</f>
        <v/>
      </c>
      <c r="F162" s="156"/>
      <c r="G162" s="188" t="str">
        <f>IF(E162="-",0,IF(E166="-",13,""))</f>
        <v/>
      </c>
      <c r="H162" s="156"/>
      <c r="I162" s="156"/>
    </row>
    <row r="163" spans="1:9" x14ac:dyDescent="0.2">
      <c r="A163" s="156"/>
      <c r="B163" s="156"/>
      <c r="C163" s="281" t="str">
        <f>IF(COUNT(C144,C146)=2,IF(C144&lt;C146,B144,B146),"")</f>
        <v/>
      </c>
      <c r="D163" s="283"/>
      <c r="E163" s="191" t="str">
        <f>IF(C163="-",0,IF(C161="-",13,""))</f>
        <v/>
      </c>
      <c r="F163" s="225"/>
      <c r="G163" s="188"/>
      <c r="H163" s="156"/>
      <c r="I163" s="156"/>
    </row>
    <row r="164" spans="1:9" ht="13.5" thickBot="1" x14ac:dyDescent="0.25">
      <c r="A164" s="156"/>
      <c r="B164" s="156"/>
      <c r="C164" s="188"/>
      <c r="D164" s="188"/>
      <c r="E164" s="156"/>
      <c r="F164" s="196"/>
      <c r="G164" s="188"/>
      <c r="H164" s="277" t="str">
        <f>IF(COUNT(G162,G166)=2,IF(G162&gt;G166,E162,E166),"")</f>
        <v/>
      </c>
      <c r="I164" s="156"/>
    </row>
    <row r="165" spans="1:9" x14ac:dyDescent="0.2">
      <c r="A165" s="156"/>
      <c r="B165" s="156"/>
      <c r="C165" s="281" t="str">
        <f>IF(COUNT(C148,C150)=2,IF(C148&lt;C150,B148,B150),"")</f>
        <v/>
      </c>
      <c r="D165" s="188"/>
      <c r="E165" s="188" t="str">
        <f>IF(C165="-",0,IF(C167="-",13,""))</f>
        <v/>
      </c>
      <c r="F165" s="196"/>
      <c r="G165" s="197"/>
      <c r="H165" s="177" t="s">
        <v>214</v>
      </c>
      <c r="I165" s="278"/>
    </row>
    <row r="166" spans="1:9" x14ac:dyDescent="0.2">
      <c r="A166" s="156"/>
      <c r="B166" s="156"/>
      <c r="C166" s="282"/>
      <c r="D166" s="225"/>
      <c r="E166" s="190" t="str">
        <f>IF(COUNT(E165,E167)=2,IF(E165&gt;E167,C165,C167),"")</f>
        <v/>
      </c>
      <c r="F166" s="276"/>
      <c r="G166" s="191" t="str">
        <f>IF(E166="-",0,IF(E162="-",13,""))</f>
        <v/>
      </c>
      <c r="H166" s="156"/>
      <c r="I166" s="156"/>
    </row>
    <row r="167" spans="1:9" ht="13.5" thickBot="1" x14ac:dyDescent="0.25">
      <c r="A167" s="156"/>
      <c r="B167" s="156"/>
      <c r="C167" s="281" t="str">
        <f>IF(COUNT(C152,C154)=2,IF(C152&lt;C154,B152,B154),"")</f>
        <v/>
      </c>
      <c r="D167" s="283"/>
      <c r="E167" s="191" t="str">
        <f>IF(C167="-",0,IF(C165="-",13,""))</f>
        <v/>
      </c>
      <c r="F167" s="188"/>
      <c r="G167" s="195"/>
      <c r="H167" s="277" t="str">
        <f>IF(COUNT(G162,G166)=2,IF(G162&lt;G166,E162,E166),"")</f>
        <v/>
      </c>
      <c r="I167" s="279"/>
    </row>
    <row r="168" spans="1:9" x14ac:dyDescent="0.2">
      <c r="A168" s="156"/>
      <c r="B168" s="156"/>
      <c r="C168" s="188"/>
      <c r="D168" s="188"/>
      <c r="E168" s="188"/>
      <c r="F168" s="188"/>
      <c r="G168" s="195"/>
      <c r="H168" s="177" t="s">
        <v>215</v>
      </c>
      <c r="I168" s="174"/>
    </row>
    <row r="169" spans="1:9" x14ac:dyDescent="0.2">
      <c r="A169" s="156"/>
      <c r="B169" s="156"/>
      <c r="C169" s="188"/>
      <c r="D169" s="195"/>
      <c r="E169" s="171" t="str">
        <f>IF(COUNT(E161,E163)=2,IF(E161&lt;E163,C161,C163),"")</f>
        <v/>
      </c>
      <c r="F169" s="156"/>
      <c r="G169" s="188" t="str">
        <f>IF(E169="-",0,IF(E171="-",13,""))</f>
        <v/>
      </c>
      <c r="H169" s="174"/>
      <c r="I169" s="174"/>
    </row>
    <row r="170" spans="1:9" ht="13.5" thickBot="1" x14ac:dyDescent="0.25">
      <c r="A170" s="156"/>
      <c r="B170" s="156"/>
      <c r="C170" s="188"/>
      <c r="D170" s="195"/>
      <c r="E170" s="280"/>
      <c r="F170" s="224"/>
      <c r="G170" s="279"/>
      <c r="H170" s="277" t="str">
        <f>IF(COUNT(G169,G171)=2,IF(G169&gt;G171,E169,E171),"")</f>
        <v/>
      </c>
      <c r="I170" s="279"/>
    </row>
    <row r="171" spans="1:9" x14ac:dyDescent="0.2">
      <c r="A171" s="156"/>
      <c r="B171" s="156"/>
      <c r="C171" s="188"/>
      <c r="D171" s="195"/>
      <c r="E171" s="281" t="str">
        <f>IF(COUNT(E165,E167)=2,IF(E165&lt;E167,C165,C167),"")</f>
        <v/>
      </c>
      <c r="F171" s="276"/>
      <c r="G171" s="191" t="str">
        <f>IF(E171="-",0,IF(E169="-",13,""))</f>
        <v/>
      </c>
      <c r="H171" s="177" t="s">
        <v>218</v>
      </c>
      <c r="I171" s="174"/>
    </row>
    <row r="172" spans="1:9" x14ac:dyDescent="0.2">
      <c r="A172" s="156"/>
      <c r="B172" s="156"/>
      <c r="C172" s="156"/>
      <c r="D172" s="174"/>
      <c r="E172" s="156"/>
      <c r="F172" s="156"/>
      <c r="G172" s="156"/>
      <c r="H172" s="174"/>
      <c r="I172" s="174"/>
    </row>
    <row r="173" spans="1:9" ht="13.5" thickBot="1" x14ac:dyDescent="0.25">
      <c r="A173" s="156"/>
      <c r="B173" s="156"/>
      <c r="C173" s="156"/>
      <c r="D173" s="156"/>
      <c r="E173" s="174"/>
      <c r="F173" s="174"/>
      <c r="G173" s="156"/>
      <c r="H173" s="279" t="str">
        <f>IF(COUNT(G169,G171)=2,IF(G169&lt;G171,E169,E171),"")</f>
        <v/>
      </c>
      <c r="I173" s="279"/>
    </row>
    <row r="174" spans="1:9" x14ac:dyDescent="0.2">
      <c r="A174" s="42"/>
      <c r="B174" s="43"/>
      <c r="C174" s="172"/>
      <c r="D174" s="172"/>
      <c r="E174" s="172"/>
      <c r="F174" s="172"/>
      <c r="G174" s="208"/>
      <c r="H174" s="177" t="s">
        <v>219</v>
      </c>
      <c r="I174" s="41"/>
    </row>
    <row r="175" spans="1:9" hidden="1" x14ac:dyDescent="0.2"/>
    <row r="176" spans="1:9"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3" hidden="1" x14ac:dyDescent="0.2"/>
    <row r="290" spans="1:3" hidden="1" x14ac:dyDescent="0.2"/>
    <row r="291" spans="1:3" hidden="1" x14ac:dyDescent="0.2"/>
    <row r="292" spans="1:3" hidden="1" x14ac:dyDescent="0.2"/>
    <row r="293" spans="1:3" hidden="1" x14ac:dyDescent="0.2"/>
    <row r="294" spans="1:3" hidden="1" x14ac:dyDescent="0.2"/>
    <row r="295" spans="1:3" hidden="1" x14ac:dyDescent="0.2"/>
    <row r="296" spans="1:3" hidden="1" x14ac:dyDescent="0.2"/>
    <row r="297" spans="1:3" hidden="1" x14ac:dyDescent="0.2"/>
    <row r="299" spans="1:3" x14ac:dyDescent="0.2">
      <c r="A299" s="158"/>
      <c r="B299" s="158"/>
      <c r="C299" s="229" t="s">
        <v>231</v>
      </c>
    </row>
    <row r="300" spans="1:3" x14ac:dyDescent="0.2">
      <c r="A300" s="351">
        <v>1</v>
      </c>
      <c r="B300" s="350" t="str">
        <f t="shared" ref="B300:B305" si="13">IFERROR(INDEX(H$100:H$300,MATCH(A300&amp;". koht",H$101:H$301,0)),"")</f>
        <v/>
      </c>
      <c r="C300" s="323">
        <f>IF(16-A300&gt;0,16-A300,1)</f>
        <v>15</v>
      </c>
    </row>
    <row r="301" spans="1:3" x14ac:dyDescent="0.2">
      <c r="A301" s="351">
        <v>2</v>
      </c>
      <c r="B301" s="350" t="str">
        <f t="shared" si="13"/>
        <v/>
      </c>
      <c r="C301" s="323">
        <f t="shared" ref="C301:C305" si="14">IF(16-A301&gt;0,16-A301,1)</f>
        <v>14</v>
      </c>
    </row>
    <row r="302" spans="1:3" x14ac:dyDescent="0.2">
      <c r="A302" s="351">
        <v>3</v>
      </c>
      <c r="B302" s="350" t="str">
        <f t="shared" si="13"/>
        <v/>
      </c>
      <c r="C302" s="323">
        <f t="shared" si="14"/>
        <v>13</v>
      </c>
    </row>
    <row r="303" spans="1:3" x14ac:dyDescent="0.2">
      <c r="A303" s="351">
        <v>4</v>
      </c>
      <c r="B303" s="350" t="str">
        <f t="shared" si="13"/>
        <v/>
      </c>
      <c r="C303" s="323">
        <f t="shared" si="14"/>
        <v>12</v>
      </c>
    </row>
    <row r="304" spans="1:3" x14ac:dyDescent="0.2">
      <c r="A304" s="351">
        <v>5</v>
      </c>
      <c r="B304" s="350" t="str">
        <f t="shared" si="13"/>
        <v/>
      </c>
      <c r="C304" s="323">
        <f t="shared" si="14"/>
        <v>11</v>
      </c>
    </row>
    <row r="305" spans="1:3" x14ac:dyDescent="0.2">
      <c r="A305" s="351">
        <v>6</v>
      </c>
      <c r="B305" s="350" t="str">
        <f t="shared" si="13"/>
        <v/>
      </c>
      <c r="C305" s="323">
        <f t="shared" si="14"/>
        <v>10</v>
      </c>
    </row>
    <row r="306" spans="1:3" x14ac:dyDescent="0.2">
      <c r="A306" s="351">
        <v>7</v>
      </c>
      <c r="B306" s="350" t="str">
        <f t="shared" ref="B306:B315" si="15">IFERROR(INDEX(H$100:H$300,MATCH(A306&amp;". koht",H$101:H$301,0)),"")</f>
        <v/>
      </c>
      <c r="C306" s="323">
        <f t="shared" ref="C306:C315" si="16">IF(16-A306&gt;0,16-A306,1)</f>
        <v>9</v>
      </c>
    </row>
    <row r="307" spans="1:3" x14ac:dyDescent="0.2">
      <c r="A307" s="351">
        <v>8</v>
      </c>
      <c r="B307" s="350" t="str">
        <f t="shared" si="15"/>
        <v/>
      </c>
      <c r="C307" s="323">
        <f t="shared" si="16"/>
        <v>8</v>
      </c>
    </row>
    <row r="308" spans="1:3" x14ac:dyDescent="0.2">
      <c r="A308" s="351">
        <v>9</v>
      </c>
      <c r="B308" s="350" t="str">
        <f t="shared" si="15"/>
        <v/>
      </c>
      <c r="C308" s="323">
        <f t="shared" si="16"/>
        <v>7</v>
      </c>
    </row>
    <row r="309" spans="1:3" x14ac:dyDescent="0.2">
      <c r="A309" s="351">
        <v>10</v>
      </c>
      <c r="B309" s="350" t="str">
        <f t="shared" si="15"/>
        <v/>
      </c>
      <c r="C309" s="323">
        <f t="shared" si="16"/>
        <v>6</v>
      </c>
    </row>
    <row r="310" spans="1:3" x14ac:dyDescent="0.2">
      <c r="A310" s="351">
        <v>11</v>
      </c>
      <c r="B310" s="350" t="str">
        <f t="shared" si="15"/>
        <v/>
      </c>
      <c r="C310" s="323">
        <f t="shared" si="16"/>
        <v>5</v>
      </c>
    </row>
    <row r="311" spans="1:3" x14ac:dyDescent="0.2">
      <c r="A311" s="351">
        <v>12</v>
      </c>
      <c r="B311" s="350" t="str">
        <f t="shared" si="15"/>
        <v/>
      </c>
      <c r="C311" s="323">
        <f t="shared" si="16"/>
        <v>4</v>
      </c>
    </row>
    <row r="312" spans="1:3" x14ac:dyDescent="0.2">
      <c r="A312" s="351">
        <v>13</v>
      </c>
      <c r="B312" s="350" t="str">
        <f t="shared" si="15"/>
        <v/>
      </c>
      <c r="C312" s="323">
        <f t="shared" si="16"/>
        <v>3</v>
      </c>
    </row>
    <row r="313" spans="1:3" x14ac:dyDescent="0.2">
      <c r="A313" s="351">
        <v>14</v>
      </c>
      <c r="B313" s="350" t="str">
        <f t="shared" si="15"/>
        <v/>
      </c>
      <c r="C313" s="323">
        <f t="shared" si="16"/>
        <v>2</v>
      </c>
    </row>
    <row r="314" spans="1:3" x14ac:dyDescent="0.2">
      <c r="A314" s="351">
        <v>15</v>
      </c>
      <c r="B314" s="350" t="str">
        <f t="shared" si="15"/>
        <v/>
      </c>
      <c r="C314" s="323">
        <f t="shared" si="16"/>
        <v>1</v>
      </c>
    </row>
    <row r="315" spans="1:3" x14ac:dyDescent="0.2">
      <c r="A315" s="351">
        <v>16</v>
      </c>
      <c r="B315" s="350" t="str">
        <f t="shared" si="15"/>
        <v/>
      </c>
      <c r="C315" s="323">
        <f t="shared" si="16"/>
        <v>1</v>
      </c>
    </row>
    <row r="316" spans="1:3" x14ac:dyDescent="0.2">
      <c r="C316" s="302"/>
    </row>
  </sheetData>
  <conditionalFormatting sqref="D7 C8">
    <cfRule type="aboveAverage" dxfId="815" priority="558"/>
  </conditionalFormatting>
  <conditionalFormatting sqref="E7 C9">
    <cfRule type="aboveAverage" dxfId="814" priority="557"/>
  </conditionalFormatting>
  <conditionalFormatting sqref="F7 C10">
    <cfRule type="aboveAverage" dxfId="813" priority="556"/>
  </conditionalFormatting>
  <conditionalFormatting sqref="E8 D9">
    <cfRule type="aboveAverage" dxfId="812" priority="555"/>
  </conditionalFormatting>
  <conditionalFormatting sqref="G7 C11">
    <cfRule type="aboveAverage" dxfId="811" priority="554"/>
  </conditionalFormatting>
  <conditionalFormatting sqref="F8 D10">
    <cfRule type="aboveAverage" dxfId="810" priority="553"/>
  </conditionalFormatting>
  <conditionalFormatting sqref="G8 D11">
    <cfRule type="aboveAverage" dxfId="809" priority="552"/>
  </conditionalFormatting>
  <conditionalFormatting sqref="F9 E10">
    <cfRule type="aboveAverage" dxfId="808" priority="551"/>
  </conditionalFormatting>
  <conditionalFormatting sqref="G9 E11">
    <cfRule type="aboveAverage" dxfId="807" priority="550"/>
  </conditionalFormatting>
  <conditionalFormatting sqref="F11 G10">
    <cfRule type="aboveAverage" dxfId="806" priority="549"/>
  </conditionalFormatting>
  <conditionalFormatting sqref="D14 C15">
    <cfRule type="aboveAverage" dxfId="805" priority="548"/>
  </conditionalFormatting>
  <conditionalFormatting sqref="E14 C16">
    <cfRule type="aboveAverage" dxfId="804" priority="547"/>
  </conditionalFormatting>
  <conditionalFormatting sqref="F14 C17">
    <cfRule type="aboveAverage" dxfId="803" priority="546"/>
  </conditionalFormatting>
  <conditionalFormatting sqref="E15 D16">
    <cfRule type="aboveAverage" dxfId="802" priority="545"/>
  </conditionalFormatting>
  <conditionalFormatting sqref="G14 C18">
    <cfRule type="aboveAverage" dxfId="801" priority="544"/>
  </conditionalFormatting>
  <conditionalFormatting sqref="F15 D17">
    <cfRule type="aboveAverage" dxfId="800" priority="543"/>
  </conditionalFormatting>
  <conditionalFormatting sqref="G15 D18">
    <cfRule type="aboveAverage" dxfId="799" priority="542"/>
  </conditionalFormatting>
  <conditionalFormatting sqref="F16 E17">
    <cfRule type="aboveAverage" dxfId="798" priority="541"/>
  </conditionalFormatting>
  <conditionalFormatting sqref="G16 E18">
    <cfRule type="aboveAverage" dxfId="797" priority="540"/>
  </conditionalFormatting>
  <conditionalFormatting sqref="F18 G17">
    <cfRule type="aboveAverage" dxfId="796" priority="539"/>
  </conditionalFormatting>
  <conditionalFormatting sqref="D21 C22">
    <cfRule type="aboveAverage" dxfId="795" priority="538"/>
  </conditionalFormatting>
  <conditionalFormatting sqref="E21 C23">
    <cfRule type="aboveAverage" dxfId="794" priority="537"/>
  </conditionalFormatting>
  <conditionalFormatting sqref="F21 C24">
    <cfRule type="aboveAverage" dxfId="793" priority="536"/>
  </conditionalFormatting>
  <conditionalFormatting sqref="E22 D23">
    <cfRule type="aboveAverage" dxfId="792" priority="535"/>
  </conditionalFormatting>
  <conditionalFormatting sqref="G21 C25">
    <cfRule type="aboveAverage" dxfId="791" priority="534"/>
  </conditionalFormatting>
  <conditionalFormatting sqref="F22 D24">
    <cfRule type="aboveAverage" dxfId="790" priority="533"/>
  </conditionalFormatting>
  <conditionalFormatting sqref="G22 D25">
    <cfRule type="aboveAverage" dxfId="789" priority="532"/>
  </conditionalFormatting>
  <conditionalFormatting sqref="F23 E24">
    <cfRule type="aboveAverage" dxfId="788" priority="531"/>
  </conditionalFormatting>
  <conditionalFormatting sqref="G23 E25">
    <cfRule type="aboveAverage" dxfId="787" priority="530"/>
  </conditionalFormatting>
  <conditionalFormatting sqref="F25 G24">
    <cfRule type="aboveAverage" dxfId="786" priority="529"/>
  </conditionalFormatting>
  <conditionalFormatting sqref="D28 C29">
    <cfRule type="aboveAverage" dxfId="785" priority="528"/>
  </conditionalFormatting>
  <conditionalFormatting sqref="E28 C30">
    <cfRule type="aboveAverage" dxfId="784" priority="527"/>
  </conditionalFormatting>
  <conditionalFormatting sqref="F28 C31">
    <cfRule type="aboveAverage" dxfId="783" priority="526"/>
  </conditionalFormatting>
  <conditionalFormatting sqref="E29 D30">
    <cfRule type="aboveAverage" dxfId="782" priority="525"/>
  </conditionalFormatting>
  <conditionalFormatting sqref="G28 C32">
    <cfRule type="aboveAverage" dxfId="781" priority="524"/>
  </conditionalFormatting>
  <conditionalFormatting sqref="F29 D31">
    <cfRule type="aboveAverage" dxfId="780" priority="523"/>
  </conditionalFormatting>
  <conditionalFormatting sqref="G29 D32">
    <cfRule type="aboveAverage" dxfId="779" priority="522"/>
  </conditionalFormatting>
  <conditionalFormatting sqref="F30 E31">
    <cfRule type="aboveAverage" dxfId="778" priority="521"/>
  </conditionalFormatting>
  <conditionalFormatting sqref="G30 E32">
    <cfRule type="aboveAverage" dxfId="777" priority="520"/>
  </conditionalFormatting>
  <conditionalFormatting sqref="F32 G31">
    <cfRule type="aboveAverage" dxfId="776" priority="519"/>
  </conditionalFormatting>
  <conditionalFormatting sqref="D35 C36">
    <cfRule type="aboveAverage" dxfId="775" priority="518"/>
  </conditionalFormatting>
  <conditionalFormatting sqref="E35 C37">
    <cfRule type="aboveAverage" dxfId="774" priority="517"/>
  </conditionalFormatting>
  <conditionalFormatting sqref="F35 C38">
    <cfRule type="aboveAverage" dxfId="773" priority="516"/>
  </conditionalFormatting>
  <conditionalFormatting sqref="E36 D37">
    <cfRule type="aboveAverage" dxfId="772" priority="515"/>
  </conditionalFormatting>
  <conditionalFormatting sqref="G35 C39">
    <cfRule type="aboveAverage" dxfId="771" priority="514"/>
  </conditionalFormatting>
  <conditionalFormatting sqref="F36 D38">
    <cfRule type="aboveAverage" dxfId="770" priority="513"/>
  </conditionalFormatting>
  <conditionalFormatting sqref="G36 D39">
    <cfRule type="aboveAverage" dxfId="769" priority="512"/>
  </conditionalFormatting>
  <conditionalFormatting sqref="F37 E38">
    <cfRule type="aboveAverage" dxfId="768" priority="511"/>
  </conditionalFormatting>
  <conditionalFormatting sqref="G37 E39">
    <cfRule type="aboveAverage" dxfId="767" priority="510"/>
  </conditionalFormatting>
  <conditionalFormatting sqref="F39 G38">
    <cfRule type="aboveAverage" dxfId="766" priority="509"/>
  </conditionalFormatting>
  <conditionalFormatting sqref="D42 C43">
    <cfRule type="aboveAverage" dxfId="765" priority="508"/>
  </conditionalFormatting>
  <conditionalFormatting sqref="E42 C44">
    <cfRule type="aboveAverage" dxfId="764" priority="507"/>
  </conditionalFormatting>
  <conditionalFormatting sqref="F42 C45">
    <cfRule type="aboveAverage" dxfId="763" priority="506"/>
  </conditionalFormatting>
  <conditionalFormatting sqref="E43 D44">
    <cfRule type="aboveAverage" dxfId="762" priority="505"/>
  </conditionalFormatting>
  <conditionalFormatting sqref="G42 C46">
    <cfRule type="aboveAverage" dxfId="761" priority="504"/>
  </conditionalFormatting>
  <conditionalFormatting sqref="F43 D45">
    <cfRule type="aboveAverage" dxfId="760" priority="503"/>
  </conditionalFormatting>
  <conditionalFormatting sqref="G43 D46">
    <cfRule type="aboveAverage" dxfId="759" priority="502"/>
  </conditionalFormatting>
  <conditionalFormatting sqref="F44 E45">
    <cfRule type="aboveAverage" dxfId="758" priority="501"/>
  </conditionalFormatting>
  <conditionalFormatting sqref="G44 E46">
    <cfRule type="aboveAverage" dxfId="757" priority="500"/>
  </conditionalFormatting>
  <conditionalFormatting sqref="F46 G45">
    <cfRule type="aboveAverage" dxfId="756" priority="499"/>
  </conditionalFormatting>
  <conditionalFormatting sqref="D49 C50">
    <cfRule type="aboveAverage" dxfId="755" priority="498"/>
  </conditionalFormatting>
  <conditionalFormatting sqref="E49 C51">
    <cfRule type="aboveAverage" dxfId="754" priority="497"/>
  </conditionalFormatting>
  <conditionalFormatting sqref="F49 C52">
    <cfRule type="aboveAverage" dxfId="753" priority="496"/>
  </conditionalFormatting>
  <conditionalFormatting sqref="E50 D51">
    <cfRule type="aboveAverage" dxfId="752" priority="495"/>
  </conditionalFormatting>
  <conditionalFormatting sqref="G49 C53">
    <cfRule type="aboveAverage" dxfId="751" priority="494"/>
  </conditionalFormatting>
  <conditionalFormatting sqref="F50 D52">
    <cfRule type="aboveAverage" dxfId="750" priority="493"/>
  </conditionalFormatting>
  <conditionalFormatting sqref="G50 D53">
    <cfRule type="aboveAverage" dxfId="749" priority="492"/>
  </conditionalFormatting>
  <conditionalFormatting sqref="F51 E52">
    <cfRule type="aboveAverage" dxfId="748" priority="491"/>
  </conditionalFormatting>
  <conditionalFormatting sqref="G51 E53">
    <cfRule type="aboveAverage" dxfId="747" priority="490"/>
  </conditionalFormatting>
  <conditionalFormatting sqref="F53 G52">
    <cfRule type="aboveAverage" dxfId="746" priority="489"/>
  </conditionalFormatting>
  <conditionalFormatting sqref="D56 C57">
    <cfRule type="aboveAverage" dxfId="745" priority="488"/>
  </conditionalFormatting>
  <conditionalFormatting sqref="E56 C58">
    <cfRule type="aboveAverage" dxfId="744" priority="487"/>
  </conditionalFormatting>
  <conditionalFormatting sqref="F56 C59">
    <cfRule type="aboveAverage" dxfId="743" priority="486"/>
  </conditionalFormatting>
  <conditionalFormatting sqref="E57 D58">
    <cfRule type="aboveAverage" dxfId="742" priority="485"/>
  </conditionalFormatting>
  <conditionalFormatting sqref="G56 C60">
    <cfRule type="aboveAverage" dxfId="741" priority="484"/>
  </conditionalFormatting>
  <conditionalFormatting sqref="F57 D59">
    <cfRule type="aboveAverage" dxfId="740" priority="483"/>
  </conditionalFormatting>
  <conditionalFormatting sqref="G57 D60">
    <cfRule type="aboveAverage" dxfId="739" priority="482"/>
  </conditionalFormatting>
  <conditionalFormatting sqref="F58 E59">
    <cfRule type="aboveAverage" dxfId="738" priority="481"/>
  </conditionalFormatting>
  <conditionalFormatting sqref="G58 E60">
    <cfRule type="aboveAverage" dxfId="737" priority="480"/>
  </conditionalFormatting>
  <conditionalFormatting sqref="F60 G59">
    <cfRule type="aboveAverage" dxfId="736" priority="479"/>
  </conditionalFormatting>
  <conditionalFormatting sqref="H14:H18">
    <cfRule type="expression" dxfId="735" priority="409">
      <formula>AND(Q14=4,IF(COUNTIF(Q$14:Q$18,"=4")&gt;=2,TRUE))</formula>
    </cfRule>
    <cfRule type="expression" dxfId="734" priority="559">
      <formula>AND(Q14=3,IF(COUNTIF(Q$14:Q$18,"=3")&gt;=2,TRUE))</formula>
    </cfRule>
    <cfRule type="expression" dxfId="733" priority="560">
      <formula>AND(Q14=2,IF(COUNTIF(Q$14:Q$18,"=2")&gt;=2,TRUE))</formula>
    </cfRule>
    <cfRule type="expression" dxfId="732" priority="561">
      <formula>AND(Q14=1,IF(COUNTIF(Q$14:Q$18,"=1")&gt;=2,TRUE))</formula>
    </cfRule>
  </conditionalFormatting>
  <conditionalFormatting sqref="B7:B60">
    <cfRule type="duplicateValues" dxfId="731" priority="464"/>
  </conditionalFormatting>
  <conditionalFormatting sqref="L7:L11">
    <cfRule type="expression" dxfId="730" priority="447">
      <formula>K7=0</formula>
    </cfRule>
    <cfRule type="expression" dxfId="729" priority="456">
      <formula>IF(COUNTIF(J$7:J$11,"=2")=2,TRUE)</formula>
    </cfRule>
    <cfRule type="expression" dxfId="728" priority="457">
      <formula>IF(COUNTIF(J$7:J$11,"=1")=2,TRUE)</formula>
    </cfRule>
    <cfRule type="expression" dxfId="727" priority="458">
      <formula>AND(IF(COUNTIF(Q$7:Q$11,"=1")=2,TRUE),IF(COUNTIF(Q$7:Q$11,"=2")=2,TRUE))</formula>
    </cfRule>
    <cfRule type="expression" dxfId="726" priority="459">
      <formula>AND(Q7=4,IF(COUNTIF(Q$7:Q$11,"=4")=1,TRUE))</formula>
    </cfRule>
    <cfRule type="expression" dxfId="725" priority="460">
      <formula>AND(Q7=3,IF(COUNTIF(Q$7:Q$11,"=3")=1,TRUE))</formula>
    </cfRule>
    <cfRule type="expression" dxfId="724" priority="461">
      <formula>AND(Q7=2,IF(COUNTIF(Q$7:Q$11,"=2")=1,TRUE))</formula>
    </cfRule>
    <cfRule type="expression" dxfId="723" priority="462">
      <formula>AND(Q7=1,IF(COUNTIF(Q$7:Q$11,"=1")=1,TRUE))</formula>
    </cfRule>
    <cfRule type="expression" dxfId="722" priority="463">
      <formula>OR(Q7=0,Q7=5)</formula>
    </cfRule>
  </conditionalFormatting>
  <conditionalFormatting sqref="O7:O11">
    <cfRule type="expression" dxfId="721" priority="455">
      <formula>OR(AND(J7=1,K7=1,L7=0,M7=1),AND(J7=2,K7=2,L7=0,M7=2))</formula>
    </cfRule>
  </conditionalFormatting>
  <conditionalFormatting sqref="M7:M11">
    <cfRule type="expression" dxfId="720" priority="448">
      <formula>AND(L7&gt;0,IF(COUNTIF(L$7:L$11,L7)&gt;1,TRUE,FALSE))</formula>
    </cfRule>
    <cfRule type="expression" dxfId="719" priority="449">
      <formula>AND(IF(COUNTIF(R$7:R$11,"=1")=2,TRUE),IF(COUNTIF(R$7:R$11,"=2")=2,TRUE))</formula>
    </cfRule>
    <cfRule type="expression" dxfId="718" priority="450">
      <formula>AND(R7=4,IF(COUNTIF(R$7:R$11,"=4")=1,TRUE))</formula>
    </cfRule>
    <cfRule type="expression" dxfId="717" priority="451">
      <formula>AND(R7=3,IF(COUNTIF(R$7:R$11,"=3")=1,TRUE))</formula>
    </cfRule>
    <cfRule type="expression" dxfId="716" priority="452">
      <formula>AND(R7=2,IF(COUNTIF(R$7:R$11,"=2")=1,TRUE))</formula>
    </cfRule>
    <cfRule type="expression" dxfId="715" priority="453">
      <formula>AND(R7=1,IF(COUNTIF(R$7:R$11,"=1")=1,TRUE))</formula>
    </cfRule>
    <cfRule type="expression" dxfId="714" priority="454">
      <formula>OR(R7=0,R7=5)</formula>
    </cfRule>
  </conditionalFormatting>
  <conditionalFormatting sqref="J7:J11">
    <cfRule type="expression" dxfId="713" priority="443">
      <formula>AND(Q7=4,IF(COUNTIF(Q$7:Q$11,"=4")&gt;=2,TRUE))</formula>
    </cfRule>
    <cfRule type="expression" dxfId="712" priority="444">
      <formula>AND(Q7=3,IF(COUNTIF(Q$7:Q$11,"=3")&gt;=2,TRUE))</formula>
    </cfRule>
    <cfRule type="expression" dxfId="711" priority="445">
      <formula>AND(Q7=2,IF(COUNTIF(Q$7:Q$11,"=2")&gt;=2,TRUE))</formula>
    </cfRule>
    <cfRule type="expression" dxfId="710" priority="446">
      <formula>AND(Q7=1,IF(COUNTIF(Q$7:Q$11,"=1")&gt;=2,TRUE))</formula>
    </cfRule>
  </conditionalFormatting>
  <conditionalFormatting sqref="H7:H11">
    <cfRule type="expression" dxfId="709" priority="410">
      <formula>AND(Q7=4,IF(COUNTIF(Q$7:Q$11,"=4")&gt;=2,TRUE))</formula>
    </cfRule>
    <cfRule type="expression" dxfId="708" priority="562">
      <formula>AND(Q7=3,IF(COUNTIF(Q$7:Q$11,"=3")&gt;=2,TRUE))</formula>
    </cfRule>
    <cfRule type="expression" dxfId="707" priority="563">
      <formula>AND(Q7=2,IF(COUNTIF(Q$7:Q$11,"=2")&gt;=2,TRUE))</formula>
    </cfRule>
    <cfRule type="expression" dxfId="706" priority="564">
      <formula>AND(Q7=1,IF(COUNTIF(Q$7:Q$11,"=1")&gt;=2,TRUE))</formula>
    </cfRule>
  </conditionalFormatting>
  <conditionalFormatting sqref="K7:K11">
    <cfRule type="expression" dxfId="705" priority="565">
      <formula>AND(J7&gt;0,IF(COUNTIF(J$7:J$11,"=1")=2,TRUE),IF(COUNTIF(J$7:J$11,"=2")=2,TRUE))</formula>
    </cfRule>
    <cfRule type="expression" dxfId="704" priority="566">
      <formula>IF(COUNTIF(L$7:L$11,"=2")=2,TRUE)</formula>
    </cfRule>
    <cfRule type="expression" dxfId="703" priority="567">
      <formula>IF(COUNTIF(L$7:L$11,"=1")=2,TRUE)</formula>
    </cfRule>
    <cfRule type="expression" dxfId="702" priority="568">
      <formula>AND(IF(COUNTIF(R$7:R$11,"=1")=2,TRUE),IF(COUNTIF(S$7:S$11,"=2")=2,TRUE))</formula>
    </cfRule>
    <cfRule type="expression" dxfId="701" priority="569">
      <formula>AND(R7=4,IF(COUNTIF(R$7:R$11,"=4")=1,TRUE))</formula>
    </cfRule>
    <cfRule type="expression" dxfId="700" priority="570">
      <formula>AND(R7=3,IF(COUNTIF(R$7:R$11,"=3")=1,TRUE))</formula>
    </cfRule>
    <cfRule type="expression" dxfId="699" priority="571">
      <formula>AND(R7=2,IF(COUNTIF(R$7:R$11,"=2")=1,TRUE))</formula>
    </cfRule>
    <cfRule type="expression" dxfId="698" priority="572">
      <formula>AND(R7=1,IF(COUNTIF(R$7:R$11,"=1")=1,TRUE))</formula>
    </cfRule>
    <cfRule type="expression" dxfId="697" priority="573">
      <formula>OR(R7=0,R7=5)</formula>
    </cfRule>
  </conditionalFormatting>
  <conditionalFormatting sqref="L14:L18">
    <cfRule type="expression" dxfId="696" priority="415">
      <formula>K14=0</formula>
    </cfRule>
    <cfRule type="expression" dxfId="695" priority="424">
      <formula>IF(COUNTIF(J$14:J$18,"=2")=2,TRUE)</formula>
    </cfRule>
    <cfRule type="expression" dxfId="694" priority="425">
      <formula>IF(COUNTIF(J$14:J$18,"=1")=2,TRUE)</formula>
    </cfRule>
    <cfRule type="expression" dxfId="693" priority="426">
      <formula>AND(IF(COUNTIF(Q$14:Q$18,"=1")=2,TRUE),IF(COUNTIF(Q$14:Q$18,"=2")=2,TRUE))</formula>
    </cfRule>
    <cfRule type="expression" dxfId="692" priority="427">
      <formula>AND(Q14=4,IF(COUNTIF(Q$14:Q$18,"=4")=1,TRUE))</formula>
    </cfRule>
    <cfRule type="expression" dxfId="691" priority="428">
      <formula>AND(Q14=3,IF(COUNTIF(Q$14:Q$18,"=3")=1,TRUE))</formula>
    </cfRule>
    <cfRule type="expression" dxfId="690" priority="429">
      <formula>AND(Q14=2,IF(COUNTIF(Q$14:Q$18,"=2")=1,TRUE))</formula>
    </cfRule>
    <cfRule type="expression" dxfId="689" priority="430">
      <formula>AND(Q14=1,IF(COUNTIF(Q$14:Q$18,"=1")=1,TRUE))</formula>
    </cfRule>
    <cfRule type="expression" dxfId="688" priority="431">
      <formula>OR(Q14=0,Q14=5)</formula>
    </cfRule>
  </conditionalFormatting>
  <conditionalFormatting sqref="O14:O18">
    <cfRule type="expression" dxfId="687" priority="423">
      <formula>OR(AND(J14=1,K14=1,L14=0,M14=1),AND(J14=2,K14=2,L14=0,M14=2))</formula>
    </cfRule>
  </conditionalFormatting>
  <conditionalFormatting sqref="M14:M18">
    <cfRule type="expression" dxfId="686" priority="416">
      <formula>AND(L14&gt;0,IF(COUNTIF(L$14:L$18,L14)&gt;1,TRUE,FALSE))</formula>
    </cfRule>
    <cfRule type="expression" dxfId="685" priority="417">
      <formula>AND(IF(COUNTIF(R$14:R$18,"=1")=2,TRUE),IF(COUNTIF(R$14:R$18,"=2")=2,TRUE))</formula>
    </cfRule>
    <cfRule type="expression" dxfId="684" priority="418">
      <formula>AND(R14=4,IF(COUNTIF(R$14:R$18,"=4")=1,TRUE))</formula>
    </cfRule>
    <cfRule type="expression" dxfId="683" priority="419">
      <formula>AND(R14=3,IF(COUNTIF(R$14:R$18,"=3")=1,TRUE))</formula>
    </cfRule>
    <cfRule type="expression" dxfId="682" priority="420">
      <formula>AND(R14=2,IF(COUNTIF(R$14:R$18,"=2")=1,TRUE))</formula>
    </cfRule>
    <cfRule type="expression" dxfId="681" priority="421">
      <formula>AND(R14=1,IF(COUNTIF(R$14:R$18,"=1")=1,TRUE))</formula>
    </cfRule>
    <cfRule type="expression" dxfId="680" priority="422">
      <formula>OR(R14=0,R14=5)</formula>
    </cfRule>
  </conditionalFormatting>
  <conditionalFormatting sqref="J14:J18">
    <cfRule type="expression" dxfId="679" priority="411">
      <formula>AND(Q14=4,IF(COUNTIF(Q$14:Q$18,"=4")&gt;=2,TRUE))</formula>
    </cfRule>
    <cfRule type="expression" dxfId="678" priority="412">
      <formula>AND(Q14=3,IF(COUNTIF(Q$14:Q$18,"=3")&gt;=2,TRUE))</formula>
    </cfRule>
    <cfRule type="expression" dxfId="677" priority="413">
      <formula>AND(Q14=2,IF(COUNTIF(Q$14:Q$18,"=2")&gt;=2,TRUE))</formula>
    </cfRule>
    <cfRule type="expression" dxfId="676" priority="414">
      <formula>AND(Q14=1,IF(COUNTIF(Q$14:Q$18,"=1")&gt;=2,TRUE))</formula>
    </cfRule>
  </conditionalFormatting>
  <conditionalFormatting sqref="K14:K18">
    <cfRule type="expression" dxfId="675" priority="434">
      <formula>AND(J14&gt;0,IF(COUNTIF(J$14:J$18,"=1")=2,TRUE),IF(COUNTIF(J$14:J$18,"=2")=2,TRUE))</formula>
    </cfRule>
    <cfRule type="expression" dxfId="674" priority="435">
      <formula>IF(COUNTIF(L$14:L$18,"=2")=2,TRUE)</formula>
    </cfRule>
    <cfRule type="expression" dxfId="673" priority="436">
      <formula>IF(COUNTIF(L$14:L$18,"=1")=2,TRUE)</formula>
    </cfRule>
    <cfRule type="expression" dxfId="672" priority="437">
      <formula>AND(IF(COUNTIF(R$14:R$18,"=1")=2,TRUE),IF(COUNTIF(S$14:S$18,"=2")=2,TRUE))</formula>
    </cfRule>
    <cfRule type="expression" dxfId="671" priority="438">
      <formula>AND(R14=4,IF(COUNTIF(R$14:R$18,"=4")=1,TRUE))</formula>
    </cfRule>
    <cfRule type="expression" dxfId="670" priority="439">
      <formula>AND(R14=3,IF(COUNTIF(R$14:R$18,"=3")=1,TRUE))</formula>
    </cfRule>
    <cfRule type="expression" dxfId="669" priority="440">
      <formula>AND(R14=2,IF(COUNTIF(R$14:R$18,"=2")=1,TRUE))</formula>
    </cfRule>
    <cfRule type="expression" dxfId="668" priority="441">
      <formula>AND(R14=1,IF(COUNTIF(R$14:R$18,"=1")=1,TRUE))</formula>
    </cfRule>
    <cfRule type="expression" dxfId="667" priority="442">
      <formula>OR(R14=0,R14=5)</formula>
    </cfRule>
  </conditionalFormatting>
  <conditionalFormatting sqref="L21:L25">
    <cfRule type="expression" dxfId="666" priority="383">
      <formula>K21=0</formula>
    </cfRule>
    <cfRule type="expression" dxfId="665" priority="392">
      <formula>IF(COUNTIF(J$21:J$25,"=2")=2,TRUE)</formula>
    </cfRule>
    <cfRule type="expression" dxfId="664" priority="393">
      <formula>IF(COUNTIF(J$21:J$25,"=1")=2,TRUE)</formula>
    </cfRule>
    <cfRule type="expression" dxfId="663" priority="394">
      <formula>AND(IF(COUNTIF(Q$21:Q$25,"=1")=2,TRUE),IF(COUNTIF(Q$21:Q$25,"=2")=2,TRUE))</formula>
    </cfRule>
    <cfRule type="expression" dxfId="662" priority="395">
      <formula>AND(Q21=4,IF(COUNTIF(Q$21:Q$25,"=4")=1,TRUE))</formula>
    </cfRule>
    <cfRule type="expression" dxfId="661" priority="396">
      <formula>AND(Q21=3,IF(COUNTIF(Q$21:Q$25,"=3")=1,TRUE))</formula>
    </cfRule>
    <cfRule type="expression" dxfId="660" priority="397">
      <formula>AND(Q21=2,IF(COUNTIF(Q$21:Q$25,"=2")=1,TRUE))</formula>
    </cfRule>
    <cfRule type="expression" dxfId="659" priority="398">
      <formula>AND(Q21=1,IF(COUNTIF(Q$21:Q$25,"=1")=1,TRUE))</formula>
    </cfRule>
    <cfRule type="expression" dxfId="658" priority="399">
      <formula>OR(Q21=0,Q21=5)</formula>
    </cfRule>
  </conditionalFormatting>
  <conditionalFormatting sqref="O21:O25">
    <cfRule type="expression" dxfId="657" priority="391">
      <formula>OR(AND(J21=1,K21=1,L21=0,M21=1),AND(J21=2,K21=2,L21=0,M21=2))</formula>
    </cfRule>
  </conditionalFormatting>
  <conditionalFormatting sqref="M21:M25">
    <cfRule type="expression" dxfId="656" priority="384">
      <formula>AND(L21&gt;0,IF(COUNTIF(L$21:L$25,L21)&gt;1,TRUE,FALSE))</formula>
    </cfRule>
    <cfRule type="expression" dxfId="655" priority="385">
      <formula>AND(IF(COUNTIF(R$21:R$25,"=1")=2,TRUE),IF(COUNTIF(R$21:R$25,"=2")=2,TRUE))</formula>
    </cfRule>
    <cfRule type="expression" dxfId="654" priority="386">
      <formula>AND(R21=4,IF(COUNTIF(R$21:R$25,"=4")=1,TRUE))</formula>
    </cfRule>
    <cfRule type="expression" dxfId="653" priority="387">
      <formula>AND(R21=3,IF(COUNTIF(R$21:R$25,"=3")=1,TRUE))</formula>
    </cfRule>
    <cfRule type="expression" dxfId="652" priority="388">
      <formula>AND(R21=2,IF(COUNTIF(R$21:R$25,"=2")=1,TRUE))</formula>
    </cfRule>
    <cfRule type="expression" dxfId="651" priority="389">
      <formula>AND(R21=1,IF(COUNTIF(R$21:R$25,"=1")=1,TRUE))</formula>
    </cfRule>
    <cfRule type="expression" dxfId="650" priority="390">
      <formula>OR(R21=0,R21=5)</formula>
    </cfRule>
  </conditionalFormatting>
  <conditionalFormatting sqref="J21:J25">
    <cfRule type="expression" dxfId="649" priority="379">
      <formula>AND(Q21=4,IF(COUNTIF(Q$21:Q$25,"=4")&gt;=2,TRUE))</formula>
    </cfRule>
    <cfRule type="expression" dxfId="648" priority="380">
      <formula>AND(Q21=3,IF(COUNTIF(Q$21:Q$25,"=3")&gt;=2,TRUE))</formula>
    </cfRule>
    <cfRule type="expression" dxfId="647" priority="381">
      <formula>AND(Q21=2,IF(COUNTIF(Q$21:Q$25,"=2")&gt;=2,TRUE))</formula>
    </cfRule>
    <cfRule type="expression" dxfId="646" priority="382">
      <formula>AND(Q21=1,IF(COUNTIF(Q$21:Q$25,"=1")&gt;=2,TRUE))</formula>
    </cfRule>
  </conditionalFormatting>
  <conditionalFormatting sqref="K21:K25">
    <cfRule type="expression" dxfId="645" priority="400">
      <formula>AND(J21&gt;0,IF(COUNTIF(J$21:J$25,"=1")=2,TRUE),IF(COUNTIF(J$21:J$25,"=2")=2,TRUE))</formula>
    </cfRule>
    <cfRule type="expression" dxfId="644" priority="401">
      <formula>IF(COUNTIF(L$21:L$25,"=2")=2,TRUE)</formula>
    </cfRule>
    <cfRule type="expression" dxfId="643" priority="402">
      <formula>IF(COUNTIF(L$21:L$25,"=1")=2,TRUE)</formula>
    </cfRule>
    <cfRule type="expression" dxfId="642" priority="403">
      <formula>AND(IF(COUNTIF(R$21:R$25,"=1")=2,TRUE),IF(COUNTIF(S$21:S$25,"=2")=2,TRUE))</formula>
    </cfRule>
    <cfRule type="expression" dxfId="641" priority="404">
      <formula>AND(R21=4,IF(COUNTIF(R$21:R$25,"=4")=1,TRUE))</formula>
    </cfRule>
    <cfRule type="expression" dxfId="640" priority="405">
      <formula>AND(R21=3,IF(COUNTIF(R$21:R$25,"=3")=1,TRUE))</formula>
    </cfRule>
    <cfRule type="expression" dxfId="639" priority="406">
      <formula>AND(R21=2,IF(COUNTIF(R$21:R$25,"=2")=1,TRUE))</formula>
    </cfRule>
    <cfRule type="expression" dxfId="638" priority="407">
      <formula>AND(R21=1,IF(COUNTIF(R$21:R$25,"=1")=1,TRUE))</formula>
    </cfRule>
    <cfRule type="expression" dxfId="637" priority="408">
      <formula>OR(R21=0,R21=5)</formula>
    </cfRule>
  </conditionalFormatting>
  <conditionalFormatting sqref="H21:H25">
    <cfRule type="expression" dxfId="636" priority="375">
      <formula>AND(Q21=4,IF(COUNTIF(Q$21:Q$25,"=4")&gt;=2,TRUE))</formula>
    </cfRule>
    <cfRule type="expression" dxfId="635" priority="376">
      <formula>AND(Q21=3,IF(COUNTIF(Q$21:Q$25,"=3")&gt;=2,TRUE))</formula>
    </cfRule>
    <cfRule type="expression" dxfId="634" priority="377">
      <formula>AND(Q21=2,IF(COUNTIF(Q$21:Q$25,"=2")&gt;=2,TRUE))</formula>
    </cfRule>
    <cfRule type="expression" dxfId="633" priority="378">
      <formula>AND(Q21=1,IF(COUNTIF(Q$21:Q$25,"=1")&gt;=2,TRUE))</formula>
    </cfRule>
  </conditionalFormatting>
  <conditionalFormatting sqref="L28:L32">
    <cfRule type="expression" dxfId="632" priority="349">
      <formula>K28=0</formula>
    </cfRule>
    <cfRule type="expression" dxfId="631" priority="358">
      <formula>IF(COUNTIF(J$28:J$32,"=2")=2,TRUE)</formula>
    </cfRule>
    <cfRule type="expression" dxfId="630" priority="359">
      <formula>IF(COUNTIF(J$28:J$32,"=1")=2,TRUE)</formula>
    </cfRule>
    <cfRule type="expression" dxfId="629" priority="360">
      <formula>AND(IF(COUNTIF(Q$28:Q$32,"=1")=2,TRUE),IF(COUNTIF(Q$28:Q$32,"=2")=2,TRUE))</formula>
    </cfRule>
    <cfRule type="expression" dxfId="628" priority="361">
      <formula>AND(Q28=4,IF(COUNTIF(Q$28:Q$32,"=4")=1,TRUE))</formula>
    </cfRule>
    <cfRule type="expression" dxfId="627" priority="362">
      <formula>AND(Q28=3,IF(COUNTIF(Q$28:Q$32,"=3")=1,TRUE))</formula>
    </cfRule>
    <cfRule type="expression" dxfId="626" priority="363">
      <formula>AND(Q28=2,IF(COUNTIF(Q$28:Q$32,"=2")=1,TRUE))</formula>
    </cfRule>
    <cfRule type="expression" dxfId="625" priority="364">
      <formula>AND(Q28=1,IF(COUNTIF(Q$28:Q$32,"=1")=1,TRUE))</formula>
    </cfRule>
    <cfRule type="expression" dxfId="624" priority="365">
      <formula>OR(Q28=0,Q28=5)</formula>
    </cfRule>
  </conditionalFormatting>
  <conditionalFormatting sqref="O28:O32">
    <cfRule type="expression" dxfId="623" priority="357">
      <formula>OR(AND(J28=1,K28=1,L28=0,M28=1),AND(J28=2,K28=2,L28=0,M28=2))</formula>
    </cfRule>
  </conditionalFormatting>
  <conditionalFormatting sqref="M28:M32">
    <cfRule type="expression" dxfId="622" priority="350">
      <formula>AND(L28&gt;0,IF(COUNTIF(L$28:L$32,L28)&gt;1,TRUE,FALSE))</formula>
    </cfRule>
    <cfRule type="expression" dxfId="621" priority="351">
      <formula>AND(IF(COUNTIF(R$28:R$32,"=1")=2,TRUE),IF(COUNTIF(R$28:R$32,"=2")=2,TRUE))</formula>
    </cfRule>
    <cfRule type="expression" dxfId="620" priority="352">
      <formula>AND(R28=4,IF(COUNTIF(R$28:R$32,"=4")=1,TRUE))</formula>
    </cfRule>
    <cfRule type="expression" dxfId="619" priority="353">
      <formula>AND(R28=3,IF(COUNTIF(R$28:R$32,"=3")=1,TRUE))</formula>
    </cfRule>
    <cfRule type="expression" dxfId="618" priority="354">
      <formula>AND(R28=2,IF(COUNTIF(R$28:R$32,"=2")=1,TRUE))</formula>
    </cfRule>
    <cfRule type="expression" dxfId="617" priority="355">
      <formula>AND(R28=1,IF(COUNTIF(R$28:R$32,"=1")=1,TRUE))</formula>
    </cfRule>
    <cfRule type="expression" dxfId="616" priority="356">
      <formula>OR(R28=0,R28=5)</formula>
    </cfRule>
  </conditionalFormatting>
  <conditionalFormatting sqref="J28:J32">
    <cfRule type="expression" dxfId="615" priority="345">
      <formula>AND(Q28=4,IF(COUNTIF(Q$28:Q$32,"=4")&gt;=2,TRUE))</formula>
    </cfRule>
    <cfRule type="expression" dxfId="614" priority="346">
      <formula>AND(Q28=3,IF(COUNTIF(Q$28:Q$32,"=3")&gt;=2,TRUE))</formula>
    </cfRule>
    <cfRule type="expression" dxfId="613" priority="347">
      <formula>AND(Q28=2,IF(COUNTIF(Q$28:Q$32,"=2")&gt;=2,TRUE))</formula>
    </cfRule>
    <cfRule type="expression" dxfId="612" priority="348">
      <formula>AND(Q28=1,IF(COUNTIF(Q$28:Q$32,"=1")&gt;=2,TRUE))</formula>
    </cfRule>
  </conditionalFormatting>
  <conditionalFormatting sqref="K28:K32">
    <cfRule type="expression" dxfId="611" priority="366">
      <formula>AND(J28&gt;0,IF(COUNTIF(J$28:J$32,"=1")=2,TRUE),IF(COUNTIF(J$28:J$32,"=2")=2,TRUE))</formula>
    </cfRule>
    <cfRule type="expression" dxfId="610" priority="367">
      <formula>IF(COUNTIF(L$28:L$32,"=2")=2,TRUE)</formula>
    </cfRule>
    <cfRule type="expression" dxfId="609" priority="368">
      <formula>IF(COUNTIF(L$28:L$32,"=1")=2,TRUE)</formula>
    </cfRule>
    <cfRule type="expression" dxfId="608" priority="369">
      <formula>AND(IF(COUNTIF(R$28:R$32,"=1")=2,TRUE),IF(COUNTIF(S$28:S$32,"=2")=2,TRUE))</formula>
    </cfRule>
    <cfRule type="expression" dxfId="607" priority="370">
      <formula>AND(R28=4,IF(COUNTIF(R$28:R$32,"=4")=1,TRUE))</formula>
    </cfRule>
    <cfRule type="expression" dxfId="606" priority="371">
      <formula>AND(R28=3,IF(COUNTIF(R$28:R$32,"=3")=1,TRUE))</formula>
    </cfRule>
    <cfRule type="expression" dxfId="605" priority="372">
      <formula>AND(R28=2,IF(COUNTIF(R$28:R$32,"=2")=1,TRUE))</formula>
    </cfRule>
    <cfRule type="expression" dxfId="604" priority="373">
      <formula>AND(R28=1,IF(COUNTIF(R$28:R$32,"=1")=1,TRUE))</formula>
    </cfRule>
    <cfRule type="expression" dxfId="603" priority="374">
      <formula>OR(R28=0,R28=5)</formula>
    </cfRule>
  </conditionalFormatting>
  <conditionalFormatting sqref="H28:H32">
    <cfRule type="expression" dxfId="602" priority="341">
      <formula>AND(Q28=4,IF(COUNTIF(Q$28:Q$32,"=4")&gt;=2,TRUE))</formula>
    </cfRule>
    <cfRule type="expression" dxfId="601" priority="342">
      <formula>AND(Q28=3,IF(COUNTIF(Q$28:Q$32,"=3")&gt;=2,TRUE))</formula>
    </cfRule>
    <cfRule type="expression" dxfId="600" priority="343">
      <formula>AND(Q28=2,IF(COUNTIF(Q$28:Q$32,"=2")&gt;=2,TRUE))</formula>
    </cfRule>
    <cfRule type="expression" dxfId="599" priority="344">
      <formula>AND(Q28=1,IF(COUNTIF(Q$28:Q$32,"=1")&gt;=2,TRUE))</formula>
    </cfRule>
  </conditionalFormatting>
  <conditionalFormatting sqref="L35:L39">
    <cfRule type="expression" dxfId="598" priority="315">
      <formula>K35=0</formula>
    </cfRule>
    <cfRule type="expression" dxfId="597" priority="324">
      <formula>IF(COUNTIF(J$35:J$39,"=2")=2,TRUE)</formula>
    </cfRule>
    <cfRule type="expression" dxfId="596" priority="325">
      <formula>IF(COUNTIF(J$35:J$39,"=1")=2,TRUE)</formula>
    </cfRule>
    <cfRule type="expression" dxfId="595" priority="326">
      <formula>AND(IF(COUNTIF(Q$35:Q$39,"=1")=2,TRUE),IF(COUNTIF(Q$35:Q$39,"=2")=2,TRUE))</formula>
    </cfRule>
    <cfRule type="expression" dxfId="594" priority="327">
      <formula>AND(Q35=4,IF(COUNTIF(Q$35:Q$39,"=4")=1,TRUE))</formula>
    </cfRule>
    <cfRule type="expression" dxfId="593" priority="328">
      <formula>AND(Q35=3,IF(COUNTIF(Q$35:Q$39,"=3")=1,TRUE))</formula>
    </cfRule>
    <cfRule type="expression" dxfId="592" priority="329">
      <formula>AND(Q35=2,IF(COUNTIF(Q$35:Q$39,"=2")=1,TRUE))</formula>
    </cfRule>
    <cfRule type="expression" dxfId="591" priority="330">
      <formula>AND(Q35=1,IF(COUNTIF(Q$35:Q$39,"=1")=1,TRUE))</formula>
    </cfRule>
    <cfRule type="expression" dxfId="590" priority="331">
      <formula>OR(Q35=0,Q35=5)</formula>
    </cfRule>
  </conditionalFormatting>
  <conditionalFormatting sqref="O35:O39">
    <cfRule type="expression" dxfId="589" priority="323">
      <formula>OR(AND(J35=1,K35=1,L35=0,M35=1),AND(J35=2,K35=2,L35=0,M35=2))</formula>
    </cfRule>
  </conditionalFormatting>
  <conditionalFormatting sqref="M35:M39">
    <cfRule type="expression" dxfId="588" priority="316">
      <formula>AND(L35&gt;0,IF(COUNTIF(L$35:L$39,L35)&gt;1,TRUE,FALSE))</formula>
    </cfRule>
    <cfRule type="expression" dxfId="587" priority="317">
      <formula>AND(IF(COUNTIF(R$35:R$39,"=1")=2,TRUE),IF(COUNTIF(R$35:R$39,"=2")=2,TRUE))</formula>
    </cfRule>
    <cfRule type="expression" dxfId="586" priority="318">
      <formula>AND(R35=4,IF(COUNTIF(R$35:R$39,"=4")=1,TRUE))</formula>
    </cfRule>
    <cfRule type="expression" dxfId="585" priority="319">
      <formula>AND(R35=3,IF(COUNTIF(R$35:R$39,"=3")=1,TRUE))</formula>
    </cfRule>
    <cfRule type="expression" dxfId="584" priority="320">
      <formula>AND(R35=2,IF(COUNTIF(R$35:R$39,"=2")=1,TRUE))</formula>
    </cfRule>
    <cfRule type="expression" dxfId="583" priority="321">
      <formula>AND(R35=1,IF(COUNTIF(R$35:R$39,"=1")=1,TRUE))</formula>
    </cfRule>
    <cfRule type="expression" dxfId="582" priority="322">
      <formula>OR(R35=0,R35=5)</formula>
    </cfRule>
  </conditionalFormatting>
  <conditionalFormatting sqref="J35:J39">
    <cfRule type="expression" dxfId="581" priority="311">
      <formula>AND(Q35=4,IF(COUNTIF(Q$35:Q$39,"=4")&gt;=2,TRUE))</formula>
    </cfRule>
    <cfRule type="expression" dxfId="580" priority="312">
      <formula>AND(Q35=3,IF(COUNTIF(Q$35:Q$39,"=3")&gt;=2,TRUE))</formula>
    </cfRule>
    <cfRule type="expression" dxfId="579" priority="313">
      <formula>AND(Q35=2,IF(COUNTIF(Q$35:Q$39,"=2")&gt;=2,TRUE))</formula>
    </cfRule>
    <cfRule type="expression" dxfId="578" priority="314">
      <formula>AND(Q35=1,IF(COUNTIF(Q$35:Q$39,"=1")&gt;=2,TRUE))</formula>
    </cfRule>
  </conditionalFormatting>
  <conditionalFormatting sqref="K35:K39">
    <cfRule type="expression" dxfId="577" priority="332">
      <formula>AND(J35&gt;0,IF(COUNTIF(J$35:J$39,"=1")=2,TRUE),IF(COUNTIF(J$35:J$39,"=2")=2,TRUE))</formula>
    </cfRule>
    <cfRule type="expression" dxfId="576" priority="333">
      <formula>IF(COUNTIF(L$35:L$39,"=2")=2,TRUE)</formula>
    </cfRule>
    <cfRule type="expression" dxfId="575" priority="334">
      <formula>IF(COUNTIF(L$35:L$39,"=1")=2,TRUE)</formula>
    </cfRule>
    <cfRule type="expression" dxfId="574" priority="335">
      <formula>AND(IF(COUNTIF(R$35:R$39,"=1")=2,TRUE),IF(COUNTIF(S$35:S$39,"=2")=2,TRUE))</formula>
    </cfRule>
    <cfRule type="expression" dxfId="573" priority="336">
      <formula>AND(R35=4,IF(COUNTIF(R$35:R$39,"=4")=1,TRUE))</formula>
    </cfRule>
    <cfRule type="expression" dxfId="572" priority="337">
      <formula>AND(R35=3,IF(COUNTIF(R$35:R$39,"=3")=1,TRUE))</formula>
    </cfRule>
    <cfRule type="expression" dxfId="571" priority="338">
      <formula>AND(R35=2,IF(COUNTIF(R$35:R$39,"=2")=1,TRUE))</formula>
    </cfRule>
    <cfRule type="expression" dxfId="570" priority="339">
      <formula>AND(R35=1,IF(COUNTIF(R$35:R$39,"=1")=1,TRUE))</formula>
    </cfRule>
    <cfRule type="expression" dxfId="569" priority="340">
      <formula>OR(R35=0,R35=5)</formula>
    </cfRule>
  </conditionalFormatting>
  <conditionalFormatting sqref="H35:H39">
    <cfRule type="expression" dxfId="568" priority="307">
      <formula>AND(Q35=4,IF(COUNTIF(Q$35:Q$39,"=4")&gt;=2,TRUE))</formula>
    </cfRule>
    <cfRule type="expression" dxfId="567" priority="308">
      <formula>AND(Q35=3,IF(COUNTIF(Q$35:Q$39,"=3")&gt;=2,TRUE))</formula>
    </cfRule>
    <cfRule type="expression" dxfId="566" priority="309">
      <formula>AND(Q35=2,IF(COUNTIF(Q$35:Q$39,"=2")&gt;=2,TRUE))</formula>
    </cfRule>
    <cfRule type="expression" dxfId="565" priority="310">
      <formula>AND(Q35=1,IF(COUNTIF(Q$35:Q$39,"=1")&gt;=2,TRUE))</formula>
    </cfRule>
  </conditionalFormatting>
  <conditionalFormatting sqref="L42:L46">
    <cfRule type="expression" dxfId="564" priority="281">
      <formula>K42=0</formula>
    </cfRule>
    <cfRule type="expression" dxfId="563" priority="290">
      <formula>IF(COUNTIF(J$42:J$46,"=2")=2,TRUE)</formula>
    </cfRule>
    <cfRule type="expression" dxfId="562" priority="291">
      <formula>IF(COUNTIF(J$42:J$46,"=1")=2,TRUE)</formula>
    </cfRule>
    <cfRule type="expression" dxfId="561" priority="292">
      <formula>AND(IF(COUNTIF(Q$42:Q$46,"=1")=2,TRUE),IF(COUNTIF(Q$42:Q$46,"=2")=2,TRUE))</formula>
    </cfRule>
    <cfRule type="expression" dxfId="560" priority="293">
      <formula>AND(Q42=4,IF(COUNTIF(Q$42:Q$46,"=4")=1,TRUE))</formula>
    </cfRule>
    <cfRule type="expression" dxfId="559" priority="294">
      <formula>AND(Q42=3,IF(COUNTIF(Q$42:Q$46,"=3")=1,TRUE))</formula>
    </cfRule>
    <cfRule type="expression" dxfId="558" priority="295">
      <formula>AND(Q42=2,IF(COUNTIF(Q$42:Q$46,"=2")=1,TRUE))</formula>
    </cfRule>
    <cfRule type="expression" dxfId="557" priority="296">
      <formula>AND(Q42=1,IF(COUNTIF(Q$42:Q$46,"=1")=1,TRUE))</formula>
    </cfRule>
    <cfRule type="expression" dxfId="556" priority="297">
      <formula>OR(Q42=0,Q42=5)</formula>
    </cfRule>
  </conditionalFormatting>
  <conditionalFormatting sqref="O42:O46">
    <cfRule type="expression" dxfId="555" priority="289">
      <formula>OR(AND(J42=1,K42=1,L42=0,M42=1),AND(J42=2,K42=2,L42=0,M42=2))</formula>
    </cfRule>
  </conditionalFormatting>
  <conditionalFormatting sqref="M42:M46">
    <cfRule type="expression" dxfId="554" priority="282">
      <formula>AND(L42&gt;0,IF(COUNTIF(L$42:L$46,L42)&gt;1,TRUE,FALSE))</formula>
    </cfRule>
    <cfRule type="expression" dxfId="553" priority="283">
      <formula>AND(IF(COUNTIF(R$42:R$46,"=1")=2,TRUE),IF(COUNTIF(R$42:R$46,"=2")=2,TRUE))</formula>
    </cfRule>
    <cfRule type="expression" dxfId="552" priority="284">
      <formula>AND(R42=4,IF(COUNTIF(R$42:R$46,"=4")=1,TRUE))</formula>
    </cfRule>
    <cfRule type="expression" dxfId="551" priority="285">
      <formula>AND(R42=3,IF(COUNTIF(R$42:R$46,"=3")=1,TRUE))</formula>
    </cfRule>
    <cfRule type="expression" dxfId="550" priority="286">
      <formula>AND(R42=2,IF(COUNTIF(R$42:R$46,"=2")=1,TRUE))</formula>
    </cfRule>
    <cfRule type="expression" dxfId="549" priority="287">
      <formula>AND(R42=1,IF(COUNTIF(R$42:R$46,"=1")=1,TRUE))</formula>
    </cfRule>
    <cfRule type="expression" dxfId="548" priority="288">
      <formula>OR(R42=0,R42=5)</formula>
    </cfRule>
  </conditionalFormatting>
  <conditionalFormatting sqref="J42:J46">
    <cfRule type="expression" dxfId="547" priority="277">
      <formula>AND(Q42=4,IF(COUNTIF(Q$42:Q$46,"=4")&gt;=2,TRUE))</formula>
    </cfRule>
    <cfRule type="expression" dxfId="546" priority="278">
      <formula>AND(Q42=3,IF(COUNTIF(Q$42:Q$46,"=3")&gt;=2,TRUE))</formula>
    </cfRule>
    <cfRule type="expression" dxfId="545" priority="279">
      <formula>AND(Q42=2,IF(COUNTIF(Q$42:Q$46,"=2")&gt;=2,TRUE))</formula>
    </cfRule>
    <cfRule type="expression" dxfId="544" priority="280">
      <formula>AND(Q42=1,IF(COUNTIF(Q$42:Q$46,"=1")&gt;=2,TRUE))</formula>
    </cfRule>
  </conditionalFormatting>
  <conditionalFormatting sqref="K42:K46">
    <cfRule type="expression" dxfId="543" priority="298">
      <formula>AND(J42&gt;0,IF(COUNTIF(J$42:J$46,"=1")=2,TRUE),IF(COUNTIF(J$42:J$46,"=2")=2,TRUE))</formula>
    </cfRule>
    <cfRule type="expression" dxfId="542" priority="299">
      <formula>IF(COUNTIF(L$42:L$46,"=2")=2,TRUE)</formula>
    </cfRule>
    <cfRule type="expression" dxfId="541" priority="300">
      <formula>IF(COUNTIF(L$42:L$46,"=1")=2,TRUE)</formula>
    </cfRule>
    <cfRule type="expression" dxfId="540" priority="301">
      <formula>AND(IF(COUNTIF(R$42:R$46,"=1")=2,TRUE),IF(COUNTIF(S$42:S$46,"=2")=2,TRUE))</formula>
    </cfRule>
    <cfRule type="expression" dxfId="539" priority="302">
      <formula>AND(R42=4,IF(COUNTIF(R$42:R$46,"=4")=1,TRUE))</formula>
    </cfRule>
    <cfRule type="expression" dxfId="538" priority="303">
      <formula>AND(R42=3,IF(COUNTIF(R$42:R$46,"=3")=1,TRUE))</formula>
    </cfRule>
    <cfRule type="expression" dxfId="537" priority="304">
      <formula>AND(R42=2,IF(COUNTIF(R$42:R$46,"=2")=1,TRUE))</formula>
    </cfRule>
    <cfRule type="expression" dxfId="536" priority="305">
      <formula>AND(R42=1,IF(COUNTIF(R$42:R$46,"=1")=1,TRUE))</formula>
    </cfRule>
    <cfRule type="expression" dxfId="535" priority="306">
      <formula>OR(R42=0,R42=5)</formula>
    </cfRule>
  </conditionalFormatting>
  <conditionalFormatting sqref="H42:H46">
    <cfRule type="expression" dxfId="534" priority="273">
      <formula>AND(Q42=4,IF(COUNTIF(Q$42:Q$46,"=4")&gt;=2,TRUE))</formula>
    </cfRule>
    <cfRule type="expression" dxfId="533" priority="274">
      <formula>AND(Q42=3,IF(COUNTIF(Q$42:Q$46,"=3")&gt;=2,TRUE))</formula>
    </cfRule>
    <cfRule type="expression" dxfId="532" priority="275">
      <formula>AND(Q42=2,IF(COUNTIF(Q$42:Q$46,"=2")&gt;=2,TRUE))</formula>
    </cfRule>
    <cfRule type="expression" dxfId="531" priority="276">
      <formula>AND(Q42=1,IF(COUNTIF(Q$42:Q$46,"=1")&gt;=2,TRUE))</formula>
    </cfRule>
  </conditionalFormatting>
  <conditionalFormatting sqref="L49:L53">
    <cfRule type="expression" dxfId="530" priority="247">
      <formula>K49=0</formula>
    </cfRule>
    <cfRule type="expression" dxfId="529" priority="256">
      <formula>IF(COUNTIF(J$49:J$53,"=2")=2,TRUE)</formula>
    </cfRule>
    <cfRule type="expression" dxfId="528" priority="257">
      <formula>IF(COUNTIF(J$49:J$53,"=1")=2,TRUE)</formula>
    </cfRule>
    <cfRule type="expression" dxfId="527" priority="258">
      <formula>AND(IF(COUNTIF(Q$49:Q$53,"=1")=2,TRUE),IF(COUNTIF(Q$49:Q$53,"=2")=2,TRUE))</formula>
    </cfRule>
    <cfRule type="expression" dxfId="526" priority="259">
      <formula>AND(Q49=4,IF(COUNTIF(Q$49:Q$53,"=4")=1,TRUE))</formula>
    </cfRule>
    <cfRule type="expression" dxfId="525" priority="260">
      <formula>AND(Q49=3,IF(COUNTIF(Q$49:Q$53,"=3")=1,TRUE))</formula>
    </cfRule>
    <cfRule type="expression" dxfId="524" priority="261">
      <formula>AND(Q49=2,IF(COUNTIF(Q$49:Q$53,"=2")=1,TRUE))</formula>
    </cfRule>
    <cfRule type="expression" dxfId="523" priority="262">
      <formula>AND(Q49=1,IF(COUNTIF(Q$49:Q$53,"=1")=1,TRUE))</formula>
    </cfRule>
    <cfRule type="expression" dxfId="522" priority="263">
      <formula>OR(Q49=0,Q49=5)</formula>
    </cfRule>
  </conditionalFormatting>
  <conditionalFormatting sqref="O49:O53">
    <cfRule type="expression" dxfId="521" priority="255">
      <formula>OR(AND(J49=1,K49=1,L49=0,M49=1),AND(J49=2,K49=2,L49=0,M49=2))</formula>
    </cfRule>
  </conditionalFormatting>
  <conditionalFormatting sqref="M49:M53">
    <cfRule type="expression" dxfId="520" priority="248">
      <formula>AND(L49&gt;0,IF(COUNTIF(L$49:L$53,L49)&gt;1,TRUE,FALSE))</formula>
    </cfRule>
    <cfRule type="expression" dxfId="519" priority="249">
      <formula>AND(IF(COUNTIF(R$49:R$53,"=1")=2,TRUE),IF(COUNTIF(R$49:R$53,"=2")=2,TRUE))</formula>
    </cfRule>
    <cfRule type="expression" dxfId="518" priority="250">
      <formula>AND(R49=4,IF(COUNTIF(R$49:R$53,"=4")=1,TRUE))</formula>
    </cfRule>
    <cfRule type="expression" dxfId="517" priority="251">
      <formula>AND(R49=3,IF(COUNTIF(R$49:R$53,"=3")=1,TRUE))</formula>
    </cfRule>
    <cfRule type="expression" dxfId="516" priority="252">
      <formula>AND(R49=2,IF(COUNTIF(R$49:R$53,"=2")=1,TRUE))</formula>
    </cfRule>
    <cfRule type="expression" dxfId="515" priority="253">
      <formula>AND(R49=1,IF(COUNTIF(R$49:R$53,"=1")=1,TRUE))</formula>
    </cfRule>
    <cfRule type="expression" dxfId="514" priority="254">
      <formula>OR(R49=0,R49=5)</formula>
    </cfRule>
  </conditionalFormatting>
  <conditionalFormatting sqref="J49:J53">
    <cfRule type="expression" dxfId="513" priority="243">
      <formula>AND(Q49=4,IF(COUNTIF(Q$49:Q$53,"=4")&gt;=2,TRUE))</formula>
    </cfRule>
    <cfRule type="expression" dxfId="512" priority="244">
      <formula>AND(Q49=3,IF(COUNTIF(Q$49:Q$53,"=3")&gt;=2,TRUE))</formula>
    </cfRule>
    <cfRule type="expression" dxfId="511" priority="245">
      <formula>AND(Q49=2,IF(COUNTIF(Q$49:Q$53,"=2")&gt;=2,TRUE))</formula>
    </cfRule>
    <cfRule type="expression" dxfId="510" priority="246">
      <formula>AND(Q49=1,IF(COUNTIF(Q$49:Q$53,"=1")&gt;=2,TRUE))</formula>
    </cfRule>
  </conditionalFormatting>
  <conditionalFormatting sqref="K49:K53">
    <cfRule type="expression" dxfId="509" priority="264">
      <formula>AND(J49&gt;0,IF(COUNTIF(J$49:J$53,"=1")=2,TRUE),IF(COUNTIF(J$49:J$53,"=2")=2,TRUE))</formula>
    </cfRule>
    <cfRule type="expression" dxfId="508" priority="265">
      <formula>IF(COUNTIF(L$49:L$53,"=2")=2,TRUE)</formula>
    </cfRule>
    <cfRule type="expression" dxfId="507" priority="266">
      <formula>IF(COUNTIF(L$49:L$53,"=1")=2,TRUE)</formula>
    </cfRule>
    <cfRule type="expression" dxfId="506" priority="267">
      <formula>AND(IF(COUNTIF(R$49:R$53,"=1")=2,TRUE),IF(COUNTIF(S$49:S$53,"=2")=2,TRUE))</formula>
    </cfRule>
    <cfRule type="expression" dxfId="505" priority="268">
      <formula>AND(R49=4,IF(COUNTIF(R$49:R$53,"=4")=1,TRUE))</formula>
    </cfRule>
    <cfRule type="expression" dxfId="504" priority="269">
      <formula>AND(R49=3,IF(COUNTIF(R$49:R$53,"=3")=1,TRUE))</formula>
    </cfRule>
    <cfRule type="expression" dxfId="503" priority="270">
      <formula>AND(R49=2,IF(COUNTIF(R$49:R$53,"=2")=1,TRUE))</formula>
    </cfRule>
    <cfRule type="expression" dxfId="502" priority="271">
      <formula>AND(R49=1,IF(COUNTIF(R$49:R$53,"=1")=1,TRUE))</formula>
    </cfRule>
    <cfRule type="expression" dxfId="501" priority="272">
      <formula>OR(R49=0,R49=5)</formula>
    </cfRule>
  </conditionalFormatting>
  <conditionalFormatting sqref="H49:H53">
    <cfRule type="expression" dxfId="500" priority="239">
      <formula>AND(Q49=4,IF(COUNTIF(Q$49:Q$53,"=4")&gt;=2,TRUE))</formula>
    </cfRule>
    <cfRule type="expression" dxfId="499" priority="240">
      <formula>AND(Q49=3,IF(COUNTIF(Q$49:Q$53,"=3")&gt;=2,TRUE))</formula>
    </cfRule>
    <cfRule type="expression" dxfId="498" priority="241">
      <formula>AND(Q49=2,IF(COUNTIF(Q$49:Q$53,"=2")&gt;=2,TRUE))</formula>
    </cfRule>
    <cfRule type="expression" dxfId="497" priority="242">
      <formula>AND(Q49=1,IF(COUNTIF(Q$49:Q$53,"=1")&gt;=2,TRUE))</formula>
    </cfRule>
  </conditionalFormatting>
  <conditionalFormatting sqref="L56:L60">
    <cfRule type="expression" dxfId="496" priority="213">
      <formula>K56=0</formula>
    </cfRule>
    <cfRule type="expression" dxfId="495" priority="222">
      <formula>IF(COUNTIF(J$56:J$60,"=2")=2,TRUE)</formula>
    </cfRule>
    <cfRule type="expression" dxfId="494" priority="223">
      <formula>IF(COUNTIF(J$56:J$60,"=1")=2,TRUE)</formula>
    </cfRule>
    <cfRule type="expression" dxfId="493" priority="224">
      <formula>AND(IF(COUNTIF(Q$56:Q$60,"=1")=2,TRUE),IF(COUNTIF(Q$56:Q$60,"=2")=2,TRUE))</formula>
    </cfRule>
    <cfRule type="expression" dxfId="492" priority="225">
      <formula>AND(Q56=4,IF(COUNTIF(Q$56:Q$60,"=4")=1,TRUE))</formula>
    </cfRule>
    <cfRule type="expression" dxfId="491" priority="226">
      <formula>AND(Q56=3,IF(COUNTIF(Q$56:Q$60,"=3")=1,TRUE))</formula>
    </cfRule>
    <cfRule type="expression" dxfId="490" priority="227">
      <formula>AND(Q56=2,IF(COUNTIF(Q$56:Q$60,"=2")=1,TRUE))</formula>
    </cfRule>
    <cfRule type="expression" dxfId="489" priority="228">
      <formula>AND(Q56=1,IF(COUNTIF(Q$56:Q$60,"=1")=1,TRUE))</formula>
    </cfRule>
    <cfRule type="expression" dxfId="488" priority="229">
      <formula>OR(Q56=0,Q56=5)</formula>
    </cfRule>
  </conditionalFormatting>
  <conditionalFormatting sqref="O56:O60">
    <cfRule type="expression" dxfId="487" priority="221">
      <formula>OR(AND(J56=1,K56=1,L56=0,M56=1),AND(J56=2,K56=2,L56=0,M56=2))</formula>
    </cfRule>
  </conditionalFormatting>
  <conditionalFormatting sqref="M56:M60">
    <cfRule type="expression" dxfId="486" priority="214">
      <formula>AND(L56&gt;0,IF(COUNTIF(L$56:L$60,L56)&gt;1,TRUE,FALSE))</formula>
    </cfRule>
    <cfRule type="expression" dxfId="485" priority="215">
      <formula>AND(IF(COUNTIF(R$56:R$60,"=1")=2,TRUE),IF(COUNTIF(R$56:R$60,"=2")=2,TRUE))</formula>
    </cfRule>
    <cfRule type="expression" dxfId="484" priority="216">
      <formula>AND(R56=4,IF(COUNTIF(R$56:R$60,"=4")=1,TRUE))</formula>
    </cfRule>
    <cfRule type="expression" dxfId="483" priority="217">
      <formula>AND(R56=3,IF(COUNTIF(R$56:R$60,"=3")=1,TRUE))</formula>
    </cfRule>
    <cfRule type="expression" dxfId="482" priority="218">
      <formula>AND(R56=2,IF(COUNTIF(R$56:R$60,"=2")=1,TRUE))</formula>
    </cfRule>
    <cfRule type="expression" dxfId="481" priority="219">
      <formula>AND(R56=1,IF(COUNTIF(R$56:R$60,"=1")=1,TRUE))</formula>
    </cfRule>
    <cfRule type="expression" dxfId="480" priority="220">
      <formula>OR(R56=0,R56=5)</formula>
    </cfRule>
  </conditionalFormatting>
  <conditionalFormatting sqref="J56:J60">
    <cfRule type="expression" dxfId="479" priority="209">
      <formula>AND(Q56=4,IF(COUNTIF(Q$56:Q$60,"=4")&gt;=2,TRUE))</formula>
    </cfRule>
    <cfRule type="expression" dxfId="478" priority="210">
      <formula>AND(Q56=3,IF(COUNTIF(Q$56:Q$60,"=3")&gt;=2,TRUE))</formula>
    </cfRule>
    <cfRule type="expression" dxfId="477" priority="211">
      <formula>AND(Q56=2,IF(COUNTIF(Q$56:Q$60,"=2")&gt;=2,TRUE))</formula>
    </cfRule>
    <cfRule type="expression" dxfId="476" priority="212">
      <formula>AND(Q56=1,IF(COUNTIF(Q$56:Q$60,"=1")&gt;=2,TRUE))</formula>
    </cfRule>
  </conditionalFormatting>
  <conditionalFormatting sqref="K56:K60">
    <cfRule type="expression" dxfId="475" priority="230">
      <formula>AND(J56&gt;0,IF(COUNTIF(J$56:J$60,"=1")=2,TRUE),IF(COUNTIF(J$56:J$60,"=2")=2,TRUE))</formula>
    </cfRule>
    <cfRule type="expression" dxfId="474" priority="231">
      <formula>IF(COUNTIF(L$56:L$60,"=2")=2,TRUE)</formula>
    </cfRule>
    <cfRule type="expression" dxfId="473" priority="232">
      <formula>IF(COUNTIF(L$56:L$60,"=1")=2,TRUE)</formula>
    </cfRule>
    <cfRule type="expression" dxfId="472" priority="233">
      <formula>AND(IF(COUNTIF(R$56:R$60,"=1")=2,TRUE),IF(COUNTIF(S$56:S$60,"=2")=2,TRUE))</formula>
    </cfRule>
    <cfRule type="expression" dxfId="471" priority="234">
      <formula>AND(R56=4,IF(COUNTIF(R$56:R$60,"=4")=1,TRUE))</formula>
    </cfRule>
    <cfRule type="expression" dxfId="470" priority="235">
      <formula>AND(R56=3,IF(COUNTIF(R$56:R$60,"=3")=1,TRUE))</formula>
    </cfRule>
    <cfRule type="expression" dxfId="469" priority="236">
      <formula>AND(R56=2,IF(COUNTIF(R$56:R$60,"=2")=1,TRUE))</formula>
    </cfRule>
    <cfRule type="expression" dxfId="468" priority="237">
      <formula>AND(R56=1,IF(COUNTIF(R$56:R$60,"=1")=1,TRUE))</formula>
    </cfRule>
    <cfRule type="expression" dxfId="467" priority="238">
      <formula>OR(R56=0,R56=5)</formula>
    </cfRule>
  </conditionalFormatting>
  <conditionalFormatting sqref="H56:H60">
    <cfRule type="expression" dxfId="466" priority="205">
      <formula>AND(Q56=4,IF(COUNTIF(Q$56:Q$60,"=4")&gt;=2,TRUE))</formula>
    </cfRule>
    <cfRule type="expression" dxfId="465" priority="206">
      <formula>AND(Q56=3,IF(COUNTIF(Q$56:Q$60,"=3")&gt;=2,TRUE))</formula>
    </cfRule>
    <cfRule type="expression" dxfId="464" priority="207">
      <formula>AND(Q56=2,IF(COUNTIF(Q$50:Q$56,"=2")&gt;=2,TRUE))</formula>
    </cfRule>
    <cfRule type="expression" dxfId="463" priority="208">
      <formula>AND(Q56=1,IF(COUNTIF(Q$56:Q$60,"=1")&gt;=2,TRUE))</formula>
    </cfRule>
  </conditionalFormatting>
  <conditionalFormatting sqref="A102:A116">
    <cfRule type="cellIs" dxfId="462" priority="202" operator="equal">
      <formula>"-"</formula>
    </cfRule>
    <cfRule type="duplicateValues" dxfId="461" priority="203"/>
  </conditionalFormatting>
  <conditionalFormatting sqref="A140:A154">
    <cfRule type="cellIs" dxfId="460" priority="173" operator="equal">
      <formula>"-"</formula>
    </cfRule>
    <cfRule type="duplicateValues" dxfId="459" priority="174"/>
  </conditionalFormatting>
  <conditionalFormatting sqref="G124 G128 G131 G133">
    <cfRule type="containsBlanks" dxfId="458" priority="68">
      <formula>LEN(TRIM(G124))=0</formula>
    </cfRule>
  </conditionalFormatting>
  <conditionalFormatting sqref="E123 E125">
    <cfRule type="containsBlanks" dxfId="457" priority="66">
      <formula>LEN(TRIM(E123))=0</formula>
    </cfRule>
  </conditionalFormatting>
  <conditionalFormatting sqref="E127 E129">
    <cfRule type="containsBlanks" dxfId="456" priority="64">
      <formula>LEN(TRIM(E127))=0</formula>
    </cfRule>
  </conditionalFormatting>
  <conditionalFormatting sqref="G124 G128">
    <cfRule type="aboveAverage" dxfId="455" priority="70"/>
  </conditionalFormatting>
  <conditionalFormatting sqref="G131 G133">
    <cfRule type="aboveAverage" dxfId="454" priority="69"/>
  </conditionalFormatting>
  <conditionalFormatting sqref="E123 E125">
    <cfRule type="aboveAverage" dxfId="453" priority="67"/>
  </conditionalFormatting>
  <conditionalFormatting sqref="E127 E129">
    <cfRule type="aboveAverage" dxfId="452" priority="65"/>
  </conditionalFormatting>
  <conditionalFormatting sqref="G117 G119">
    <cfRule type="aboveAverage" dxfId="451" priority="63"/>
  </conditionalFormatting>
  <conditionalFormatting sqref="G117 G119">
    <cfRule type="containsBlanks" dxfId="450" priority="62">
      <formula>LEN(TRIM(G117))=0</formula>
    </cfRule>
  </conditionalFormatting>
  <conditionalFormatting sqref="E103 E107">
    <cfRule type="containsBlanks" dxfId="449" priority="60">
      <formula>LEN(TRIM(E103))=0</formula>
    </cfRule>
    <cfRule type="aboveAverage" dxfId="448" priority="61"/>
  </conditionalFormatting>
  <conditionalFormatting sqref="C106 C108">
    <cfRule type="aboveAverage" dxfId="447" priority="59"/>
  </conditionalFormatting>
  <conditionalFormatting sqref="C110 C112">
    <cfRule type="aboveAverage" dxfId="446" priority="58"/>
  </conditionalFormatting>
  <conditionalFormatting sqref="C114 C116">
    <cfRule type="aboveAverage" dxfId="445" priority="57"/>
  </conditionalFormatting>
  <conditionalFormatting sqref="C106 C108 C110 C112 C114 C116">
    <cfRule type="containsBlanks" dxfId="444" priority="56">
      <formula>LEN(TRIM(C106))=0</formula>
    </cfRule>
  </conditionalFormatting>
  <conditionalFormatting sqref="C102 C104">
    <cfRule type="aboveAverage" dxfId="443" priority="55"/>
  </conditionalFormatting>
  <conditionalFormatting sqref="C102 C104">
    <cfRule type="containsBlanks" dxfId="442" priority="54">
      <formula>LEN(TRIM(C102))=0</formula>
    </cfRule>
  </conditionalFormatting>
  <conditionalFormatting sqref="E111 E115">
    <cfRule type="containsBlanks" dxfId="441" priority="52">
      <formula>LEN(TRIM(E111))=0</formula>
    </cfRule>
    <cfRule type="aboveAverage" dxfId="440" priority="53"/>
  </conditionalFormatting>
  <conditionalFormatting sqref="G105 G113">
    <cfRule type="containsBlanks" dxfId="439" priority="50">
      <formula>LEN(TRIM(G105))=0</formula>
    </cfRule>
    <cfRule type="aboveAverage" dxfId="438" priority="51"/>
  </conditionalFormatting>
  <conditionalFormatting sqref="G162 G166 G169 G171">
    <cfRule type="containsBlanks" dxfId="437" priority="47">
      <formula>LEN(TRIM(G162))=0</formula>
    </cfRule>
  </conditionalFormatting>
  <conditionalFormatting sqref="E161 E163">
    <cfRule type="containsBlanks" dxfId="436" priority="45">
      <formula>LEN(TRIM(E161))=0</formula>
    </cfRule>
  </conditionalFormatting>
  <conditionalFormatting sqref="E165 E167">
    <cfRule type="containsBlanks" dxfId="435" priority="43">
      <formula>LEN(TRIM(E165))=0</formula>
    </cfRule>
  </conditionalFormatting>
  <conditionalFormatting sqref="G162 G166">
    <cfRule type="aboveAverage" dxfId="434" priority="49"/>
  </conditionalFormatting>
  <conditionalFormatting sqref="G169 G171">
    <cfRule type="aboveAverage" dxfId="433" priority="48"/>
  </conditionalFormatting>
  <conditionalFormatting sqref="E161 E163">
    <cfRule type="aboveAverage" dxfId="432" priority="46"/>
  </conditionalFormatting>
  <conditionalFormatting sqref="E165 E167">
    <cfRule type="aboveAverage" dxfId="431" priority="44"/>
  </conditionalFormatting>
  <conditionalFormatting sqref="G155 G157">
    <cfRule type="aboveAverage" dxfId="430" priority="42"/>
  </conditionalFormatting>
  <conditionalFormatting sqref="G155 G157">
    <cfRule type="containsBlanks" dxfId="429" priority="41">
      <formula>LEN(TRIM(G155))=0</formula>
    </cfRule>
  </conditionalFormatting>
  <conditionalFormatting sqref="E141 E145">
    <cfRule type="containsBlanks" dxfId="428" priority="39">
      <formula>LEN(TRIM(E141))=0</formula>
    </cfRule>
    <cfRule type="aboveAverage" dxfId="427" priority="40"/>
  </conditionalFormatting>
  <conditionalFormatting sqref="C144 C146">
    <cfRule type="aboveAverage" dxfId="426" priority="38"/>
  </conditionalFormatting>
  <conditionalFormatting sqref="C148 C150">
    <cfRule type="aboveAverage" dxfId="425" priority="37"/>
  </conditionalFormatting>
  <conditionalFormatting sqref="C152 C154">
    <cfRule type="aboveAverage" dxfId="424" priority="36"/>
  </conditionalFormatting>
  <conditionalFormatting sqref="C144 C146 C148 C150 C152 C154">
    <cfRule type="containsBlanks" dxfId="423" priority="35">
      <formula>LEN(TRIM(C144))=0</formula>
    </cfRule>
  </conditionalFormatting>
  <conditionalFormatting sqref="C140 C142">
    <cfRule type="aboveAverage" dxfId="422" priority="34"/>
  </conditionalFormatting>
  <conditionalFormatting sqref="C140 C142">
    <cfRule type="containsBlanks" dxfId="421" priority="33">
      <formula>LEN(TRIM(C140))=0</formula>
    </cfRule>
  </conditionalFormatting>
  <conditionalFormatting sqref="E149 E153">
    <cfRule type="containsBlanks" dxfId="420" priority="31">
      <formula>LEN(TRIM(E149))=0</formula>
    </cfRule>
    <cfRule type="aboveAverage" dxfId="419" priority="32"/>
  </conditionalFormatting>
  <conditionalFormatting sqref="G143 G151">
    <cfRule type="containsBlanks" dxfId="418" priority="29">
      <formula>LEN(TRIM(G143))=0</formula>
    </cfRule>
    <cfRule type="aboveAverage" dxfId="417" priority="30"/>
  </conditionalFormatting>
  <conditionalFormatting sqref="C116">
    <cfRule type="aboveAverage" dxfId="416" priority="28"/>
  </conditionalFormatting>
  <conditionalFormatting sqref="B300:B315">
    <cfRule type="expression" dxfId="415" priority="582">
      <formula>A300=3</formula>
    </cfRule>
    <cfRule type="expression" dxfId="414" priority="583">
      <formula>A300=2</formula>
    </cfRule>
    <cfRule type="expression" dxfId="413" priority="584">
      <formula>A300=1</formula>
    </cfRule>
    <cfRule type="containsBlanks" dxfId="412" priority="585">
      <formula>LEN(TRIM(B300))=0</formula>
    </cfRule>
    <cfRule type="duplicateValues" dxfId="411" priority="586"/>
  </conditionalFormatting>
  <conditionalFormatting sqref="AJ7:AJ31">
    <cfRule type="expression" dxfId="410" priority="21">
      <formula>AND(AI7="",FIND(",",AJ7))</formula>
    </cfRule>
    <cfRule type="expression" dxfId="409" priority="23">
      <formula>AND(AI7="",COUNTIF(AJ7,"*,*")=0)</formula>
    </cfRule>
  </conditionalFormatting>
  <conditionalFormatting sqref="AH7:AH31">
    <cfRule type="expression" dxfId="408" priority="24">
      <formula>AND(AG7="",FIND(",",AH7))</formula>
    </cfRule>
    <cfRule type="expression" dxfId="407" priority="25">
      <formula>AND(AG7="",COUNTIF(AH7,"*,*")=0)</formula>
    </cfRule>
  </conditionalFormatting>
  <conditionalFormatting sqref="AL7:AL31">
    <cfRule type="expression" dxfId="406" priority="26">
      <formula>AND(AK7="",FIND(",",AL7))</formula>
    </cfRule>
    <cfRule type="expression" dxfId="405" priority="27">
      <formula>AND(AK7="",COUNTIF(AL7,"*,*")=0)</formula>
    </cfRule>
  </conditionalFormatting>
  <conditionalFormatting sqref="AF7:AF31">
    <cfRule type="expression" dxfId="404" priority="22">
      <formula>AND(AE7="",COUNTIF(AF7,"*,*")=0)</formula>
    </cfRule>
  </conditionalFormatting>
  <conditionalFormatting sqref="AN7:AN31">
    <cfRule type="expression" dxfId="403" priority="18">
      <formula>AND(AM7="",COUNTIF(AN7,"*,*")=0)</formula>
    </cfRule>
    <cfRule type="expression" dxfId="402" priority="20">
      <formula>AND(AM7="",FIND(",",AN7))</formula>
    </cfRule>
  </conditionalFormatting>
  <conditionalFormatting sqref="AP7:AP31">
    <cfRule type="expression" dxfId="401" priority="17">
      <formula>AND(AO7="",COUNTIF(AP7,"*,*")=0)</formula>
    </cfRule>
    <cfRule type="expression" dxfId="400" priority="19">
      <formula>AND(AO7="",FIND(",",AP7))</formula>
    </cfRule>
  </conditionalFormatting>
  <conditionalFormatting sqref="I56:I60">
    <cfRule type="expression" dxfId="399" priority="7">
      <formula>FIND(2,I56,1)</formula>
    </cfRule>
    <cfRule type="expression" dxfId="398" priority="8">
      <formula>FIND(1,I56,1)</formula>
    </cfRule>
  </conditionalFormatting>
  <conditionalFormatting sqref="I28:I32">
    <cfRule type="expression" dxfId="397" priority="11">
      <formula>FIND(2,I28,1)</formula>
    </cfRule>
    <cfRule type="expression" dxfId="396" priority="12">
      <formula>FIND(1,I28,1)</formula>
    </cfRule>
  </conditionalFormatting>
  <conditionalFormatting sqref="I21:I25">
    <cfRule type="expression" dxfId="395" priority="13">
      <formula>FIND(2,I21,1)</formula>
    </cfRule>
    <cfRule type="expression" dxfId="394" priority="14">
      <formula>FIND(1,I21,1)</formula>
    </cfRule>
  </conditionalFormatting>
  <conditionalFormatting sqref="I49:I53">
    <cfRule type="expression" dxfId="393" priority="9">
      <formula>FIND(2,I49,1)</formula>
    </cfRule>
    <cfRule type="expression" dxfId="392" priority="10">
      <formula>FIND(1,I49,1)</formula>
    </cfRule>
  </conditionalFormatting>
  <conditionalFormatting sqref="I7:I11">
    <cfRule type="expression" dxfId="391" priority="15">
      <formula>FIND(2,I7,1)</formula>
    </cfRule>
    <cfRule type="expression" dxfId="390" priority="16">
      <formula>FIND(1,I7,1)</formula>
    </cfRule>
  </conditionalFormatting>
  <conditionalFormatting sqref="I35:I39">
    <cfRule type="expression" dxfId="389" priority="5">
      <formula>FIND(2,I35,1)</formula>
    </cfRule>
    <cfRule type="expression" dxfId="388" priority="6">
      <formula>FIND(1,I35,1)</formula>
    </cfRule>
  </conditionalFormatting>
  <conditionalFormatting sqref="I42:I46">
    <cfRule type="expression" dxfId="387" priority="3">
      <formula>FIND(2,I42,1)</formula>
    </cfRule>
    <cfRule type="expression" dxfId="386" priority="4">
      <formula>FIND(1,I42,1)</formula>
    </cfRule>
  </conditionalFormatting>
  <conditionalFormatting sqref="I14:I18">
    <cfRule type="expression" dxfId="385" priority="1">
      <formula>FIND(2,I14,1)</formula>
    </cfRule>
    <cfRule type="expression" dxfId="384" priority="2">
      <formula>FIND(1,I14,1)</formula>
    </cfRule>
  </conditionalFormatting>
  <pageMargins left="0.78740157480314965" right="0.39370078740157483" top="0.78740157480314965" bottom="0.39370078740157483" header="0.59055118110236227" footer="0"/>
  <pageSetup paperSize="9" scale="21" fitToHeight="0" orientation="portrait" verticalDpi="1200" r:id="rId1"/>
  <headerFooter>
    <oddHeader>&amp;R&amp;P. leht &amp;N&amp; -st</oddHead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17"/>
  <sheetViews>
    <sheetView showGridLines="0" workbookViewId="0">
      <pane ySplit="1" topLeftCell="A22" activePane="bottomLeft" state="frozen"/>
      <selection pane="bottomLeft" activeCell="I117" sqref="I117"/>
    </sheetView>
  </sheetViews>
  <sheetFormatPr defaultRowHeight="12.75" x14ac:dyDescent="0.2"/>
  <cols>
    <col min="1" max="1" width="3.28515625" style="1" customWidth="1"/>
    <col min="2" max="2" width="38.85546875" style="1" bestFit="1" customWidth="1"/>
    <col min="3" max="9" width="5.85546875" style="1" customWidth="1"/>
    <col min="10" max="15" width="5.5703125" style="1" customWidth="1"/>
    <col min="16" max="18" width="9.140625" style="1" hidden="1" customWidth="1"/>
    <col min="19" max="19" width="11.5703125" style="1" hidden="1" customWidth="1"/>
    <col min="20" max="20" width="9.140625" style="1" hidden="1" customWidth="1"/>
    <col min="21" max="21" width="9.140625" style="1"/>
    <col min="22" max="27" width="0" style="1" hidden="1" customWidth="1"/>
    <col min="28" max="28" width="9.140625" style="1" hidden="1" customWidth="1"/>
    <col min="29" max="29" width="9.140625" style="1" customWidth="1"/>
    <col min="30" max="31" width="9.140625" style="1" hidden="1" customWidth="1"/>
    <col min="32" max="32" width="18.140625" style="1" hidden="1" customWidth="1"/>
    <col min="33" max="33" width="9.140625" style="1" hidden="1" customWidth="1"/>
    <col min="34" max="34" width="29.28515625" style="1" hidden="1" customWidth="1"/>
    <col min="35" max="35" width="9.140625" style="1" hidden="1" customWidth="1"/>
    <col min="36" max="36" width="17.28515625" style="1" hidden="1" customWidth="1"/>
    <col min="37" max="37" width="9.140625" style="1" hidden="1" customWidth="1"/>
    <col min="38" max="38" width="13.85546875" style="1" hidden="1" customWidth="1"/>
    <col min="39" max="39" width="9.140625" style="1" hidden="1" customWidth="1"/>
    <col min="40" max="40" width="17.28515625" style="1" hidden="1" customWidth="1"/>
    <col min="41" max="41" width="0" style="1" hidden="1" customWidth="1"/>
    <col min="42" max="42" width="13.85546875" style="1" hidden="1" customWidth="1"/>
    <col min="43" max="16384" width="9.140625" style="1"/>
  </cols>
  <sheetData>
    <row r="1" spans="1:42" x14ac:dyDescent="0.2">
      <c r="A1" s="228" t="e">
        <f>UPPER((Kalend!#REF!)&amp;" - "&amp;(Kalend!#REF!))&amp;" - "&amp;LOWER(Kalend!#REF!)&amp;" - "&amp;(Kalend!#REF!)&amp;" kell "&amp;(Kalend!#REF!)&amp;" - "&amp;(Kalend!#REF!)</f>
        <v>#REF!</v>
      </c>
      <c r="C1" s="302"/>
      <c r="D1" s="302"/>
      <c r="E1" s="302"/>
      <c r="F1" s="302"/>
      <c r="G1" s="302"/>
      <c r="H1" s="302"/>
      <c r="I1" s="302"/>
      <c r="J1" s="302"/>
      <c r="K1" s="302"/>
      <c r="L1" s="302"/>
      <c r="M1" s="302"/>
      <c r="N1" s="302"/>
      <c r="P1" s="272" t="s">
        <v>73</v>
      </c>
      <c r="Q1" s="273"/>
      <c r="R1" s="273"/>
      <c r="S1" s="273"/>
      <c r="T1" s="273"/>
      <c r="U1" s="39"/>
      <c r="V1" s="178"/>
      <c r="W1" s="158"/>
      <c r="X1" s="158"/>
      <c r="Y1" s="158"/>
      <c r="AD1" s="45" t="s">
        <v>73</v>
      </c>
      <c r="AE1" s="230"/>
      <c r="AF1" s="230"/>
      <c r="AG1" s="230"/>
      <c r="AH1" s="230"/>
      <c r="AI1" s="230"/>
      <c r="AJ1" s="230"/>
      <c r="AK1" s="230"/>
      <c r="AL1" s="230"/>
      <c r="AM1" s="230"/>
      <c r="AN1" s="230"/>
      <c r="AO1" s="353"/>
      <c r="AP1" s="353"/>
    </row>
    <row r="2" spans="1:42" hidden="1" x14ac:dyDescent="0.2">
      <c r="A2" s="302"/>
      <c r="C2" s="302"/>
      <c r="D2" s="302"/>
      <c r="E2" s="302"/>
      <c r="F2" s="302"/>
      <c r="G2" s="302"/>
      <c r="H2" s="302"/>
      <c r="I2" s="302"/>
      <c r="J2" s="302"/>
      <c r="K2" s="302"/>
      <c r="L2" s="302"/>
      <c r="M2" s="302"/>
      <c r="N2" s="302"/>
      <c r="O2" s="302"/>
      <c r="P2" s="158"/>
      <c r="Q2" s="158"/>
      <c r="R2" s="158"/>
      <c r="S2" s="158"/>
      <c r="T2" s="236"/>
      <c r="U2" s="236"/>
      <c r="V2" s="158"/>
      <c r="W2" s="158"/>
      <c r="X2" s="158"/>
      <c r="AD2" s="158"/>
      <c r="AE2" s="158"/>
      <c r="AF2" s="158"/>
      <c r="AG2" s="158"/>
      <c r="AH2" s="158"/>
      <c r="AI2" s="158"/>
      <c r="AJ2" s="239"/>
      <c r="AK2" s="158"/>
      <c r="AL2" s="158"/>
      <c r="AM2" s="158"/>
      <c r="AN2" s="158"/>
    </row>
    <row r="3" spans="1:42" hidden="1" x14ac:dyDescent="0.2">
      <c r="A3" s="302"/>
      <c r="C3" s="302"/>
      <c r="D3" s="302"/>
      <c r="E3" s="302"/>
      <c r="F3" s="302"/>
      <c r="G3" s="302"/>
      <c r="H3" s="302"/>
      <c r="I3" s="302"/>
      <c r="J3" s="302"/>
      <c r="K3" s="302"/>
      <c r="L3" s="302"/>
      <c r="M3" s="302"/>
      <c r="N3" s="302"/>
      <c r="O3" s="302"/>
      <c r="P3" s="158"/>
      <c r="Q3" s="158"/>
      <c r="R3" s="158"/>
      <c r="S3" s="158"/>
      <c r="T3" s="236"/>
      <c r="U3" s="236"/>
      <c r="V3" s="158"/>
      <c r="W3" s="158"/>
      <c r="X3" s="158"/>
      <c r="Y3" s="158"/>
      <c r="AE3" s="158"/>
      <c r="AG3" s="158"/>
      <c r="AH3" s="158"/>
      <c r="AI3" s="158"/>
      <c r="AJ3" s="158"/>
      <c r="AK3" s="158"/>
      <c r="AL3" s="158"/>
      <c r="AM3" s="158"/>
      <c r="AN3" s="158"/>
    </row>
    <row r="4" spans="1:42" hidden="1" x14ac:dyDescent="0.2">
      <c r="A4" s="302"/>
      <c r="C4" s="302"/>
      <c r="D4" s="302"/>
      <c r="E4" s="302"/>
      <c r="F4" s="302"/>
      <c r="G4" s="302"/>
      <c r="H4" s="302"/>
      <c r="I4" s="302"/>
      <c r="J4" s="302"/>
      <c r="K4" s="302"/>
      <c r="L4" s="302"/>
      <c r="M4" s="302"/>
      <c r="N4" s="302"/>
      <c r="O4" s="302"/>
      <c r="P4" s="158"/>
      <c r="Q4" s="158"/>
      <c r="R4" s="158"/>
      <c r="S4" s="158"/>
      <c r="T4" s="158"/>
      <c r="U4" s="158"/>
      <c r="V4" s="158"/>
      <c r="W4" s="158"/>
      <c r="X4" s="158"/>
      <c r="Y4" s="158"/>
      <c r="AE4" s="236"/>
      <c r="AF4" s="236"/>
      <c r="AG4" s="236"/>
      <c r="AH4" s="227"/>
      <c r="AI4" s="236"/>
      <c r="AJ4" s="236"/>
      <c r="AK4" s="236"/>
      <c r="AL4" s="236"/>
      <c r="AM4" s="236"/>
      <c r="AN4" s="236"/>
      <c r="AO4" s="236"/>
      <c r="AP4" s="236"/>
    </row>
    <row r="5" spans="1:42" x14ac:dyDescent="0.2">
      <c r="C5" s="302"/>
      <c r="D5" s="302"/>
      <c r="E5" s="302"/>
      <c r="F5" s="302"/>
      <c r="G5" s="302"/>
      <c r="H5" s="302"/>
      <c r="I5" s="302"/>
      <c r="J5" s="302"/>
      <c r="K5" s="302"/>
      <c r="L5" s="302"/>
      <c r="M5" s="302"/>
      <c r="N5" s="416" t="s">
        <v>313</v>
      </c>
      <c r="O5" s="302"/>
      <c r="P5" s="158"/>
      <c r="Q5" s="158"/>
      <c r="R5" s="158"/>
      <c r="S5" s="158"/>
      <c r="T5" s="158"/>
      <c r="U5" s="158"/>
      <c r="V5" s="158"/>
      <c r="W5" s="158"/>
      <c r="X5" s="158"/>
      <c r="Y5" s="158"/>
      <c r="AA5" s="158"/>
      <c r="AD5" s="413" t="s">
        <v>216</v>
      </c>
    </row>
    <row r="6" spans="1:42" x14ac:dyDescent="0.2">
      <c r="A6" s="201" t="s">
        <v>0</v>
      </c>
      <c r="B6" s="291"/>
      <c r="C6" s="292">
        <v>1</v>
      </c>
      <c r="D6" s="292">
        <v>2</v>
      </c>
      <c r="E6" s="292">
        <v>3</v>
      </c>
      <c r="F6" s="292"/>
      <c r="G6" s="292"/>
      <c r="H6" s="292" t="s">
        <v>170</v>
      </c>
      <c r="I6" s="162" t="s">
        <v>171</v>
      </c>
      <c r="J6" s="294" t="s">
        <v>240</v>
      </c>
      <c r="K6" s="295" t="s">
        <v>241</v>
      </c>
      <c r="L6" s="296" t="s">
        <v>242</v>
      </c>
      <c r="M6" s="296" t="s">
        <v>243</v>
      </c>
      <c r="N6" s="297" t="s">
        <v>172</v>
      </c>
      <c r="O6" s="297" t="s">
        <v>172</v>
      </c>
      <c r="P6" s="298" t="s">
        <v>244</v>
      </c>
      <c r="Q6" s="299" t="s">
        <v>21</v>
      </c>
      <c r="R6" s="299" t="b">
        <f>OR(AND(COUNTA(B7:B11)=3,COUNTA(C7:G11)=6),AND(COUNTA(B7:B11)=4,COUNTA(C7:G11)=12),AND(COUNTA(B7:B11)=5,COUNTA(C7:G11)=20))</f>
        <v>0</v>
      </c>
      <c r="S6" s="300" t="s">
        <v>245</v>
      </c>
      <c r="T6" s="301" t="s">
        <v>246</v>
      </c>
      <c r="U6" s="302"/>
      <c r="V6" s="302"/>
      <c r="W6" s="302"/>
      <c r="X6" s="302"/>
      <c r="Y6" s="302"/>
      <c r="Z6" s="302"/>
      <c r="AA6" s="303"/>
      <c r="AD6" s="159" t="s">
        <v>305</v>
      </c>
      <c r="AE6" s="160"/>
      <c r="AF6" s="160" t="s">
        <v>232</v>
      </c>
      <c r="AG6" s="160"/>
      <c r="AH6" s="231" t="s">
        <v>233</v>
      </c>
      <c r="AI6" s="160"/>
      <c r="AJ6" s="160" t="s">
        <v>234</v>
      </c>
      <c r="AK6" s="161"/>
      <c r="AL6" s="160" t="s">
        <v>235</v>
      </c>
      <c r="AM6" s="161"/>
      <c r="AN6" s="161" t="s">
        <v>311</v>
      </c>
      <c r="AO6" s="412"/>
      <c r="AP6" s="161" t="s">
        <v>312</v>
      </c>
    </row>
    <row r="7" spans="1:42" x14ac:dyDescent="0.2">
      <c r="A7" s="201">
        <v>1</v>
      </c>
      <c r="B7" s="304"/>
      <c r="C7" s="204"/>
      <c r="D7" s="203"/>
      <c r="E7" s="203"/>
      <c r="F7" s="203"/>
      <c r="G7" s="203"/>
      <c r="H7" s="202" t="str">
        <f>(IF(D7-C8&gt;0,1)+IF(E7-C9&gt;0,1)+IF(F7-C10&gt;0,1)+IF(G7-C11&gt;0,1))&amp;"-"&amp;(IF(D7-C8&lt;0,1)+IF(E7-C9&lt;0,1)+IF(F7-C10&lt;0,1)+IF(G7-C11&lt;0,1))</f>
        <v>0-0</v>
      </c>
      <c r="I7" s="203" t="str">
        <f>IF(AND(B7&lt;&gt;"",R$6=TRUE),A$6&amp;RANK(S7,S$7:S$11,0)," ")</f>
        <v xml:space="preserve"> </v>
      </c>
      <c r="J7" s="305">
        <f>IF(AND(Q7=1,Q8=1,D7&gt;C8),1)+IF(AND(Q7=1,Q9=1,E7&gt;C9),1)+IF(AND(Q7=1,Q10=1,F7&gt;C10),1)+IF(AND(Q7=1,Q11=1,G7&gt;C11),1)+IF(AND(Q7=2,Q8=2,D7&gt;C8),1)+IF(AND(Q7=2,Q9=2,E7&gt;C9),1)+IF(AND(Q7=2,Q10=2,F7&gt;C10),1)+IF(AND(Q7=2,Q11=2,G7&gt;C11),1)+IF(AND(Q7=3,Q8=3,D7&gt;C8),1)+IF(AND(Q7=3,Q9=3,E7&gt;C9),1)+IF(AND(Q7=3,Q10=3,F7&gt;C10),1)+IF(AND(Q7=3,Q11=3,G7&gt;C11),1)</f>
        <v>0</v>
      </c>
      <c r="K7" s="306">
        <f>SUM(AND(T7=T8,D7&gt;C8),AND(T7=T9,E7&gt;C9),AND(T7=T10,F7&gt;C10),AND(T7=T11,G7&gt;C11))</f>
        <v>0</v>
      </c>
      <c r="L7" s="307">
        <f>IF(AND(Q7=1,Q8=1),D7-C8)+IF(AND(Q7=1,Q9=1),E7-C9)+IF(AND(Q7=1,Q10=1),F7-C10)+IF(AND(Q7=1,Q11=1),G7-C11)+IF(AND(Q7=2,Q8=2),D7-C8)+IF(AND(Q7=2,Q9=2),E7-C9)+IF(AND(Q7=2,Q10=2),F7-C10)+IF(AND(Q7=2,Q11=2),G7-C11)+IF(AND(Q7=3,Q8=3),D7-C8)+IF(AND(Q7=3,Q9=3),E7-C9)+IF(AND(Q7=3,Q10=3),F7-C10)+IF(AND(Q7=3,Q11=3),G7-C11)+IF(AND(Q7=4,Q8=4),D7-C8)+IF(AND(Q7=4,Q9=4),E7-C9)+IF(AND(Q7=4,Q10=4),F7-C10)+IF(AND(Q7=4,Q11=4),G7-C11)</f>
        <v>0</v>
      </c>
      <c r="M7" s="308">
        <f>SUM(AND(R7=R8,D7&gt;C8),AND(R7=R9,E7&gt;C9),AND(R7=R10,F7&gt;C10),AND(R7=R11,G7&gt;C11))</f>
        <v>0</v>
      </c>
      <c r="N7" s="356" t="str">
        <f>SUM(C7:G7)&amp;"-"&amp;SUM(C7:C11)</f>
        <v>0-0</v>
      </c>
      <c r="O7" s="357">
        <f>D7+E7+F7+G7-C8-C9-C10-C11</f>
        <v>0</v>
      </c>
      <c r="P7" s="309" t="e">
        <f>SUM(C7:G7,C7:C11)/SUM(C7:C11)</f>
        <v>#DIV/0!</v>
      </c>
      <c r="Q7" s="205">
        <f>VALUE(LEFT(H7,1))</f>
        <v>0</v>
      </c>
      <c r="R7" s="206">
        <f>Q7*100000+J7*10000+K7*1000+100*L7</f>
        <v>0</v>
      </c>
      <c r="S7" s="310">
        <f>R7+M7*0.1+IF(ISNONTEXT(B7),0,0.01)+0.0001*O7</f>
        <v>0</v>
      </c>
      <c r="T7" s="311" t="str">
        <f>Q7&amp;J7</f>
        <v>00</v>
      </c>
      <c r="U7" s="302"/>
      <c r="V7" s="302"/>
      <c r="W7" s="302"/>
      <c r="X7" s="302"/>
      <c r="Y7" s="302"/>
      <c r="Z7" s="302"/>
      <c r="AA7" s="302"/>
      <c r="AD7" s="233">
        <f t="shared" ref="AD7:AD44" si="0">SUM(AE7:AP7)</f>
        <v>0</v>
      </c>
      <c r="AE7" s="234" t="str">
        <f>IFERROR(INDEX(V!$R:$R,MATCH(AF7,V!$L:$L,0)),"")</f>
        <v/>
      </c>
      <c r="AF7" s="235" t="str">
        <f>IFERROR(LEFT($B7,(FIND(",",$B7,1)-1)),"")</f>
        <v/>
      </c>
      <c r="AG7" s="234" t="str">
        <f>IFERROR(INDEX(V!$R:$R,MATCH(AH7,V!$L:$L,0)),"")</f>
        <v/>
      </c>
      <c r="AH7" s="235" t="str">
        <f>IFERROR(MID($B7,FIND(", ",$B7)+2,256),"")</f>
        <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x14ac:dyDescent="0.2">
      <c r="A8" s="201">
        <v>2</v>
      </c>
      <c r="B8" s="312"/>
      <c r="C8" s="203"/>
      <c r="D8" s="204"/>
      <c r="E8" s="203"/>
      <c r="F8" s="203"/>
      <c r="G8" s="203"/>
      <c r="H8" s="202" t="str">
        <f>(IF(C8-D7&gt;0,1)+IF(E8-D9&gt;0,1)+IF(F8-D10&gt;0,1)+IF(G8-D11&gt;0,1))&amp;"-"&amp;(IF(C8-D7&lt;0,1)+IF(E8-D9&lt;0,1)+IF(F8-D10&lt;0,1)+IF(G8-D11&lt;0,1))</f>
        <v>0-0</v>
      </c>
      <c r="I8" s="203" t="str">
        <f>IF(AND(B8&lt;&gt;"",R$6=TRUE),A$6&amp;RANK(S8,S$7:S$11,0)," ")</f>
        <v xml:space="preserve"> </v>
      </c>
      <c r="J8" s="313">
        <f>IF(AND(Q8=1,Q7=1,C8&gt;D7),1)+IF(AND(Q8=1,Q9=1,E8&gt;D9),1)+IF(AND(Q8=1,Q10=1,F8&gt;D10),1)+IF(AND(Q8=1,Q11=1,G8&gt;D11),1)+IF(AND(Q8=2,Q7=2,C8&gt;D7),1)+IF(AND(Q8=2,Q9=2,E8&gt;D9),1)+IF(AND(Q8=2,Q10=2,F8&gt;D10),1)+IF(AND(Q8=2,Q11=2,G8&gt;D11),1)+IF(AND(Q8=3,Q7=3,C8&gt;D7),1)+IF(AND(Q8=3,Q9=3,E8&gt;D9),1)+IF(AND(Q8=3,Q10=3,F8&gt;D10),1)+IF(AND(Q8=3,Q11=3,G8&gt;D11),1)</f>
        <v>0</v>
      </c>
      <c r="K8" s="308">
        <f>SUM(AND(T8=T7,C8&gt;D7),AND(T8=T9,E8&gt;D9),AND(T8=T10,F8&gt;D10),AND(T8=T11,G8&gt;D11))</f>
        <v>0</v>
      </c>
      <c r="L8" s="314">
        <f>IF(AND(Q8=1,Q7=1),C8-D7)+IF(AND(Q8=1,Q9=1),E8-D9)+IF(AND(Q8=1,Q10=1),F8-D10)+IF(AND(Q8=1,Q11=1),G8-D11)+IF(AND(Q8=2,Q7=2),C8-D7)+IF(AND(Q8=2,Q9=2),E8-D9)+IF(AND(Q8=2,Q10=2),F8-D10)+IF(AND(Q8=2,Q11=2),G8-D11)+IF(AND(Q8=3,Q7=3),C8-D7)+IF(AND(Q8=3,Q9=3),E8-D9)+IF(AND(Q8=3,Q10=3),F8-D10)+IF(AND(Q8=3,Q11=3),G8-D11)+IF(AND(Q8=4,Q7=4),C8-D7)+IF(AND(Q8=4,Q9=4),E8-D9)+IF(AND(Q8=4,Q10=4),F8-D10)+IF(AND(Q8=4,Q11=4),G8-D11)</f>
        <v>0</v>
      </c>
      <c r="M8" s="308">
        <f>SUM(AND(R8=R7,C8&gt;D7),AND(R8=R9,E8&gt;D9),AND(R8=R10,F8&gt;D10),AND(R8=R11,G8&gt;D11))</f>
        <v>0</v>
      </c>
      <c r="N8" s="356" t="str">
        <f>SUM(C8:G8)&amp;"-"&amp;SUM(D7:D11)</f>
        <v>0-0</v>
      </c>
      <c r="O8" s="357">
        <f>C8+E8+F8+G8-D7-D9-D10-D11</f>
        <v>0</v>
      </c>
      <c r="P8" s="309" t="e">
        <f>SUM(C8:G8,D7:D11)/SUM(D7:D11)</f>
        <v>#DIV/0!</v>
      </c>
      <c r="Q8" s="315">
        <f>VALUE(LEFT(H8,1))</f>
        <v>0</v>
      </c>
      <c r="R8" s="206">
        <f>Q8*100000+J8*10000+K8*1000+100*L8</f>
        <v>0</v>
      </c>
      <c r="S8" s="310">
        <f>R8+M8*0.1+IF(ISNONTEXT(B8),0,0.01)+0.0001*O8</f>
        <v>0</v>
      </c>
      <c r="T8" s="311" t="str">
        <f>Q8&amp;J8</f>
        <v>00</v>
      </c>
      <c r="U8" s="302"/>
      <c r="V8" s="302"/>
      <c r="W8" s="302"/>
      <c r="X8" s="302"/>
      <c r="Y8" s="302"/>
      <c r="Z8" s="302"/>
      <c r="AA8" s="309"/>
      <c r="AD8" s="233">
        <f t="shared" si="0"/>
        <v>0</v>
      </c>
      <c r="AE8" s="234" t="str">
        <f>IFERROR(INDEX(V!$R:$R,MATCH(AF8,V!$L:$L,0)),"")</f>
        <v/>
      </c>
      <c r="AF8" s="235" t="str">
        <f t="shared" ref="AF8:AF44" si="1">IFERROR(LEFT($B8,(FIND(",",$B8,1)-1)),"")</f>
        <v/>
      </c>
      <c r="AG8" s="234" t="str">
        <f>IFERROR(INDEX(V!$R:$R,MATCH(AH8,V!$L:$L,0)),"")</f>
        <v/>
      </c>
      <c r="AH8" s="235" t="str">
        <f t="shared" ref="AH8:AH44" si="2">IFERROR(MID($B8,FIND(", ",$B8)+2,256),"")</f>
        <v/>
      </c>
      <c r="AI8" s="234" t="str">
        <f>IFERROR(INDEX(V!$R:$R,MATCH(AJ8,V!$L:$L,0)),"")</f>
        <v/>
      </c>
      <c r="AJ8" s="235" t="str">
        <f t="shared" ref="AJ8:AJ44" si="3">IFERROR(MID($B8,FIND("^",SUBSTITUTE($B8,", ","^",1))+2,FIND("^",SUBSTITUTE($B8,", ","^",2))-FIND("^",SUBSTITUTE($B8,", ","^",1))-2),"")</f>
        <v/>
      </c>
      <c r="AK8" s="234" t="str">
        <f>IFERROR(INDEX(V!$R:$R,MATCH(AL8,V!$L:$L,0)),"")</f>
        <v/>
      </c>
      <c r="AL8" s="235" t="str">
        <f t="shared" ref="AL8:AL44" si="4">IFERROR(MID($B8,FIND(", ",$B8,FIND(", ",$B8,FIND(", ",$B8))+1)+2,30000),"")</f>
        <v/>
      </c>
      <c r="AM8" s="234" t="str">
        <f>IFERROR(INDEX(V!$R:$R,MATCH(AN8,V!$L:$L,0)),"")</f>
        <v/>
      </c>
      <c r="AN8" s="235" t="str">
        <f t="shared" ref="AN8:AN44" si="5">IFERROR(MID($B8,FIND(", ",$B8,FIND(", ",$B8)+1)+2,FIND(", ",$B8,FIND(", ",$B8,FIND(", ",$B8)+1)+1)-FIND(", ",$B8,FIND(", ",$B8)+1)-2),"")</f>
        <v/>
      </c>
      <c r="AO8" s="234" t="str">
        <f>IFERROR(INDEX(V!$R:$R,MATCH(AP8,V!$L:$L,0)),"")</f>
        <v/>
      </c>
      <c r="AP8" s="235" t="str">
        <f t="shared" ref="AP8:AP44" si="6">IFERROR(MID($B8,FIND(", ",$B8,FIND(", ",$B8,FIND(", ",$B8)+1)+1)+2,30000),"")</f>
        <v/>
      </c>
    </row>
    <row r="9" spans="1:42" x14ac:dyDescent="0.2">
      <c r="A9" s="201">
        <v>3</v>
      </c>
      <c r="B9" s="312"/>
      <c r="C9" s="203"/>
      <c r="D9" s="316"/>
      <c r="E9" s="204"/>
      <c r="F9" s="203"/>
      <c r="G9" s="203"/>
      <c r="H9" s="202" t="str">
        <f>(IF(C9-E7&gt;0,1)+IF(D9-E8&gt;0,1)+IF(F9-E10&gt;0,1)+IF(G9-E11&gt;0,1))&amp;"-"&amp;(IF(C9-E7&lt;0,1)+IF(D9-E8&lt;0,1)+IF(F9-E10&lt;0,1)+IF(G9-E11&lt;0,1))</f>
        <v>0-0</v>
      </c>
      <c r="I9" s="203" t="str">
        <f>IF(AND(B9&lt;&gt;"",R$6=TRUE),A$6&amp;RANK(S9,S$7:S$11,0)," ")</f>
        <v xml:space="preserve"> </v>
      </c>
      <c r="J9" s="313">
        <f>IF(AND(Q9=1,Q7=1,C9&gt;E7),1)+IF(AND(Q9=1,Q8=1,D9&gt;E8),1)+IF(AND(Q9=1,Q10=1,F9&gt;E10),1)+IF(AND(Q9=1,Q11=1,G9&gt;E11),1)+IF(AND(Q9=2,Q7=2,C9&gt;E7),1)+IF(AND(Q9=2,Q8=2,D9&gt;E8),1)+IF(AND(Q9=2,Q10=2,F9&gt;E10),1)+IF(AND(Q9=2,Q11=2,G9&gt;E11),1)+IF(AND(Q9=3,Q7=3,C9&gt;E7),1)+IF(AND(Q9=3,Q8=3,D9&gt;E8),1)+IF(AND(Q9=3,Q10=3,F9&gt;E10),1)+IF(AND(Q9=3,Q11=3,G9&gt;E11),1)</f>
        <v>0</v>
      </c>
      <c r="K9" s="308">
        <f>SUM(AND(T9=T7,C9&gt;E7),AND(T9=T8,D9&gt;E8),AND(T9=T10,F9&gt;E10),AND(T9=T11,G9&gt;E11))</f>
        <v>0</v>
      </c>
      <c r="L9" s="314">
        <f>IF(AND(Q9=1,Q7=1),C9-E7)+IF(AND(Q9=1,Q8=1),D9-E8)+IF(AND(Q9=1,Q10=1),F9-E10)+IF(AND(Q9=1,Q11=1),G9-E11)+IF(AND(Q9=2,Q7=2),C9-E7)+IF(AND(Q9=2,Q8=2),D9-E8)+IF(AND(Q9=2,Q10=2),F9-E10)+IF(AND(Q9=2,Q11=2),G9-E11)+IF(AND(Q9=3,Q7=3),C9-E7)+IF(AND(Q9=3,Q8=3),D9-E8)+IF(AND(Q9=3,Q10=3),F9-E10)+IF(AND(Q9=3,Q11=3),G9-E11)+IF(AND(Q9=4,Q7=4),C9-E7)+IF(AND(Q9=4,Q8=4),D9-E8)+IF(AND(Q9=4,Q10=4),F9-E10)+IF(AND(Q9=4,Q11=4),G9-E11)</f>
        <v>0</v>
      </c>
      <c r="M9" s="308">
        <f>SUM(AND(R9=R7,C9&gt;E7),AND(R9=R8,D9&gt;E8),AND(R9=R10,F9&gt;E10),AND(R9=R11,G9&gt;E11))</f>
        <v>0</v>
      </c>
      <c r="N9" s="356" t="str">
        <f>SUM(C9:G9)&amp;"-"&amp;SUM(E7:E11)</f>
        <v>0-0</v>
      </c>
      <c r="O9" s="357">
        <f>C9+D9+F9+G9-E7-E8-E10-E11</f>
        <v>0</v>
      </c>
      <c r="P9" s="309" t="e">
        <f>SUM(C9:G9,E7:E11)/SUM(E7:E11)</f>
        <v>#DIV/0!</v>
      </c>
      <c r="Q9" s="315">
        <f>VALUE(LEFT(H9,1))</f>
        <v>0</v>
      </c>
      <c r="R9" s="206">
        <f>Q9*100000+J9*10000+K9*1000+100*L9</f>
        <v>0</v>
      </c>
      <c r="S9" s="310">
        <f>R9+M9*0.1+IF(ISNONTEXT(B9),0,0.01)+0.0001*O9</f>
        <v>0</v>
      </c>
      <c r="T9" s="311" t="str">
        <f>Q9&amp;J9</f>
        <v>00</v>
      </c>
      <c r="U9" s="302"/>
      <c r="V9" s="302"/>
      <c r="W9" s="302"/>
      <c r="X9" s="302"/>
      <c r="Y9" s="302"/>
      <c r="Z9" s="302"/>
      <c r="AA9" s="309"/>
      <c r="AD9" s="233">
        <f t="shared" si="0"/>
        <v>0</v>
      </c>
      <c r="AE9" s="234" t="str">
        <f>IFERROR(INDEX(V!$R:$R,MATCH(AF9,V!$L:$L,0)),"")</f>
        <v/>
      </c>
      <c r="AF9" s="235" t="str">
        <f t="shared" si="1"/>
        <v/>
      </c>
      <c r="AG9" s="234" t="str">
        <f>IFERROR(INDEX(V!$R:$R,MATCH(AH9,V!$L:$L,0)),"")</f>
        <v/>
      </c>
      <c r="AH9" s="235" t="str">
        <f t="shared" si="2"/>
        <v/>
      </c>
      <c r="AI9" s="234" t="str">
        <f>IFERROR(INDEX(V!$R:$R,MATCH(AJ9,V!$L:$L,0)),"")</f>
        <v/>
      </c>
      <c r="AJ9" s="235" t="str">
        <f t="shared" si="3"/>
        <v/>
      </c>
      <c r="AK9" s="234" t="str">
        <f>IFERROR(INDEX(V!$R:$R,MATCH(AL9,V!$L:$L,0)),"")</f>
        <v/>
      </c>
      <c r="AL9" s="235" t="str">
        <f t="shared" si="4"/>
        <v/>
      </c>
      <c r="AM9" s="234" t="str">
        <f>IFERROR(INDEX(V!$R:$R,MATCH(AN9,V!$L:$L,0)),"")</f>
        <v/>
      </c>
      <c r="AN9" s="235" t="str">
        <f t="shared" si="5"/>
        <v/>
      </c>
      <c r="AO9" s="234" t="str">
        <f>IFERROR(INDEX(V!$R:$R,MATCH(AP9,V!$L:$L,0)),"")</f>
        <v/>
      </c>
      <c r="AP9" s="235" t="str">
        <f t="shared" si="6"/>
        <v/>
      </c>
    </row>
    <row r="10" spans="1:42" hidden="1" x14ac:dyDescent="0.2">
      <c r="A10" s="201">
        <v>4</v>
      </c>
      <c r="B10" s="317"/>
      <c r="C10" s="203"/>
      <c r="D10" s="316"/>
      <c r="E10" s="203"/>
      <c r="F10" s="204"/>
      <c r="G10" s="203"/>
      <c r="H10" s="202" t="str">
        <f>(IF(C10-F7&gt;0,1)+IF(D10-F8&gt;0,1)+IF(E10-F9&gt;0,1)+IF(G10-F11&gt;0,1))&amp;"-"&amp;(IF(C10-F7&lt;0,1)+IF(D10-F8&lt;0,1)+IF(E10-F9&lt;0,1)+IF(G10-F11&lt;0,1))</f>
        <v>0-0</v>
      </c>
      <c r="I10" s="203" t="str">
        <f>IF(AND(B10&lt;&gt;"",R$6=TRUE),A$6&amp;RANK(S10,S$7:S$11,0)," ")</f>
        <v xml:space="preserve"> </v>
      </c>
      <c r="J10" s="313">
        <f>IF(AND(Q10=1,Q7=1,C10&gt;F7),1)+IF(AND(Q10=1,Q8=1,D10&gt;F8),1)+IF(AND(Q10=1,Q9=1,E10&gt;F9),1)+IF(AND(Q10=1,Q11=1,G10&gt;F11),1)+IF(AND(Q10=2,Q7=2,C10&gt;F7),1)+IF(AND(Q10=2,Q8=2,D10&gt;F8),1)+IF(AND(Q10=2,Q9=2,E10&gt;F9),1)+IF(AND(Q10=2,Q11=2,G10&gt;F11),1)+IF(AND(Q10=3,Q7=3,C10&gt;F7),1)+IF(AND(Q10=3,Q8=3,D10&gt;F8),1)+IF(AND(Q10=3,Q9=3,E10&gt;F9),1)+IF(AND(Q10=3,Q11=3,G10&gt;F11),1)</f>
        <v>0</v>
      </c>
      <c r="K10" s="308">
        <f>SUM(AND(T10=T7,C10&gt;F7),AND(T10=T8,D10&gt;F8),AND(T10=T9,E10&gt;F9),AND(T10=T11,G10&gt;F11))</f>
        <v>0</v>
      </c>
      <c r="L10" s="314">
        <f>IF(AND(Q10=1,Q7=1),C10-F7)+IF(AND(Q10=1,Q8=1),D10-F8)+IF(AND(Q10=1,Q9=1),E10-F9)+IF(AND(Q10=1,Q11=1),G10-F11)+IF(AND(Q10=2,Q7=2),C10-F7)+IF(AND(Q10=2,Q8=2),D10-F8)+IF(AND(Q10=2,Q9=2),E10-F9)+IF(AND(Q10=2,Q11=2),G10-F11)+IF(AND(Q10=3,Q7=3),C10-F7)+IF(AND(Q10=3,Q8=3),D10-F8)+IF(AND(Q10=3,Q9=3),E10-F9)+IF(AND(Q10=3,Q11=3),G10-F11)+IF(AND(Q10=4,Q7=4),C10-F7)+IF(AND(Q10=4,Q8=4),D10-F8)+IF(AND(Q10=4,Q9=4),E10-F9)+IF(AND(Q10=4,Q11=4),G10-F11)</f>
        <v>0</v>
      </c>
      <c r="M10" s="308">
        <f>SUM(AND(R10=R7,C10&gt;F7),AND(R10=R8,D10&gt;F8),AND(R10=R9,E10&gt;F9),AND(R10=R11,G10&gt;F11))</f>
        <v>0</v>
      </c>
      <c r="N10" s="356" t="str">
        <f>SUM(C10:G10)&amp;"-"&amp;SUM(F7:F11)</f>
        <v>0-0</v>
      </c>
      <c r="O10" s="357">
        <f>C10+D10+E10+G10-F7-F8-F9-F11</f>
        <v>0</v>
      </c>
      <c r="P10" s="309" t="e">
        <f>SUM(C10:G10,F7:F11)/SUM(F7:F11)</f>
        <v>#DIV/0!</v>
      </c>
      <c r="Q10" s="315">
        <f>VALUE(LEFT(H10,1))</f>
        <v>0</v>
      </c>
      <c r="R10" s="206">
        <f>Q10*100000+J10*10000+K10*1000+100*L10</f>
        <v>0</v>
      </c>
      <c r="S10" s="310">
        <f>R10+M10*0.1+IF(ISNONTEXT(B10),0,0.01)+0.0001*O10</f>
        <v>0</v>
      </c>
      <c r="T10" s="311" t="str">
        <f>Q10&amp;J10</f>
        <v>00</v>
      </c>
      <c r="U10" s="302"/>
      <c r="V10" s="302"/>
      <c r="W10" s="302"/>
      <c r="X10" s="302"/>
      <c r="Y10" s="302"/>
      <c r="Z10" s="302"/>
      <c r="AA10" s="309"/>
      <c r="AD10" s="233">
        <f t="shared" si="0"/>
        <v>0</v>
      </c>
      <c r="AE10" s="234" t="str">
        <f>IFERROR(INDEX(V!$R:$R,MATCH(AF10,V!$L:$L,0)),"")</f>
        <v/>
      </c>
      <c r="AF10" s="235" t="str">
        <f t="shared" si="1"/>
        <v/>
      </c>
      <c r="AG10" s="234" t="str">
        <f>IFERROR(INDEX(V!$R:$R,MATCH(AH10,V!$L:$L,0)),"")</f>
        <v/>
      </c>
      <c r="AH10" s="235" t="str">
        <f t="shared" si="2"/>
        <v/>
      </c>
      <c r="AI10" s="234" t="str">
        <f>IFERROR(INDEX(V!$R:$R,MATCH(AJ10,V!$L:$L,0)),"")</f>
        <v/>
      </c>
      <c r="AJ10" s="235" t="str">
        <f t="shared" si="3"/>
        <v/>
      </c>
      <c r="AK10" s="234" t="str">
        <f>IFERROR(INDEX(V!$R:$R,MATCH(AL10,V!$L:$L,0)),"")</f>
        <v/>
      </c>
      <c r="AL10" s="235" t="str">
        <f t="shared" si="4"/>
        <v/>
      </c>
      <c r="AM10" s="234" t="str">
        <f>IFERROR(INDEX(V!$R:$R,MATCH(AN10,V!$L:$L,0)),"")</f>
        <v/>
      </c>
      <c r="AN10" s="235" t="str">
        <f t="shared" si="5"/>
        <v/>
      </c>
      <c r="AO10" s="234" t="str">
        <f>IFERROR(INDEX(V!$R:$R,MATCH(AP10,V!$L:$L,0)),"")</f>
        <v/>
      </c>
      <c r="AP10" s="235" t="str">
        <f t="shared" si="6"/>
        <v/>
      </c>
    </row>
    <row r="11" spans="1:42" hidden="1" x14ac:dyDescent="0.2">
      <c r="A11" s="201">
        <v>5</v>
      </c>
      <c r="B11" s="317"/>
      <c r="C11" s="203"/>
      <c r="D11" s="203"/>
      <c r="E11" s="203"/>
      <c r="F11" s="203"/>
      <c r="G11" s="204"/>
      <c r="H11" s="202" t="str">
        <f>(IF(C11-G7&gt;0,1)+IF(D11-G8&gt;0,1)+IF(E11-G9&gt;0,1)+IF(F11-G10&gt;0,1))&amp;"-"&amp;(IF(C11-G7&lt;0,1)+IF(D11-G8&lt;0,1)+IF(E11-G9&lt;0,1)+IF(F11-G10&lt;0,1))</f>
        <v>0-0</v>
      </c>
      <c r="I11" s="203" t="str">
        <f>IF(AND(B11&lt;&gt;"",R$6=TRUE),A$6&amp;RANK(S11,S$7:S$11,0)," ")</f>
        <v xml:space="preserve"> </v>
      </c>
      <c r="J11" s="313">
        <f>IF(AND(Q11=1,Q7=1,C11&gt;G7),1)+IF(AND(Q11=1,Q8=1,D11&gt;G8),1)+IF(AND(Q11=1,Q9=1,E11&gt;G9),1)+IF(AND(Q11=1,Q10=1,F11&gt;G10),1)+IF(AND(Q11=2,Q7=2,C11&gt;G7),1)+IF(AND(Q11=2,Q8=2,D11&gt;G8),1)+IF(AND(Q11=2,Q9=2,E11&gt;G9),1)+IF(AND(Q11=2,Q10=2,F11&gt;G10),1)+IF(AND(Q11=3,Q7=3,C11&gt;G7),1)+IF(AND(Q11=3,Q8=3,D11&gt;G8),1)+IF(AND(Q11=3,Q9=3,E11&gt;G9),1)+IF(AND(Q11=3,Q10=3,F11&gt;G10),1)</f>
        <v>0</v>
      </c>
      <c r="K11" s="308">
        <f>SUM(AND(T11=T7,C11&gt;G7),AND(T11=T8,D11&gt;G8),AND(T11=T9,E11&gt;G9),AND(T11=T10,F11&gt;G10))</f>
        <v>0</v>
      </c>
      <c r="L11" s="314">
        <f>IF(AND(Q11=1,Q7=1),C11-G7)+IF(AND(Q11=1,Q8=1),D11-G8)+IF(AND(Q11=1,Q9=1),E11-G9)+IF(AND(Q11=1,Q10=1),F11-G10)+IF(AND(Q11=2,Q7=2),C11-G7)+IF(AND(Q11=2,Q8=2),D11-G8)+IF(AND(Q11=2,Q9=2),E11-G9)+IF(AND(Q11=2,Q10=2),F11-G10)+IF(AND(Q11=3,Q7=3),C11-G7)+IF(AND(Q11=3,Q8=3),D11-G8)+IF(AND(Q11=3,Q9=3),E11-G9)+IF(AND(Q11=3,Q10=3),F11-G10)+IF(AND(Q11=4,Q7=4),C11-G7)+IF(AND(Q11=4,Q8=4),D11-G8)+IF(AND(Q11=4,Q9=4),E11-G9)+IF(AND(Q11=4,Q10=4),F11-G10)</f>
        <v>0</v>
      </c>
      <c r="M11" s="308">
        <f>SUM(AND(R11=R7,C11&gt;G7),AND(R11=R8,D11&gt;G8),AND(R11=R9,E11&gt;G9),AND(R11=R10,F11&gt;G10))</f>
        <v>0</v>
      </c>
      <c r="N11" s="356" t="str">
        <f>SUM(C11:G11)&amp;"-"&amp;SUM(G7:G11)</f>
        <v>0-0</v>
      </c>
      <c r="O11" s="357">
        <f>C11+D11+E11+F11-G7-G8-G9-G10</f>
        <v>0</v>
      </c>
      <c r="P11" s="309" t="e">
        <f>SUM(C11:G11,G7:G11)/SUM(G7:G11)</f>
        <v>#DIV/0!</v>
      </c>
      <c r="Q11" s="315">
        <f>VALUE(LEFT(H11,1))</f>
        <v>0</v>
      </c>
      <c r="R11" s="206">
        <f>Q11*100000+J11*10000+K11*1000+100*L11</f>
        <v>0</v>
      </c>
      <c r="S11" s="310">
        <f>R11+M11*0.1+IF(ISNONTEXT(B11),0,0.01)+0.0001*O11</f>
        <v>0</v>
      </c>
      <c r="T11" s="311" t="str">
        <f>Q11&amp;J11</f>
        <v>00</v>
      </c>
      <c r="U11" s="302"/>
      <c r="V11" s="302"/>
      <c r="W11" s="302"/>
      <c r="X11" s="302"/>
      <c r="Y11" s="302"/>
      <c r="Z11" s="302"/>
      <c r="AA11" s="309"/>
      <c r="AD11" s="233">
        <f t="shared" si="0"/>
        <v>0</v>
      </c>
      <c r="AE11" s="234" t="str">
        <f>IFERROR(INDEX(V!$R:$R,MATCH(AF11,V!$L:$L,0)),"")</f>
        <v/>
      </c>
      <c r="AF11" s="235" t="str">
        <f t="shared" si="1"/>
        <v/>
      </c>
      <c r="AG11" s="234" t="str">
        <f>IFERROR(INDEX(V!$R:$R,MATCH(AH11,V!$L:$L,0)),"")</f>
        <v/>
      </c>
      <c r="AH11" s="235" t="str">
        <f t="shared" si="2"/>
        <v/>
      </c>
      <c r="AI11" s="234" t="str">
        <f>IFERROR(INDEX(V!$R:$R,MATCH(AJ11,V!$L:$L,0)),"")</f>
        <v/>
      </c>
      <c r="AJ11" s="235" t="str">
        <f t="shared" si="3"/>
        <v/>
      </c>
      <c r="AK11" s="234" t="str">
        <f>IFERROR(INDEX(V!$R:$R,MATCH(AL11,V!$L:$L,0)),"")</f>
        <v/>
      </c>
      <c r="AL11" s="235" t="str">
        <f t="shared" si="4"/>
        <v/>
      </c>
      <c r="AM11" s="234" t="str">
        <f>IFERROR(INDEX(V!$R:$R,MATCH(AN11,V!$L:$L,0)),"")</f>
        <v/>
      </c>
      <c r="AN11" s="235" t="str">
        <f t="shared" si="5"/>
        <v/>
      </c>
      <c r="AO11" s="234" t="str">
        <f>IFERROR(INDEX(V!$R:$R,MATCH(AP11,V!$L:$L,0)),"")</f>
        <v/>
      </c>
      <c r="AP11" s="235" t="str">
        <f t="shared" si="6"/>
        <v/>
      </c>
    </row>
    <row r="12" spans="1:42" x14ac:dyDescent="0.2">
      <c r="A12" s="318"/>
      <c r="B12" s="319"/>
      <c r="C12" s="320"/>
      <c r="D12" s="321"/>
      <c r="E12" s="322"/>
      <c r="F12" s="322"/>
      <c r="G12" s="323"/>
      <c r="H12" s="324"/>
      <c r="I12" s="325"/>
      <c r="J12" s="302"/>
      <c r="K12" s="302"/>
      <c r="L12" s="302"/>
      <c r="M12" s="302"/>
      <c r="N12" s="358"/>
      <c r="O12" s="358"/>
      <c r="P12" s="302"/>
      <c r="Q12" s="302"/>
      <c r="R12" s="326" t="s">
        <v>247</v>
      </c>
      <c r="S12" s="302"/>
      <c r="T12" s="302"/>
      <c r="U12" s="302"/>
      <c r="V12" s="302"/>
      <c r="W12" s="302"/>
      <c r="X12" s="302"/>
      <c r="Y12" s="302"/>
      <c r="Z12" s="302"/>
      <c r="AA12" s="309"/>
      <c r="AD12" s="233">
        <f t="shared" si="0"/>
        <v>0</v>
      </c>
      <c r="AE12" s="234" t="str">
        <f>IFERROR(INDEX(V!$R:$R,MATCH(AF12,V!$L:$L,0)),"")</f>
        <v/>
      </c>
      <c r="AF12" s="235" t="str">
        <f t="shared" si="1"/>
        <v/>
      </c>
      <c r="AG12" s="234" t="str">
        <f>IFERROR(INDEX(V!$R:$R,MATCH(AH12,V!$L:$L,0)),"")</f>
        <v/>
      </c>
      <c r="AH12" s="235" t="str">
        <f t="shared" si="2"/>
        <v/>
      </c>
      <c r="AI12" s="234" t="str">
        <f>IFERROR(INDEX(V!$R:$R,MATCH(AJ12,V!$L:$L,0)),"")</f>
        <v/>
      </c>
      <c r="AJ12" s="235" t="str">
        <f t="shared" si="3"/>
        <v/>
      </c>
      <c r="AK12" s="234" t="str">
        <f>IFERROR(INDEX(V!$R:$R,MATCH(AL12,V!$L:$L,0)),"")</f>
        <v/>
      </c>
      <c r="AL12" s="235" t="str">
        <f t="shared" si="4"/>
        <v/>
      </c>
      <c r="AM12" s="234" t="str">
        <f>IFERROR(INDEX(V!$R:$R,MATCH(AN12,V!$L:$L,0)),"")</f>
        <v/>
      </c>
      <c r="AN12" s="235" t="str">
        <f t="shared" si="5"/>
        <v/>
      </c>
      <c r="AO12" s="234" t="str">
        <f>IFERROR(INDEX(V!$R:$R,MATCH(AP12,V!$L:$L,0)),"")</f>
        <v/>
      </c>
      <c r="AP12" s="235" t="str">
        <f t="shared" si="6"/>
        <v/>
      </c>
    </row>
    <row r="13" spans="1:42" x14ac:dyDescent="0.2">
      <c r="A13" s="201" t="s">
        <v>1</v>
      </c>
      <c r="B13" s="327"/>
      <c r="C13" s="292">
        <v>1</v>
      </c>
      <c r="D13" s="292">
        <v>2</v>
      </c>
      <c r="E13" s="292">
        <v>3</v>
      </c>
      <c r="F13" s="292"/>
      <c r="G13" s="292"/>
      <c r="H13" s="293" t="s">
        <v>170</v>
      </c>
      <c r="I13" s="293" t="s">
        <v>171</v>
      </c>
      <c r="J13" s="328" t="s">
        <v>240</v>
      </c>
      <c r="K13" s="329" t="s">
        <v>241</v>
      </c>
      <c r="L13" s="330" t="s">
        <v>242</v>
      </c>
      <c r="M13" s="330" t="s">
        <v>243</v>
      </c>
      <c r="N13" s="297" t="s">
        <v>172</v>
      </c>
      <c r="O13" s="297" t="s">
        <v>172</v>
      </c>
      <c r="P13" s="298" t="s">
        <v>244</v>
      </c>
      <c r="Q13" s="331" t="s">
        <v>21</v>
      </c>
      <c r="R13" s="331" t="b">
        <f>OR(AND(COUNTA(B14:B18)=3,COUNTA(C14:G18)=6),AND(COUNTA(B14:B18)=4,COUNTA(C14:G18)=12),AND(COUNTA(B14:B18)=5,COUNTA(C14:G18)=20))</f>
        <v>0</v>
      </c>
      <c r="S13" s="332" t="s">
        <v>245</v>
      </c>
      <c r="T13" s="333" t="s">
        <v>246</v>
      </c>
      <c r="U13" s="302"/>
      <c r="V13" s="302"/>
      <c r="W13" s="302"/>
      <c r="X13" s="302"/>
      <c r="Y13" s="302"/>
      <c r="Z13" s="302"/>
      <c r="AA13" s="309"/>
      <c r="AD13" s="233">
        <f t="shared" si="0"/>
        <v>0</v>
      </c>
      <c r="AE13" s="234" t="str">
        <f>IFERROR(INDEX(V!$R:$R,MATCH(AF13,V!$L:$L,0)),"")</f>
        <v/>
      </c>
      <c r="AF13" s="235" t="str">
        <f t="shared" si="1"/>
        <v/>
      </c>
      <c r="AG13" s="234" t="str">
        <f>IFERROR(INDEX(V!$R:$R,MATCH(AH13,V!$L:$L,0)),"")</f>
        <v/>
      </c>
      <c r="AH13" s="235" t="str">
        <f t="shared" si="2"/>
        <v/>
      </c>
      <c r="AI13" s="234" t="str">
        <f>IFERROR(INDEX(V!$R:$R,MATCH(AJ13,V!$L:$L,0)),"")</f>
        <v/>
      </c>
      <c r="AJ13" s="235" t="str">
        <f t="shared" si="3"/>
        <v/>
      </c>
      <c r="AK13" s="234" t="str">
        <f>IFERROR(INDEX(V!$R:$R,MATCH(AL13,V!$L:$L,0)),"")</f>
        <v/>
      </c>
      <c r="AL13" s="235" t="str">
        <f t="shared" si="4"/>
        <v/>
      </c>
      <c r="AM13" s="234" t="str">
        <f>IFERROR(INDEX(V!$R:$R,MATCH(AN13,V!$L:$L,0)),"")</f>
        <v/>
      </c>
      <c r="AN13" s="235" t="str">
        <f t="shared" si="5"/>
        <v/>
      </c>
      <c r="AO13" s="234" t="str">
        <f>IFERROR(INDEX(V!$R:$R,MATCH(AP13,V!$L:$L,0)),"")</f>
        <v/>
      </c>
      <c r="AP13" s="235" t="str">
        <f t="shared" si="6"/>
        <v/>
      </c>
    </row>
    <row r="14" spans="1:42" x14ac:dyDescent="0.2">
      <c r="A14" s="201">
        <v>1</v>
      </c>
      <c r="B14" s="334"/>
      <c r="C14" s="204"/>
      <c r="D14" s="203"/>
      <c r="E14" s="203"/>
      <c r="F14" s="203"/>
      <c r="G14" s="203"/>
      <c r="H14" s="202" t="str">
        <f>(IF(D14-C15&gt;0,1)+IF(E14-C16&gt;0,1)+IF(F14-C17&gt;0,1)+IF(G14-C18&gt;0,1))&amp;"-"&amp;(IF(D14-C15&lt;0,1)+IF(E14-C16&lt;0,1)+IF(F14-C17&lt;0,1)+IF(G14-C18&lt;0,1))</f>
        <v>0-0</v>
      </c>
      <c r="I14" s="203" t="str">
        <f>IF(AND(B14&lt;&gt;"",R$6=TRUE),A$13&amp;RANK(S14,S$14:S$18,0)," ")</f>
        <v xml:space="preserve"> </v>
      </c>
      <c r="J14" s="305">
        <f>IF(AND(Q14=1,Q15=1,D14&gt;C15),1)+IF(AND(Q14=1,Q16=1,E14&gt;C16),1)+IF(AND(Q14=1,Q17=1,F14&gt;C17),1)+IF(AND(Q14=1,Q18=1,G14&gt;C18),1)+IF(AND(Q14=2,Q15=2,D14&gt;C15),1)+IF(AND(Q14=2,Q16=2,E14&gt;C16),1)+IF(AND(Q14=2,Q17=2,F14&gt;C17),1)+IF(AND(Q14=2,Q18=2,G14&gt;C18),1)+IF(AND(Q14=3,Q15=3,D14&gt;C15),1)+IF(AND(Q14=3,Q16=3,E14&gt;C16),1)+IF(AND(Q14=3,Q17=3,F14&gt;C17),1)+IF(AND(Q14=3,Q18=3,G14&gt;C18),1)</f>
        <v>0</v>
      </c>
      <c r="K14" s="306">
        <f>SUM(AND(T14=T15,D14&gt;C15),AND(T14=T16,E14&gt;C16),AND(T14=T17,F14&gt;C17),AND(T14=T18,G14&gt;C18))</f>
        <v>0</v>
      </c>
      <c r="L14" s="307">
        <f>IF(AND(Q14=1,Q15=1),D14-C15)+IF(AND(Q14=1,Q16=1),E14-C16)+IF(AND(Q14=1,Q17=1),F14-C17)+IF(AND(Q14=1,Q18=1),G14-C18)+IF(AND(Q14=2,Q15=2),D14-C15)+IF(AND(Q14=2,Q16=2),E14-C16)+IF(AND(Q14=2,Q17=2),F14-C17)+IF(AND(Q14=2,Q18=2),G14-C18)+IF(AND(Q14=3,Q15=3),D14-C15)+IF(AND(Q14=3,Q16=3),E14-C16)+IF(AND(Q14=3,Q17=3),F14-C17)+IF(AND(Q14=3,Q18=3),G14-C18)+IF(AND(Q14=4,Q15=4),D14-C15)+IF(AND(Q14=4,Q16=4),E14-C16)+IF(AND(Q14=4,Q17=4),F14-C17)+IF(AND(Q14=4,Q18=4),G14-C18)</f>
        <v>0</v>
      </c>
      <c r="M14" s="308">
        <f>SUM(AND(R14=R15,D14&gt;C15),AND(R14=R16,E14&gt;C16),AND(R14=R17,F14&gt;C17),AND(R14=R18,G14&gt;C18))</f>
        <v>0</v>
      </c>
      <c r="N14" s="356" t="str">
        <f>SUM(C14:G14)&amp;"-"&amp;SUM(C14:C18)</f>
        <v>0-0</v>
      </c>
      <c r="O14" s="357">
        <f>D14+E14+F14+G14-C15-C16-C17-C18</f>
        <v>0</v>
      </c>
      <c r="P14" s="309" t="e">
        <f>SUM(C14:G14,C14:C18)/SUM(C14:C18)</f>
        <v>#DIV/0!</v>
      </c>
      <c r="Q14" s="205">
        <f>VALUE(LEFT(H14,1))</f>
        <v>0</v>
      </c>
      <c r="R14" s="206">
        <f>Q14*100000+J14*10000+K14*1000+100*L14</f>
        <v>0</v>
      </c>
      <c r="S14" s="310">
        <f>R14+M14*0.1+IF(ISNONTEXT(B14),0,0.01)+0.0001*O14</f>
        <v>0</v>
      </c>
      <c r="T14" s="311" t="str">
        <f>Q14&amp;J14</f>
        <v>00</v>
      </c>
      <c r="U14" s="302"/>
      <c r="V14" s="302"/>
      <c r="W14" s="302"/>
      <c r="X14" s="302"/>
      <c r="Y14" s="302"/>
      <c r="Z14" s="302"/>
      <c r="AA14" s="309"/>
      <c r="AD14" s="233">
        <f t="shared" si="0"/>
        <v>0</v>
      </c>
      <c r="AE14" s="234" t="str">
        <f>IFERROR(INDEX(V!$R:$R,MATCH(AF14,V!$L:$L,0)),"")</f>
        <v/>
      </c>
      <c r="AF14" s="235" t="str">
        <f t="shared" si="1"/>
        <v/>
      </c>
      <c r="AG14" s="234" t="str">
        <f>IFERROR(INDEX(V!$R:$R,MATCH(AH14,V!$L:$L,0)),"")</f>
        <v/>
      </c>
      <c r="AH14" s="235" t="str">
        <f t="shared" si="2"/>
        <v/>
      </c>
      <c r="AI14" s="234" t="str">
        <f>IFERROR(INDEX(V!$R:$R,MATCH(AJ14,V!$L:$L,0)),"")</f>
        <v/>
      </c>
      <c r="AJ14" s="235" t="str">
        <f t="shared" si="3"/>
        <v/>
      </c>
      <c r="AK14" s="234" t="str">
        <f>IFERROR(INDEX(V!$R:$R,MATCH(AL14,V!$L:$L,0)),"")</f>
        <v/>
      </c>
      <c r="AL14" s="235" t="str">
        <f t="shared" si="4"/>
        <v/>
      </c>
      <c r="AM14" s="234" t="str">
        <f>IFERROR(INDEX(V!$R:$R,MATCH(AN14,V!$L:$L,0)),"")</f>
        <v/>
      </c>
      <c r="AN14" s="235" t="str">
        <f t="shared" si="5"/>
        <v/>
      </c>
      <c r="AO14" s="234" t="str">
        <f>IFERROR(INDEX(V!$R:$R,MATCH(AP14,V!$L:$L,0)),"")</f>
        <v/>
      </c>
      <c r="AP14" s="235" t="str">
        <f t="shared" si="6"/>
        <v/>
      </c>
    </row>
    <row r="15" spans="1:42" x14ac:dyDescent="0.2">
      <c r="A15" s="201">
        <v>2</v>
      </c>
      <c r="B15" s="304"/>
      <c r="C15" s="203"/>
      <c r="D15" s="204"/>
      <c r="E15" s="203"/>
      <c r="F15" s="203"/>
      <c r="G15" s="203"/>
      <c r="H15" s="202" t="str">
        <f>(IF(C15-D14&gt;0,1)+IF(E15-D16&gt;0,1)+IF(F15-D17&gt;0,1)+IF(G15-D18&gt;0,1))&amp;"-"&amp;(IF(C15-D14&lt;0,1)+IF(E15-D16&lt;0,1)+IF(F15-D17&lt;0,1)+IF(G15-D18&lt;0,1))</f>
        <v>0-0</v>
      </c>
      <c r="I15" s="203" t="str">
        <f>IF(AND(B15&lt;&gt;"",R$6=TRUE),A$13&amp;RANK(S15,S$14:S$18,0)," ")</f>
        <v xml:space="preserve"> </v>
      </c>
      <c r="J15" s="313">
        <f>IF(AND(Q15=1,Q14=1,C15&gt;D14),1)+IF(AND(Q15=1,Q16=1,E15&gt;D16),1)+IF(AND(Q15=1,Q17=1,F15&gt;D17),1)+IF(AND(Q15=1,Q18=1,G15&gt;D18),1)+IF(AND(Q15=2,Q14=2,C15&gt;D14),1)+IF(AND(Q15=2,Q16=2,E15&gt;D16),1)+IF(AND(Q15=2,Q17=2,F15&gt;D17),1)+IF(AND(Q15=2,Q18=2,G15&gt;D18),1)+IF(AND(Q15=3,Q14=3,C15&gt;D14),1)+IF(AND(Q15=3,Q16=3,E15&gt;D16),1)+IF(AND(Q15=3,Q17=3,F15&gt;D17),1)+IF(AND(Q15=3,Q18=3,G15&gt;D18),1)</f>
        <v>0</v>
      </c>
      <c r="K15" s="308">
        <f>SUM(AND(T15=T14,C15&gt;D14),AND(T15=T16,E15&gt;D16),AND(T15=T17,F15&gt;D17),AND(T15=T18,G15&gt;D18))</f>
        <v>0</v>
      </c>
      <c r="L15" s="314">
        <f>IF(AND(Q15=1,Q14=1),C15-D14)+IF(AND(Q15=1,Q16=1),E15-D16)+IF(AND(Q15=1,Q17=1),F15-D17)+IF(AND(Q15=1,Q18=1),G15-D18)+IF(AND(Q15=2,Q14=2),C15-D14)+IF(AND(Q15=2,Q16=2),E15-D16)+IF(AND(Q15=2,Q17=2),F15-D17)+IF(AND(Q15=2,Q18=2),G15-D18)+IF(AND(Q15=3,Q14=3),C15-D14)+IF(AND(Q15=3,Q16=3),E15-D16)+IF(AND(Q15=3,Q17=3),F15-D17)+IF(AND(Q15=3,Q18=3),G15-D18)+IF(AND(Q15=4,Q14=4),C15-D14)+IF(AND(Q15=4,Q16=4),E15-D16)+IF(AND(Q15=4,Q17=4),F15-D17)+IF(AND(Q15=4,Q18=4),G15-D18)</f>
        <v>0</v>
      </c>
      <c r="M15" s="308">
        <f>SUM(AND(R15=R14,C15&gt;D14),AND(R15=R16,E15&gt;D16),AND(R15=R17,F15&gt;D17),AND(R15=R18,G15&gt;D18))</f>
        <v>0</v>
      </c>
      <c r="N15" s="356" t="str">
        <f>SUM(C15:G15)&amp;"-"&amp;SUM(D14:D18)</f>
        <v>0-0</v>
      </c>
      <c r="O15" s="357">
        <f>C15+E15+F15+G15-D14-D16-D17-D18</f>
        <v>0</v>
      </c>
      <c r="P15" s="309" t="e">
        <f>SUM(C15:G15,D14:D18)/SUM(D14:D18)</f>
        <v>#DIV/0!</v>
      </c>
      <c r="Q15" s="315">
        <f>VALUE(LEFT(H15,1))</f>
        <v>0</v>
      </c>
      <c r="R15" s="206">
        <f>Q15*100000+J15*10000+K15*1000+100*L15</f>
        <v>0</v>
      </c>
      <c r="S15" s="310">
        <f>R15+M15*0.1+IF(ISNONTEXT(B15),0,0.01)+0.0001*O15</f>
        <v>0</v>
      </c>
      <c r="T15" s="311" t="str">
        <f>Q15&amp;J15</f>
        <v>00</v>
      </c>
      <c r="U15" s="302"/>
      <c r="V15" s="302"/>
      <c r="W15" s="302"/>
      <c r="X15" s="302"/>
      <c r="Y15" s="302"/>
      <c r="Z15" s="302"/>
      <c r="AA15" s="309"/>
      <c r="AD15" s="233">
        <f t="shared" si="0"/>
        <v>0</v>
      </c>
      <c r="AE15" s="234" t="str">
        <f>IFERROR(INDEX(V!$R:$R,MATCH(AF15,V!$L:$L,0)),"")</f>
        <v/>
      </c>
      <c r="AF15" s="235" t="str">
        <f t="shared" si="1"/>
        <v/>
      </c>
      <c r="AG15" s="234" t="str">
        <f>IFERROR(INDEX(V!$R:$R,MATCH(AH15,V!$L:$L,0)),"")</f>
        <v/>
      </c>
      <c r="AH15" s="235" t="str">
        <f t="shared" si="2"/>
        <v/>
      </c>
      <c r="AI15" s="234" t="str">
        <f>IFERROR(INDEX(V!$R:$R,MATCH(AJ15,V!$L:$L,0)),"")</f>
        <v/>
      </c>
      <c r="AJ15" s="235" t="str">
        <f t="shared" si="3"/>
        <v/>
      </c>
      <c r="AK15" s="234" t="str">
        <f>IFERROR(INDEX(V!$R:$R,MATCH(AL15,V!$L:$L,0)),"")</f>
        <v/>
      </c>
      <c r="AL15" s="235" t="str">
        <f t="shared" si="4"/>
        <v/>
      </c>
      <c r="AM15" s="234" t="str">
        <f>IFERROR(INDEX(V!$R:$R,MATCH(AN15,V!$L:$L,0)),"")</f>
        <v/>
      </c>
      <c r="AN15" s="235" t="str">
        <f t="shared" si="5"/>
        <v/>
      </c>
      <c r="AO15" s="234" t="str">
        <f>IFERROR(INDEX(V!$R:$R,MATCH(AP15,V!$L:$L,0)),"")</f>
        <v/>
      </c>
      <c r="AP15" s="235" t="str">
        <f t="shared" si="6"/>
        <v/>
      </c>
    </row>
    <row r="16" spans="1:42" x14ac:dyDescent="0.2">
      <c r="A16" s="201">
        <v>3</v>
      </c>
      <c r="B16" s="312"/>
      <c r="C16" s="203"/>
      <c r="D16" s="316"/>
      <c r="E16" s="204"/>
      <c r="F16" s="203"/>
      <c r="G16" s="203"/>
      <c r="H16" s="202" t="str">
        <f>(IF(C16-E14&gt;0,1)+IF(D16-E15&gt;0,1)+IF(F16-E17&gt;0,1)+IF(G16-E18&gt;0,1))&amp;"-"&amp;(IF(C16-E14&lt;0,1)+IF(D16-E15&lt;0,1)+IF(F16-E17&lt;0,1)+IF(G16-E18&lt;0,1))</f>
        <v>0-0</v>
      </c>
      <c r="I16" s="203" t="str">
        <f>IF(AND(B16&lt;&gt;"",R$6=TRUE),A$13&amp;RANK(S16,S$14:S$18,0)," ")</f>
        <v xml:space="preserve"> </v>
      </c>
      <c r="J16" s="313">
        <f>IF(AND(Q16=1,Q14=1,C16&gt;E14),1)+IF(AND(Q16=1,Q15=1,D16&gt;E15),1)+IF(AND(Q16=1,Q17=1,F16&gt;E17),1)+IF(AND(Q16=1,Q18=1,G16&gt;E18),1)+IF(AND(Q16=2,Q14=2,C16&gt;E14),1)+IF(AND(Q16=2,Q15=2,D16&gt;E15),1)+IF(AND(Q16=2,Q17=2,F16&gt;E17),1)+IF(AND(Q16=2,Q18=2,G16&gt;E18),1)+IF(AND(Q16=3,Q14=3,C16&gt;E14),1)+IF(AND(Q16=3,Q15=3,D16&gt;E15),1)+IF(AND(Q16=3,Q17=3,F16&gt;E17),1)+IF(AND(Q16=3,Q18=3,G16&gt;E18),1)</f>
        <v>0</v>
      </c>
      <c r="K16" s="308">
        <f>SUM(AND(T16=T14,C16&gt;E14),AND(T16=T15,D16&gt;E15),AND(T16=T17,F16&gt;E17),AND(T16=T18,G16&gt;E18))</f>
        <v>0</v>
      </c>
      <c r="L16" s="314">
        <f>IF(AND(Q16=1,Q14=1),C16-E14)+IF(AND(Q16=1,Q15=1),D16-E15)+IF(AND(Q16=1,Q17=1),F16-E17)+IF(AND(Q16=1,Q18=1),G16-E18)+IF(AND(Q16=2,Q14=2),C16-E14)+IF(AND(Q16=2,Q15=2),D16-E15)+IF(AND(Q16=2,Q17=2),F16-E17)+IF(AND(Q16=2,Q18=2),G16-E18)+IF(AND(Q16=3,Q14=3),C16-E14)+IF(AND(Q16=3,Q15=3),D16-E15)+IF(AND(Q16=3,Q17=3),F16-E17)+IF(AND(Q16=3,Q18=3),G16-E18)+IF(AND(Q16=4,Q14=4),C16-E14)+IF(AND(Q16=4,Q15=4),D16-E15)+IF(AND(Q16=4,Q17=4),F16-E17)+IF(AND(Q16=4,Q18=4),G16-E18)</f>
        <v>0</v>
      </c>
      <c r="M16" s="308">
        <f>SUM(AND(R16=R14,C16&gt;E14),AND(R16=R15,D16&gt;E15),AND(R16=R17,F16&gt;E17),AND(R16=R18,G16&gt;E18))</f>
        <v>0</v>
      </c>
      <c r="N16" s="356" t="str">
        <f>SUM(C16:G16)&amp;"-"&amp;SUM(E14:E18)</f>
        <v>0-0</v>
      </c>
      <c r="O16" s="357">
        <f>C16+D16+F16+G16-E14-E15-E17-E18</f>
        <v>0</v>
      </c>
      <c r="P16" s="309" t="e">
        <f>SUM(C16:G16,E14:E18)/SUM(E14:E18)</f>
        <v>#DIV/0!</v>
      </c>
      <c r="Q16" s="315">
        <f>VALUE(LEFT(H16,1))</f>
        <v>0</v>
      </c>
      <c r="R16" s="206">
        <f>Q16*100000+J16*10000+K16*1000+100*L16</f>
        <v>0</v>
      </c>
      <c r="S16" s="310">
        <f>R16+M16*0.1+IF(ISNONTEXT(B16),0,0.01)+0.0001*O16</f>
        <v>0</v>
      </c>
      <c r="T16" s="311" t="str">
        <f>Q16&amp;J16</f>
        <v>00</v>
      </c>
      <c r="U16" s="302"/>
      <c r="V16" s="302"/>
      <c r="W16" s="302"/>
      <c r="X16" s="302"/>
      <c r="Y16" s="302"/>
      <c r="Z16" s="302"/>
      <c r="AA16" s="309"/>
      <c r="AD16" s="233">
        <f t="shared" si="0"/>
        <v>0</v>
      </c>
      <c r="AE16" s="234" t="str">
        <f>IFERROR(INDEX(V!$R:$R,MATCH(AF16,V!$L:$L,0)),"")</f>
        <v/>
      </c>
      <c r="AF16" s="235" t="str">
        <f t="shared" si="1"/>
        <v/>
      </c>
      <c r="AG16" s="234" t="str">
        <f>IFERROR(INDEX(V!$R:$R,MATCH(AH16,V!$L:$L,0)),"")</f>
        <v/>
      </c>
      <c r="AH16" s="235" t="str">
        <f t="shared" si="2"/>
        <v/>
      </c>
      <c r="AI16" s="234" t="str">
        <f>IFERROR(INDEX(V!$R:$R,MATCH(AJ16,V!$L:$L,0)),"")</f>
        <v/>
      </c>
      <c r="AJ16" s="235" t="str">
        <f t="shared" si="3"/>
        <v/>
      </c>
      <c r="AK16" s="234" t="str">
        <f>IFERROR(INDEX(V!$R:$R,MATCH(AL16,V!$L:$L,0)),"")</f>
        <v/>
      </c>
      <c r="AL16" s="235" t="str">
        <f t="shared" si="4"/>
        <v/>
      </c>
      <c r="AM16" s="234" t="str">
        <f>IFERROR(INDEX(V!$R:$R,MATCH(AN16,V!$L:$L,0)),"")</f>
        <v/>
      </c>
      <c r="AN16" s="235" t="str">
        <f t="shared" si="5"/>
        <v/>
      </c>
      <c r="AO16" s="234" t="str">
        <f>IFERROR(INDEX(V!$R:$R,MATCH(AP16,V!$L:$L,0)),"")</f>
        <v/>
      </c>
      <c r="AP16" s="235" t="str">
        <f t="shared" si="6"/>
        <v/>
      </c>
    </row>
    <row r="17" spans="1:42" hidden="1" x14ac:dyDescent="0.2">
      <c r="A17" s="201">
        <v>4</v>
      </c>
      <c r="B17" s="317"/>
      <c r="C17" s="203"/>
      <c r="D17" s="316"/>
      <c r="E17" s="203"/>
      <c r="F17" s="204"/>
      <c r="G17" s="335"/>
      <c r="H17" s="202" t="str">
        <f>(IF(C17-F14&gt;0,1)+IF(D17-F15&gt;0,1)+IF(E17-F16&gt;0,1)+IF(G17-F18&gt;0,1))&amp;"-"&amp;(IF(C17-F14&lt;0,1)+IF(D17-F15&lt;0,1)+IF(E17-F16&lt;0,1)+IF(G17-F18&lt;0,1))</f>
        <v>0-0</v>
      </c>
      <c r="I17" s="203" t="str">
        <f>IF(AND(B17&lt;&gt;"",R$6=TRUE),A$13&amp;RANK(S17,S$14:S$18,0)," ")</f>
        <v xml:space="preserve"> </v>
      </c>
      <c r="J17" s="313">
        <f>IF(AND(Q17=1,Q14=1,C17&gt;F14),1)+IF(AND(Q17=1,Q15=1,D17&gt;F15),1)+IF(AND(Q17=1,Q16=1,E17&gt;F16),1)+IF(AND(Q17=1,Q18=1,G17&gt;F18),1)+IF(AND(Q17=2,Q14=2,C17&gt;F14),1)+IF(AND(Q17=2,Q15=2,D17&gt;F15),1)+IF(AND(Q17=2,Q16=2,E17&gt;F16),1)+IF(AND(Q17=2,Q18=2,G17&gt;F18),1)+IF(AND(Q17=3,Q14=3,C17&gt;F14),1)+IF(AND(Q17=3,Q15=3,D17&gt;F15),1)+IF(AND(Q17=3,Q16=3,E17&gt;F16),1)+IF(AND(Q17=3,Q18=3,G17&gt;F18),1)</f>
        <v>0</v>
      </c>
      <c r="K17" s="308">
        <f>SUM(AND(T17=T14,C17&gt;F14),AND(T17=T15,D17&gt;F15),AND(T17=T16,E17&gt;F16),AND(T17=T18,G17&gt;F18))</f>
        <v>0</v>
      </c>
      <c r="L17" s="314">
        <f>IF(AND(Q17=1,Q14=1),C17-F14)+IF(AND(Q17=1,Q15=1),D17-F15)+IF(AND(Q17=1,Q16=1),E17-F16)+IF(AND(Q17=1,Q18=1),G17-F18)+IF(AND(Q17=2,Q14=2),C17-F14)+IF(AND(Q17=2,Q15=2),D17-F15)+IF(AND(Q17=2,Q16=2),E17-F16)+IF(AND(Q17=2,Q18=2),G17-F18)+IF(AND(Q17=3,Q14=3),C17-F14)+IF(AND(Q17=3,Q15=3),D17-F15)+IF(AND(Q17=3,Q16=3),E17-F16)+IF(AND(Q17=3,Q18=3),G17-F18)+IF(AND(Q17=4,Q14=4),C17-F14)+IF(AND(Q17=4,Q15=4),D17-F15)+IF(AND(Q17=4,Q16=4),E17-F16)+IF(AND(Q17=4,Q18=4),G17-F18)</f>
        <v>0</v>
      </c>
      <c r="M17" s="308">
        <f>SUM(AND(R17=R14,C17&gt;F14),AND(R17=R15,D17&gt;F15),AND(R17=R16,E17&gt;F16),AND(R17=R18,G17&gt;F18))</f>
        <v>0</v>
      </c>
      <c r="N17" s="356" t="str">
        <f>SUM(C17:G17)&amp;"-"&amp;SUM(F14:F18)</f>
        <v>0-0</v>
      </c>
      <c r="O17" s="357">
        <f>C17+D17+E17+G17-F14-F15-F16-F18</f>
        <v>0</v>
      </c>
      <c r="P17" s="309" t="e">
        <f>SUM(C17:G17,F14:F18)/SUM(F14:F18)</f>
        <v>#DIV/0!</v>
      </c>
      <c r="Q17" s="315">
        <f>VALUE(LEFT(H17,1))</f>
        <v>0</v>
      </c>
      <c r="R17" s="206">
        <f>Q17*100000+J17*10000+K17*1000+100*L17</f>
        <v>0</v>
      </c>
      <c r="S17" s="310">
        <f>R17+M17*0.1+IF(ISNONTEXT(B17),0,0.01)+0.0001*O17</f>
        <v>0</v>
      </c>
      <c r="T17" s="311" t="str">
        <f>Q17&amp;J17</f>
        <v>00</v>
      </c>
      <c r="U17" s="302"/>
      <c r="V17" s="302"/>
      <c r="W17" s="302"/>
      <c r="X17" s="302"/>
      <c r="Y17" s="302"/>
      <c r="Z17" s="302"/>
      <c r="AA17" s="309"/>
      <c r="AD17" s="233">
        <f t="shared" si="0"/>
        <v>0</v>
      </c>
      <c r="AE17" s="234" t="str">
        <f>IFERROR(INDEX(V!$R:$R,MATCH(AF17,V!$L:$L,0)),"")</f>
        <v/>
      </c>
      <c r="AF17" s="235" t="str">
        <f t="shared" si="1"/>
        <v/>
      </c>
      <c r="AG17" s="234" t="str">
        <f>IFERROR(INDEX(V!$R:$R,MATCH(AH17,V!$L:$L,0)),"")</f>
        <v/>
      </c>
      <c r="AH17" s="235" t="str">
        <f t="shared" si="2"/>
        <v/>
      </c>
      <c r="AI17" s="234" t="str">
        <f>IFERROR(INDEX(V!$R:$R,MATCH(AJ17,V!$L:$L,0)),"")</f>
        <v/>
      </c>
      <c r="AJ17" s="235" t="str">
        <f t="shared" si="3"/>
        <v/>
      </c>
      <c r="AK17" s="234" t="str">
        <f>IFERROR(INDEX(V!$R:$R,MATCH(AL17,V!$L:$L,0)),"")</f>
        <v/>
      </c>
      <c r="AL17" s="235" t="str">
        <f t="shared" si="4"/>
        <v/>
      </c>
      <c r="AM17" s="234" t="str">
        <f>IFERROR(INDEX(V!$R:$R,MATCH(AN17,V!$L:$L,0)),"")</f>
        <v/>
      </c>
      <c r="AN17" s="235" t="str">
        <f t="shared" si="5"/>
        <v/>
      </c>
      <c r="AO17" s="234" t="str">
        <f>IFERROR(INDEX(V!$R:$R,MATCH(AP17,V!$L:$L,0)),"")</f>
        <v/>
      </c>
      <c r="AP17" s="235" t="str">
        <f t="shared" si="6"/>
        <v/>
      </c>
    </row>
    <row r="18" spans="1:42" hidden="1" x14ac:dyDescent="0.2">
      <c r="A18" s="201">
        <v>5</v>
      </c>
      <c r="B18" s="317"/>
      <c r="C18" s="203"/>
      <c r="D18" s="203"/>
      <c r="E18" s="203"/>
      <c r="F18" s="203"/>
      <c r="G18" s="204"/>
      <c r="H18" s="202" t="str">
        <f>(IF(C18-G14&gt;0,1)+IF(D18-G15&gt;0,1)+IF(E18-G16&gt;0,1)+IF(F18-G17&gt;0,1))&amp;"-"&amp;(IF(C18-G14&lt;0,1)+IF(D18-G15&lt;0,1)+IF(E18-G16&lt;0,1)+IF(F18-G17&lt;0,1))</f>
        <v>0-0</v>
      </c>
      <c r="I18" s="203" t="str">
        <f>IF(AND(B18&lt;&gt;"",R$6=TRUE),A$13&amp;RANK(S18,S$14:S$18,0)," ")</f>
        <v xml:space="preserve"> </v>
      </c>
      <c r="J18" s="313">
        <f>IF(AND(Q18=1,Q14=1,C18&gt;G14),1)+IF(AND(Q18=1,Q15=1,D18&gt;G15),1)+IF(AND(Q18=1,Q16=1,E18&gt;G16),1)+IF(AND(Q18=1,Q17=1,F18&gt;G17),1)+IF(AND(Q18=2,Q14=2,C18&gt;G14),1)+IF(AND(Q18=2,Q15=2,D18&gt;G15),1)+IF(AND(Q18=2,Q16=2,E18&gt;G16),1)+IF(AND(Q18=2,Q17=2,F18&gt;G17),1)+IF(AND(Q18=3,Q14=3,C18&gt;G14),1)+IF(AND(Q18=3,Q15=3,D18&gt;G15),1)+IF(AND(Q18=3,Q16=3,E18&gt;G16),1)+IF(AND(Q18=3,Q17=3,F18&gt;G17),1)</f>
        <v>0</v>
      </c>
      <c r="K18" s="308">
        <f>SUM(AND(T18=T14,C18&gt;G14),AND(T18=T15,D18&gt;G15),AND(T18=T16,E18&gt;G16),AND(T18=T17,F18&gt;G17))</f>
        <v>0</v>
      </c>
      <c r="L18" s="314">
        <f>IF(AND(Q18=1,Q14=1),C18-G14)+IF(AND(Q18=1,Q15=1),D18-G15)+IF(AND(Q18=1,Q16=1),E18-G16)+IF(AND(Q18=1,Q17=1),F18-G17)+IF(AND(Q18=2,Q14=2),C18-G14)+IF(AND(Q18=2,Q15=2),D18-G15)+IF(AND(Q18=2,Q16=2),E18-G16)+IF(AND(Q18=2,Q17=2),F18-G17)+IF(AND(Q18=3,Q14=3),C18-G14)+IF(AND(Q18=3,Q15=3),D18-G15)+IF(AND(Q18=3,Q16=3),E18-G16)+IF(AND(Q18=3,Q17=3),F18-G17)+IF(AND(Q18=4,Q14=4),C18-G14)+IF(AND(Q18=4,Q15=4),D18-G15)+IF(AND(Q18=4,Q16=4),E18-G16)+IF(AND(Q18=4,Q17=4),F18-G17)</f>
        <v>0</v>
      </c>
      <c r="M18" s="308">
        <f>SUM(AND(R18=R14,C18&gt;G14),AND(R18=R15,D18&gt;G15),AND(R18=R16,E18&gt;G16),AND(R18=R17,F18&gt;G17))</f>
        <v>0</v>
      </c>
      <c r="N18" s="356" t="str">
        <f>SUM(C18:G18)&amp;"-"&amp;SUM(G14:G18)</f>
        <v>0-0</v>
      </c>
      <c r="O18" s="357">
        <f>C18+D18+E18+F18-G14-G15-G16-G17</f>
        <v>0</v>
      </c>
      <c r="P18" s="309" t="e">
        <f>SUM(C18:G18,G14:G18)/SUM(G14:G18)</f>
        <v>#DIV/0!</v>
      </c>
      <c r="Q18" s="315">
        <f>VALUE(LEFT(H18,1))</f>
        <v>0</v>
      </c>
      <c r="R18" s="206">
        <f>Q18*100000+J18*10000+K18*1000+100*L18</f>
        <v>0</v>
      </c>
      <c r="S18" s="310">
        <f>R18+M18*0.1+IF(ISNONTEXT(B18),0,0.01)+0.0001*O18</f>
        <v>0</v>
      </c>
      <c r="T18" s="311" t="str">
        <f>Q18&amp;J18</f>
        <v>00</v>
      </c>
      <c r="U18" s="302"/>
      <c r="V18" s="302"/>
      <c r="W18" s="302"/>
      <c r="X18" s="302"/>
      <c r="Y18" s="302"/>
      <c r="Z18" s="302"/>
      <c r="AA18" s="309"/>
      <c r="AD18" s="233">
        <f t="shared" si="0"/>
        <v>0</v>
      </c>
      <c r="AE18" s="234" t="str">
        <f>IFERROR(INDEX(V!$R:$R,MATCH(AF18,V!$L:$L,0)),"")</f>
        <v/>
      </c>
      <c r="AF18" s="235" t="str">
        <f t="shared" si="1"/>
        <v/>
      </c>
      <c r="AG18" s="234" t="str">
        <f>IFERROR(INDEX(V!$R:$R,MATCH(AH18,V!$L:$L,0)),"")</f>
        <v/>
      </c>
      <c r="AH18" s="235" t="str">
        <f t="shared" si="2"/>
        <v/>
      </c>
      <c r="AI18" s="234" t="str">
        <f>IFERROR(INDEX(V!$R:$R,MATCH(AJ18,V!$L:$L,0)),"")</f>
        <v/>
      </c>
      <c r="AJ18" s="235" t="str">
        <f t="shared" si="3"/>
        <v/>
      </c>
      <c r="AK18" s="234" t="str">
        <f>IFERROR(INDEX(V!$R:$R,MATCH(AL18,V!$L:$L,0)),"")</f>
        <v/>
      </c>
      <c r="AL18" s="235" t="str">
        <f t="shared" si="4"/>
        <v/>
      </c>
      <c r="AM18" s="234" t="str">
        <f>IFERROR(INDEX(V!$R:$R,MATCH(AN18,V!$L:$L,0)),"")</f>
        <v/>
      </c>
      <c r="AN18" s="235" t="str">
        <f t="shared" si="5"/>
        <v/>
      </c>
      <c r="AO18" s="234" t="str">
        <f>IFERROR(INDEX(V!$R:$R,MATCH(AP18,V!$L:$L,0)),"")</f>
        <v/>
      </c>
      <c r="AP18" s="235" t="str">
        <f t="shared" si="6"/>
        <v/>
      </c>
    </row>
    <row r="19" spans="1:42" x14ac:dyDescent="0.2">
      <c r="A19" s="318"/>
      <c r="B19" s="319"/>
      <c r="C19" s="320"/>
      <c r="D19" s="321"/>
      <c r="E19" s="320"/>
      <c r="F19" s="322"/>
      <c r="G19" s="323"/>
      <c r="H19" s="324"/>
      <c r="I19" s="336"/>
      <c r="J19" s="302"/>
      <c r="K19" s="302"/>
      <c r="L19" s="302"/>
      <c r="M19" s="302"/>
      <c r="N19" s="358"/>
      <c r="O19" s="358"/>
      <c r="P19" s="302"/>
      <c r="Q19" s="302"/>
      <c r="R19" s="326" t="s">
        <v>247</v>
      </c>
      <c r="S19" s="302"/>
      <c r="T19" s="302"/>
      <c r="U19" s="302"/>
      <c r="V19" s="302"/>
      <c r="W19" s="302"/>
      <c r="X19" s="302"/>
      <c r="Y19" s="302"/>
      <c r="Z19" s="302"/>
      <c r="AA19" s="309"/>
      <c r="AD19" s="233">
        <f t="shared" si="0"/>
        <v>0</v>
      </c>
      <c r="AE19" s="234" t="str">
        <f>IFERROR(INDEX(V!$R:$R,MATCH(AF19,V!$L:$L,0)),"")</f>
        <v/>
      </c>
      <c r="AF19" s="235" t="str">
        <f t="shared" si="1"/>
        <v/>
      </c>
      <c r="AG19" s="234" t="str">
        <f>IFERROR(INDEX(V!$R:$R,MATCH(AH19,V!$L:$L,0)),"")</f>
        <v/>
      </c>
      <c r="AH19" s="235" t="str">
        <f t="shared" si="2"/>
        <v/>
      </c>
      <c r="AI19" s="234" t="str">
        <f>IFERROR(INDEX(V!$R:$R,MATCH(AJ19,V!$L:$L,0)),"")</f>
        <v/>
      </c>
      <c r="AJ19" s="235" t="str">
        <f t="shared" si="3"/>
        <v/>
      </c>
      <c r="AK19" s="234" t="str">
        <f>IFERROR(INDEX(V!$R:$R,MATCH(AL19,V!$L:$L,0)),"")</f>
        <v/>
      </c>
      <c r="AL19" s="235" t="str">
        <f t="shared" si="4"/>
        <v/>
      </c>
      <c r="AM19" s="234" t="str">
        <f>IFERROR(INDEX(V!$R:$R,MATCH(AN19,V!$L:$L,0)),"")</f>
        <v/>
      </c>
      <c r="AN19" s="235" t="str">
        <f t="shared" si="5"/>
        <v/>
      </c>
      <c r="AO19" s="234" t="str">
        <f>IFERROR(INDEX(V!$R:$R,MATCH(AP19,V!$L:$L,0)),"")</f>
        <v/>
      </c>
      <c r="AP19" s="235" t="str">
        <f t="shared" si="6"/>
        <v/>
      </c>
    </row>
    <row r="20" spans="1:42" x14ac:dyDescent="0.2">
      <c r="A20" s="201" t="s">
        <v>2</v>
      </c>
      <c r="B20" s="327"/>
      <c r="C20" s="292">
        <v>1</v>
      </c>
      <c r="D20" s="292">
        <v>2</v>
      </c>
      <c r="E20" s="292">
        <v>3</v>
      </c>
      <c r="F20" s="292"/>
      <c r="G20" s="292"/>
      <c r="H20" s="293" t="s">
        <v>170</v>
      </c>
      <c r="I20" s="293" t="s">
        <v>171</v>
      </c>
      <c r="J20" s="328" t="s">
        <v>240</v>
      </c>
      <c r="K20" s="329" t="s">
        <v>241</v>
      </c>
      <c r="L20" s="330" t="s">
        <v>242</v>
      </c>
      <c r="M20" s="330" t="s">
        <v>243</v>
      </c>
      <c r="N20" s="297" t="s">
        <v>172</v>
      </c>
      <c r="O20" s="297" t="s">
        <v>172</v>
      </c>
      <c r="P20" s="298" t="s">
        <v>244</v>
      </c>
      <c r="Q20" s="331" t="s">
        <v>21</v>
      </c>
      <c r="R20" s="331" t="b">
        <f>OR(AND(COUNTA(B21:B25)=3,COUNTA(C21:G25)=6),AND(COUNTA(B21:B25)=4,COUNTA(C21:G25)=12),AND(COUNTA(B21:B25)=5,COUNTA(C21:G25)=20))</f>
        <v>0</v>
      </c>
      <c r="S20" s="332" t="s">
        <v>245</v>
      </c>
      <c r="T20" s="333" t="s">
        <v>246</v>
      </c>
      <c r="U20" s="302"/>
      <c r="V20" s="302"/>
      <c r="W20" s="302"/>
      <c r="X20" s="302"/>
      <c r="Y20" s="302"/>
      <c r="Z20" s="302"/>
      <c r="AA20" s="302"/>
      <c r="AD20" s="233">
        <f t="shared" si="0"/>
        <v>0</v>
      </c>
      <c r="AE20" s="234" t="str">
        <f>IFERROR(INDEX(V!$R:$R,MATCH(AF20,V!$L:$L,0)),"")</f>
        <v/>
      </c>
      <c r="AF20" s="235" t="str">
        <f t="shared" si="1"/>
        <v/>
      </c>
      <c r="AG20" s="234" t="str">
        <f>IFERROR(INDEX(V!$R:$R,MATCH(AH20,V!$L:$L,0)),"")</f>
        <v/>
      </c>
      <c r="AH20" s="235" t="str">
        <f t="shared" si="2"/>
        <v/>
      </c>
      <c r="AI20" s="234" t="str">
        <f>IFERROR(INDEX(V!$R:$R,MATCH(AJ20,V!$L:$L,0)),"")</f>
        <v/>
      </c>
      <c r="AJ20" s="235" t="str">
        <f t="shared" si="3"/>
        <v/>
      </c>
      <c r="AK20" s="234" t="str">
        <f>IFERROR(INDEX(V!$R:$R,MATCH(AL20,V!$L:$L,0)),"")</f>
        <v/>
      </c>
      <c r="AL20" s="235" t="str">
        <f t="shared" si="4"/>
        <v/>
      </c>
      <c r="AM20" s="234" t="str">
        <f>IFERROR(INDEX(V!$R:$R,MATCH(AN20,V!$L:$L,0)),"")</f>
        <v/>
      </c>
      <c r="AN20" s="235" t="str">
        <f t="shared" si="5"/>
        <v/>
      </c>
      <c r="AO20" s="234" t="str">
        <f>IFERROR(INDEX(V!$R:$R,MATCH(AP20,V!$L:$L,0)),"")</f>
        <v/>
      </c>
      <c r="AP20" s="235" t="str">
        <f t="shared" si="6"/>
        <v/>
      </c>
    </row>
    <row r="21" spans="1:42" x14ac:dyDescent="0.2">
      <c r="A21" s="201">
        <v>1</v>
      </c>
      <c r="B21" s="304"/>
      <c r="C21" s="204"/>
      <c r="D21" s="203"/>
      <c r="E21" s="203"/>
      <c r="F21" s="203"/>
      <c r="G21" s="203"/>
      <c r="H21" s="202" t="str">
        <f>(IF(D21-C22&gt;0,1)+IF(E21-C23&gt;0,1)+IF(F21-C24&gt;0,1)+IF(G21-C25&gt;0,1))&amp;"-"&amp;(IF(D21-C22&lt;0,1)+IF(E21-C23&lt;0,1)+IF(F21-C24&lt;0,1)+IF(G21-C25&lt;0,1))</f>
        <v>0-0</v>
      </c>
      <c r="I21" s="203" t="str">
        <f>IF(AND(B21&lt;&gt;"",R$20=TRUE),A$20&amp;RANK(S21,S$21:S$25,0)," ")</f>
        <v xml:space="preserve"> </v>
      </c>
      <c r="J21" s="305">
        <f>IF(AND(Q21=1,Q22=1,D21&gt;C22),1)+IF(AND(Q21=1,Q23=1,E21&gt;C23),1)+IF(AND(Q21=1,Q24=1,F21&gt;C24),1)+IF(AND(Q21=1,Q25=1,G21&gt;C25),1)+IF(AND(Q21=2,Q22=2,D21&gt;C22),1)+IF(AND(Q21=2,Q23=2,E21&gt;C23),1)+IF(AND(Q21=2,Q24=2,F21&gt;C24),1)+IF(AND(Q21=2,Q25=2,G21&gt;C25),1)+IF(AND(Q21=3,Q22=3,D21&gt;C22),1)+IF(AND(Q21=3,Q23=3,E21&gt;C23),1)+IF(AND(Q21=3,Q24=3,F21&gt;C24),1)+IF(AND(Q21=3,Q25=3,G21&gt;C25),1)</f>
        <v>0</v>
      </c>
      <c r="K21" s="306">
        <f>SUM(AND(T21=T22,D21&gt;C22),AND(T21=T23,E21&gt;C23),AND(T21=T24,F21&gt;C24),AND(T21=T25,G21&gt;C25))</f>
        <v>0</v>
      </c>
      <c r="L21" s="307">
        <f>IF(AND(Q21=1,Q22=1),D21-C22)+IF(AND(Q21=1,Q23=1),E21-C23)+IF(AND(Q21=1,Q24=1),F21-C24)+IF(AND(Q21=1,Q25=1),G21-C25)+IF(AND(Q21=2,Q22=2),D21-C22)+IF(AND(Q21=2,Q23=2),E21-C23)+IF(AND(Q21=2,Q24=2),F21-C24)+IF(AND(Q21=2,Q25=2),G21-C25)+IF(AND(Q21=3,Q22=3),D21-C22)+IF(AND(Q21=3,Q23=3),E21-C23)+IF(AND(Q21=3,Q24=3),F21-C24)+IF(AND(Q21=3,Q25=3),G21-C25)+IF(AND(Q21=4,Q22=4),D21-C22)+IF(AND(Q21=4,Q23=4),E21-C23)+IF(AND(Q21=4,Q24=4),F21-C24)+IF(AND(Q21=4,Q25=4),G21-C25)</f>
        <v>0</v>
      </c>
      <c r="M21" s="308">
        <f>SUM(AND(R21=R22,D21&gt;C22),AND(R21=R23,E21&gt;C23),AND(R21=R24,F21&gt;C24),AND(R21=R25,G21&gt;C25))</f>
        <v>0</v>
      </c>
      <c r="N21" s="356" t="str">
        <f>SUM(C21:G21)&amp;"-"&amp;SUM(C21:C25)</f>
        <v>0-0</v>
      </c>
      <c r="O21" s="357">
        <f>D21+E21+F21+G21-C22-C23-C24-C25</f>
        <v>0</v>
      </c>
      <c r="P21" s="309" t="e">
        <f>SUM(C21:G21,C21:C25)/SUM(C21:C25)</f>
        <v>#DIV/0!</v>
      </c>
      <c r="Q21" s="205">
        <f>VALUE(LEFT(H21,1))</f>
        <v>0</v>
      </c>
      <c r="R21" s="206">
        <f>Q21*100000+J21*10000+K21*1000+100*L21</f>
        <v>0</v>
      </c>
      <c r="S21" s="310">
        <f>R21+M21*0.1+IF(ISNONTEXT(B21),0,0.01)+0.0001*O21</f>
        <v>0</v>
      </c>
      <c r="T21" s="311" t="str">
        <f>Q21&amp;J21</f>
        <v>00</v>
      </c>
      <c r="U21" s="302"/>
      <c r="V21" s="302"/>
      <c r="W21" s="302"/>
      <c r="X21" s="302"/>
      <c r="Y21" s="302"/>
      <c r="Z21" s="302"/>
      <c r="AA21" s="302"/>
      <c r="AD21" s="233">
        <f t="shared" si="0"/>
        <v>0</v>
      </c>
      <c r="AE21" s="234" t="str">
        <f>IFERROR(INDEX(V!$R:$R,MATCH(AF21,V!$L:$L,0)),"")</f>
        <v/>
      </c>
      <c r="AF21" s="235" t="str">
        <f t="shared" si="1"/>
        <v/>
      </c>
      <c r="AG21" s="234" t="str">
        <f>IFERROR(INDEX(V!$R:$R,MATCH(AH21,V!$L:$L,0)),"")</f>
        <v/>
      </c>
      <c r="AH21" s="235" t="str">
        <f t="shared" si="2"/>
        <v/>
      </c>
      <c r="AI21" s="234" t="str">
        <f>IFERROR(INDEX(V!$R:$R,MATCH(AJ21,V!$L:$L,0)),"")</f>
        <v/>
      </c>
      <c r="AJ21" s="235" t="str">
        <f t="shared" si="3"/>
        <v/>
      </c>
      <c r="AK21" s="234" t="str">
        <f>IFERROR(INDEX(V!$R:$R,MATCH(AL21,V!$L:$L,0)),"")</f>
        <v/>
      </c>
      <c r="AL21" s="235" t="str">
        <f t="shared" si="4"/>
        <v/>
      </c>
      <c r="AM21" s="234" t="str">
        <f>IFERROR(INDEX(V!$R:$R,MATCH(AN21,V!$L:$L,0)),"")</f>
        <v/>
      </c>
      <c r="AN21" s="235" t="str">
        <f t="shared" si="5"/>
        <v/>
      </c>
      <c r="AO21" s="234" t="str">
        <f>IFERROR(INDEX(V!$R:$R,MATCH(AP21,V!$L:$L,0)),"")</f>
        <v/>
      </c>
      <c r="AP21" s="235" t="str">
        <f t="shared" si="6"/>
        <v/>
      </c>
    </row>
    <row r="22" spans="1:42" x14ac:dyDescent="0.2">
      <c r="A22" s="201">
        <v>2</v>
      </c>
      <c r="B22" s="312"/>
      <c r="C22" s="203"/>
      <c r="D22" s="204"/>
      <c r="E22" s="203"/>
      <c r="F22" s="203"/>
      <c r="G22" s="203"/>
      <c r="H22" s="202" t="str">
        <f>(IF(C22-D21&gt;0,1)+IF(E22-D23&gt;0,1)+IF(F22-D24&gt;0,1)+IF(G22-D25&gt;0,1))&amp;"-"&amp;(IF(C22-D21&lt;0,1)+IF(E22-D23&lt;0,1)+IF(F22-D24&lt;0,1)+IF(G22-D25&lt;0,1))</f>
        <v>0-0</v>
      </c>
      <c r="I22" s="203" t="str">
        <f t="shared" ref="I22:I25" si="7">IF(AND(B22&lt;&gt;"",R$20=TRUE),A$20&amp;RANK(S22,S$21:S$25,0)," ")</f>
        <v xml:space="preserve"> </v>
      </c>
      <c r="J22" s="313">
        <f>IF(AND(Q22=1,Q21=1,C22&gt;D21),1)+IF(AND(Q22=1,Q23=1,E22&gt;D23),1)+IF(AND(Q22=1,Q24=1,F22&gt;D24),1)+IF(AND(Q22=1,Q25=1,G22&gt;D25),1)+IF(AND(Q22=2,Q21=2,C22&gt;D21),1)+IF(AND(Q22=2,Q23=2,E22&gt;D23),1)+IF(AND(Q22=2,Q24=2,F22&gt;D24),1)+IF(AND(Q22=2,Q25=2,G22&gt;D25),1)+IF(AND(Q22=3,Q21=3,C22&gt;D21),1)+IF(AND(Q22=3,Q23=3,E22&gt;D23),1)+IF(AND(Q22=3,Q24=3,F22&gt;D24),1)+IF(AND(Q22=3,Q25=3,G22&gt;D25),1)</f>
        <v>0</v>
      </c>
      <c r="K22" s="308">
        <f>SUM(AND(T22=T21,C22&gt;D21),AND(T22=T23,E22&gt;D23),AND(T22=T24,F22&gt;D24),AND(T22=T25,G22&gt;D25))</f>
        <v>0</v>
      </c>
      <c r="L22" s="314">
        <f>IF(AND(Q22=1,Q21=1),C22-D21)+IF(AND(Q22=1,Q23=1),E22-D23)+IF(AND(Q22=1,Q24=1),F22-D24)+IF(AND(Q22=1,Q25=1),G22-D25)+IF(AND(Q22=2,Q21=2),C22-D21)+IF(AND(Q22=2,Q23=2),E22-D23)+IF(AND(Q22=2,Q24=2),F22-D24)+IF(AND(Q22=2,Q25=2),G22-D25)+IF(AND(Q22=3,Q21=3),C22-D21)+IF(AND(Q22=3,Q23=3),E22-D23)+IF(AND(Q22=3,Q24=3),F22-D24)+IF(AND(Q22=3,Q25=3),G22-D25)+IF(AND(Q22=4,Q21=4),C22-D21)+IF(AND(Q22=4,Q23=4),E22-D23)+IF(AND(Q22=4,Q24=4),F22-D24)+IF(AND(Q22=4,Q25=4),G22-D25)</f>
        <v>0</v>
      </c>
      <c r="M22" s="308">
        <f>SUM(AND(R22=R21,C22&gt;D21),AND(R22=R23,E22&gt;D23),AND(R22=R24,F22&gt;D24),AND(R22=R25,G22&gt;D25))</f>
        <v>0</v>
      </c>
      <c r="N22" s="356" t="str">
        <f>SUM(C22:G22)&amp;"-"&amp;SUM(D21:D25)</f>
        <v>0-0</v>
      </c>
      <c r="O22" s="357">
        <f>C22+E22+F22+G22-D21-D23-D24-D25</f>
        <v>0</v>
      </c>
      <c r="P22" s="309" t="e">
        <f>SUM(C22:G22,D21:D25)/SUM(D21:D25)</f>
        <v>#DIV/0!</v>
      </c>
      <c r="Q22" s="315">
        <f>VALUE(LEFT(H22,1))</f>
        <v>0</v>
      </c>
      <c r="R22" s="206">
        <f>Q22*100000+J22*10000+K22*1000+100*L22</f>
        <v>0</v>
      </c>
      <c r="S22" s="310">
        <f>R22+M22*0.1+IF(ISNONTEXT(B22),0,0.01)+0.0001*O22</f>
        <v>0</v>
      </c>
      <c r="T22" s="311" t="str">
        <f>Q22&amp;J22</f>
        <v>00</v>
      </c>
      <c r="U22" s="302"/>
      <c r="V22" s="302"/>
      <c r="W22" s="302"/>
      <c r="X22" s="302"/>
      <c r="Y22" s="302"/>
      <c r="Z22" s="302"/>
      <c r="AA22" s="302"/>
      <c r="AD22" s="233">
        <f t="shared" si="0"/>
        <v>0</v>
      </c>
      <c r="AE22" s="234" t="str">
        <f>IFERROR(INDEX(V!$R:$R,MATCH(AF22,V!$L:$L,0)),"")</f>
        <v/>
      </c>
      <c r="AF22" s="235" t="str">
        <f t="shared" si="1"/>
        <v/>
      </c>
      <c r="AG22" s="234" t="str">
        <f>IFERROR(INDEX(V!$R:$R,MATCH(AH22,V!$L:$L,0)),"")</f>
        <v/>
      </c>
      <c r="AH22" s="235" t="str">
        <f t="shared" si="2"/>
        <v/>
      </c>
      <c r="AI22" s="234" t="str">
        <f>IFERROR(INDEX(V!$R:$R,MATCH(AJ22,V!$L:$L,0)),"")</f>
        <v/>
      </c>
      <c r="AJ22" s="235" t="str">
        <f t="shared" si="3"/>
        <v/>
      </c>
      <c r="AK22" s="234" t="str">
        <f>IFERROR(INDEX(V!$R:$R,MATCH(AL22,V!$L:$L,0)),"")</f>
        <v/>
      </c>
      <c r="AL22" s="235" t="str">
        <f t="shared" si="4"/>
        <v/>
      </c>
      <c r="AM22" s="234" t="str">
        <f>IFERROR(INDEX(V!$R:$R,MATCH(AN22,V!$L:$L,0)),"")</f>
        <v/>
      </c>
      <c r="AN22" s="235" t="str">
        <f t="shared" si="5"/>
        <v/>
      </c>
      <c r="AO22" s="234" t="str">
        <f>IFERROR(INDEX(V!$R:$R,MATCH(AP22,V!$L:$L,0)),"")</f>
        <v/>
      </c>
      <c r="AP22" s="235" t="str">
        <f t="shared" si="6"/>
        <v/>
      </c>
    </row>
    <row r="23" spans="1:42" x14ac:dyDescent="0.2">
      <c r="A23" s="201">
        <v>3</v>
      </c>
      <c r="B23" s="312"/>
      <c r="C23" s="203"/>
      <c r="D23" s="316"/>
      <c r="E23" s="204"/>
      <c r="F23" s="203"/>
      <c r="G23" s="203"/>
      <c r="H23" s="202" t="str">
        <f>(IF(C23-E21&gt;0,1)+IF(D23-E22&gt;0,1)+IF(F23-E24&gt;0,1)+IF(G23-E25&gt;0,1))&amp;"-"&amp;(IF(C23-E21&lt;0,1)+IF(D23-E22&lt;0,1)+IF(F23-E24&lt;0,1)+IF(G23-E25&lt;0,1))</f>
        <v>0-0</v>
      </c>
      <c r="I23" s="203" t="str">
        <f t="shared" si="7"/>
        <v xml:space="preserve"> </v>
      </c>
      <c r="J23" s="313">
        <f>IF(AND(Q23=1,Q21=1,C23&gt;E21),1)+IF(AND(Q23=1,Q22=1,D23&gt;E22),1)+IF(AND(Q23=1,Q24=1,F23&gt;E24),1)+IF(AND(Q23=1,Q25=1,G23&gt;E25),1)+IF(AND(Q23=2,Q21=2,C23&gt;E21),1)+IF(AND(Q23=2,Q22=2,D23&gt;E22),1)+IF(AND(Q23=2,Q24=2,F23&gt;E24),1)+IF(AND(Q23=2,Q25=2,G23&gt;E25),1)+IF(AND(Q23=3,Q21=3,C23&gt;E21),1)+IF(AND(Q23=3,Q22=3,D23&gt;E22),1)+IF(AND(Q23=3,Q24=3,F23&gt;E24),1)+IF(AND(Q23=3,Q25=3,G23&gt;E25),1)</f>
        <v>0</v>
      </c>
      <c r="K23" s="308">
        <f>SUM(AND(T23=T21,C23&gt;E21),AND(T23=T22,D23&gt;E22),AND(T23=T24,F23&gt;E24),AND(T23=T25,G23&gt;E25))</f>
        <v>0</v>
      </c>
      <c r="L23" s="314">
        <f>IF(AND(Q23=1,Q21=1),C23-E21)+IF(AND(Q23=1,Q22=1),D23-E22)+IF(AND(Q23=1,Q24=1),F23-E24)+IF(AND(Q23=1,Q25=1),G23-E25)+IF(AND(Q23=2,Q21=2),C23-E21)+IF(AND(Q23=2,Q22=2),D23-E22)+IF(AND(Q23=2,Q24=2),F23-E24)+IF(AND(Q23=2,Q25=2),G23-E25)+IF(AND(Q23=3,Q21=3),C23-E21)+IF(AND(Q23=3,Q22=3),D23-E22)+IF(AND(Q23=3,Q24=3),F23-E24)+IF(AND(Q23=3,Q25=3),G23-E25)+IF(AND(Q23=4,Q21=4),C23-E21)+IF(AND(Q23=4,Q22=4),D23-E22)+IF(AND(Q23=4,Q24=4),F23-E24)+IF(AND(Q23=4,Q25=4),G23-E25)</f>
        <v>0</v>
      </c>
      <c r="M23" s="308">
        <f>SUM(AND(R23=R21,C23&gt;E21),AND(R23=R22,D23&gt;E22),AND(R23=R24,F23&gt;E24),AND(R23=R25,G23&gt;E25))</f>
        <v>0</v>
      </c>
      <c r="N23" s="356" t="str">
        <f>SUM(C23:G23)&amp;"-"&amp;SUM(E21:E25)</f>
        <v>0-0</v>
      </c>
      <c r="O23" s="357">
        <f>C23+D23+F23+G23-E21-E22-E24-E25</f>
        <v>0</v>
      </c>
      <c r="P23" s="309" t="e">
        <f>SUM(C23:G23,E21:E25)/SUM(E21:E25)</f>
        <v>#DIV/0!</v>
      </c>
      <c r="Q23" s="315">
        <f>VALUE(LEFT(H23,1))</f>
        <v>0</v>
      </c>
      <c r="R23" s="206">
        <f>Q23*100000+J23*10000+K23*1000+100*L23</f>
        <v>0</v>
      </c>
      <c r="S23" s="310">
        <f>R23+M23*0.1+IF(ISNONTEXT(B23),0,0.01)+0.0001*O23</f>
        <v>0</v>
      </c>
      <c r="T23" s="311" t="str">
        <f>Q23&amp;J23</f>
        <v>00</v>
      </c>
      <c r="U23" s="302"/>
      <c r="V23" s="302"/>
      <c r="W23" s="302"/>
      <c r="X23" s="302"/>
      <c r="Y23" s="302"/>
      <c r="Z23" s="302"/>
      <c r="AA23" s="302"/>
      <c r="AD23" s="233">
        <f t="shared" si="0"/>
        <v>0</v>
      </c>
      <c r="AE23" s="234" t="str">
        <f>IFERROR(INDEX(V!$R:$R,MATCH(AF23,V!$L:$L,0)),"")</f>
        <v/>
      </c>
      <c r="AF23" s="235" t="str">
        <f t="shared" si="1"/>
        <v/>
      </c>
      <c r="AG23" s="234" t="str">
        <f>IFERROR(INDEX(V!$R:$R,MATCH(AH23,V!$L:$L,0)),"")</f>
        <v/>
      </c>
      <c r="AH23" s="235" t="str">
        <f t="shared" si="2"/>
        <v/>
      </c>
      <c r="AI23" s="234" t="str">
        <f>IFERROR(INDEX(V!$R:$R,MATCH(AJ23,V!$L:$L,0)),"")</f>
        <v/>
      </c>
      <c r="AJ23" s="235" t="str">
        <f t="shared" si="3"/>
        <v/>
      </c>
      <c r="AK23" s="234" t="str">
        <f>IFERROR(INDEX(V!$R:$R,MATCH(AL23,V!$L:$L,0)),"")</f>
        <v/>
      </c>
      <c r="AL23" s="235" t="str">
        <f t="shared" si="4"/>
        <v/>
      </c>
      <c r="AM23" s="234" t="str">
        <f>IFERROR(INDEX(V!$R:$R,MATCH(AN23,V!$L:$L,0)),"")</f>
        <v/>
      </c>
      <c r="AN23" s="235" t="str">
        <f t="shared" si="5"/>
        <v/>
      </c>
      <c r="AO23" s="234" t="str">
        <f>IFERROR(INDEX(V!$R:$R,MATCH(AP23,V!$L:$L,0)),"")</f>
        <v/>
      </c>
      <c r="AP23" s="235" t="str">
        <f t="shared" si="6"/>
        <v/>
      </c>
    </row>
    <row r="24" spans="1:42" hidden="1" x14ac:dyDescent="0.2">
      <c r="A24" s="201">
        <v>4</v>
      </c>
      <c r="B24" s="312"/>
      <c r="C24" s="203"/>
      <c r="D24" s="316"/>
      <c r="E24" s="203"/>
      <c r="F24" s="204"/>
      <c r="G24" s="335"/>
      <c r="H24" s="202" t="str">
        <f>(IF(C24-F21&gt;0,1)+IF(D24-F22&gt;0,1)+IF(E24-F23&gt;0,1)+IF(G24-F25&gt;0,1))&amp;"-"&amp;(IF(C24-F21&lt;0,1)+IF(D24-F22&lt;0,1)+IF(E24-F23&lt;0,1)+IF(G24-F25&lt;0,1))</f>
        <v>0-0</v>
      </c>
      <c r="I24" s="203" t="str">
        <f t="shared" si="7"/>
        <v xml:space="preserve"> </v>
      </c>
      <c r="J24" s="313">
        <f>IF(AND(Q24=1,Q21=1,C24&gt;F21),1)+IF(AND(Q24=1,Q22=1,D24&gt;F22),1)+IF(AND(Q24=1,Q23=1,E24&gt;F23),1)+IF(AND(Q24=1,Q25=1,G24&gt;F25),1)+IF(AND(Q24=2,Q21=2,C24&gt;F21),1)+IF(AND(Q24=2,Q22=2,D24&gt;F22),1)+IF(AND(Q24=2,Q23=2,E24&gt;F23),1)+IF(AND(Q24=2,Q25=2,G24&gt;F25),1)+IF(AND(Q24=3,Q21=3,C24&gt;F21),1)+IF(AND(Q24=3,Q22=3,D24&gt;F22),1)+IF(AND(Q24=3,Q23=3,E24&gt;F23),1)+IF(AND(Q24=3,Q25=3,G24&gt;F25),1)</f>
        <v>0</v>
      </c>
      <c r="K24" s="308">
        <f>SUM(AND(T24=T21,C24&gt;F21),AND(T24=T22,D24&gt;F22),AND(T24=T23,E24&gt;F23),AND(T24=T25,G24&gt;F25))</f>
        <v>0</v>
      </c>
      <c r="L24" s="314">
        <f>IF(AND(Q24=1,Q21=1),C24-F21)+IF(AND(Q24=1,Q22=1),D24-F22)+IF(AND(Q24=1,Q23=1),E24-F23)+IF(AND(Q24=1,Q25=1),G24-F25)+IF(AND(Q24=2,Q21=2),C24-F21)+IF(AND(Q24=2,Q22=2),D24-F22)+IF(AND(Q24=2,Q23=2),E24-F23)+IF(AND(Q24=2,Q25=2),G24-F25)+IF(AND(Q24=3,Q21=3),C24-F21)+IF(AND(Q24=3,Q22=3),D24-F22)+IF(AND(Q24=3,Q23=3),E24-F23)+IF(AND(Q24=3,Q25=3),G24-F25)+IF(AND(Q24=4,Q21=4),C24-F21)+IF(AND(Q24=4,Q22=4),D24-F22)+IF(AND(Q24=4,Q23=4),E24-F23)+IF(AND(Q24=4,Q25=4),G24-F25)</f>
        <v>0</v>
      </c>
      <c r="M24" s="308">
        <f>SUM(AND(R24=R21,C24&gt;F21),AND(R24=R22,D24&gt;F22),AND(R24=R23,E24&gt;F23),AND(R24=R25,G24&gt;F25))</f>
        <v>0</v>
      </c>
      <c r="N24" s="356" t="str">
        <f>SUM(C24:G24)&amp;"-"&amp;SUM(F21:F25)</f>
        <v>0-0</v>
      </c>
      <c r="O24" s="357">
        <f>C24+D24+E24+G24-F21-F22-F23-F25</f>
        <v>0</v>
      </c>
      <c r="P24" s="309" t="e">
        <f>SUM(C24:G24,F21:F25)/SUM(F21:F25)</f>
        <v>#DIV/0!</v>
      </c>
      <c r="Q24" s="315">
        <f>VALUE(LEFT(H24,1))</f>
        <v>0</v>
      </c>
      <c r="R24" s="206">
        <f>Q24*100000+J24*10000+K24*1000+100*L24</f>
        <v>0</v>
      </c>
      <c r="S24" s="310">
        <f>R24+M24*0.1+IF(ISNONTEXT(B24),0,0.01)+0.0001*O24</f>
        <v>0</v>
      </c>
      <c r="T24" s="311" t="str">
        <f>Q24&amp;J24</f>
        <v>00</v>
      </c>
      <c r="U24" s="302"/>
      <c r="V24" s="302"/>
      <c r="W24" s="302"/>
      <c r="X24" s="302"/>
      <c r="Y24" s="302"/>
      <c r="Z24" s="302"/>
      <c r="AA24" s="302"/>
      <c r="AD24" s="233">
        <f t="shared" si="0"/>
        <v>0</v>
      </c>
      <c r="AE24" s="234" t="str">
        <f>IFERROR(INDEX(V!$R:$R,MATCH(AF24,V!$L:$L,0)),"")</f>
        <v/>
      </c>
      <c r="AF24" s="235" t="str">
        <f t="shared" si="1"/>
        <v/>
      </c>
      <c r="AG24" s="234" t="str">
        <f>IFERROR(INDEX(V!$R:$R,MATCH(AH24,V!$L:$L,0)),"")</f>
        <v/>
      </c>
      <c r="AH24" s="235" t="str">
        <f t="shared" si="2"/>
        <v/>
      </c>
      <c r="AI24" s="234" t="str">
        <f>IFERROR(INDEX(V!$R:$R,MATCH(AJ24,V!$L:$L,0)),"")</f>
        <v/>
      </c>
      <c r="AJ24" s="235" t="str">
        <f t="shared" si="3"/>
        <v/>
      </c>
      <c r="AK24" s="234" t="str">
        <f>IFERROR(INDEX(V!$R:$R,MATCH(AL24,V!$L:$L,0)),"")</f>
        <v/>
      </c>
      <c r="AL24" s="235" t="str">
        <f t="shared" si="4"/>
        <v/>
      </c>
      <c r="AM24" s="234" t="str">
        <f>IFERROR(INDEX(V!$R:$R,MATCH(AN24,V!$L:$L,0)),"")</f>
        <v/>
      </c>
      <c r="AN24" s="235" t="str">
        <f t="shared" si="5"/>
        <v/>
      </c>
      <c r="AO24" s="234" t="str">
        <f>IFERROR(INDEX(V!$R:$R,MATCH(AP24,V!$L:$L,0)),"")</f>
        <v/>
      </c>
      <c r="AP24" s="235" t="str">
        <f t="shared" si="6"/>
        <v/>
      </c>
    </row>
    <row r="25" spans="1:42" hidden="1" x14ac:dyDescent="0.2">
      <c r="A25" s="201">
        <v>5</v>
      </c>
      <c r="B25" s="317"/>
      <c r="C25" s="203"/>
      <c r="D25" s="203"/>
      <c r="E25" s="203"/>
      <c r="F25" s="203"/>
      <c r="G25" s="204"/>
      <c r="H25" s="202" t="str">
        <f>(IF(C25-G21&gt;0,1)+IF(D25-G22&gt;0,1)+IF(E25-G23&gt;0,1)+IF(F25-G24&gt;0,1))&amp;"-"&amp;(IF(C25-G21&lt;0,1)+IF(D25-G22&lt;0,1)+IF(E25-G23&lt;0,1)+IF(F25-G24&lt;0,1))</f>
        <v>0-0</v>
      </c>
      <c r="I25" s="203" t="str">
        <f t="shared" si="7"/>
        <v xml:space="preserve"> </v>
      </c>
      <c r="J25" s="313">
        <f>IF(AND(Q25=1,Q21=1,C25&gt;G21),1)+IF(AND(Q25=1,Q22=1,D25&gt;G22),1)+IF(AND(Q25=1,Q23=1,E25&gt;G23),1)+IF(AND(Q25=1,Q24=1,F25&gt;G24),1)+IF(AND(Q25=2,Q21=2,C25&gt;G21),1)+IF(AND(Q25=2,Q22=2,D25&gt;G22),1)+IF(AND(Q25=2,Q23=2,E25&gt;G23),1)+IF(AND(Q25=2,Q24=2,F25&gt;G24),1)+IF(AND(Q25=3,Q21=3,C25&gt;G21),1)+IF(AND(Q25=3,Q22=3,D25&gt;G22),1)+IF(AND(Q25=3,Q23=3,E25&gt;G23),1)+IF(AND(Q25=3,Q24=3,F25&gt;G24),1)</f>
        <v>0</v>
      </c>
      <c r="K25" s="308">
        <f>SUM(AND(T25=T21,C25&gt;G21),AND(T25=T22,D25&gt;G22),AND(T25=T23,E25&gt;G23),AND(T25=T24,F25&gt;G24))</f>
        <v>0</v>
      </c>
      <c r="L25" s="314">
        <f>IF(AND(Q25=1,Q21=1),C25-G21)+IF(AND(Q25=1,Q22=1),D25-G22)+IF(AND(Q25=1,Q23=1),E25-G23)+IF(AND(Q25=1,Q24=1),F25-G24)+IF(AND(Q25=2,Q21=2),C25-G21)+IF(AND(Q25=2,Q22=2),D25-G22)+IF(AND(Q25=2,Q23=2),E25-G23)+IF(AND(Q25=2,Q24=2),F25-G24)+IF(AND(Q25=3,Q21=3),C25-G21)+IF(AND(Q25=3,Q22=3),D25-G22)+IF(AND(Q25=3,Q23=3),E25-G23)+IF(AND(Q25=3,Q24=3),F25-G24)+IF(AND(Q25=4,Q21=4),C25-G21)+IF(AND(Q25=4,Q22=4),D25-G22)+IF(AND(Q25=4,Q23=4),E25-G23)+IF(AND(Q25=4,Q24=4),F25-G24)</f>
        <v>0</v>
      </c>
      <c r="M25" s="308">
        <f>SUM(AND(R25=R21,C25&gt;G21),AND(R25=R22,D25&gt;G22),AND(R25=R23,E25&gt;G23),AND(R25=R24,F25&gt;G24))</f>
        <v>0</v>
      </c>
      <c r="N25" s="356" t="str">
        <f>SUM(C25:G25)&amp;"-"&amp;SUM(G21:G25)</f>
        <v>0-0</v>
      </c>
      <c r="O25" s="357">
        <f>C25+D25+E25+F25-G21-G22-G23-G24</f>
        <v>0</v>
      </c>
      <c r="P25" s="309" t="e">
        <f>SUM(C25:G25,G21:G25)/SUM(G21:G25)</f>
        <v>#DIV/0!</v>
      </c>
      <c r="Q25" s="315">
        <f>VALUE(LEFT(H25,1))</f>
        <v>0</v>
      </c>
      <c r="R25" s="206">
        <f>Q25*100000+J25*10000+K25*1000+100*L25</f>
        <v>0</v>
      </c>
      <c r="S25" s="310">
        <f>R25+M25*0.1+IF(ISNONTEXT(B25),0,0.01)+0.0001*O25</f>
        <v>0</v>
      </c>
      <c r="T25" s="311" t="str">
        <f>Q25&amp;J25</f>
        <v>00</v>
      </c>
      <c r="U25" s="302"/>
      <c r="V25" s="302"/>
      <c r="W25" s="302"/>
      <c r="X25" s="302"/>
      <c r="Y25" s="302"/>
      <c r="Z25" s="302"/>
      <c r="AA25" s="302"/>
      <c r="AD25" s="233">
        <f t="shared" si="0"/>
        <v>0</v>
      </c>
      <c r="AE25" s="234" t="str">
        <f>IFERROR(INDEX(V!$R:$R,MATCH(AF25,V!$L:$L,0)),"")</f>
        <v/>
      </c>
      <c r="AF25" s="235" t="str">
        <f t="shared" si="1"/>
        <v/>
      </c>
      <c r="AG25" s="234" t="str">
        <f>IFERROR(INDEX(V!$R:$R,MATCH(AH25,V!$L:$L,0)),"")</f>
        <v/>
      </c>
      <c r="AH25" s="235" t="str">
        <f t="shared" si="2"/>
        <v/>
      </c>
      <c r="AI25" s="234" t="str">
        <f>IFERROR(INDEX(V!$R:$R,MATCH(AJ25,V!$L:$L,0)),"")</f>
        <v/>
      </c>
      <c r="AJ25" s="235" t="str">
        <f t="shared" si="3"/>
        <v/>
      </c>
      <c r="AK25" s="234" t="str">
        <f>IFERROR(INDEX(V!$R:$R,MATCH(AL25,V!$L:$L,0)),"")</f>
        <v/>
      </c>
      <c r="AL25" s="235" t="str">
        <f t="shared" si="4"/>
        <v/>
      </c>
      <c r="AM25" s="234" t="str">
        <f>IFERROR(INDEX(V!$R:$R,MATCH(AN25,V!$L:$L,0)),"")</f>
        <v/>
      </c>
      <c r="AN25" s="235" t="str">
        <f t="shared" si="5"/>
        <v/>
      </c>
      <c r="AO25" s="234" t="str">
        <f>IFERROR(INDEX(V!$R:$R,MATCH(AP25,V!$L:$L,0)),"")</f>
        <v/>
      </c>
      <c r="AP25" s="235" t="str">
        <f t="shared" si="6"/>
        <v/>
      </c>
    </row>
    <row r="26" spans="1:42" x14ac:dyDescent="0.2">
      <c r="A26" s="337"/>
      <c r="B26" s="338"/>
      <c r="C26" s="323"/>
      <c r="D26" s="323"/>
      <c r="E26" s="323"/>
      <c r="F26" s="339"/>
      <c r="G26" s="339"/>
      <c r="H26" s="340"/>
      <c r="I26" s="341"/>
      <c r="J26" s="302"/>
      <c r="K26" s="302"/>
      <c r="L26" s="302"/>
      <c r="M26" s="302"/>
      <c r="N26" s="358"/>
      <c r="O26" s="358"/>
      <c r="P26" s="302"/>
      <c r="Q26" s="302"/>
      <c r="R26" s="326" t="s">
        <v>247</v>
      </c>
      <c r="S26" s="302"/>
      <c r="T26" s="302"/>
      <c r="U26" s="302"/>
      <c r="V26" s="302"/>
      <c r="W26" s="302"/>
      <c r="X26" s="302"/>
      <c r="Y26" s="302"/>
      <c r="Z26" s="302"/>
      <c r="AA26" s="302"/>
      <c r="AD26" s="233">
        <f t="shared" si="0"/>
        <v>0</v>
      </c>
      <c r="AE26" s="234" t="str">
        <f>IFERROR(INDEX(V!$R:$R,MATCH(AF26,V!$L:$L,0)),"")</f>
        <v/>
      </c>
      <c r="AF26" s="235" t="str">
        <f t="shared" si="1"/>
        <v/>
      </c>
      <c r="AG26" s="234" t="str">
        <f>IFERROR(INDEX(V!$R:$R,MATCH(AH26,V!$L:$L,0)),"")</f>
        <v/>
      </c>
      <c r="AH26" s="235" t="str">
        <f t="shared" si="2"/>
        <v/>
      </c>
      <c r="AI26" s="234" t="str">
        <f>IFERROR(INDEX(V!$R:$R,MATCH(AJ26,V!$L:$L,0)),"")</f>
        <v/>
      </c>
      <c r="AJ26" s="235" t="str">
        <f t="shared" si="3"/>
        <v/>
      </c>
      <c r="AK26" s="234" t="str">
        <f>IFERROR(INDEX(V!$R:$R,MATCH(AL26,V!$L:$L,0)),"")</f>
        <v/>
      </c>
      <c r="AL26" s="235" t="str">
        <f t="shared" si="4"/>
        <v/>
      </c>
      <c r="AM26" s="234" t="str">
        <f>IFERROR(INDEX(V!$R:$R,MATCH(AN26,V!$L:$L,0)),"")</f>
        <v/>
      </c>
      <c r="AN26" s="235" t="str">
        <f t="shared" si="5"/>
        <v/>
      </c>
      <c r="AO26" s="234" t="str">
        <f>IFERROR(INDEX(V!$R:$R,MATCH(AP26,V!$L:$L,0)),"")</f>
        <v/>
      </c>
      <c r="AP26" s="235" t="str">
        <f t="shared" si="6"/>
        <v/>
      </c>
    </row>
    <row r="27" spans="1:42" x14ac:dyDescent="0.2">
      <c r="A27" s="201" t="s">
        <v>3</v>
      </c>
      <c r="B27" s="327"/>
      <c r="C27" s="292">
        <v>1</v>
      </c>
      <c r="D27" s="292">
        <v>2</v>
      </c>
      <c r="E27" s="292">
        <v>3</v>
      </c>
      <c r="F27" s="292"/>
      <c r="G27" s="292"/>
      <c r="H27" s="293" t="s">
        <v>170</v>
      </c>
      <c r="I27" s="293" t="s">
        <v>171</v>
      </c>
      <c r="J27" s="328" t="s">
        <v>240</v>
      </c>
      <c r="K27" s="329" t="s">
        <v>241</v>
      </c>
      <c r="L27" s="330" t="s">
        <v>242</v>
      </c>
      <c r="M27" s="330" t="s">
        <v>243</v>
      </c>
      <c r="N27" s="297" t="s">
        <v>172</v>
      </c>
      <c r="O27" s="297" t="s">
        <v>172</v>
      </c>
      <c r="P27" s="298" t="s">
        <v>244</v>
      </c>
      <c r="Q27" s="331" t="s">
        <v>21</v>
      </c>
      <c r="R27" s="331" t="b">
        <f>OR(AND(COUNTA(B28:B32)=3,COUNTA(C28:G32)=6),AND(COUNTA(B28:B32)=4,COUNTA(C28:G32)=12),AND(COUNTA(B28:B32)=5,COUNTA(C28:G32)=20))</f>
        <v>0</v>
      </c>
      <c r="S27" s="332" t="s">
        <v>245</v>
      </c>
      <c r="T27" s="333" t="s">
        <v>246</v>
      </c>
      <c r="U27" s="302"/>
      <c r="V27" s="302"/>
      <c r="W27" s="302"/>
      <c r="X27" s="302"/>
      <c r="Y27" s="302"/>
      <c r="Z27" s="302"/>
      <c r="AA27" s="302"/>
      <c r="AD27" s="233">
        <f t="shared" si="0"/>
        <v>0</v>
      </c>
      <c r="AE27" s="234" t="str">
        <f>IFERROR(INDEX(V!$R:$R,MATCH(AF27,V!$L:$L,0)),"")</f>
        <v/>
      </c>
      <c r="AF27" s="235" t="str">
        <f t="shared" si="1"/>
        <v/>
      </c>
      <c r="AG27" s="234" t="str">
        <f>IFERROR(INDEX(V!$R:$R,MATCH(AH27,V!$L:$L,0)),"")</f>
        <v/>
      </c>
      <c r="AH27" s="235" t="str">
        <f t="shared" si="2"/>
        <v/>
      </c>
      <c r="AI27" s="234" t="str">
        <f>IFERROR(INDEX(V!$R:$R,MATCH(AJ27,V!$L:$L,0)),"")</f>
        <v/>
      </c>
      <c r="AJ27" s="235" t="str">
        <f t="shared" si="3"/>
        <v/>
      </c>
      <c r="AK27" s="234" t="str">
        <f>IFERROR(INDEX(V!$R:$R,MATCH(AL27,V!$L:$L,0)),"")</f>
        <v/>
      </c>
      <c r="AL27" s="235" t="str">
        <f t="shared" si="4"/>
        <v/>
      </c>
      <c r="AM27" s="234" t="str">
        <f>IFERROR(INDEX(V!$R:$R,MATCH(AN27,V!$L:$L,0)),"")</f>
        <v/>
      </c>
      <c r="AN27" s="235" t="str">
        <f t="shared" si="5"/>
        <v/>
      </c>
      <c r="AO27" s="234" t="str">
        <f>IFERROR(INDEX(V!$R:$R,MATCH(AP27,V!$L:$L,0)),"")</f>
        <v/>
      </c>
      <c r="AP27" s="235" t="str">
        <f t="shared" si="6"/>
        <v/>
      </c>
    </row>
    <row r="28" spans="1:42" x14ac:dyDescent="0.2">
      <c r="A28" s="201">
        <v>1</v>
      </c>
      <c r="B28" s="342"/>
      <c r="C28" s="204"/>
      <c r="D28" s="203"/>
      <c r="E28" s="203"/>
      <c r="F28" s="203"/>
      <c r="G28" s="203"/>
      <c r="H28" s="202" t="str">
        <f>(IF(D28-C29&gt;0,1)+IF(E28-C30&gt;0,1)+IF(F28-C31&gt;0,1)+IF(G28-C32&gt;0,1))&amp;"-"&amp;(IF(D28-C29&lt;0,1)+IF(E28-C30&lt;0,1)+IF(F28-C31&lt;0,1)+IF(G28-C32&lt;0,1))</f>
        <v>0-0</v>
      </c>
      <c r="I28" s="203" t="str">
        <f>IF(AND(B28&lt;&gt;"",R$27=TRUE),A$27&amp;RANK(S28,S$28:S$32,0)," ")</f>
        <v xml:space="preserve"> </v>
      </c>
      <c r="J28" s="305">
        <f>IF(AND(Q28=1,Q29=1,D28&gt;C29),1)+IF(AND(Q28=1,Q30=1,E28&gt;C30),1)+IF(AND(Q28=1,Q31=1,F28&gt;C31),1)+IF(AND(Q28=1,Q32=1,G28&gt;C32),1)+IF(AND(Q28=2,Q29=2,D28&gt;C29),1)+IF(AND(Q28=2,Q30=2,E28&gt;C30),1)+IF(AND(Q28=2,Q31=2,F28&gt;C31),1)+IF(AND(Q28=2,Q32=2,G28&gt;C32),1)+IF(AND(Q28=3,Q29=3,D28&gt;C29),1)+IF(AND(Q28=3,Q30=3,E28&gt;C30),1)+IF(AND(Q28=3,Q31=3,F28&gt;C31),1)+IF(AND(Q28=3,Q32=3,G28&gt;C32),1)</f>
        <v>0</v>
      </c>
      <c r="K28" s="306">
        <f>SUM(AND(T28=T29,D28&gt;C29),AND(T28=T30,E28&gt;C30),AND(T28=T31,F28&gt;C31),AND(T28=T32,G28&gt;C32))</f>
        <v>0</v>
      </c>
      <c r="L28" s="307">
        <f>IF(AND(Q28=1,Q29=1),D28-C29)+IF(AND(Q28=1,Q30=1),E28-C30)+IF(AND(Q28=1,Q31=1),F28-C31)+IF(AND(Q28=1,Q32=1),G28-C32)+IF(AND(Q28=2,Q29=2),D28-C29)+IF(AND(Q28=2,Q30=2),E28-C30)+IF(AND(Q28=2,Q31=2),F28-C31)+IF(AND(Q28=2,Q32=2),G28-C32)+IF(AND(Q28=3,Q29=3),D28-C29)+IF(AND(Q28=3,Q30=3),E28-C30)+IF(AND(Q28=3,Q31=3),F28-C31)+IF(AND(Q28=3,Q32=3),G28-C32)+IF(AND(Q28=4,Q29=4),D28-C29)+IF(AND(Q28=4,Q30=4),E28-C30)+IF(AND(Q28=4,Q31=4),F28-C31)+IF(AND(Q28=4,Q32=4),G28-C32)</f>
        <v>0</v>
      </c>
      <c r="M28" s="308">
        <f>SUM(AND(R28=R29,D28&gt;C29),AND(R28=R30,E28&gt;C30),AND(R28=R31,F28&gt;C31),AND(R28=R32,G28&gt;C32))</f>
        <v>0</v>
      </c>
      <c r="N28" s="356" t="str">
        <f>SUM(C28:G28)&amp;"-"&amp;SUM(C28:C32)</f>
        <v>0-0</v>
      </c>
      <c r="O28" s="357">
        <f>D28+E28+F28+G28-C29-C30-C31-C32</f>
        <v>0</v>
      </c>
      <c r="P28" s="309" t="e">
        <f>SUM(C28:G28,C28:C32)/SUM(C28:C32)</f>
        <v>#DIV/0!</v>
      </c>
      <c r="Q28" s="205">
        <f>VALUE(LEFT(H28,1))</f>
        <v>0</v>
      </c>
      <c r="R28" s="206">
        <f>Q28*100000+J28*10000+K28*1000+100*L28</f>
        <v>0</v>
      </c>
      <c r="S28" s="310">
        <f>R28+M28*0.1+IF(ISNONTEXT(B28),0,0.01)+0.0001*O28</f>
        <v>0</v>
      </c>
      <c r="T28" s="311" t="str">
        <f>Q28&amp;J28</f>
        <v>00</v>
      </c>
      <c r="U28" s="302"/>
      <c r="V28" s="302"/>
      <c r="W28" s="302"/>
      <c r="X28" s="302"/>
      <c r="Y28" s="302"/>
      <c r="Z28" s="302"/>
      <c r="AA28" s="302"/>
      <c r="AD28" s="233">
        <f t="shared" si="0"/>
        <v>0</v>
      </c>
      <c r="AE28" s="234" t="str">
        <f>IFERROR(INDEX(V!$R:$R,MATCH(AF28,V!$L:$L,0)),"")</f>
        <v/>
      </c>
      <c r="AF28" s="235" t="str">
        <f t="shared" si="1"/>
        <v/>
      </c>
      <c r="AG28" s="234" t="str">
        <f>IFERROR(INDEX(V!$R:$R,MATCH(AH28,V!$L:$L,0)),"")</f>
        <v/>
      </c>
      <c r="AH28" s="235" t="str">
        <f t="shared" si="2"/>
        <v/>
      </c>
      <c r="AI28" s="234" t="str">
        <f>IFERROR(INDEX(V!$R:$R,MATCH(AJ28,V!$L:$L,0)),"")</f>
        <v/>
      </c>
      <c r="AJ28" s="235" t="str">
        <f t="shared" si="3"/>
        <v/>
      </c>
      <c r="AK28" s="234" t="str">
        <f>IFERROR(INDEX(V!$R:$R,MATCH(AL28,V!$L:$L,0)),"")</f>
        <v/>
      </c>
      <c r="AL28" s="235" t="str">
        <f t="shared" si="4"/>
        <v/>
      </c>
      <c r="AM28" s="234" t="str">
        <f>IFERROR(INDEX(V!$R:$R,MATCH(AN28,V!$L:$L,0)),"")</f>
        <v/>
      </c>
      <c r="AN28" s="235" t="str">
        <f t="shared" si="5"/>
        <v/>
      </c>
      <c r="AO28" s="234" t="str">
        <f>IFERROR(INDEX(V!$R:$R,MATCH(AP28,V!$L:$L,0)),"")</f>
        <v/>
      </c>
      <c r="AP28" s="235" t="str">
        <f t="shared" si="6"/>
        <v/>
      </c>
    </row>
    <row r="29" spans="1:42" x14ac:dyDescent="0.2">
      <c r="A29" s="201">
        <v>2</v>
      </c>
      <c r="B29" s="312"/>
      <c r="C29" s="203"/>
      <c r="D29" s="204"/>
      <c r="E29" s="203"/>
      <c r="F29" s="203"/>
      <c r="G29" s="203"/>
      <c r="H29" s="202" t="str">
        <f>(IF(C29-D28&gt;0,1)+IF(E29-D30&gt;0,1)+IF(F29-D31&gt;0,1)+IF(G29-D32&gt;0,1))&amp;"-"&amp;(IF(C29-D28&lt;0,1)+IF(E29-D30&lt;0,1)+IF(F29-D31&lt;0,1)+IF(G29-D32&lt;0,1))</f>
        <v>0-0</v>
      </c>
      <c r="I29" s="203" t="str">
        <f t="shared" ref="I29:I32" si="8">IF(AND(B29&lt;&gt;"",R$27=TRUE),A$27&amp;RANK(S29,S$28:S$32,0)," ")</f>
        <v xml:space="preserve"> </v>
      </c>
      <c r="J29" s="313">
        <f>IF(AND(Q29=1,Q28=1,C29&gt;D28),1)+IF(AND(Q29=1,Q30=1,E29&gt;D30),1)+IF(AND(Q29=1,Q31=1,F29&gt;D31),1)+IF(AND(Q29=1,Q32=1,G29&gt;D32),1)+IF(AND(Q29=2,Q28=2,C29&gt;D28),1)+IF(AND(Q29=2,Q30=2,E29&gt;D30),1)+IF(AND(Q29=2,Q31=2,F29&gt;D31),1)+IF(AND(Q29=2,Q32=2,G29&gt;D32),1)+IF(AND(Q29=3,Q28=3,C29&gt;D28),1)+IF(AND(Q29=3,Q30=3,E29&gt;D30),1)+IF(AND(Q29=3,Q31=3,F29&gt;D31),1)+IF(AND(Q29=3,Q32=3,G29&gt;D32),1)</f>
        <v>0</v>
      </c>
      <c r="K29" s="308">
        <f>SUM(AND(T29=T28,C29&gt;D28),AND(T29=T30,E29&gt;D30),AND(T29=T31,F29&gt;D31),AND(T29=T32,G29&gt;D32))</f>
        <v>0</v>
      </c>
      <c r="L29" s="314">
        <f>IF(AND(Q29=1,Q28=1),C29-D28)+IF(AND(Q29=1,Q30=1),E29-D30)+IF(AND(Q29=1,Q31=1),F29-D31)+IF(AND(Q29=1,Q32=1),G29-D32)+IF(AND(Q29=2,Q28=2),C29-D28)+IF(AND(Q29=2,Q30=2),E29-D30)+IF(AND(Q29=2,Q31=2),F29-D31)+IF(AND(Q29=2,Q32=2),G29-D32)+IF(AND(Q29=3,Q28=3),C29-D28)+IF(AND(Q29=3,Q30=3),E29-D30)+IF(AND(Q29=3,Q31=3),F29-D31)+IF(AND(Q29=3,Q32=3),G29-D32)+IF(AND(Q29=4,Q28=4),C29-D28)+IF(AND(Q29=4,Q30=4),E29-D30)+IF(AND(Q29=4,Q31=4),F29-D31)+IF(AND(Q29=4,Q32=4),G29-D32)</f>
        <v>0</v>
      </c>
      <c r="M29" s="308">
        <f>SUM(AND(R29=R28,C29&gt;D28),AND(R29=R30,E29&gt;D30),AND(R29=R31,F29&gt;D31),AND(R29=R32,G29&gt;D32))</f>
        <v>0</v>
      </c>
      <c r="N29" s="356" t="str">
        <f>SUM(C29:G29)&amp;"-"&amp;SUM(D28:D32)</f>
        <v>0-0</v>
      </c>
      <c r="O29" s="357">
        <f>C29+E29+F29+G29-D28-D30-D31-D32</f>
        <v>0</v>
      </c>
      <c r="P29" s="309" t="e">
        <f>SUM(C29:G29,D28:D32)/SUM(D28:D32)</f>
        <v>#DIV/0!</v>
      </c>
      <c r="Q29" s="315">
        <f>VALUE(LEFT(H29,1))</f>
        <v>0</v>
      </c>
      <c r="R29" s="206">
        <f>Q29*100000+J29*10000+K29*1000+100*L29</f>
        <v>0</v>
      </c>
      <c r="S29" s="310">
        <f>R29+M29*0.1+IF(ISNONTEXT(B29),0,0.01)+0.0001*O29</f>
        <v>0</v>
      </c>
      <c r="T29" s="311" t="str">
        <f>Q29&amp;J29</f>
        <v>00</v>
      </c>
      <c r="U29" s="302"/>
      <c r="V29" s="302"/>
      <c r="W29" s="302"/>
      <c r="X29" s="302"/>
      <c r="Y29" s="302"/>
      <c r="Z29" s="302"/>
      <c r="AA29" s="302"/>
      <c r="AD29" s="233">
        <f t="shared" si="0"/>
        <v>0</v>
      </c>
      <c r="AE29" s="234" t="str">
        <f>IFERROR(INDEX(V!$R:$R,MATCH(AF29,V!$L:$L,0)),"")</f>
        <v/>
      </c>
      <c r="AF29" s="235" t="str">
        <f t="shared" si="1"/>
        <v/>
      </c>
      <c r="AG29" s="234" t="str">
        <f>IFERROR(INDEX(V!$R:$R,MATCH(AH29,V!$L:$L,0)),"")</f>
        <v/>
      </c>
      <c r="AH29" s="235" t="str">
        <f t="shared" si="2"/>
        <v/>
      </c>
      <c r="AI29" s="234" t="str">
        <f>IFERROR(INDEX(V!$R:$R,MATCH(AJ29,V!$L:$L,0)),"")</f>
        <v/>
      </c>
      <c r="AJ29" s="235" t="str">
        <f t="shared" si="3"/>
        <v/>
      </c>
      <c r="AK29" s="234" t="str">
        <f>IFERROR(INDEX(V!$R:$R,MATCH(AL29,V!$L:$L,0)),"")</f>
        <v/>
      </c>
      <c r="AL29" s="235" t="str">
        <f t="shared" si="4"/>
        <v/>
      </c>
      <c r="AM29" s="234" t="str">
        <f>IFERROR(INDEX(V!$R:$R,MATCH(AN29,V!$L:$L,0)),"")</f>
        <v/>
      </c>
      <c r="AN29" s="235" t="str">
        <f t="shared" si="5"/>
        <v/>
      </c>
      <c r="AO29" s="234" t="str">
        <f>IFERROR(INDEX(V!$R:$R,MATCH(AP29,V!$L:$L,0)),"")</f>
        <v/>
      </c>
      <c r="AP29" s="235" t="str">
        <f t="shared" si="6"/>
        <v/>
      </c>
    </row>
    <row r="30" spans="1:42" x14ac:dyDescent="0.2">
      <c r="A30" s="201">
        <v>3</v>
      </c>
      <c r="B30" s="312"/>
      <c r="C30" s="203"/>
      <c r="D30" s="316"/>
      <c r="E30" s="204"/>
      <c r="F30" s="203"/>
      <c r="G30" s="203"/>
      <c r="H30" s="202" t="str">
        <f>(IF(C30-E28&gt;0,1)+IF(D30-E29&gt;0,1)+IF(F30-E31&gt;0,1)+IF(G30-E32&gt;0,1))&amp;"-"&amp;(IF(C30-E28&lt;0,1)+IF(D30-E29&lt;0,1)+IF(F30-E31&lt;0,1)+IF(G30-E32&lt;0,1))</f>
        <v>0-0</v>
      </c>
      <c r="I30" s="203" t="str">
        <f t="shared" si="8"/>
        <v xml:space="preserve"> </v>
      </c>
      <c r="J30" s="313">
        <f>IF(AND(Q30=1,Q28=1,C30&gt;E28),1)+IF(AND(Q30=1,Q29=1,D30&gt;E29),1)+IF(AND(Q30=1,Q31=1,F30&gt;E31),1)+IF(AND(Q30=1,Q32=1,G30&gt;E32),1)+IF(AND(Q30=2,Q28=2,C30&gt;E28),1)+IF(AND(Q30=2,Q29=2,D30&gt;E29),1)+IF(AND(Q30=2,Q31=2,F30&gt;E31),1)+IF(AND(Q30=2,Q32=2,G30&gt;E32),1)+IF(AND(Q30=3,Q28=3,C30&gt;E28),1)+IF(AND(Q30=3,Q29=3,D30&gt;E29),1)+IF(AND(Q30=3,Q31=3,F30&gt;E31),1)+IF(AND(Q30=3,Q32=3,G30&gt;E32),1)</f>
        <v>0</v>
      </c>
      <c r="K30" s="308">
        <f>SUM(AND(T30=T28,C30&gt;E28),AND(T30=T29,D30&gt;E29),AND(T30=T31,F30&gt;E31),AND(T30=T32,G30&gt;E32))</f>
        <v>0</v>
      </c>
      <c r="L30" s="314">
        <f>IF(AND(Q30=1,Q28=1),C30-E28)+IF(AND(Q30=1,Q29=1),D30-E29)+IF(AND(Q30=1,Q31=1),F30-E31)+IF(AND(Q30=1,Q32=1),G30-E32)+IF(AND(Q30=2,Q28=2),C30-E28)+IF(AND(Q30=2,Q29=2),D30-E29)+IF(AND(Q30=2,Q31=2),F30-E31)+IF(AND(Q30=2,Q32=2),G30-E32)+IF(AND(Q30=3,Q28=3),C30-E28)+IF(AND(Q30=3,Q29=3),D30-E29)+IF(AND(Q30=3,Q31=3),F30-E31)+IF(AND(Q30=3,Q32=3),G30-E32)+IF(AND(Q30=4,Q28=4),C30-E28)+IF(AND(Q30=4,Q29=4),D30-E29)+IF(AND(Q30=4,Q31=4),F30-E31)+IF(AND(Q30=4,Q32=4),G30-E32)</f>
        <v>0</v>
      </c>
      <c r="M30" s="308">
        <f>SUM(AND(R30=R28,C30&gt;E28),AND(R30=R29,D30&gt;E29),AND(R30=R31,F30&gt;E31),AND(R30=R32,G30&gt;E32))</f>
        <v>0</v>
      </c>
      <c r="N30" s="356" t="str">
        <f>SUM(C30:G30)&amp;"-"&amp;SUM(E28:E32)</f>
        <v>0-0</v>
      </c>
      <c r="O30" s="357">
        <f>C30+D30+F30+G30-E28-E29-E31-E32</f>
        <v>0</v>
      </c>
      <c r="P30" s="309" t="e">
        <f>SUM(C30:G30,E28:E32)/SUM(E28:E32)</f>
        <v>#DIV/0!</v>
      </c>
      <c r="Q30" s="315">
        <f>VALUE(LEFT(H30,1))</f>
        <v>0</v>
      </c>
      <c r="R30" s="206">
        <f>Q30*100000+J30*10000+K30*1000+100*L30</f>
        <v>0</v>
      </c>
      <c r="S30" s="310">
        <f>R30+M30*0.1+IF(ISNONTEXT(B30),0,0.01)+0.0001*O30</f>
        <v>0</v>
      </c>
      <c r="T30" s="311" t="str">
        <f>Q30&amp;J30</f>
        <v>00</v>
      </c>
      <c r="U30" s="302"/>
      <c r="V30" s="302"/>
      <c r="W30" s="302"/>
      <c r="X30" s="302"/>
      <c r="Y30" s="302"/>
      <c r="Z30" s="302"/>
      <c r="AA30" s="302"/>
      <c r="AD30" s="233">
        <f t="shared" si="0"/>
        <v>0</v>
      </c>
      <c r="AE30" s="234" t="str">
        <f>IFERROR(INDEX(V!$R:$R,MATCH(AF30,V!$L:$L,0)),"")</f>
        <v/>
      </c>
      <c r="AF30" s="235" t="str">
        <f t="shared" si="1"/>
        <v/>
      </c>
      <c r="AG30" s="234" t="str">
        <f>IFERROR(INDEX(V!$R:$R,MATCH(AH30,V!$L:$L,0)),"")</f>
        <v/>
      </c>
      <c r="AH30" s="235" t="str">
        <f t="shared" si="2"/>
        <v/>
      </c>
      <c r="AI30" s="234" t="str">
        <f>IFERROR(INDEX(V!$R:$R,MATCH(AJ30,V!$L:$L,0)),"")</f>
        <v/>
      </c>
      <c r="AJ30" s="235" t="str">
        <f t="shared" si="3"/>
        <v/>
      </c>
      <c r="AK30" s="234" t="str">
        <f>IFERROR(INDEX(V!$R:$R,MATCH(AL30,V!$L:$L,0)),"")</f>
        <v/>
      </c>
      <c r="AL30" s="235" t="str">
        <f t="shared" si="4"/>
        <v/>
      </c>
      <c r="AM30" s="234" t="str">
        <f>IFERROR(INDEX(V!$R:$R,MATCH(AN30,V!$L:$L,0)),"")</f>
        <v/>
      </c>
      <c r="AN30" s="235" t="str">
        <f t="shared" si="5"/>
        <v/>
      </c>
      <c r="AO30" s="234" t="str">
        <f>IFERROR(INDEX(V!$R:$R,MATCH(AP30,V!$L:$L,0)),"")</f>
        <v/>
      </c>
      <c r="AP30" s="235" t="str">
        <f t="shared" si="6"/>
        <v/>
      </c>
    </row>
    <row r="31" spans="1:42" hidden="1" x14ac:dyDescent="0.2">
      <c r="A31" s="201">
        <v>4</v>
      </c>
      <c r="B31" s="317"/>
      <c r="C31" s="203"/>
      <c r="D31" s="316"/>
      <c r="E31" s="203"/>
      <c r="F31" s="204"/>
      <c r="G31" s="335"/>
      <c r="H31" s="202" t="str">
        <f>(IF(C31-F28&gt;0,1)+IF(D31-F29&gt;0,1)+IF(E31-F30&gt;0,1)+IF(G31-F32&gt;0,1))&amp;"-"&amp;(IF(C31-F28&lt;0,1)+IF(D31-F29&lt;0,1)+IF(E31-F30&lt;0,1)+IF(G31-F32&lt;0,1))</f>
        <v>0-0</v>
      </c>
      <c r="I31" s="203" t="str">
        <f t="shared" si="8"/>
        <v xml:space="preserve"> </v>
      </c>
      <c r="J31" s="313">
        <f>IF(AND(Q31=1,Q28=1,C31&gt;F28),1)+IF(AND(Q31=1,Q29=1,D31&gt;F29),1)+IF(AND(Q31=1,Q30=1,E31&gt;F30),1)+IF(AND(Q31=1,Q32=1,G31&gt;F32),1)+IF(AND(Q31=2,Q28=2,C31&gt;F28),1)+IF(AND(Q31=2,Q29=2,D31&gt;F29),1)+IF(AND(Q31=2,Q30=2,E31&gt;F30),1)+IF(AND(Q31=2,Q32=2,G31&gt;F32),1)+IF(AND(Q31=3,Q28=3,C31&gt;F28),1)+IF(AND(Q31=3,Q29=3,D31&gt;F29),1)+IF(AND(Q31=3,Q30=3,E31&gt;F30),1)+IF(AND(Q31=3,Q32=3,G31&gt;F32),1)</f>
        <v>0</v>
      </c>
      <c r="K31" s="308">
        <f>SUM(AND(T31=T28,C31&gt;F28),AND(T31=T29,D31&gt;F29),AND(T31=T30,E31&gt;F30),AND(T31=T32,G31&gt;F32))</f>
        <v>0</v>
      </c>
      <c r="L31" s="314">
        <f>IF(AND(Q31=1,Q28=1),C31-F28)+IF(AND(Q31=1,Q29=1),D31-F29)+IF(AND(Q31=1,Q30=1),E31-F30)+IF(AND(Q31=1,Q32=1),G31-F32)+IF(AND(Q31=2,Q28=2),C31-F28)+IF(AND(Q31=2,Q29=2),D31-F29)+IF(AND(Q31=2,Q30=2),E31-F30)+IF(AND(Q31=2,Q32=2),G31-F32)+IF(AND(Q31=3,Q28=3),C31-F28)+IF(AND(Q31=3,Q29=3),D31-F29)+IF(AND(Q31=3,Q30=3),E31-F30)+IF(AND(Q31=3,Q32=3),G31-F32)+IF(AND(Q31=4,Q28=4),C31-F28)+IF(AND(Q31=4,Q29=4),D31-F29)+IF(AND(Q31=4,Q30=4),E31-F30)+IF(AND(Q31=4,Q32=4),G31-F32)</f>
        <v>0</v>
      </c>
      <c r="M31" s="308">
        <f>SUM(AND(R31=R28,C31&gt;F28),AND(R31=R29,D31&gt;F29),AND(R31=R30,E31&gt;F30),AND(R31=R32,G31&gt;F32))</f>
        <v>0</v>
      </c>
      <c r="N31" s="356" t="str">
        <f>SUM(C31:G31)&amp;"-"&amp;SUM(F28:F32)</f>
        <v>0-0</v>
      </c>
      <c r="O31" s="357">
        <f>C31+D31+E31+G31-F28-F29-F30-F32</f>
        <v>0</v>
      </c>
      <c r="P31" s="309" t="e">
        <f>SUM(C31:G31,F28:F32)/SUM(F28:F32)</f>
        <v>#DIV/0!</v>
      </c>
      <c r="Q31" s="315">
        <f>VALUE(LEFT(H31,1))</f>
        <v>0</v>
      </c>
      <c r="R31" s="206">
        <f>Q31*100000+J31*10000+K31*1000+100*L31</f>
        <v>0</v>
      </c>
      <c r="S31" s="310">
        <f>R31+M31*0.1+IF(ISNONTEXT(B31),0,0.01)+0.0001*O31</f>
        <v>0</v>
      </c>
      <c r="T31" s="311" t="str">
        <f>Q31&amp;J31</f>
        <v>00</v>
      </c>
      <c r="U31" s="302"/>
      <c r="V31" s="302"/>
      <c r="W31" s="302"/>
      <c r="X31" s="302"/>
      <c r="Y31" s="302"/>
      <c r="Z31" s="302"/>
      <c r="AA31" s="302"/>
      <c r="AD31" s="233">
        <f t="shared" si="0"/>
        <v>0</v>
      </c>
      <c r="AE31" s="234" t="str">
        <f>IFERROR(INDEX(V!$R:$R,MATCH(AF31,V!$L:$L,0)),"")</f>
        <v/>
      </c>
      <c r="AF31" s="235" t="str">
        <f t="shared" si="1"/>
        <v/>
      </c>
      <c r="AG31" s="234" t="str">
        <f>IFERROR(INDEX(V!$R:$R,MATCH(AH31,V!$L:$L,0)),"")</f>
        <v/>
      </c>
      <c r="AH31" s="235" t="str">
        <f t="shared" si="2"/>
        <v/>
      </c>
      <c r="AI31" s="234" t="str">
        <f>IFERROR(INDEX(V!$R:$R,MATCH(AJ31,V!$L:$L,0)),"")</f>
        <v/>
      </c>
      <c r="AJ31" s="235" t="str">
        <f t="shared" si="3"/>
        <v/>
      </c>
      <c r="AK31" s="234" t="str">
        <f>IFERROR(INDEX(V!$R:$R,MATCH(AL31,V!$L:$L,0)),"")</f>
        <v/>
      </c>
      <c r="AL31" s="235" t="str">
        <f t="shared" si="4"/>
        <v/>
      </c>
      <c r="AM31" s="234" t="str">
        <f>IFERROR(INDEX(V!$R:$R,MATCH(AN31,V!$L:$L,0)),"")</f>
        <v/>
      </c>
      <c r="AN31" s="235" t="str">
        <f t="shared" si="5"/>
        <v/>
      </c>
      <c r="AO31" s="234" t="str">
        <f>IFERROR(INDEX(V!$R:$R,MATCH(AP31,V!$L:$L,0)),"")</f>
        <v/>
      </c>
      <c r="AP31" s="235" t="str">
        <f t="shared" si="6"/>
        <v/>
      </c>
    </row>
    <row r="32" spans="1:42" hidden="1" x14ac:dyDescent="0.2">
      <c r="A32" s="201">
        <v>5</v>
      </c>
      <c r="B32" s="317"/>
      <c r="C32" s="203"/>
      <c r="D32" s="203"/>
      <c r="E32" s="203"/>
      <c r="F32" s="203"/>
      <c r="G32" s="204"/>
      <c r="H32" s="202" t="str">
        <f>(IF(C32-G28&gt;0,1)+IF(D32-G29&gt;0,1)+IF(E32-G30&gt;0,1)+IF(F32-G31&gt;0,1))&amp;"-"&amp;(IF(C32-G28&lt;0,1)+IF(D32-G29&lt;0,1)+IF(E32-G30&lt;0,1)+IF(F32-G31&lt;0,1))</f>
        <v>0-0</v>
      </c>
      <c r="I32" s="203" t="str">
        <f t="shared" si="8"/>
        <v xml:space="preserve"> </v>
      </c>
      <c r="J32" s="313">
        <f>IF(AND(Q32=1,Q28=1,C32&gt;G28),1)+IF(AND(Q32=1,Q29=1,D32&gt;G29),1)+IF(AND(Q32=1,Q30=1,E32&gt;G30),1)+IF(AND(Q32=1,Q31=1,F32&gt;G31),1)+IF(AND(Q32=2,Q28=2,C32&gt;G28),1)+IF(AND(Q32=2,Q29=2,D32&gt;G29),1)+IF(AND(Q32=2,Q30=2,E32&gt;G30),1)+IF(AND(Q32=2,Q31=2,F32&gt;G31),1)+IF(AND(Q32=3,Q28=3,C32&gt;G28),1)+IF(AND(Q32=3,Q29=3,D32&gt;G29),1)+IF(AND(Q32=3,Q30=3,E32&gt;G30),1)+IF(AND(Q32=3,Q31=3,F32&gt;G31),1)</f>
        <v>0</v>
      </c>
      <c r="K32" s="308">
        <f>SUM(AND(T32=T28,C32&gt;G28),AND(T32=T29,D32&gt;G29),AND(T32=T30,E32&gt;G30),AND(T32=T31,F32&gt;G31))</f>
        <v>0</v>
      </c>
      <c r="L32" s="314">
        <f>IF(AND(Q32=1,Q28=1),C32-G28)+IF(AND(Q32=1,Q29=1),D32-G29)+IF(AND(Q32=1,Q30=1),E32-G30)+IF(AND(Q32=1,Q31=1),F32-G31)+IF(AND(Q32=2,Q28=2),C32-G28)+IF(AND(Q32=2,Q29=2),D32-G29)+IF(AND(Q32=2,Q30=2),E32-G30)+IF(AND(Q32=2,Q31=2),F32-G31)+IF(AND(Q32=3,Q28=3),C32-G28)+IF(AND(Q32=3,Q29=3),D32-G29)+IF(AND(Q32=3,Q30=3),E32-G30)+IF(AND(Q32=3,Q31=3),F32-G31)+IF(AND(Q32=4,Q28=4),C32-G28)+IF(AND(Q32=4,Q29=4),D32-G29)+IF(AND(Q32=4,Q30=4),E32-G30)+IF(AND(Q32=4,Q31=4),F32-G31)</f>
        <v>0</v>
      </c>
      <c r="M32" s="308">
        <f>SUM(AND(R32=R28,C32&gt;G28),AND(R32=R29,D32&gt;G29),AND(R32=R30,E32&gt;G30),AND(R32=R31,F32&gt;G31))</f>
        <v>0</v>
      </c>
      <c r="N32" s="356" t="str">
        <f>SUM(C32:G32)&amp;"-"&amp;SUM(G28:G32)</f>
        <v>0-0</v>
      </c>
      <c r="O32" s="357">
        <f>C32+D32+E32+F32-G28-G29-G30-G31</f>
        <v>0</v>
      </c>
      <c r="P32" s="309" t="e">
        <f>SUM(C32:G32,G28:G32)/SUM(G28:G32)</f>
        <v>#DIV/0!</v>
      </c>
      <c r="Q32" s="315">
        <f>VALUE(LEFT(H32,1))</f>
        <v>0</v>
      </c>
      <c r="R32" s="206">
        <f>Q32*100000+J32*10000+K32*1000+100*L32</f>
        <v>0</v>
      </c>
      <c r="S32" s="310">
        <f>R32+M32*0.1+IF(ISNONTEXT(B32),0,0.01)+0.0001*O32</f>
        <v>0</v>
      </c>
      <c r="T32" s="311" t="str">
        <f>Q32&amp;J32</f>
        <v>00</v>
      </c>
      <c r="U32" s="302"/>
      <c r="V32" s="302"/>
      <c r="W32" s="302"/>
      <c r="X32" s="302"/>
      <c r="Y32" s="302"/>
      <c r="Z32" s="302"/>
      <c r="AA32" s="302"/>
      <c r="AD32" s="233">
        <f t="shared" si="0"/>
        <v>0</v>
      </c>
      <c r="AE32" s="234" t="str">
        <f>IFERROR(INDEX(V!$R:$R,MATCH(AF32,V!$L:$L,0)),"")</f>
        <v/>
      </c>
      <c r="AF32" s="235" t="str">
        <f t="shared" si="1"/>
        <v/>
      </c>
      <c r="AG32" s="234" t="str">
        <f>IFERROR(INDEX(V!$R:$R,MATCH(AH32,V!$L:$L,0)),"")</f>
        <v/>
      </c>
      <c r="AH32" s="235" t="str">
        <f t="shared" si="2"/>
        <v/>
      </c>
      <c r="AI32" s="234" t="str">
        <f>IFERROR(INDEX(V!$R:$R,MATCH(AJ32,V!$L:$L,0)),"")</f>
        <v/>
      </c>
      <c r="AJ32" s="235" t="str">
        <f t="shared" si="3"/>
        <v/>
      </c>
      <c r="AK32" s="234" t="str">
        <f>IFERROR(INDEX(V!$R:$R,MATCH(AL32,V!$L:$L,0)),"")</f>
        <v/>
      </c>
      <c r="AL32" s="235" t="str">
        <f t="shared" si="4"/>
        <v/>
      </c>
      <c r="AM32" s="234" t="str">
        <f>IFERROR(INDEX(V!$R:$R,MATCH(AN32,V!$L:$L,0)),"")</f>
        <v/>
      </c>
      <c r="AN32" s="235" t="str">
        <f t="shared" si="5"/>
        <v/>
      </c>
      <c r="AO32" s="234" t="str">
        <f>IFERROR(INDEX(V!$R:$R,MATCH(AP32,V!$L:$L,0)),"")</f>
        <v/>
      </c>
      <c r="AP32" s="235" t="str">
        <f t="shared" si="6"/>
        <v/>
      </c>
    </row>
    <row r="33" spans="1:42" x14ac:dyDescent="0.2">
      <c r="A33" s="318"/>
      <c r="B33" s="343"/>
      <c r="C33" s="323"/>
      <c r="D33" s="323"/>
      <c r="E33" s="323"/>
      <c r="F33" s="320"/>
      <c r="G33" s="323"/>
      <c r="H33" s="344"/>
      <c r="I33" s="269"/>
      <c r="J33" s="302"/>
      <c r="K33" s="302"/>
      <c r="L33" s="302"/>
      <c r="M33" s="302"/>
      <c r="N33" s="358"/>
      <c r="O33" s="358"/>
      <c r="P33" s="302"/>
      <c r="Q33" s="302"/>
      <c r="R33" s="326" t="s">
        <v>247</v>
      </c>
      <c r="S33" s="302"/>
      <c r="T33" s="302"/>
      <c r="U33" s="302"/>
      <c r="V33" s="302"/>
      <c r="W33" s="302"/>
      <c r="X33" s="302"/>
      <c r="Y33" s="302"/>
      <c r="Z33" s="302"/>
      <c r="AA33" s="302"/>
      <c r="AD33" s="233">
        <f t="shared" si="0"/>
        <v>0</v>
      </c>
      <c r="AE33" s="234" t="str">
        <f>IFERROR(INDEX(V!$R:$R,MATCH(AF33,V!$L:$L,0)),"")</f>
        <v/>
      </c>
      <c r="AF33" s="235" t="str">
        <f t="shared" si="1"/>
        <v/>
      </c>
      <c r="AG33" s="234" t="str">
        <f>IFERROR(INDEX(V!$R:$R,MATCH(AH33,V!$L:$L,0)),"")</f>
        <v/>
      </c>
      <c r="AH33" s="235" t="str">
        <f t="shared" si="2"/>
        <v/>
      </c>
      <c r="AI33" s="234" t="str">
        <f>IFERROR(INDEX(V!$R:$R,MATCH(AJ33,V!$L:$L,0)),"")</f>
        <v/>
      </c>
      <c r="AJ33" s="235" t="str">
        <f t="shared" si="3"/>
        <v/>
      </c>
      <c r="AK33" s="234" t="str">
        <f>IFERROR(INDEX(V!$R:$R,MATCH(AL33,V!$L:$L,0)),"")</f>
        <v/>
      </c>
      <c r="AL33" s="235" t="str">
        <f t="shared" si="4"/>
        <v/>
      </c>
      <c r="AM33" s="234" t="str">
        <f>IFERROR(INDEX(V!$R:$R,MATCH(AN33,V!$L:$L,0)),"")</f>
        <v/>
      </c>
      <c r="AN33" s="235" t="str">
        <f t="shared" si="5"/>
        <v/>
      </c>
      <c r="AO33" s="234" t="str">
        <f>IFERROR(INDEX(V!$R:$R,MATCH(AP33,V!$L:$L,0)),"")</f>
        <v/>
      </c>
      <c r="AP33" s="235" t="str">
        <f t="shared" si="6"/>
        <v/>
      </c>
    </row>
    <row r="34" spans="1:42" x14ac:dyDescent="0.2">
      <c r="A34" s="201" t="s">
        <v>4</v>
      </c>
      <c r="B34" s="327"/>
      <c r="C34" s="292">
        <v>1</v>
      </c>
      <c r="D34" s="292">
        <v>2</v>
      </c>
      <c r="E34" s="292">
        <v>3</v>
      </c>
      <c r="F34" s="292"/>
      <c r="G34" s="292"/>
      <c r="H34" s="292" t="s">
        <v>170</v>
      </c>
      <c r="I34" s="162" t="s">
        <v>171</v>
      </c>
      <c r="J34" s="328" t="s">
        <v>240</v>
      </c>
      <c r="K34" s="329" t="s">
        <v>241</v>
      </c>
      <c r="L34" s="330" t="s">
        <v>242</v>
      </c>
      <c r="M34" s="330" t="s">
        <v>243</v>
      </c>
      <c r="N34" s="297" t="s">
        <v>172</v>
      </c>
      <c r="O34" s="297" t="s">
        <v>172</v>
      </c>
      <c r="P34" s="298" t="s">
        <v>244</v>
      </c>
      <c r="Q34" s="331" t="s">
        <v>21</v>
      </c>
      <c r="R34" s="331" t="b">
        <f>OR(AND(COUNTA(B35:B39)=3,COUNTA(C35:G39)=6),AND(COUNTA(B35:B39)=4,COUNTA(C35:G39)=12),AND(COUNTA(B35:B39)=5,COUNTA(C35:G39)=20))</f>
        <v>0</v>
      </c>
      <c r="S34" s="332" t="s">
        <v>245</v>
      </c>
      <c r="T34" s="333" t="s">
        <v>246</v>
      </c>
      <c r="U34" s="302"/>
      <c r="V34" s="302"/>
      <c r="W34" s="302"/>
      <c r="X34" s="302"/>
      <c r="Y34" s="302"/>
      <c r="Z34" s="302"/>
      <c r="AA34" s="302"/>
      <c r="AD34" s="233">
        <f t="shared" si="0"/>
        <v>0</v>
      </c>
      <c r="AE34" s="234" t="str">
        <f>IFERROR(INDEX(V!$R:$R,MATCH(AF34,V!$L:$L,0)),"")</f>
        <v/>
      </c>
      <c r="AF34" s="235" t="str">
        <f t="shared" si="1"/>
        <v/>
      </c>
      <c r="AG34" s="234" t="str">
        <f>IFERROR(INDEX(V!$R:$R,MATCH(AH34,V!$L:$L,0)),"")</f>
        <v/>
      </c>
      <c r="AH34" s="235" t="str">
        <f t="shared" si="2"/>
        <v/>
      </c>
      <c r="AI34" s="234" t="str">
        <f>IFERROR(INDEX(V!$R:$R,MATCH(AJ34,V!$L:$L,0)),"")</f>
        <v/>
      </c>
      <c r="AJ34" s="235" t="str">
        <f t="shared" si="3"/>
        <v/>
      </c>
      <c r="AK34" s="234" t="str">
        <f>IFERROR(INDEX(V!$R:$R,MATCH(AL34,V!$L:$L,0)),"")</f>
        <v/>
      </c>
      <c r="AL34" s="235" t="str">
        <f t="shared" si="4"/>
        <v/>
      </c>
      <c r="AM34" s="234" t="str">
        <f>IFERROR(INDEX(V!$R:$R,MATCH(AN34,V!$L:$L,0)),"")</f>
        <v/>
      </c>
      <c r="AN34" s="235" t="str">
        <f t="shared" si="5"/>
        <v/>
      </c>
      <c r="AO34" s="234" t="str">
        <f>IFERROR(INDEX(V!$R:$R,MATCH(AP34,V!$L:$L,0)),"")</f>
        <v/>
      </c>
      <c r="AP34" s="235" t="str">
        <f t="shared" si="6"/>
        <v/>
      </c>
    </row>
    <row r="35" spans="1:42" x14ac:dyDescent="0.2">
      <c r="A35" s="201">
        <v>1</v>
      </c>
      <c r="B35" s="342"/>
      <c r="C35" s="204"/>
      <c r="D35" s="203"/>
      <c r="E35" s="203"/>
      <c r="F35" s="203"/>
      <c r="G35" s="203"/>
      <c r="H35" s="202" t="str">
        <f>(IF(D35-C36&gt;0,1)+IF(E35-C37&gt;0,1)+IF(F35-C38&gt;0,1)+IF(G35-C39&gt;0,1))&amp;"-"&amp;(IF(D35-C36&lt;0,1)+IF(E35-C37&lt;0,1)+IF(F35-C38&lt;0,1)+IF(G35-C39&lt;0,1))</f>
        <v>0-0</v>
      </c>
      <c r="I35" s="166" t="str">
        <f>IF(AND(B35&lt;&gt;"",R$34=TRUE),A$34&amp;RANK(S35,S$35:S$39,0)," ")</f>
        <v xml:space="preserve"> </v>
      </c>
      <c r="J35" s="305">
        <f>IF(AND(Q35=1,Q36=1,D35&gt;C36),1)+IF(AND(Q35=1,Q37=1,E35&gt;C37),1)+IF(AND(Q35=1,Q38=1,F35&gt;C38),1)+IF(AND(Q35=1,Q39=1,G35&gt;C39),1)+IF(AND(Q35=2,Q36=2,D35&gt;C36),1)+IF(AND(Q35=2,Q37=2,E35&gt;C37),1)+IF(AND(Q35=2,Q38=2,F35&gt;C38),1)+IF(AND(Q35=2,Q39=2,G35&gt;C39),1)+IF(AND(Q35=3,Q36=3,D35&gt;C36),1)+IF(AND(Q35=3,Q37=3,E35&gt;C37),1)+IF(AND(Q35=3,Q38=3,F35&gt;C38),1)+IF(AND(Q35=3,Q39=3,G35&gt;C39),1)</f>
        <v>0</v>
      </c>
      <c r="K35" s="306">
        <f>SUM(AND(T35=T36,D35&gt;C36),AND(T35=T37,E35&gt;C37),AND(T35=T38,F35&gt;C38),AND(T35=T39,G35&gt;C39))</f>
        <v>0</v>
      </c>
      <c r="L35" s="307">
        <f>IF(AND(Q35=1,Q36=1),D35-C36)+IF(AND(Q35=1,Q37=1),E35-C37)+IF(AND(Q35=1,Q38=1),F35-C38)+IF(AND(Q35=1,Q39=1),G35-C39)+IF(AND(Q35=2,Q36=2),D35-C36)+IF(AND(Q35=2,Q37=2),E35-C37)+IF(AND(Q35=2,Q38=2),F35-C38)+IF(AND(Q35=2,Q39=2),G35-C39)+IF(AND(Q35=3,Q36=3),D35-C36)+IF(AND(Q35=3,Q37=3),E35-C37)+IF(AND(Q35=3,Q38=3),F35-C38)+IF(AND(Q35=3,Q39=3),G35-C39)+IF(AND(Q35=4,Q36=4),D35-C36)+IF(AND(Q35=4,Q37=4),E35-C37)+IF(AND(Q35=4,Q38=4),F35-C38)+IF(AND(Q35=4,Q39=4),G35-C39)</f>
        <v>0</v>
      </c>
      <c r="M35" s="308">
        <f>SUM(AND(R35=R36,D35&gt;C36),AND(R35=R37,E35&gt;C37),AND(R35=R38,F35&gt;C38),AND(R35=R39,G35&gt;C39))</f>
        <v>0</v>
      </c>
      <c r="N35" s="356" t="str">
        <f>SUM(C35:G35)&amp;"-"&amp;SUM(C35:C39)</f>
        <v>0-0</v>
      </c>
      <c r="O35" s="357">
        <f>D35+E35+F35+G35-C36-C37-C38-C39</f>
        <v>0</v>
      </c>
      <c r="P35" s="309" t="e">
        <f>SUM(C35:G35,C35:C39)/SUM(C35:C39)</f>
        <v>#DIV/0!</v>
      </c>
      <c r="Q35" s="205">
        <f>VALUE(LEFT(H35,1))</f>
        <v>0</v>
      </c>
      <c r="R35" s="206">
        <f>Q35*100000+J35*10000+K35*1000+100*L35</f>
        <v>0</v>
      </c>
      <c r="S35" s="310">
        <f>R35+M35*0.1+IF(ISNONTEXT(B35),0,0.01)+0.0001*O35</f>
        <v>0</v>
      </c>
      <c r="T35" s="311" t="str">
        <f>Q35&amp;J35</f>
        <v>00</v>
      </c>
      <c r="U35" s="302"/>
      <c r="V35" s="302"/>
      <c r="W35" s="302"/>
      <c r="X35" s="302"/>
      <c r="Y35" s="302"/>
      <c r="Z35" s="302"/>
      <c r="AA35" s="302"/>
      <c r="AD35" s="233">
        <f t="shared" si="0"/>
        <v>0</v>
      </c>
      <c r="AE35" s="234" t="str">
        <f>IFERROR(INDEX(V!$R:$R,MATCH(AF35,V!$L:$L,0)),"")</f>
        <v/>
      </c>
      <c r="AF35" s="235" t="str">
        <f t="shared" si="1"/>
        <v/>
      </c>
      <c r="AG35" s="234" t="str">
        <f>IFERROR(INDEX(V!$R:$R,MATCH(AH35,V!$L:$L,0)),"")</f>
        <v/>
      </c>
      <c r="AH35" s="235" t="str">
        <f t="shared" si="2"/>
        <v/>
      </c>
      <c r="AI35" s="234" t="str">
        <f>IFERROR(INDEX(V!$R:$R,MATCH(AJ35,V!$L:$L,0)),"")</f>
        <v/>
      </c>
      <c r="AJ35" s="235" t="str">
        <f t="shared" si="3"/>
        <v/>
      </c>
      <c r="AK35" s="234" t="str">
        <f>IFERROR(INDEX(V!$R:$R,MATCH(AL35,V!$L:$L,0)),"")</f>
        <v/>
      </c>
      <c r="AL35" s="235" t="str">
        <f t="shared" si="4"/>
        <v/>
      </c>
      <c r="AM35" s="234" t="str">
        <f>IFERROR(INDEX(V!$R:$R,MATCH(AN35,V!$L:$L,0)),"")</f>
        <v/>
      </c>
      <c r="AN35" s="235" t="str">
        <f t="shared" si="5"/>
        <v/>
      </c>
      <c r="AO35" s="234" t="str">
        <f>IFERROR(INDEX(V!$R:$R,MATCH(AP35,V!$L:$L,0)),"")</f>
        <v/>
      </c>
      <c r="AP35" s="235" t="str">
        <f t="shared" si="6"/>
        <v/>
      </c>
    </row>
    <row r="36" spans="1:42" x14ac:dyDescent="0.2">
      <c r="A36" s="201">
        <v>2</v>
      </c>
      <c r="B36" s="312"/>
      <c r="C36" s="203"/>
      <c r="D36" s="204"/>
      <c r="E36" s="203"/>
      <c r="F36" s="203"/>
      <c r="G36" s="203"/>
      <c r="H36" s="202" t="str">
        <f>(IF(C36-D35&gt;0,1)+IF(E36-D37&gt;0,1)+IF(F36-D38&gt;0,1)+IF(G36-D39&gt;0,1))&amp;"-"&amp;(IF(C36-D35&lt;0,1)+IF(E36-D37&lt;0,1)+IF(F36-D38&lt;0,1)+IF(G36-D39&lt;0,1))</f>
        <v>0-0</v>
      </c>
      <c r="I36" s="166" t="str">
        <f t="shared" ref="I36:I39" si="9">IF(AND(B36&lt;&gt;"",R$34=TRUE),A$34&amp;RANK(S36,S$35:S$39,0)," ")</f>
        <v xml:space="preserve"> </v>
      </c>
      <c r="J36" s="313">
        <f>IF(AND(Q36=1,Q35=1,C36&gt;D35),1)+IF(AND(Q36=1,Q37=1,E36&gt;D37),1)+IF(AND(Q36=1,Q38=1,F36&gt;D38),1)+IF(AND(Q36=1,Q39=1,G36&gt;D39),1)+IF(AND(Q36=2,Q35=2,C36&gt;D35),1)+IF(AND(Q36=2,Q37=2,E36&gt;D37),1)+IF(AND(Q36=2,Q38=2,F36&gt;D38),1)+IF(AND(Q36=2,Q39=2,G36&gt;D39),1)+IF(AND(Q36=3,Q35=3,C36&gt;D35),1)+IF(AND(Q36=3,Q37=3,E36&gt;D37),1)+IF(AND(Q36=3,Q38=3,F36&gt;D38),1)+IF(AND(Q36=3,Q39=3,G36&gt;D39),1)</f>
        <v>0</v>
      </c>
      <c r="K36" s="308">
        <f>SUM(AND(T36=T35,C36&gt;D35),AND(T36=T37,E36&gt;D37),AND(T36=T38,F36&gt;D38),AND(T36=T39,G36&gt;D39))</f>
        <v>0</v>
      </c>
      <c r="L36" s="314">
        <f>IF(AND(Q36=1,Q35=1),C36-D35)+IF(AND(Q36=1,Q37=1),E36-D37)+IF(AND(Q36=1,Q38=1),F36-D38)+IF(AND(Q36=1,Q39=1),G36-D39)+IF(AND(Q36=2,Q35=2),C36-D35)+IF(AND(Q36=2,Q37=2),E36-D37)+IF(AND(Q36=2,Q38=2),F36-D38)+IF(AND(Q36=2,Q39=2),G36-D39)+IF(AND(Q36=3,Q35=3),C36-D35)+IF(AND(Q36=3,Q37=3),E36-D37)+IF(AND(Q36=3,Q38=3),F36-D38)+IF(AND(Q36=3,Q39=3),G36-D39)+IF(AND(Q36=4,Q35=4),C36-D35)+IF(AND(Q36=4,Q37=4),E36-D37)+IF(AND(Q36=4,Q38=4),F36-D38)+IF(AND(Q36=4,Q39=4),G36-D39)</f>
        <v>0</v>
      </c>
      <c r="M36" s="308">
        <f>SUM(AND(R36=R35,C36&gt;D35),AND(R36=R37,E36&gt;D37),AND(R36=R38,F36&gt;D38),AND(R36=R39,G36&gt;D39))</f>
        <v>0</v>
      </c>
      <c r="N36" s="356" t="str">
        <f>SUM(C36:G36)&amp;"-"&amp;SUM(D35:D39)</f>
        <v>0-0</v>
      </c>
      <c r="O36" s="357">
        <f>C36+E36+F36+G36-D35-D37-D38-D39</f>
        <v>0</v>
      </c>
      <c r="P36" s="309" t="e">
        <f>SUM(C36:G36,D35:D39)/SUM(D35:D39)</f>
        <v>#DIV/0!</v>
      </c>
      <c r="Q36" s="315">
        <f>VALUE(LEFT(H36,1))</f>
        <v>0</v>
      </c>
      <c r="R36" s="206">
        <f>Q36*100000+J36*10000+K36*1000+100*L36</f>
        <v>0</v>
      </c>
      <c r="S36" s="310">
        <f>R36+M36*0.1+IF(ISNONTEXT(B36),0,0.01)+0.0001*O36</f>
        <v>0</v>
      </c>
      <c r="T36" s="311" t="str">
        <f>Q36&amp;J36</f>
        <v>00</v>
      </c>
      <c r="U36" s="302"/>
      <c r="V36" s="302"/>
      <c r="W36" s="302"/>
      <c r="X36" s="302"/>
      <c r="Y36" s="302"/>
      <c r="Z36" s="302"/>
      <c r="AA36" s="302"/>
      <c r="AD36" s="233">
        <f t="shared" si="0"/>
        <v>0</v>
      </c>
      <c r="AE36" s="234" t="str">
        <f>IFERROR(INDEX(V!$R:$R,MATCH(AF36,V!$L:$L,0)),"")</f>
        <v/>
      </c>
      <c r="AF36" s="235" t="str">
        <f t="shared" si="1"/>
        <v/>
      </c>
      <c r="AG36" s="234" t="str">
        <f>IFERROR(INDEX(V!$R:$R,MATCH(AH36,V!$L:$L,0)),"")</f>
        <v/>
      </c>
      <c r="AH36" s="235" t="str">
        <f t="shared" si="2"/>
        <v/>
      </c>
      <c r="AI36" s="234" t="str">
        <f>IFERROR(INDEX(V!$R:$R,MATCH(AJ36,V!$L:$L,0)),"")</f>
        <v/>
      </c>
      <c r="AJ36" s="235" t="str">
        <f t="shared" si="3"/>
        <v/>
      </c>
      <c r="AK36" s="234" t="str">
        <f>IFERROR(INDEX(V!$R:$R,MATCH(AL36,V!$L:$L,0)),"")</f>
        <v/>
      </c>
      <c r="AL36" s="235" t="str">
        <f t="shared" si="4"/>
        <v/>
      </c>
      <c r="AM36" s="234" t="str">
        <f>IFERROR(INDEX(V!$R:$R,MATCH(AN36,V!$L:$L,0)),"")</f>
        <v/>
      </c>
      <c r="AN36" s="235" t="str">
        <f t="shared" si="5"/>
        <v/>
      </c>
      <c r="AO36" s="234" t="str">
        <f>IFERROR(INDEX(V!$R:$R,MATCH(AP36,V!$L:$L,0)),"")</f>
        <v/>
      </c>
      <c r="AP36" s="235" t="str">
        <f t="shared" si="6"/>
        <v/>
      </c>
    </row>
    <row r="37" spans="1:42" x14ac:dyDescent="0.2">
      <c r="A37" s="201">
        <v>3</v>
      </c>
      <c r="B37" s="312"/>
      <c r="C37" s="203"/>
      <c r="D37" s="316"/>
      <c r="E37" s="204"/>
      <c r="F37" s="203"/>
      <c r="G37" s="203"/>
      <c r="H37" s="202" t="str">
        <f>(IF(C37-E35&gt;0,1)+IF(D37-E36&gt;0,1)+IF(F37-E38&gt;0,1)+IF(G37-E39&gt;0,1))&amp;"-"&amp;(IF(C37-E35&lt;0,1)+IF(D37-E36&lt;0,1)+IF(F37-E38&lt;0,1)+IF(G37-E39&lt;0,1))</f>
        <v>0-0</v>
      </c>
      <c r="I37" s="166" t="str">
        <f t="shared" si="9"/>
        <v xml:space="preserve"> </v>
      </c>
      <c r="J37" s="313">
        <f>IF(AND(Q37=1,Q35=1,C37&gt;E35),1)+IF(AND(Q37=1,Q36=1,D37&gt;E36),1)+IF(AND(Q37=1,Q38=1,F37&gt;E38),1)+IF(AND(Q37=1,Q39=1,G37&gt;E39),1)+IF(AND(Q37=2,Q35=2,C37&gt;E35),1)+IF(AND(Q37=2,Q36=2,D37&gt;E36),1)+IF(AND(Q37=2,Q38=2,F37&gt;E38),1)+IF(AND(Q37=2,Q39=2,G37&gt;E39),1)+IF(AND(Q37=3,Q35=3,C37&gt;E35),1)+IF(AND(Q37=3,Q36=3,D37&gt;E36),1)+IF(AND(Q37=3,Q38=3,F37&gt;E38),1)+IF(AND(Q37=3,Q39=3,G37&gt;E39),1)</f>
        <v>0</v>
      </c>
      <c r="K37" s="308">
        <f>SUM(AND(T37=T35,C37&gt;E35),AND(T37=T36,D37&gt;E36),AND(T37=T38,F37&gt;E38),AND(T37=T39,G37&gt;E39))</f>
        <v>0</v>
      </c>
      <c r="L37" s="314">
        <f>IF(AND(Q37=1,Q35=1),C37-E35)+IF(AND(Q37=1,Q36=1),D37-E36)+IF(AND(Q37=1,Q38=1),F37-E38)+IF(AND(Q37=1,Q39=1),G37-E39)+IF(AND(Q37=2,Q35=2),C37-E35)+IF(AND(Q37=2,Q36=2),D37-E36)+IF(AND(Q37=2,Q38=2),F37-E38)+IF(AND(Q37=2,Q39=2),G37-E39)+IF(AND(Q37=3,Q35=3),C37-E35)+IF(AND(Q37=3,Q36=3),D37-E36)+IF(AND(Q37=3,Q38=3),F37-E38)+IF(AND(Q37=3,Q39=3),G37-E39)+IF(AND(Q37=4,Q35=4),C37-E35)+IF(AND(Q37=4,Q36=4),D37-E36)+IF(AND(Q37=4,Q38=4),F37-E38)+IF(AND(Q37=4,Q39=4),G37-E39)</f>
        <v>0</v>
      </c>
      <c r="M37" s="308">
        <f>SUM(AND(R37=R35,C37&gt;E35),AND(R37=R36,D37&gt;E36),AND(R37=R38,F37&gt;E38),AND(R37=R39,G37&gt;E39))</f>
        <v>0</v>
      </c>
      <c r="N37" s="356" t="str">
        <f>SUM(C37:G37)&amp;"-"&amp;SUM(E35:E39)</f>
        <v>0-0</v>
      </c>
      <c r="O37" s="357">
        <f>C37+D37+F37+G37-E35-E36-E38-E39</f>
        <v>0</v>
      </c>
      <c r="P37" s="309" t="e">
        <f>SUM(C37:G37,E35:E39)/SUM(E35:E39)</f>
        <v>#DIV/0!</v>
      </c>
      <c r="Q37" s="315">
        <f>VALUE(LEFT(H37,1))</f>
        <v>0</v>
      </c>
      <c r="R37" s="206">
        <f>Q37*100000+J37*10000+K37*1000+100*L37</f>
        <v>0</v>
      </c>
      <c r="S37" s="310">
        <f>R37+M37*0.1+IF(ISNONTEXT(B37),0,0.01)+0.0001*O37</f>
        <v>0</v>
      </c>
      <c r="T37" s="311" t="str">
        <f>Q37&amp;J37</f>
        <v>00</v>
      </c>
      <c r="U37" s="302"/>
      <c r="V37" s="302"/>
      <c r="W37" s="302"/>
      <c r="X37" s="302"/>
      <c r="Y37" s="302"/>
      <c r="Z37" s="302"/>
      <c r="AA37" s="302"/>
      <c r="AD37" s="233">
        <f t="shared" si="0"/>
        <v>0</v>
      </c>
      <c r="AE37" s="234" t="str">
        <f>IFERROR(INDEX(V!$R:$R,MATCH(AF37,V!$L:$L,0)),"")</f>
        <v/>
      </c>
      <c r="AF37" s="235" t="str">
        <f t="shared" si="1"/>
        <v/>
      </c>
      <c r="AG37" s="234" t="str">
        <f>IFERROR(INDEX(V!$R:$R,MATCH(AH37,V!$L:$L,0)),"")</f>
        <v/>
      </c>
      <c r="AH37" s="235" t="str">
        <f t="shared" si="2"/>
        <v/>
      </c>
      <c r="AI37" s="234" t="str">
        <f>IFERROR(INDEX(V!$R:$R,MATCH(AJ37,V!$L:$L,0)),"")</f>
        <v/>
      </c>
      <c r="AJ37" s="235" t="str">
        <f t="shared" si="3"/>
        <v/>
      </c>
      <c r="AK37" s="234" t="str">
        <f>IFERROR(INDEX(V!$R:$R,MATCH(AL37,V!$L:$L,0)),"")</f>
        <v/>
      </c>
      <c r="AL37" s="235" t="str">
        <f t="shared" si="4"/>
        <v/>
      </c>
      <c r="AM37" s="234" t="str">
        <f>IFERROR(INDEX(V!$R:$R,MATCH(AN37,V!$L:$L,0)),"")</f>
        <v/>
      </c>
      <c r="AN37" s="235" t="str">
        <f t="shared" si="5"/>
        <v/>
      </c>
      <c r="AO37" s="234" t="str">
        <f>IFERROR(INDEX(V!$R:$R,MATCH(AP37,V!$L:$L,0)),"")</f>
        <v/>
      </c>
      <c r="AP37" s="235" t="str">
        <f t="shared" si="6"/>
        <v/>
      </c>
    </row>
    <row r="38" spans="1:42" hidden="1" x14ac:dyDescent="0.2">
      <c r="A38" s="201">
        <v>4</v>
      </c>
      <c r="B38" s="317"/>
      <c r="C38" s="203"/>
      <c r="D38" s="316"/>
      <c r="E38" s="203"/>
      <c r="F38" s="204"/>
      <c r="G38" s="335"/>
      <c r="H38" s="202" t="str">
        <f>(IF(C38-F35&gt;0,1)+IF(D38-F36&gt;0,1)+IF(E38-F37&gt;0,1)+IF(G38-F39&gt;0,1))&amp;"-"&amp;(IF(C38-F35&lt;0,1)+IF(D38-F36&lt;0,1)+IF(E38-F37&lt;0,1)+IF(G38-F39&lt;0,1))</f>
        <v>0-0</v>
      </c>
      <c r="I38" s="166" t="str">
        <f t="shared" si="9"/>
        <v xml:space="preserve"> </v>
      </c>
      <c r="J38" s="313">
        <f>IF(AND(Q38=1,Q35=1,C38&gt;F35),1)+IF(AND(Q38=1,Q36=1,D38&gt;F36),1)+IF(AND(Q38=1,Q37=1,E38&gt;F37),1)+IF(AND(Q38=1,Q39=1,G38&gt;F39),1)+IF(AND(Q38=2,Q35=2,C38&gt;F35),1)+IF(AND(Q38=2,Q36=2,D38&gt;F36),1)+IF(AND(Q38=2,Q37=2,E38&gt;F37),1)+IF(AND(Q38=2,Q39=2,G38&gt;F39),1)+IF(AND(Q38=3,Q35=3,C38&gt;F35),1)+IF(AND(Q38=3,Q36=3,D38&gt;F36),1)+IF(AND(Q38=3,Q37=3,E38&gt;F37),1)+IF(AND(Q38=3,Q39=3,G38&gt;F39),1)</f>
        <v>0</v>
      </c>
      <c r="K38" s="308">
        <f>SUM(AND(T38=T35,C38&gt;F35),AND(T38=T36,D38&gt;F36),AND(T38=T37,E38&gt;F37),AND(T38=T39,G38&gt;F39))</f>
        <v>0</v>
      </c>
      <c r="L38" s="314">
        <f>IF(AND(Q38=1,Q35=1),C38-F35)+IF(AND(Q38=1,Q36=1),D38-F36)+IF(AND(Q38=1,Q37=1),E38-F37)+IF(AND(Q38=1,Q39=1),G38-F39)+IF(AND(Q38=2,Q35=2),C38-F35)+IF(AND(Q38=2,Q36=2),D38-F36)+IF(AND(Q38=2,Q37=2),E38-F37)+IF(AND(Q38=2,Q39=2),G38-F39)+IF(AND(Q38=3,Q35=3),C38-F35)+IF(AND(Q38=3,Q36=3),D38-F36)+IF(AND(Q38=3,Q37=3),E38-F37)+IF(AND(Q38=3,Q39=3),G38-F39)+IF(AND(Q38=4,Q35=4),C38-F35)+IF(AND(Q38=4,Q36=4),D38-F36)+IF(AND(Q38=4,Q37=4),E38-F37)+IF(AND(Q38=4,Q39=4),G38-F39)</f>
        <v>0</v>
      </c>
      <c r="M38" s="308">
        <f>SUM(AND(R38=R35,C38&gt;F35),AND(R38=R36,D38&gt;F36),AND(R38=R37,E38&gt;F37),AND(R38=R39,G38&gt;F39))</f>
        <v>0</v>
      </c>
      <c r="N38" s="356" t="str">
        <f>SUM(C38:G38)&amp;"-"&amp;SUM(F35:F39)</f>
        <v>0-0</v>
      </c>
      <c r="O38" s="357">
        <f>C38+D38+E38+G38-F35-F36-F37-F39</f>
        <v>0</v>
      </c>
      <c r="P38" s="309" t="e">
        <f>SUM(C38:G38,F35:F39)/SUM(F35:F39)</f>
        <v>#DIV/0!</v>
      </c>
      <c r="Q38" s="315">
        <f>VALUE(LEFT(H38,1))</f>
        <v>0</v>
      </c>
      <c r="R38" s="206">
        <f>Q38*100000+J38*10000+K38*1000+100*L38</f>
        <v>0</v>
      </c>
      <c r="S38" s="310">
        <f>R38+M38*0.1+IF(ISNONTEXT(B38),0,0.01)+0.0001*O38</f>
        <v>0</v>
      </c>
      <c r="T38" s="311" t="str">
        <f>Q38&amp;J38</f>
        <v>00</v>
      </c>
      <c r="U38" s="302"/>
      <c r="V38" s="302"/>
      <c r="W38" s="302"/>
      <c r="X38" s="302"/>
      <c r="Y38" s="302"/>
      <c r="Z38" s="302"/>
      <c r="AA38" s="302"/>
      <c r="AD38" s="233">
        <f t="shared" si="0"/>
        <v>0</v>
      </c>
      <c r="AE38" s="234" t="str">
        <f>IFERROR(INDEX(V!$R:$R,MATCH(AF38,V!$L:$L,0)),"")</f>
        <v/>
      </c>
      <c r="AF38" s="235" t="str">
        <f t="shared" si="1"/>
        <v/>
      </c>
      <c r="AG38" s="234" t="str">
        <f>IFERROR(INDEX(V!$R:$R,MATCH(AH38,V!$L:$L,0)),"")</f>
        <v/>
      </c>
      <c r="AH38" s="235" t="str">
        <f t="shared" si="2"/>
        <v/>
      </c>
      <c r="AI38" s="234" t="str">
        <f>IFERROR(INDEX(V!$R:$R,MATCH(AJ38,V!$L:$L,0)),"")</f>
        <v/>
      </c>
      <c r="AJ38" s="235" t="str">
        <f t="shared" si="3"/>
        <v/>
      </c>
      <c r="AK38" s="234" t="str">
        <f>IFERROR(INDEX(V!$R:$R,MATCH(AL38,V!$L:$L,0)),"")</f>
        <v/>
      </c>
      <c r="AL38" s="235" t="str">
        <f t="shared" si="4"/>
        <v/>
      </c>
      <c r="AM38" s="234" t="str">
        <f>IFERROR(INDEX(V!$R:$R,MATCH(AN38,V!$L:$L,0)),"")</f>
        <v/>
      </c>
      <c r="AN38" s="235" t="str">
        <f t="shared" si="5"/>
        <v/>
      </c>
      <c r="AO38" s="234" t="str">
        <f>IFERROR(INDEX(V!$R:$R,MATCH(AP38,V!$L:$L,0)),"")</f>
        <v/>
      </c>
      <c r="AP38" s="235" t="str">
        <f t="shared" si="6"/>
        <v/>
      </c>
    </row>
    <row r="39" spans="1:42" hidden="1" x14ac:dyDescent="0.2">
      <c r="A39" s="201">
        <v>5</v>
      </c>
      <c r="B39" s="317"/>
      <c r="C39" s="203"/>
      <c r="D39" s="203"/>
      <c r="E39" s="203"/>
      <c r="F39" s="203"/>
      <c r="G39" s="204"/>
      <c r="H39" s="202" t="str">
        <f>(IF(C39-G35&gt;0,1)+IF(D39-G36&gt;0,1)+IF(E39-G37&gt;0,1)+IF(F39-G38&gt;0,1))&amp;"-"&amp;(IF(C39-G35&lt;0,1)+IF(D39-G36&lt;0,1)+IF(E39-G37&lt;0,1)+IF(F39-G38&lt;0,1))</f>
        <v>0-0</v>
      </c>
      <c r="I39" s="166" t="str">
        <f t="shared" si="9"/>
        <v xml:space="preserve"> </v>
      </c>
      <c r="J39" s="313">
        <f>IF(AND(Q39=1,Q35=1,C39&gt;G35),1)+IF(AND(Q39=1,Q36=1,D39&gt;G36),1)+IF(AND(Q39=1,Q37=1,E39&gt;G37),1)+IF(AND(Q39=1,Q38=1,F39&gt;G38),1)+IF(AND(Q39=2,Q35=2,C39&gt;G35),1)+IF(AND(Q39=2,Q36=2,D39&gt;G36),1)+IF(AND(Q39=2,Q37=2,E39&gt;G37),1)+IF(AND(Q39=2,Q38=2,F39&gt;G38),1)+IF(AND(Q39=3,Q35=3,C39&gt;G35),1)+IF(AND(Q39=3,Q36=3,D39&gt;G36),1)+IF(AND(Q39=3,Q37=3,E39&gt;G37),1)+IF(AND(Q39=3,Q38=3,F39&gt;G38),1)</f>
        <v>0</v>
      </c>
      <c r="K39" s="308">
        <f>SUM(AND(T39=T35,C39&gt;G35),AND(T39=T36,D39&gt;G36),AND(T39=T37,E39&gt;G37),AND(T39=T38,F39&gt;G38))</f>
        <v>0</v>
      </c>
      <c r="L39" s="314">
        <f>IF(AND(Q39=1,Q35=1),C39-G35)+IF(AND(Q39=1,Q36=1),D39-G36)+IF(AND(Q39=1,Q37=1),E39-G37)+IF(AND(Q39=1,Q38=1),F39-G38)+IF(AND(Q39=2,Q35=2),C39-G35)+IF(AND(Q39=2,Q36=2),D39-G36)+IF(AND(Q39=2,Q37=2),E39-G37)+IF(AND(Q39=2,Q38=2),F39-G38)+IF(AND(Q39=3,Q35=3),C39-G35)+IF(AND(Q39=3,Q36=3),D39-G36)+IF(AND(Q39=3,Q37=3),E39-G37)+IF(AND(Q39=3,Q38=3),F39-G38)+IF(AND(Q39=4,Q35=4),C39-G35)+IF(AND(Q39=4,Q36=4),D39-G36)+IF(AND(Q39=4,Q37=4),E39-G37)+IF(AND(Q39=4,Q38=4),F39-G38)</f>
        <v>0</v>
      </c>
      <c r="M39" s="308">
        <f>SUM(AND(R39=R35,C39&gt;G35),AND(R39=R36,D39&gt;G36),AND(R39=R37,E39&gt;G37),AND(R39=R38,F39&gt;G38))</f>
        <v>0</v>
      </c>
      <c r="N39" s="356" t="str">
        <f>SUM(C39:G39)&amp;"-"&amp;SUM(G35:G39)</f>
        <v>0-0</v>
      </c>
      <c r="O39" s="357">
        <f>C39+D39+E39+F39-G35-G36-G37-G38</f>
        <v>0</v>
      </c>
      <c r="P39" s="309" t="e">
        <f>SUM(C39:G39,G35:G39)/SUM(G35:G39)</f>
        <v>#DIV/0!</v>
      </c>
      <c r="Q39" s="315">
        <f>VALUE(LEFT(H39,1))</f>
        <v>0</v>
      </c>
      <c r="R39" s="206">
        <f>Q39*100000+J39*10000+K39*1000+100*L39</f>
        <v>0</v>
      </c>
      <c r="S39" s="310">
        <f>R39+M39*0.1+IF(ISNONTEXT(B39),0,0.01)+0.0001*O39</f>
        <v>0</v>
      </c>
      <c r="T39" s="311" t="str">
        <f>Q39&amp;J39</f>
        <v>00</v>
      </c>
      <c r="U39" s="302"/>
      <c r="V39" s="302"/>
      <c r="W39" s="302"/>
      <c r="X39" s="302"/>
      <c r="Y39" s="302"/>
      <c r="Z39" s="302"/>
      <c r="AA39" s="302"/>
      <c r="AD39" s="233">
        <f t="shared" si="0"/>
        <v>0</v>
      </c>
      <c r="AE39" s="234" t="str">
        <f>IFERROR(INDEX(V!$R:$R,MATCH(AF39,V!$L:$L,0)),"")</f>
        <v/>
      </c>
      <c r="AF39" s="235" t="str">
        <f t="shared" si="1"/>
        <v/>
      </c>
      <c r="AG39" s="234" t="str">
        <f>IFERROR(INDEX(V!$R:$R,MATCH(AH39,V!$L:$L,0)),"")</f>
        <v/>
      </c>
      <c r="AH39" s="235" t="str">
        <f t="shared" si="2"/>
        <v/>
      </c>
      <c r="AI39" s="234" t="str">
        <f>IFERROR(INDEX(V!$R:$R,MATCH(AJ39,V!$L:$L,0)),"")</f>
        <v/>
      </c>
      <c r="AJ39" s="235" t="str">
        <f t="shared" si="3"/>
        <v/>
      </c>
      <c r="AK39" s="234" t="str">
        <f>IFERROR(INDEX(V!$R:$R,MATCH(AL39,V!$L:$L,0)),"")</f>
        <v/>
      </c>
      <c r="AL39" s="235" t="str">
        <f t="shared" si="4"/>
        <v/>
      </c>
      <c r="AM39" s="234" t="str">
        <f>IFERROR(INDEX(V!$R:$R,MATCH(AN39,V!$L:$L,0)),"")</f>
        <v/>
      </c>
      <c r="AN39" s="235" t="str">
        <f t="shared" si="5"/>
        <v/>
      </c>
      <c r="AO39" s="234" t="str">
        <f>IFERROR(INDEX(V!$R:$R,MATCH(AP39,V!$L:$L,0)),"")</f>
        <v/>
      </c>
      <c r="AP39" s="235" t="str">
        <f t="shared" si="6"/>
        <v/>
      </c>
    </row>
    <row r="40" spans="1:42" x14ac:dyDescent="0.2">
      <c r="A40" s="318"/>
      <c r="B40" s="319"/>
      <c r="C40" s="320"/>
      <c r="D40" s="321"/>
      <c r="E40" s="320"/>
      <c r="F40" s="322"/>
      <c r="G40" s="323"/>
      <c r="H40" s="324"/>
      <c r="I40" s="184"/>
      <c r="J40" s="302"/>
      <c r="K40" s="302"/>
      <c r="L40" s="302"/>
      <c r="M40" s="302"/>
      <c r="N40" s="358"/>
      <c r="O40" s="358"/>
      <c r="P40" s="302"/>
      <c r="Q40" s="302"/>
      <c r="R40" s="326" t="s">
        <v>247</v>
      </c>
      <c r="S40" s="302"/>
      <c r="T40" s="302"/>
      <c r="U40" s="302"/>
      <c r="V40" s="302"/>
      <c r="W40" s="302"/>
      <c r="X40" s="302"/>
      <c r="Y40" s="302"/>
      <c r="Z40" s="302"/>
      <c r="AA40" s="302"/>
      <c r="AD40" s="233">
        <f t="shared" si="0"/>
        <v>0</v>
      </c>
      <c r="AE40" s="234" t="str">
        <f>IFERROR(INDEX(V!$R:$R,MATCH(AF40,V!$L:$L,0)),"")</f>
        <v/>
      </c>
      <c r="AF40" s="235" t="str">
        <f t="shared" si="1"/>
        <v/>
      </c>
      <c r="AG40" s="234" t="str">
        <f>IFERROR(INDEX(V!$R:$R,MATCH(AH40,V!$L:$L,0)),"")</f>
        <v/>
      </c>
      <c r="AH40" s="235" t="str">
        <f t="shared" si="2"/>
        <v/>
      </c>
      <c r="AI40" s="234" t="str">
        <f>IFERROR(INDEX(V!$R:$R,MATCH(AJ40,V!$L:$L,0)),"")</f>
        <v/>
      </c>
      <c r="AJ40" s="235" t="str">
        <f t="shared" si="3"/>
        <v/>
      </c>
      <c r="AK40" s="234" t="str">
        <f>IFERROR(INDEX(V!$R:$R,MATCH(AL40,V!$L:$L,0)),"")</f>
        <v/>
      </c>
      <c r="AL40" s="235" t="str">
        <f t="shared" si="4"/>
        <v/>
      </c>
      <c r="AM40" s="234" t="str">
        <f>IFERROR(INDEX(V!$R:$R,MATCH(AN40,V!$L:$L,0)),"")</f>
        <v/>
      </c>
      <c r="AN40" s="235" t="str">
        <f t="shared" si="5"/>
        <v/>
      </c>
      <c r="AO40" s="234" t="str">
        <f>IFERROR(INDEX(V!$R:$R,MATCH(AP40,V!$L:$L,0)),"")</f>
        <v/>
      </c>
      <c r="AP40" s="235" t="str">
        <f t="shared" si="6"/>
        <v/>
      </c>
    </row>
    <row r="41" spans="1:42" x14ac:dyDescent="0.2">
      <c r="A41" s="201" t="s">
        <v>5</v>
      </c>
      <c r="B41" s="327"/>
      <c r="C41" s="292">
        <v>1</v>
      </c>
      <c r="D41" s="292">
        <v>2</v>
      </c>
      <c r="E41" s="292">
        <v>3</v>
      </c>
      <c r="F41" s="292"/>
      <c r="G41" s="292"/>
      <c r="H41" s="293" t="s">
        <v>170</v>
      </c>
      <c r="I41" s="162" t="s">
        <v>171</v>
      </c>
      <c r="J41" s="328" t="s">
        <v>240</v>
      </c>
      <c r="K41" s="329" t="s">
        <v>241</v>
      </c>
      <c r="L41" s="330" t="s">
        <v>242</v>
      </c>
      <c r="M41" s="330" t="s">
        <v>243</v>
      </c>
      <c r="N41" s="297" t="s">
        <v>172</v>
      </c>
      <c r="O41" s="297" t="s">
        <v>172</v>
      </c>
      <c r="P41" s="298" t="s">
        <v>244</v>
      </c>
      <c r="Q41" s="331" t="s">
        <v>21</v>
      </c>
      <c r="R41" s="331" t="b">
        <f>OR(AND(COUNTA(B42:B46)=3,COUNTA(C42:G46)=6),AND(COUNTA(B42:B46)=4,COUNTA(C42:G46)=12),AND(COUNTA(B42:B46)=5,COUNTA(C42:G46)=20))</f>
        <v>0</v>
      </c>
      <c r="S41" s="332" t="s">
        <v>245</v>
      </c>
      <c r="T41" s="333" t="s">
        <v>246</v>
      </c>
      <c r="U41" s="302"/>
      <c r="V41" s="302"/>
      <c r="W41" s="302"/>
      <c r="X41" s="302"/>
      <c r="Y41" s="302"/>
      <c r="Z41" s="302"/>
      <c r="AA41" s="302"/>
      <c r="AD41" s="233">
        <f t="shared" si="0"/>
        <v>0</v>
      </c>
      <c r="AE41" s="234" t="str">
        <f>IFERROR(INDEX(V!$R:$R,MATCH(AF41,V!$L:$L,0)),"")</f>
        <v/>
      </c>
      <c r="AF41" s="235" t="str">
        <f t="shared" si="1"/>
        <v/>
      </c>
      <c r="AG41" s="234" t="str">
        <f>IFERROR(INDEX(V!$R:$R,MATCH(AH41,V!$L:$L,0)),"")</f>
        <v/>
      </c>
      <c r="AH41" s="235" t="str">
        <f t="shared" si="2"/>
        <v/>
      </c>
      <c r="AI41" s="234" t="str">
        <f>IFERROR(INDEX(V!$R:$R,MATCH(AJ41,V!$L:$L,0)),"")</f>
        <v/>
      </c>
      <c r="AJ41" s="235" t="str">
        <f t="shared" si="3"/>
        <v/>
      </c>
      <c r="AK41" s="234" t="str">
        <f>IFERROR(INDEX(V!$R:$R,MATCH(AL41,V!$L:$L,0)),"")</f>
        <v/>
      </c>
      <c r="AL41" s="235" t="str">
        <f t="shared" si="4"/>
        <v/>
      </c>
      <c r="AM41" s="234" t="str">
        <f>IFERROR(INDEX(V!$R:$R,MATCH(AN41,V!$L:$L,0)),"")</f>
        <v/>
      </c>
      <c r="AN41" s="235" t="str">
        <f t="shared" si="5"/>
        <v/>
      </c>
      <c r="AO41" s="234" t="str">
        <f>IFERROR(INDEX(V!$R:$R,MATCH(AP41,V!$L:$L,0)),"")</f>
        <v/>
      </c>
      <c r="AP41" s="235" t="str">
        <f t="shared" si="6"/>
        <v/>
      </c>
    </row>
    <row r="42" spans="1:42" x14ac:dyDescent="0.2">
      <c r="A42" s="201">
        <v>1</v>
      </c>
      <c r="B42" s="342"/>
      <c r="C42" s="204"/>
      <c r="D42" s="203"/>
      <c r="E42" s="203"/>
      <c r="F42" s="203"/>
      <c r="G42" s="203"/>
      <c r="H42" s="202" t="str">
        <f>(IF(D42-C43&gt;0,1)+IF(E42-C44&gt;0,1)+IF(F42-C45&gt;0,1)+IF(G42-C46&gt;0,1))&amp;"-"&amp;(IF(D42-C43&lt;0,1)+IF(E42-C44&lt;0,1)+IF(F42-C45&lt;0,1)+IF(G42-C46&lt;0,1))</f>
        <v>0-0</v>
      </c>
      <c r="I42" s="166" t="str">
        <f>IF(AND(B42&lt;&gt;"",R$41=TRUE),A$41&amp;RANK(S42,S$42:S$46,0)," ")</f>
        <v xml:space="preserve"> </v>
      </c>
      <c r="J42" s="305">
        <f>IF(AND(Q42=1,Q43=1,D42&gt;C43),1)+IF(AND(Q42=1,Q44=1,E42&gt;C44),1)+IF(AND(Q42=1,Q45=1,F42&gt;C45),1)+IF(AND(Q42=1,Q46=1,G42&gt;C46),1)+IF(AND(Q42=2,Q43=2,D42&gt;C43),1)+IF(AND(Q42=2,Q44=2,E42&gt;C44),1)+IF(AND(Q42=2,Q45=2,F42&gt;C45),1)+IF(AND(Q42=2,Q46=2,G42&gt;C46),1)+IF(AND(Q42=3,Q43=3,D42&gt;C43),1)+IF(AND(Q42=3,Q44=3,E42&gt;C44),1)+IF(AND(Q42=3,Q45=3,F42&gt;C45),1)+IF(AND(Q42=3,Q46=3,G42&gt;C46),1)</f>
        <v>0</v>
      </c>
      <c r="K42" s="306">
        <f>SUM(AND(T42=T43,D42&gt;C43),AND(T42=T44,E42&gt;C44),AND(T42=T45,F42&gt;C45),AND(T42=T46,G42&gt;C46))</f>
        <v>0</v>
      </c>
      <c r="L42" s="307">
        <f>IF(AND(Q42=1,Q43=1),D42-C43)+IF(AND(Q42=1,Q44=1),E42-C44)+IF(AND(Q42=1,Q45=1),F42-C45)+IF(AND(Q42=1,Q46=1),G42-C46)+IF(AND(Q42=2,Q43=2),D42-C43)+IF(AND(Q42=2,Q44=2),E42-C44)+IF(AND(Q42=2,Q45=2),F42-C45)+IF(AND(Q42=2,Q46=2),G42-C46)+IF(AND(Q42=3,Q43=3),D42-C43)+IF(AND(Q42=3,Q44=3),E42-C44)+IF(AND(Q42=3,Q45=3),F42-C45)+IF(AND(Q42=3,Q46=3),G42-C46)+IF(AND(Q42=4,Q43=4),D42-C43)+IF(AND(Q42=4,Q44=4),E42-C44)+IF(AND(Q42=4,Q45=4),F42-C45)+IF(AND(Q42=4,Q46=4),G42-C46)</f>
        <v>0</v>
      </c>
      <c r="M42" s="308">
        <f>SUM(AND(R42=R43,D42&gt;C43),AND(R42=R44,E42&gt;C44),AND(R42=R45,F42&gt;C45),AND(R42=R46,G42&gt;C46))</f>
        <v>0</v>
      </c>
      <c r="N42" s="356" t="str">
        <f>SUM(C42:G42)&amp;"-"&amp;SUM(C42:C46)</f>
        <v>0-0</v>
      </c>
      <c r="O42" s="357">
        <f>D42+E42+F42+G42-C43-C44-C45-C46</f>
        <v>0</v>
      </c>
      <c r="P42" s="309" t="e">
        <f>SUM(C42:G42,C42:C46)/SUM(C42:C46)</f>
        <v>#DIV/0!</v>
      </c>
      <c r="Q42" s="205">
        <f>VALUE(LEFT(H42,1))</f>
        <v>0</v>
      </c>
      <c r="R42" s="206">
        <f>Q42*100000+J42*10000+K42*1000+100*L42</f>
        <v>0</v>
      </c>
      <c r="S42" s="310">
        <f>R42+M42*0.1+IF(ISNONTEXT(B42),0,0.01)+0.0001*O42</f>
        <v>0</v>
      </c>
      <c r="T42" s="311" t="str">
        <f>Q42&amp;J42</f>
        <v>00</v>
      </c>
      <c r="U42" s="302"/>
      <c r="V42" s="302"/>
      <c r="W42" s="302"/>
      <c r="X42" s="302"/>
      <c r="Y42" s="302"/>
      <c r="Z42" s="302"/>
      <c r="AA42" s="302"/>
      <c r="AD42" s="233">
        <f t="shared" si="0"/>
        <v>0</v>
      </c>
      <c r="AE42" s="234" t="str">
        <f>IFERROR(INDEX(V!$R:$R,MATCH(AF42,V!$L:$L,0)),"")</f>
        <v/>
      </c>
      <c r="AF42" s="235" t="str">
        <f t="shared" si="1"/>
        <v/>
      </c>
      <c r="AG42" s="234" t="str">
        <f>IFERROR(INDEX(V!$R:$R,MATCH(AH42,V!$L:$L,0)),"")</f>
        <v/>
      </c>
      <c r="AH42" s="235" t="str">
        <f t="shared" si="2"/>
        <v/>
      </c>
      <c r="AI42" s="234" t="str">
        <f>IFERROR(INDEX(V!$R:$R,MATCH(AJ42,V!$L:$L,0)),"")</f>
        <v/>
      </c>
      <c r="AJ42" s="235" t="str">
        <f t="shared" si="3"/>
        <v/>
      </c>
      <c r="AK42" s="234" t="str">
        <f>IFERROR(INDEX(V!$R:$R,MATCH(AL42,V!$L:$L,0)),"")</f>
        <v/>
      </c>
      <c r="AL42" s="235" t="str">
        <f t="shared" si="4"/>
        <v/>
      </c>
      <c r="AM42" s="234" t="str">
        <f>IFERROR(INDEX(V!$R:$R,MATCH(AN42,V!$L:$L,0)),"")</f>
        <v/>
      </c>
      <c r="AN42" s="235" t="str">
        <f t="shared" si="5"/>
        <v/>
      </c>
      <c r="AO42" s="234" t="str">
        <f>IFERROR(INDEX(V!$R:$R,MATCH(AP42,V!$L:$L,0)),"")</f>
        <v/>
      </c>
      <c r="AP42" s="235" t="str">
        <f t="shared" si="6"/>
        <v/>
      </c>
    </row>
    <row r="43" spans="1:42" x14ac:dyDescent="0.2">
      <c r="A43" s="201">
        <v>2</v>
      </c>
      <c r="B43" s="312"/>
      <c r="C43" s="203"/>
      <c r="D43" s="204"/>
      <c r="E43" s="203"/>
      <c r="F43" s="203"/>
      <c r="G43" s="203"/>
      <c r="H43" s="202" t="str">
        <f>(IF(C43-D42&gt;0,1)+IF(E43-D44&gt;0,1)+IF(F43-D45&gt;0,1)+IF(G43-D46&gt;0,1))&amp;"-"&amp;(IF(C43-D42&lt;0,1)+IF(E43-D44&lt;0,1)+IF(F43-D45&lt;0,1)+IF(G43-D46&lt;0,1))</f>
        <v>0-0</v>
      </c>
      <c r="I43" s="166" t="str">
        <f t="shared" ref="I43:I46" si="10">IF(AND(B43&lt;&gt;"",R$41=TRUE),A$41&amp;RANK(S43,S$42:S$46,0)," ")</f>
        <v xml:space="preserve"> </v>
      </c>
      <c r="J43" s="313">
        <f>IF(AND(Q43=1,Q42=1,C43&gt;D42),1)+IF(AND(Q43=1,Q44=1,E43&gt;D44),1)+IF(AND(Q43=1,Q45=1,F43&gt;D45),1)+IF(AND(Q43=1,Q46=1,G43&gt;D46),1)+IF(AND(Q43=2,Q42=2,C43&gt;D42),1)+IF(AND(Q43=2,Q44=2,E43&gt;D44),1)+IF(AND(Q43=2,Q45=2,F43&gt;D45),1)+IF(AND(Q43=2,Q46=2,G43&gt;D46),1)+IF(AND(Q43=3,Q42=3,C43&gt;D42),1)+IF(AND(Q43=3,Q44=3,E43&gt;D44),1)+IF(AND(Q43=3,Q45=3,F43&gt;D45),1)+IF(AND(Q43=3,Q46=3,G43&gt;D46),1)</f>
        <v>0</v>
      </c>
      <c r="K43" s="308">
        <f>SUM(AND(T43=T42,C43&gt;D42),AND(T43=T44,E43&gt;D44),AND(T43=T45,F43&gt;D45),AND(T43=T46,G43&gt;D46))</f>
        <v>0</v>
      </c>
      <c r="L43" s="314">
        <f>IF(AND(Q43=1,Q42=1),C43-D42)+IF(AND(Q43=1,Q44=1),E43-D44)+IF(AND(Q43=1,Q45=1),F43-D45)+IF(AND(Q43=1,Q46=1),G43-D46)+IF(AND(Q43=2,Q42=2),C43-D42)+IF(AND(Q43=2,Q44=2),E43-D44)+IF(AND(Q43=2,Q45=2),F43-D45)+IF(AND(Q43=2,Q46=2),G43-D46)+IF(AND(Q43=3,Q42=3),C43-D42)+IF(AND(Q43=3,Q44=3),E43-D44)+IF(AND(Q43=3,Q45=3),F43-D45)+IF(AND(Q43=3,Q46=3),G43-D46)+IF(AND(Q43=4,Q42=4),C43-D42)+IF(AND(Q43=4,Q44=4),E43-D44)+IF(AND(Q43=4,Q45=4),F43-D45)+IF(AND(Q43=4,Q46=4),G43-D46)</f>
        <v>0</v>
      </c>
      <c r="M43" s="308">
        <f>SUM(AND(R43=R42,C43&gt;D42),AND(R43=R44,E43&gt;D44),AND(R43=R45,F43&gt;D45),AND(R43=R46,G43&gt;D46))</f>
        <v>0</v>
      </c>
      <c r="N43" s="356" t="str">
        <f>SUM(C43:G43)&amp;"-"&amp;SUM(D42:D46)</f>
        <v>0-0</v>
      </c>
      <c r="O43" s="357">
        <f>C43+E43+F43+G43-D42-D44-D45-D46</f>
        <v>0</v>
      </c>
      <c r="P43" s="309" t="e">
        <f>SUM(C43:G43,D42:D46)/SUM(D42:D46)</f>
        <v>#DIV/0!</v>
      </c>
      <c r="Q43" s="315">
        <f>VALUE(LEFT(H43,1))</f>
        <v>0</v>
      </c>
      <c r="R43" s="206">
        <f>Q43*100000+J43*10000+K43*1000+100*L43</f>
        <v>0</v>
      </c>
      <c r="S43" s="310">
        <f>R43+M43*0.1+IF(ISNONTEXT(B43),0,0.01)+0.0001*O43</f>
        <v>0</v>
      </c>
      <c r="T43" s="311" t="str">
        <f>Q43&amp;J43</f>
        <v>00</v>
      </c>
      <c r="U43" s="302"/>
      <c r="V43" s="302"/>
      <c r="W43" s="302"/>
      <c r="X43" s="302"/>
      <c r="Y43" s="302"/>
      <c r="Z43" s="302"/>
      <c r="AA43" s="302"/>
      <c r="AD43" s="233">
        <f t="shared" si="0"/>
        <v>0</v>
      </c>
      <c r="AE43" s="234" t="str">
        <f>IFERROR(INDEX(V!$R:$R,MATCH(AF43,V!$L:$L,0)),"")</f>
        <v/>
      </c>
      <c r="AF43" s="235" t="str">
        <f t="shared" si="1"/>
        <v/>
      </c>
      <c r="AG43" s="234" t="str">
        <f>IFERROR(INDEX(V!$R:$R,MATCH(AH43,V!$L:$L,0)),"")</f>
        <v/>
      </c>
      <c r="AH43" s="235" t="str">
        <f t="shared" si="2"/>
        <v/>
      </c>
      <c r="AI43" s="234" t="str">
        <f>IFERROR(INDEX(V!$R:$R,MATCH(AJ43,V!$L:$L,0)),"")</f>
        <v/>
      </c>
      <c r="AJ43" s="235" t="str">
        <f t="shared" si="3"/>
        <v/>
      </c>
      <c r="AK43" s="234" t="str">
        <f>IFERROR(INDEX(V!$R:$R,MATCH(AL43,V!$L:$L,0)),"")</f>
        <v/>
      </c>
      <c r="AL43" s="235" t="str">
        <f t="shared" si="4"/>
        <v/>
      </c>
      <c r="AM43" s="234" t="str">
        <f>IFERROR(INDEX(V!$R:$R,MATCH(AN43,V!$L:$L,0)),"")</f>
        <v/>
      </c>
      <c r="AN43" s="235" t="str">
        <f t="shared" si="5"/>
        <v/>
      </c>
      <c r="AO43" s="234" t="str">
        <f>IFERROR(INDEX(V!$R:$R,MATCH(AP43,V!$L:$L,0)),"")</f>
        <v/>
      </c>
      <c r="AP43" s="235" t="str">
        <f t="shared" si="6"/>
        <v/>
      </c>
    </row>
    <row r="44" spans="1:42" x14ac:dyDescent="0.2">
      <c r="A44" s="201">
        <v>3</v>
      </c>
      <c r="B44" s="312"/>
      <c r="C44" s="203"/>
      <c r="D44" s="316"/>
      <c r="E44" s="204"/>
      <c r="F44" s="203"/>
      <c r="G44" s="203"/>
      <c r="H44" s="202" t="str">
        <f>(IF(C44-E42&gt;0,1)+IF(D44-E43&gt;0,1)+IF(F44-E45&gt;0,1)+IF(G44-E46&gt;0,1))&amp;"-"&amp;(IF(C44-E42&lt;0,1)+IF(D44-E43&lt;0,1)+IF(F44-E45&lt;0,1)+IF(G44-E46&lt;0,1))</f>
        <v>0-0</v>
      </c>
      <c r="I44" s="166" t="str">
        <f t="shared" si="10"/>
        <v xml:space="preserve"> </v>
      </c>
      <c r="J44" s="313">
        <f>IF(AND(Q44=1,Q42=1,C44&gt;E42),1)+IF(AND(Q44=1,Q43=1,D44&gt;E43),1)+IF(AND(Q44=1,Q45=1,F44&gt;E45),1)+IF(AND(Q44=1,Q46=1,G44&gt;E46),1)+IF(AND(Q44=2,Q42=2,C44&gt;E42),1)+IF(AND(Q44=2,Q43=2,D44&gt;E43),1)+IF(AND(Q44=2,Q45=2,F44&gt;E45),1)+IF(AND(Q44=2,Q46=2,G44&gt;E46),1)+IF(AND(Q44=3,Q42=3,C44&gt;E42),1)+IF(AND(Q44=3,Q43=3,D44&gt;E43),1)+IF(AND(Q44=3,Q45=3,F44&gt;E45),1)+IF(AND(Q44=3,Q46=3,G44&gt;E46),1)</f>
        <v>0</v>
      </c>
      <c r="K44" s="308">
        <f>SUM(AND(T44=T42,C44&gt;E42),AND(T44=T43,D44&gt;E43),AND(T44=T45,F44&gt;E45),AND(T44=T46,G44&gt;E46))</f>
        <v>0</v>
      </c>
      <c r="L44" s="314">
        <f>IF(AND(Q44=1,Q42=1),C44-E42)+IF(AND(Q44=1,Q43=1),D44-E43)+IF(AND(Q44=1,Q45=1),F44-E45)+IF(AND(Q44=1,Q46=1),G44-E46)+IF(AND(Q44=2,Q42=2),C44-E42)+IF(AND(Q44=2,Q43=2),D44-E43)+IF(AND(Q44=2,Q45=2),F44-E45)+IF(AND(Q44=2,Q46=2),G44-E46)+IF(AND(Q44=3,Q42=3),C44-E42)+IF(AND(Q44=3,Q43=3),D44-E43)+IF(AND(Q44=3,Q45=3),F44-E45)+IF(AND(Q44=3,Q46=3),G44-E46)+IF(AND(Q44=4,Q42=4),C44-E42)+IF(AND(Q44=4,Q43=4),D44-E43)+IF(AND(Q44=4,Q45=4),F44-E45)+IF(AND(Q44=4,Q46=4),G44-E46)</f>
        <v>0</v>
      </c>
      <c r="M44" s="308">
        <f>SUM(AND(R44=R42,C44&gt;E42),AND(R44=R43,D44&gt;E43),AND(R44=R45,F44&gt;E45),AND(R44=R46,G44&gt;E46))</f>
        <v>0</v>
      </c>
      <c r="N44" s="356" t="str">
        <f>SUM(C44:G44)&amp;"-"&amp;SUM(E42:E46)</f>
        <v>0-0</v>
      </c>
      <c r="O44" s="357">
        <f>C44+D44+F44+G44-E42-E43-E45-E46</f>
        <v>0</v>
      </c>
      <c r="P44" s="309" t="e">
        <f>SUM(C44:G44,E42:E46)/SUM(E42:E46)</f>
        <v>#DIV/0!</v>
      </c>
      <c r="Q44" s="315">
        <f>VALUE(LEFT(H44,1))</f>
        <v>0</v>
      </c>
      <c r="R44" s="206">
        <f>Q44*100000+J44*10000+K44*1000+100*L44</f>
        <v>0</v>
      </c>
      <c r="S44" s="310">
        <f>R44+M44*0.1+IF(ISNONTEXT(B44),0,0.01)+0.0001*O44</f>
        <v>0</v>
      </c>
      <c r="T44" s="311" t="str">
        <f>Q44&amp;J44</f>
        <v>00</v>
      </c>
      <c r="U44" s="302"/>
      <c r="V44" s="302"/>
      <c r="W44" s="302"/>
      <c r="X44" s="302"/>
      <c r="Y44" s="302"/>
      <c r="Z44" s="302"/>
      <c r="AA44" s="302"/>
      <c r="AD44" s="233">
        <f t="shared" si="0"/>
        <v>0</v>
      </c>
      <c r="AE44" s="234" t="str">
        <f>IFERROR(INDEX(V!$R:$R,MATCH(AF44,V!$L:$L,0)),"")</f>
        <v/>
      </c>
      <c r="AF44" s="235" t="str">
        <f t="shared" si="1"/>
        <v/>
      </c>
      <c r="AG44" s="234" t="str">
        <f>IFERROR(INDEX(V!$R:$R,MATCH(AH44,V!$L:$L,0)),"")</f>
        <v/>
      </c>
      <c r="AH44" s="235" t="str">
        <f t="shared" si="2"/>
        <v/>
      </c>
      <c r="AI44" s="234" t="str">
        <f>IFERROR(INDEX(V!$R:$R,MATCH(AJ44,V!$L:$L,0)),"")</f>
        <v/>
      </c>
      <c r="AJ44" s="235" t="str">
        <f t="shared" si="3"/>
        <v/>
      </c>
      <c r="AK44" s="234" t="str">
        <f>IFERROR(INDEX(V!$R:$R,MATCH(AL44,V!$L:$L,0)),"")</f>
        <v/>
      </c>
      <c r="AL44" s="235" t="str">
        <f t="shared" si="4"/>
        <v/>
      </c>
      <c r="AM44" s="234" t="str">
        <f>IFERROR(INDEX(V!$R:$R,MATCH(AN44,V!$L:$L,0)),"")</f>
        <v/>
      </c>
      <c r="AN44" s="235" t="str">
        <f t="shared" si="5"/>
        <v/>
      </c>
      <c r="AO44" s="234" t="str">
        <f>IFERROR(INDEX(V!$R:$R,MATCH(AP44,V!$L:$L,0)),"")</f>
        <v/>
      </c>
      <c r="AP44" s="235" t="str">
        <f t="shared" si="6"/>
        <v/>
      </c>
    </row>
    <row r="45" spans="1:42" hidden="1" x14ac:dyDescent="0.2">
      <c r="A45" s="201">
        <v>4</v>
      </c>
      <c r="B45" s="317"/>
      <c r="C45" s="203"/>
      <c r="D45" s="316"/>
      <c r="E45" s="203"/>
      <c r="F45" s="204"/>
      <c r="G45" s="335"/>
      <c r="H45" s="202" t="str">
        <f>(IF(C45-F42&gt;0,1)+IF(D45-F43&gt;0,1)+IF(E45-F44&gt;0,1)+IF(G45-F46&gt;0,1))&amp;"-"&amp;(IF(C45-F42&lt;0,1)+IF(D45-F43&lt;0,1)+IF(E45-F44&lt;0,1)+IF(G45-F46&lt;0,1))</f>
        <v>0-0</v>
      </c>
      <c r="I45" s="166" t="str">
        <f t="shared" si="10"/>
        <v xml:space="preserve"> </v>
      </c>
      <c r="J45" s="313">
        <f>IF(AND(Q45=1,Q42=1,C45&gt;F42),1)+IF(AND(Q45=1,Q43=1,D45&gt;F43),1)+IF(AND(Q45=1,Q44=1,E45&gt;F44),1)+IF(AND(Q45=1,Q46=1,G45&gt;F46),1)+IF(AND(Q45=2,Q42=2,C45&gt;F42),1)+IF(AND(Q45=2,Q43=2,D45&gt;F43),1)+IF(AND(Q45=2,Q44=2,E45&gt;F44),1)+IF(AND(Q45=2,Q46=2,G45&gt;F46),1)+IF(AND(Q45=3,Q42=3,C45&gt;F42),1)+IF(AND(Q45=3,Q43=3,D45&gt;F43),1)+IF(AND(Q45=3,Q44=3,E45&gt;F44),1)+IF(AND(Q45=3,Q46=3,G45&gt;F46),1)</f>
        <v>0</v>
      </c>
      <c r="K45" s="308">
        <f>SUM(AND(T45=T42,C45&gt;F42),AND(T45=T43,D45&gt;F43),AND(T45=T44,E45&gt;F44),AND(T45=T46,G45&gt;F46))</f>
        <v>0</v>
      </c>
      <c r="L45" s="314">
        <f>IF(AND(Q45=1,Q42=1),C45-F42)+IF(AND(Q45=1,Q43=1),D45-F43)+IF(AND(Q45=1,Q44=1),E45-F44)+IF(AND(Q45=1,Q46=1),G45-F46)+IF(AND(Q45=2,Q42=2),C45-F42)+IF(AND(Q45=2,Q43=2),D45-F43)+IF(AND(Q45=2,Q44=2),E45-F44)+IF(AND(Q45=2,Q46=2),G45-F46)+IF(AND(Q45=3,Q42=3),C45-F42)+IF(AND(Q45=3,Q43=3),D45-F43)+IF(AND(Q45=3,Q44=3),E45-F44)+IF(AND(Q45=3,Q46=3),G45-F46)+IF(AND(Q45=4,Q42=4),C45-F42)+IF(AND(Q45=4,Q43=4),D45-F43)+IF(AND(Q45=4,Q44=4),E45-F44)+IF(AND(Q45=4,Q46=4),G45-F46)</f>
        <v>0</v>
      </c>
      <c r="M45" s="308">
        <f>SUM(AND(R45=R42,C45&gt;F42),AND(R45=R43,D45&gt;F43),AND(R45=R44,E45&gt;F44),AND(R45=R46,G45&gt;F46))</f>
        <v>0</v>
      </c>
      <c r="N45" s="356" t="str">
        <f>SUM(C45:G45)&amp;"-"&amp;SUM(F42:F46)</f>
        <v>0-0</v>
      </c>
      <c r="O45" s="357">
        <f>C45+D45+E45+G45-F42-F43-F44-F46</f>
        <v>0</v>
      </c>
      <c r="P45" s="309" t="e">
        <f>SUM(C45:G45,F42:F46)/SUM(F42:F46)</f>
        <v>#DIV/0!</v>
      </c>
      <c r="Q45" s="315">
        <f>VALUE(LEFT(H45,1))</f>
        <v>0</v>
      </c>
      <c r="R45" s="206">
        <f>Q45*100000+J45*10000+K45*1000+100*L45</f>
        <v>0</v>
      </c>
      <c r="S45" s="310">
        <f>R45+M45*0.1+IF(ISNONTEXT(B45),0,0.01)+0.0001*O45</f>
        <v>0</v>
      </c>
      <c r="T45" s="311" t="str">
        <f>Q45&amp;J45</f>
        <v>00</v>
      </c>
      <c r="U45" s="302"/>
      <c r="V45" s="302"/>
      <c r="W45" s="302"/>
      <c r="X45" s="302"/>
      <c r="Y45" s="302"/>
      <c r="Z45" s="302"/>
      <c r="AA45" s="302"/>
      <c r="AB45" s="302"/>
      <c r="AC45" s="302"/>
      <c r="AD45" s="302"/>
      <c r="AE45" s="302"/>
      <c r="AF45" s="302"/>
      <c r="AG45" s="302"/>
      <c r="AH45" s="302"/>
      <c r="AI45" s="302"/>
      <c r="AJ45" s="302"/>
    </row>
    <row r="46" spans="1:42" hidden="1" x14ac:dyDescent="0.2">
      <c r="A46" s="201">
        <v>5</v>
      </c>
      <c r="B46" s="317"/>
      <c r="C46" s="203"/>
      <c r="D46" s="203"/>
      <c r="E46" s="203"/>
      <c r="F46" s="203"/>
      <c r="G46" s="204"/>
      <c r="H46" s="202" t="str">
        <f>(IF(C46-G42&gt;0,1)+IF(D46-G43&gt;0,1)+IF(E46-G44&gt;0,1)+IF(F46-G45&gt;0,1))&amp;"-"&amp;(IF(C46-G42&lt;0,1)+IF(D46-G43&lt;0,1)+IF(E46-G44&lt;0,1)+IF(F46-G45&lt;0,1))</f>
        <v>0-0</v>
      </c>
      <c r="I46" s="166" t="str">
        <f t="shared" si="10"/>
        <v xml:space="preserve"> </v>
      </c>
      <c r="J46" s="313">
        <f>IF(AND(Q46=1,Q42=1,C46&gt;G42),1)+IF(AND(Q46=1,Q43=1,D46&gt;G43),1)+IF(AND(Q46=1,Q44=1,E46&gt;G44),1)+IF(AND(Q46=1,Q45=1,F46&gt;G45),1)+IF(AND(Q46=2,Q42=2,C46&gt;G42),1)+IF(AND(Q46=2,Q43=2,D46&gt;G43),1)+IF(AND(Q46=2,Q44=2,E46&gt;G44),1)+IF(AND(Q46=2,Q45=2,F46&gt;G45),1)+IF(AND(Q46=3,Q42=3,C46&gt;G42),1)+IF(AND(Q46=3,Q43=3,D46&gt;G43),1)+IF(AND(Q46=3,Q44=3,E46&gt;G44),1)+IF(AND(Q46=3,Q45=3,F46&gt;G45),1)</f>
        <v>0</v>
      </c>
      <c r="K46" s="308">
        <f>SUM(AND(T46=T42,C46&gt;G42),AND(T46=T43,D46&gt;G43),AND(T46=T44,E46&gt;G44),AND(T46=T45,F46&gt;G45))</f>
        <v>0</v>
      </c>
      <c r="L46" s="314">
        <f>IF(AND(Q46=1,Q42=1),C46-G42)+IF(AND(Q46=1,Q43=1),D46-G43)+IF(AND(Q46=1,Q44=1),E46-G44)+IF(AND(Q46=1,Q45=1),F46-G45)+IF(AND(Q46=2,Q42=2),C46-G42)+IF(AND(Q46=2,Q43=2),D46-G43)+IF(AND(Q46=2,Q44=2),E46-G44)+IF(AND(Q46=2,Q45=2),F46-G45)+IF(AND(Q46=3,Q42=3),C46-G42)+IF(AND(Q46=3,Q43=3),D46-G43)+IF(AND(Q46=3,Q44=3),E46-G44)+IF(AND(Q46=3,Q45=3),F46-G45)+IF(AND(Q46=4,Q42=4),C46-G42)+IF(AND(Q46=4,Q43=4),D46-G43)+IF(AND(Q46=4,Q44=4),E46-G44)+IF(AND(Q46=4,Q45=4),F46-G45)</f>
        <v>0</v>
      </c>
      <c r="M46" s="308">
        <f>SUM(AND(R46=R42,C46&gt;G42),AND(R46=R43,D46&gt;G43),AND(R46=R44,E46&gt;G44),AND(R46=R45,F46&gt;G45))</f>
        <v>0</v>
      </c>
      <c r="N46" s="356" t="str">
        <f>SUM(C46:G46)&amp;"-"&amp;SUM(G42:G46)</f>
        <v>0-0</v>
      </c>
      <c r="O46" s="357">
        <f>C46+D46+E46+F46-G42-G43-G44-G45</f>
        <v>0</v>
      </c>
      <c r="P46" s="309" t="e">
        <f>SUM(C46:G46,G42:G46)/SUM(G42:G46)</f>
        <v>#DIV/0!</v>
      </c>
      <c r="Q46" s="315">
        <f>VALUE(LEFT(H46,1))</f>
        <v>0</v>
      </c>
      <c r="R46" s="206">
        <f>Q46*100000+J46*10000+K46*1000+100*L46</f>
        <v>0</v>
      </c>
      <c r="S46" s="310">
        <f>R46+M46*0.1+IF(ISNONTEXT(B46),0,0.01)+0.0001*O46</f>
        <v>0</v>
      </c>
      <c r="T46" s="311" t="str">
        <f>Q46&amp;J46</f>
        <v>00</v>
      </c>
      <c r="U46" s="302"/>
      <c r="V46" s="302"/>
      <c r="W46" s="302"/>
      <c r="X46" s="302"/>
      <c r="Y46" s="302"/>
      <c r="Z46" s="302"/>
      <c r="AA46" s="302"/>
      <c r="AB46" s="302"/>
      <c r="AC46" s="302"/>
      <c r="AD46" s="302"/>
      <c r="AE46" s="302"/>
      <c r="AF46" s="302"/>
      <c r="AG46" s="302"/>
      <c r="AH46" s="302"/>
      <c r="AI46" s="302"/>
      <c r="AJ46" s="302"/>
    </row>
    <row r="47" spans="1:42" hidden="1" x14ac:dyDescent="0.2">
      <c r="A47" s="318"/>
      <c r="B47" s="319"/>
      <c r="C47" s="320"/>
      <c r="D47" s="321"/>
      <c r="E47" s="320"/>
      <c r="F47" s="322"/>
      <c r="G47" s="323"/>
      <c r="H47" s="324"/>
      <c r="I47" s="336"/>
      <c r="J47" s="302"/>
      <c r="K47" s="302"/>
      <c r="L47" s="302"/>
      <c r="M47" s="302"/>
      <c r="N47" s="358"/>
      <c r="O47" s="358"/>
      <c r="P47" s="302"/>
      <c r="Q47" s="302"/>
      <c r="R47" s="326" t="s">
        <v>247</v>
      </c>
      <c r="S47" s="302"/>
      <c r="T47" s="302"/>
      <c r="U47" s="302"/>
      <c r="V47" s="302"/>
      <c r="W47" s="302"/>
      <c r="X47" s="302"/>
      <c r="Y47" s="302"/>
      <c r="Z47" s="302"/>
      <c r="AA47" s="302"/>
      <c r="AB47" s="302"/>
      <c r="AC47" s="302"/>
      <c r="AD47" s="302"/>
      <c r="AE47" s="302"/>
      <c r="AF47" s="302"/>
      <c r="AG47" s="302"/>
      <c r="AH47" s="302"/>
      <c r="AI47" s="302"/>
      <c r="AJ47" s="302"/>
    </row>
    <row r="48" spans="1:42" hidden="1" x14ac:dyDescent="0.2">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row>
    <row r="49" spans="1:36" hidden="1" x14ac:dyDescent="0.2">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row>
    <row r="50" spans="1:36" hidden="1" x14ac:dyDescent="0.2">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row>
    <row r="51" spans="1:36" hidden="1" x14ac:dyDescent="0.2">
      <c r="A51" s="302"/>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row>
    <row r="52" spans="1:36" hidden="1" x14ac:dyDescent="0.2">
      <c r="A52" s="302"/>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row>
    <row r="53" spans="1:36" hidden="1" x14ac:dyDescent="0.2">
      <c r="A53" s="302"/>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hidden="1" x14ac:dyDescent="0.2">
      <c r="A54" s="302"/>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2"/>
    </row>
    <row r="55" spans="1:36" hidden="1" x14ac:dyDescent="0.2">
      <c r="A55" s="302"/>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row>
    <row r="56" spans="1:36" hidden="1" x14ac:dyDescent="0.2">
      <c r="A56" s="302"/>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hidden="1" x14ac:dyDescent="0.2">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row>
    <row r="58" spans="1:36" hidden="1" x14ac:dyDescent="0.2">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row>
    <row r="59" spans="1:36" hidden="1" x14ac:dyDescent="0.2">
      <c r="A59" s="302"/>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row>
    <row r="60" spans="1:36" hidden="1" x14ac:dyDescent="0.2">
      <c r="A60" s="302"/>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x14ac:dyDescent="0.2">
      <c r="A61" s="302"/>
      <c r="B61" s="302"/>
      <c r="C61" s="302"/>
      <c r="D61" s="302"/>
      <c r="E61" s="302"/>
      <c r="F61" s="302"/>
      <c r="G61" s="302"/>
      <c r="H61" s="302"/>
      <c r="I61" s="302"/>
      <c r="J61" s="302"/>
      <c r="K61" s="302"/>
      <c r="L61" s="302"/>
      <c r="M61" s="302"/>
      <c r="N61" s="302"/>
      <c r="O61" s="302"/>
      <c r="P61" s="302"/>
      <c r="Q61" s="302"/>
      <c r="R61" s="302"/>
      <c r="S61" s="302"/>
      <c r="T61" s="302"/>
    </row>
    <row r="62" spans="1:36" x14ac:dyDescent="0.2">
      <c r="A62" s="41"/>
      <c r="B62" s="207" t="s">
        <v>173</v>
      </c>
      <c r="C62" s="170" t="s">
        <v>177</v>
      </c>
      <c r="D62" s="270"/>
      <c r="E62" s="41"/>
      <c r="F62" s="35"/>
      <c r="G62" s="41"/>
      <c r="H62" s="41"/>
      <c r="I62" s="41"/>
      <c r="J62" s="41"/>
      <c r="K62" s="35"/>
      <c r="L62" s="41"/>
      <c r="M62" s="35"/>
      <c r="N62" s="41"/>
      <c r="O62" s="186"/>
      <c r="P62" s="35"/>
      <c r="Q62" s="35"/>
      <c r="R62" s="35"/>
      <c r="S62" s="35"/>
      <c r="T62" s="35"/>
    </row>
    <row r="63" spans="1:36" x14ac:dyDescent="0.2">
      <c r="A63" s="41"/>
      <c r="B63" s="207" t="s">
        <v>176</v>
      </c>
      <c r="C63" s="170" t="s">
        <v>193</v>
      </c>
      <c r="D63" s="41"/>
      <c r="E63" s="41"/>
      <c r="F63" s="35"/>
      <c r="G63" s="41"/>
      <c r="H63" s="41"/>
      <c r="I63" s="41"/>
      <c r="J63" s="41"/>
      <c r="K63" s="35"/>
      <c r="L63" s="41"/>
      <c r="M63" s="35"/>
      <c r="N63" s="41"/>
      <c r="O63" s="186"/>
      <c r="P63" s="35"/>
      <c r="Q63" s="35"/>
      <c r="R63" s="35"/>
      <c r="S63" s="35"/>
      <c r="T63" s="35"/>
    </row>
    <row r="64" spans="1:36" x14ac:dyDescent="0.2">
      <c r="A64" s="41"/>
      <c r="B64" s="207" t="s">
        <v>179</v>
      </c>
      <c r="C64" s="170" t="s">
        <v>185</v>
      </c>
      <c r="D64" s="41"/>
      <c r="E64" s="41"/>
      <c r="F64" s="35"/>
      <c r="G64" s="41"/>
      <c r="H64" s="41"/>
      <c r="I64" s="41"/>
      <c r="J64" s="41"/>
      <c r="K64" s="35"/>
      <c r="L64" s="41"/>
      <c r="M64" s="35"/>
      <c r="N64" s="41"/>
      <c r="O64" s="186"/>
      <c r="P64" s="35"/>
      <c r="Q64" s="35"/>
      <c r="R64" s="35"/>
      <c r="S64" s="35"/>
      <c r="T64" s="35"/>
    </row>
    <row r="65" spans="1:20" ht="12.75" hidden="1" customHeight="1" x14ac:dyDescent="0.2">
      <c r="A65" s="41"/>
      <c r="B65" s="41"/>
      <c r="C65" s="41"/>
      <c r="D65" s="41"/>
      <c r="E65" s="41"/>
      <c r="F65" s="41"/>
      <c r="G65" s="41"/>
      <c r="H65" s="41"/>
      <c r="I65" s="41"/>
      <c r="J65" s="41"/>
      <c r="K65" s="35"/>
      <c r="L65" s="41"/>
      <c r="M65" s="35"/>
      <c r="N65" s="41"/>
      <c r="O65" s="186"/>
      <c r="P65" s="35"/>
      <c r="Q65" s="35"/>
      <c r="R65" s="35"/>
      <c r="S65" s="35"/>
      <c r="T65" s="35"/>
    </row>
    <row r="66" spans="1:20" ht="12.75" hidden="1" customHeight="1" x14ac:dyDescent="0.2">
      <c r="A66" s="41"/>
      <c r="B66" s="207" t="s">
        <v>173</v>
      </c>
      <c r="C66" s="170" t="s">
        <v>186</v>
      </c>
      <c r="D66" s="170" t="s">
        <v>185</v>
      </c>
      <c r="E66" s="41"/>
      <c r="F66" s="41"/>
      <c r="G66" s="41"/>
      <c r="H66" s="41"/>
      <c r="I66" s="41"/>
      <c r="J66" s="41"/>
      <c r="K66" s="35"/>
      <c r="L66" s="41"/>
      <c r="M66" s="35"/>
      <c r="N66" s="41"/>
      <c r="O66" s="186"/>
      <c r="P66" s="35"/>
      <c r="Q66" s="35"/>
      <c r="R66" s="35"/>
      <c r="S66" s="35"/>
      <c r="T66" s="35"/>
    </row>
    <row r="67" spans="1:20" ht="12.75" hidden="1" customHeight="1" x14ac:dyDescent="0.2">
      <c r="A67" s="41"/>
      <c r="B67" s="207" t="s">
        <v>176</v>
      </c>
      <c r="C67" s="170" t="s">
        <v>177</v>
      </c>
      <c r="D67" s="170" t="s">
        <v>175</v>
      </c>
      <c r="E67" s="41"/>
      <c r="F67" s="41"/>
      <c r="G67" s="41"/>
      <c r="H67" s="41"/>
      <c r="I67" s="41"/>
      <c r="J67" s="41"/>
      <c r="K67" s="35"/>
      <c r="L67" s="41"/>
      <c r="M67" s="35"/>
      <c r="N67" s="41"/>
      <c r="O67" s="186"/>
      <c r="P67" s="35"/>
      <c r="Q67" s="35"/>
      <c r="R67" s="35"/>
      <c r="S67" s="35"/>
      <c r="T67" s="35"/>
    </row>
    <row r="68" spans="1:20" ht="12.75" hidden="1" customHeight="1" x14ac:dyDescent="0.2">
      <c r="A68" s="41"/>
      <c r="B68" s="207" t="s">
        <v>179</v>
      </c>
      <c r="C68" s="170" t="s">
        <v>193</v>
      </c>
      <c r="D68" s="170" t="s">
        <v>181</v>
      </c>
      <c r="E68" s="41"/>
      <c r="F68" s="41"/>
      <c r="G68" s="41"/>
      <c r="H68" s="41"/>
      <c r="I68" s="41"/>
      <c r="J68" s="41"/>
      <c r="K68" s="35"/>
      <c r="L68" s="41"/>
      <c r="M68" s="35"/>
      <c r="N68" s="41"/>
      <c r="O68" s="186"/>
      <c r="P68" s="35"/>
      <c r="Q68" s="35"/>
      <c r="R68" s="35"/>
      <c r="S68" s="35"/>
      <c r="T68" s="35"/>
    </row>
    <row r="69" spans="1:20" hidden="1" x14ac:dyDescent="0.2">
      <c r="A69" s="41"/>
      <c r="B69" s="218"/>
      <c r="C69" s="43"/>
      <c r="D69" s="43"/>
      <c r="E69" s="41"/>
      <c r="F69" s="41"/>
      <c r="G69" s="41"/>
      <c r="H69" s="41"/>
      <c r="I69" s="41"/>
      <c r="J69" s="41"/>
      <c r="K69" s="35"/>
      <c r="L69" s="41"/>
      <c r="M69" s="35"/>
      <c r="N69" s="41"/>
      <c r="O69" s="186"/>
      <c r="P69" s="35"/>
      <c r="Q69" s="35"/>
      <c r="R69" s="35"/>
      <c r="S69" s="35"/>
      <c r="T69" s="35"/>
    </row>
    <row r="70" spans="1:20" hidden="1" x14ac:dyDescent="0.2">
      <c r="A70" s="41"/>
      <c r="B70" s="207" t="s">
        <v>173</v>
      </c>
      <c r="C70" s="170" t="s">
        <v>174</v>
      </c>
      <c r="D70" s="170" t="s">
        <v>175</v>
      </c>
      <c r="E70" s="41"/>
      <c r="F70" s="35"/>
      <c r="G70" s="35"/>
      <c r="H70" s="41"/>
      <c r="I70" s="41"/>
      <c r="J70" s="41"/>
      <c r="K70" s="35"/>
      <c r="L70" s="41"/>
      <c r="M70" s="35"/>
      <c r="N70" s="41"/>
      <c r="O70" s="186"/>
      <c r="P70" s="35"/>
      <c r="Q70" s="35"/>
      <c r="R70" s="35"/>
      <c r="S70" s="35"/>
      <c r="T70" s="35"/>
    </row>
    <row r="71" spans="1:20" hidden="1" x14ac:dyDescent="0.2">
      <c r="A71" s="41"/>
      <c r="B71" s="207" t="s">
        <v>176</v>
      </c>
      <c r="C71" s="170" t="s">
        <v>186</v>
      </c>
      <c r="D71" s="170" t="s">
        <v>185</v>
      </c>
      <c r="E71" s="41"/>
      <c r="F71" s="35"/>
      <c r="G71" s="35"/>
      <c r="H71" s="35"/>
      <c r="I71" s="41"/>
      <c r="J71" s="41"/>
      <c r="K71" s="35"/>
      <c r="L71" s="41"/>
      <c r="M71" s="35"/>
      <c r="N71" s="41"/>
      <c r="O71" s="186"/>
      <c r="P71" s="35"/>
      <c r="Q71" s="35"/>
      <c r="R71" s="35"/>
      <c r="S71" s="35"/>
      <c r="T71" s="35"/>
    </row>
    <row r="72" spans="1:20" hidden="1" x14ac:dyDescent="0.2">
      <c r="A72" s="41"/>
      <c r="B72" s="207" t="s">
        <v>179</v>
      </c>
      <c r="C72" s="170" t="s">
        <v>177</v>
      </c>
      <c r="D72" s="170" t="s">
        <v>178</v>
      </c>
      <c r="E72" s="41"/>
      <c r="F72" s="35"/>
      <c r="G72" s="35"/>
      <c r="H72" s="41"/>
      <c r="I72" s="41"/>
      <c r="J72" s="41"/>
      <c r="K72" s="35"/>
      <c r="L72" s="41"/>
      <c r="M72" s="35"/>
      <c r="N72" s="41"/>
      <c r="O72" s="186"/>
      <c r="P72" s="35"/>
      <c r="Q72" s="35"/>
      <c r="R72" s="35"/>
      <c r="S72" s="35"/>
      <c r="T72" s="35"/>
    </row>
    <row r="73" spans="1:20" hidden="1" x14ac:dyDescent="0.2">
      <c r="A73" s="41"/>
      <c r="B73" s="207" t="s">
        <v>182</v>
      </c>
      <c r="C73" s="271" t="s">
        <v>193</v>
      </c>
      <c r="D73" s="170" t="s">
        <v>183</v>
      </c>
      <c r="E73" s="41"/>
      <c r="F73" s="35"/>
      <c r="G73" s="35"/>
      <c r="H73" s="41"/>
      <c r="I73" s="41"/>
      <c r="J73" s="41"/>
      <c r="K73" s="35"/>
      <c r="L73" s="41"/>
      <c r="M73" s="35"/>
      <c r="N73" s="41"/>
      <c r="O73" s="186"/>
      <c r="P73" s="35"/>
      <c r="Q73" s="35"/>
      <c r="R73" s="35"/>
      <c r="S73" s="35"/>
      <c r="T73" s="35"/>
    </row>
    <row r="74" spans="1:20" hidden="1" x14ac:dyDescent="0.2">
      <c r="A74" s="41"/>
      <c r="B74" s="207" t="s">
        <v>184</v>
      </c>
      <c r="C74" s="170" t="s">
        <v>180</v>
      </c>
      <c r="D74" s="170" t="s">
        <v>181</v>
      </c>
      <c r="E74" s="41"/>
      <c r="F74" s="35"/>
      <c r="G74" s="35"/>
      <c r="H74" s="41"/>
      <c r="I74" s="41"/>
      <c r="J74" s="41"/>
      <c r="K74" s="35"/>
      <c r="L74" s="41"/>
      <c r="M74" s="35"/>
      <c r="N74" s="41"/>
      <c r="O74" s="186"/>
      <c r="P74" s="35"/>
      <c r="Q74" s="35"/>
      <c r="R74" s="35"/>
      <c r="S74" s="35"/>
      <c r="T74" s="35"/>
    </row>
    <row r="75" spans="1:20" hidden="1" x14ac:dyDescent="0.2"/>
    <row r="76" spans="1:20" hidden="1" x14ac:dyDescent="0.2"/>
    <row r="77" spans="1:20" hidden="1" x14ac:dyDescent="0.2"/>
    <row r="78" spans="1:20" hidden="1" x14ac:dyDescent="0.2"/>
    <row r="79" spans="1:20" hidden="1" x14ac:dyDescent="0.2"/>
    <row r="80" spans="1:2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11" hidden="1" x14ac:dyDescent="0.2"/>
    <row r="98" spans="1:11" hidden="1" x14ac:dyDescent="0.2"/>
    <row r="100" spans="1:11" x14ac:dyDescent="0.2">
      <c r="A100" s="173" t="s">
        <v>194</v>
      </c>
      <c r="B100" s="174"/>
      <c r="C100" s="175"/>
      <c r="D100" s="175"/>
      <c r="E100" s="175"/>
      <c r="F100" s="172"/>
      <c r="G100" s="170"/>
      <c r="H100" s="156"/>
      <c r="I100" s="156"/>
      <c r="J100" s="156"/>
      <c r="K100" s="156"/>
    </row>
    <row r="102" spans="1:11" x14ac:dyDescent="0.2">
      <c r="A102" s="187" t="s">
        <v>195</v>
      </c>
      <c r="B102" s="369" t="str">
        <f>IF(A102="-","-",IFERROR(INDEX(B$1:B$100,MATCH(A102,I$1:I$100,0)),""))</f>
        <v/>
      </c>
      <c r="C102" s="188">
        <f>IF(B102="-",0,IF(B104="-",13,""))</f>
        <v>13</v>
      </c>
      <c r="D102" s="156"/>
      <c r="E102" s="156"/>
      <c r="F102" s="156"/>
      <c r="G102" s="156"/>
      <c r="H102" s="156"/>
      <c r="I102" s="156"/>
      <c r="J102" s="156"/>
    </row>
    <row r="103" spans="1:11" x14ac:dyDescent="0.2">
      <c r="A103" s="189"/>
      <c r="B103" s="274"/>
      <c r="C103" s="190" t="str">
        <f>IF(COUNT(C102,C104)=2,IF(C102&gt;C104,B102,B104),"")</f>
        <v/>
      </c>
      <c r="D103" s="156"/>
      <c r="E103" s="188" t="str">
        <f>IF(C103="-",0,IF(C107="-",13,""))</f>
        <v/>
      </c>
      <c r="F103" s="156"/>
      <c r="G103" s="156"/>
      <c r="H103" s="156"/>
      <c r="I103" s="156"/>
      <c r="J103" s="156"/>
    </row>
    <row r="104" spans="1:11" x14ac:dyDescent="0.2">
      <c r="A104" s="189" t="s">
        <v>207</v>
      </c>
      <c r="B104" s="275" t="str">
        <f>IF(A104="-","-",IFERROR(INDEX(B$1:B$100,MATCH(A104,I$1:I$100,0)),""))</f>
        <v>-</v>
      </c>
      <c r="C104" s="191">
        <f>IF(B104="-",0,IF(B102="-",13,""))</f>
        <v>0</v>
      </c>
      <c r="D104" s="224"/>
      <c r="E104" s="156"/>
      <c r="F104" s="156"/>
      <c r="G104" s="156"/>
      <c r="H104" s="156"/>
      <c r="I104" s="156"/>
      <c r="J104" s="156"/>
    </row>
    <row r="105" spans="1:11" x14ac:dyDescent="0.2">
      <c r="A105" s="189"/>
      <c r="B105" s="179"/>
      <c r="C105" s="156"/>
      <c r="D105" s="427" t="s">
        <v>15</v>
      </c>
      <c r="E105" s="190" t="str">
        <f>IF(COUNT(E103,E107)=2,IF(E103&gt;E107,C103,C107),"")</f>
        <v/>
      </c>
      <c r="F105" s="156"/>
      <c r="G105" s="188" t="str">
        <f>IF(E105="-",0,IF(E113="-",13,""))</f>
        <v/>
      </c>
      <c r="H105" s="156"/>
      <c r="I105" s="156"/>
      <c r="J105" s="156"/>
    </row>
    <row r="106" spans="1:11" x14ac:dyDescent="0.2">
      <c r="A106" s="189" t="s">
        <v>200</v>
      </c>
      <c r="B106" s="369" t="str">
        <f>IF(A106="-","-",IFERROR(INDEX(B$1:B$100,MATCH(A106,I$1:I$100,0)),""))</f>
        <v/>
      </c>
      <c r="C106" s="188" t="str">
        <f>IF(B106="-",0,IF(B108="-",13,""))</f>
        <v/>
      </c>
      <c r="D106" s="192"/>
      <c r="E106" s="193"/>
      <c r="F106" s="224"/>
      <c r="G106" s="156"/>
      <c r="H106" s="156"/>
      <c r="I106" s="156"/>
      <c r="J106" s="156"/>
    </row>
    <row r="107" spans="1:11" x14ac:dyDescent="0.2">
      <c r="A107" s="189"/>
      <c r="B107" s="424" t="s">
        <v>10</v>
      </c>
      <c r="C107" s="190" t="str">
        <f>IF(COUNT(C106,C108)=2,IF(C106&gt;C108,B106,B108),"")</f>
        <v/>
      </c>
      <c r="D107" s="276"/>
      <c r="E107" s="191" t="str">
        <f>IF(C107="-",0,IF(C103="-",13,""))</f>
        <v/>
      </c>
      <c r="F107" s="192"/>
      <c r="G107" s="156"/>
      <c r="H107" s="156"/>
      <c r="I107" s="156"/>
      <c r="J107" s="156"/>
    </row>
    <row r="108" spans="1:11" x14ac:dyDescent="0.2">
      <c r="A108" s="189" t="s">
        <v>226</v>
      </c>
      <c r="B108" s="275" t="str">
        <f>IF(A108="-","-",IFERROR(INDEX(B$1:B$100,MATCH(A108,I$1:I$100,0)),""))</f>
        <v/>
      </c>
      <c r="C108" s="191" t="str">
        <f>IF(B108="-",0,IF(B106="-",13,""))</f>
        <v/>
      </c>
      <c r="D108" s="156"/>
      <c r="E108" s="174"/>
      <c r="F108" s="192"/>
      <c r="G108" s="156"/>
      <c r="H108" s="156"/>
      <c r="I108" s="156"/>
      <c r="J108" s="156"/>
    </row>
    <row r="109" spans="1:11" x14ac:dyDescent="0.2">
      <c r="A109" s="155"/>
      <c r="B109" s="179"/>
      <c r="C109" s="156"/>
      <c r="D109" s="156"/>
      <c r="E109" s="174"/>
      <c r="F109" s="192"/>
      <c r="G109" s="190" t="str">
        <f>IF(COUNT(G105,G113)=2,IF(G105&gt;G113,E105,E113),"")</f>
        <v/>
      </c>
      <c r="H109" s="156"/>
      <c r="I109" s="188" t="str">
        <f>IF(G109="-",0,IF(G125="-",13,""))</f>
        <v/>
      </c>
      <c r="J109" s="156"/>
    </row>
    <row r="110" spans="1:11" x14ac:dyDescent="0.2">
      <c r="A110" s="187" t="s">
        <v>225</v>
      </c>
      <c r="B110" s="369" t="str">
        <f>IF(A110="-","-",IFERROR(INDEX(B$1:B$100,MATCH(A110,I$1:I$100,0)),""))</f>
        <v/>
      </c>
      <c r="C110" s="188" t="str">
        <f>IF(B110="-",0,IF(B112="-",13,""))</f>
        <v/>
      </c>
      <c r="D110" s="156"/>
      <c r="E110" s="156"/>
      <c r="F110" s="192"/>
      <c r="G110" s="433"/>
      <c r="H110" s="434"/>
      <c r="I110" s="156"/>
      <c r="J110" s="156"/>
    </row>
    <row r="111" spans="1:11" x14ac:dyDescent="0.2">
      <c r="A111" s="189"/>
      <c r="B111" s="424" t="s">
        <v>11</v>
      </c>
      <c r="C111" s="190" t="str">
        <f>IF(COUNT(C110,C112)=2,IF(C110&gt;C112,B110,B112),"")</f>
        <v/>
      </c>
      <c r="D111" s="156"/>
      <c r="E111" s="188" t="str">
        <f>IF(C111="-",0,IF(C115="-",13,""))</f>
        <v/>
      </c>
      <c r="F111" s="192"/>
      <c r="G111" s="174"/>
      <c r="H111" s="192"/>
      <c r="I111" s="156"/>
      <c r="J111" s="156"/>
    </row>
    <row r="112" spans="1:11" x14ac:dyDescent="0.2">
      <c r="A112" s="189" t="s">
        <v>198</v>
      </c>
      <c r="B112" s="275" t="str">
        <f>IF(A112="-","-",IFERROR(INDEX(B$1:B$100,MATCH(A112,I$1:I$100,0)),""))</f>
        <v/>
      </c>
      <c r="C112" s="191" t="str">
        <f>IF(B112="-",0,IF(B110="-",13,""))</f>
        <v/>
      </c>
      <c r="D112" s="224"/>
      <c r="E112" s="156"/>
      <c r="F112" s="192"/>
      <c r="G112" s="174"/>
      <c r="H112" s="192"/>
      <c r="I112" s="156"/>
      <c r="J112" s="156"/>
    </row>
    <row r="113" spans="1:11" x14ac:dyDescent="0.2">
      <c r="A113" s="189"/>
      <c r="B113" s="179"/>
      <c r="C113" s="156"/>
      <c r="D113" s="427" t="s">
        <v>17</v>
      </c>
      <c r="E113" s="190" t="str">
        <f>IF(COUNT(E111,E115)=2,IF(E111&gt;E115,C111,C115),"")</f>
        <v/>
      </c>
      <c r="F113" s="276"/>
      <c r="G113" s="191" t="str">
        <f>IF(E113="-",0,IF(E105="-",13,""))</f>
        <v/>
      </c>
      <c r="H113" s="192"/>
      <c r="I113" s="156"/>
      <c r="J113" s="156"/>
    </row>
    <row r="114" spans="1:11" x14ac:dyDescent="0.2">
      <c r="A114" s="189" t="s">
        <v>207</v>
      </c>
      <c r="B114" s="369" t="str">
        <f>IF(A114="-","-",IFERROR(INDEX(B$1:B$100,MATCH(A114,I$1:I$100,0)),""))</f>
        <v>-</v>
      </c>
      <c r="C114" s="188">
        <f>IF(B114="-",0,IF(B116="-",13,""))</f>
        <v>0</v>
      </c>
      <c r="D114" s="192"/>
      <c r="E114" s="193"/>
      <c r="F114" s="174"/>
      <c r="G114" s="174"/>
      <c r="H114" s="192"/>
      <c r="I114" s="156"/>
      <c r="J114" s="156"/>
    </row>
    <row r="115" spans="1:11" x14ac:dyDescent="0.2">
      <c r="A115" s="189"/>
      <c r="B115" s="274"/>
      <c r="C115" s="190" t="str">
        <f>IF(COUNT(C114,C116)=2,IF(C114&gt;C116,B114,B116),"")</f>
        <v/>
      </c>
      <c r="D115" s="276"/>
      <c r="E115" s="191" t="str">
        <f>IF(C115="-",0,IF(C111="-",13,""))</f>
        <v/>
      </c>
      <c r="F115" s="156"/>
      <c r="G115" s="174"/>
      <c r="H115" s="192"/>
      <c r="I115" s="156"/>
      <c r="J115" s="156"/>
    </row>
    <row r="116" spans="1:11" x14ac:dyDescent="0.2">
      <c r="A116" s="189" t="s">
        <v>202</v>
      </c>
      <c r="B116" s="275" t="str">
        <f>IF(A116="-","-",IFERROR(INDEX(B$1:B$100,MATCH(A116,I$1:I$100,0)),""))</f>
        <v/>
      </c>
      <c r="C116" s="191">
        <f>IF(B116="-",0,IF(B114="-",13,""))</f>
        <v>13</v>
      </c>
      <c r="D116" s="156"/>
      <c r="E116" s="174"/>
      <c r="F116" s="174"/>
      <c r="G116" s="174"/>
      <c r="H116" s="192"/>
      <c r="I116" s="156"/>
      <c r="J116" s="156"/>
    </row>
    <row r="117" spans="1:11" ht="13.5" thickBot="1" x14ac:dyDescent="0.25">
      <c r="A117" s="155"/>
      <c r="B117" s="179"/>
      <c r="C117" s="156"/>
      <c r="D117" s="156"/>
      <c r="E117" s="156"/>
      <c r="F117" s="156"/>
      <c r="G117" s="174"/>
      <c r="H117" s="192"/>
      <c r="I117" s="156"/>
      <c r="J117" s="171" t="str">
        <f>IF(COUNT(I109,I125)=2,IF(I109&gt;I125,G109,G125),"")</f>
        <v/>
      </c>
    </row>
    <row r="118" spans="1:11" x14ac:dyDescent="0.2">
      <c r="A118" s="187" t="s">
        <v>199</v>
      </c>
      <c r="B118" s="369" t="str">
        <f>IF(A118="-","-",IFERROR(INDEX(B$1:B$100,MATCH(A118,I$1:I$100,0)),""))</f>
        <v/>
      </c>
      <c r="C118" s="188">
        <f>IF(B118="-",0,IF(B120="-",13,""))</f>
        <v>13</v>
      </c>
      <c r="D118" s="156"/>
      <c r="E118" s="156"/>
      <c r="F118" s="156"/>
      <c r="G118" s="174"/>
      <c r="H118" s="192"/>
      <c r="I118" s="194"/>
      <c r="J118" s="177" t="s">
        <v>187</v>
      </c>
      <c r="K118" s="221"/>
    </row>
    <row r="119" spans="1:11" x14ac:dyDescent="0.2">
      <c r="A119" s="189"/>
      <c r="B119" s="274"/>
      <c r="C119" s="190" t="str">
        <f>IF(COUNT(C118,C120)=2,IF(C118&gt;C120,B118,B120),"")</f>
        <v/>
      </c>
      <c r="D119" s="156"/>
      <c r="E119" s="188" t="str">
        <f>IF(C119="-",0,IF(C123="-",13,""))</f>
        <v/>
      </c>
      <c r="F119" s="156"/>
      <c r="G119" s="174"/>
      <c r="H119" s="192"/>
      <c r="I119" s="174"/>
      <c r="J119" s="174"/>
      <c r="K119" s="222"/>
    </row>
    <row r="120" spans="1:11" x14ac:dyDescent="0.2">
      <c r="A120" s="189" t="s">
        <v>207</v>
      </c>
      <c r="B120" s="275" t="str">
        <f>IF(A120="-","-",IFERROR(INDEX(B$1:B$100,MATCH(A120,I$1:I$100,0)),""))</f>
        <v>-</v>
      </c>
      <c r="C120" s="191">
        <f>IF(B120="-",0,IF(B118="-",13,""))</f>
        <v>0</v>
      </c>
      <c r="D120" s="224"/>
      <c r="E120" s="156"/>
      <c r="F120" s="156"/>
      <c r="G120" s="174"/>
      <c r="H120" s="192"/>
      <c r="I120" s="174"/>
      <c r="J120" s="174"/>
      <c r="K120" s="222"/>
    </row>
    <row r="121" spans="1:11" x14ac:dyDescent="0.2">
      <c r="A121" s="189"/>
      <c r="B121" s="179"/>
      <c r="C121" s="156"/>
      <c r="D121" s="427" t="s">
        <v>18</v>
      </c>
      <c r="E121" s="190" t="str">
        <f>IF(COUNT(E119,E123)=2,IF(E119&gt;E123,C119,C123),"")</f>
        <v/>
      </c>
      <c r="F121" s="156"/>
      <c r="G121" s="195" t="str">
        <f>IF(E121="-",0,IF(E129="-",13,""))</f>
        <v/>
      </c>
      <c r="H121" s="192"/>
      <c r="I121" s="174"/>
      <c r="J121" s="174"/>
      <c r="K121" s="222"/>
    </row>
    <row r="122" spans="1:11" x14ac:dyDescent="0.2">
      <c r="A122" s="189" t="s">
        <v>196</v>
      </c>
      <c r="B122" s="369" t="str">
        <f>IF(A122="-","-",IFERROR(INDEX(B$1:B$100,MATCH(A122,I$1:I$100,0)),""))</f>
        <v/>
      </c>
      <c r="C122" s="188" t="str">
        <f>IF(B122="-",0,IF(B124="-",13,""))</f>
        <v/>
      </c>
      <c r="D122" s="192"/>
      <c r="E122" s="193"/>
      <c r="F122" s="224"/>
      <c r="G122" s="174"/>
      <c r="H122" s="192"/>
      <c r="I122" s="174"/>
      <c r="J122" s="174"/>
      <c r="K122" s="222"/>
    </row>
    <row r="123" spans="1:11" x14ac:dyDescent="0.2">
      <c r="A123" s="189"/>
      <c r="B123" s="424" t="s">
        <v>12</v>
      </c>
      <c r="C123" s="190" t="str">
        <f>IF(COUNT(C122,C124)=2,IF(C122&gt;C124,B122,B124),"")</f>
        <v/>
      </c>
      <c r="D123" s="276"/>
      <c r="E123" s="191" t="str">
        <f>IF(C123="-",0,IF(C119="-",13,""))</f>
        <v/>
      </c>
      <c r="F123" s="192"/>
      <c r="G123" s="174"/>
      <c r="H123" s="192"/>
      <c r="I123" s="174"/>
      <c r="J123" s="174"/>
      <c r="K123" s="222"/>
    </row>
    <row r="124" spans="1:11" x14ac:dyDescent="0.2">
      <c r="A124" s="189" t="s">
        <v>227</v>
      </c>
      <c r="B124" s="275" t="str">
        <f>IF(A124="-","-",IFERROR(INDEX(B$1:B$100,MATCH(A124,I$1:I$100,0)),""))</f>
        <v/>
      </c>
      <c r="C124" s="191" t="str">
        <f>IF(B124="-",0,IF(B122="-",13,""))</f>
        <v/>
      </c>
      <c r="D124" s="156"/>
      <c r="E124" s="174"/>
      <c r="F124" s="192"/>
      <c r="G124" s="174"/>
      <c r="H124" s="192"/>
      <c r="I124" s="174"/>
      <c r="J124" s="174"/>
      <c r="K124" s="222"/>
    </row>
    <row r="125" spans="1:11" x14ac:dyDescent="0.2">
      <c r="A125" s="155"/>
      <c r="B125" s="179"/>
      <c r="C125" s="156"/>
      <c r="D125" s="156"/>
      <c r="E125" s="174"/>
      <c r="F125" s="192"/>
      <c r="G125" s="190" t="str">
        <f>IF(COUNT(G121,G129)=2,IF(G121&gt;G129,E121,E129),"")</f>
        <v/>
      </c>
      <c r="H125" s="435"/>
      <c r="I125" s="191" t="str">
        <f>IF(G125="-",0,IF(G109="-",13,""))</f>
        <v/>
      </c>
      <c r="J125" s="174"/>
      <c r="K125" s="222"/>
    </row>
    <row r="126" spans="1:11" ht="13.5" thickBot="1" x14ac:dyDescent="0.25">
      <c r="A126" s="187" t="s">
        <v>228</v>
      </c>
      <c r="B126" s="369" t="str">
        <f>IF(A126="-","-",IFERROR(INDEX(B$1:B$100,MATCH(A126,I$1:I$100,0)),""))</f>
        <v/>
      </c>
      <c r="C126" s="188" t="str">
        <f>IF(B126="-",0,IF(B128="-",13,""))</f>
        <v/>
      </c>
      <c r="D126" s="156"/>
      <c r="E126" s="156"/>
      <c r="F126" s="192"/>
      <c r="G126" s="432"/>
      <c r="H126" s="156"/>
      <c r="I126" s="174"/>
      <c r="J126" s="370" t="str">
        <f>IF(COUNT(I109,I125)=2,IF(I109&lt;I125,G109,G125),"")</f>
        <v/>
      </c>
      <c r="K126" s="371"/>
    </row>
    <row r="127" spans="1:11" x14ac:dyDescent="0.2">
      <c r="A127" s="189"/>
      <c r="B127" s="424" t="s">
        <v>13</v>
      </c>
      <c r="C127" s="190" t="str">
        <f>IF(COUNT(C126,C128)=2,IF(C126&gt;C128,B126,B128),"")</f>
        <v/>
      </c>
      <c r="D127" s="156"/>
      <c r="E127" s="188" t="str">
        <f>IF(C127="-",0,IF(C131="-",13,""))</f>
        <v/>
      </c>
      <c r="F127" s="192"/>
      <c r="G127" s="174"/>
      <c r="H127" s="156"/>
      <c r="I127" s="174"/>
      <c r="J127" s="183" t="s">
        <v>188</v>
      </c>
    </row>
    <row r="128" spans="1:11" x14ac:dyDescent="0.2">
      <c r="A128" s="189" t="s">
        <v>201</v>
      </c>
      <c r="B128" s="275" t="str">
        <f>IF(A128="-","-",IFERROR(INDEX(B$1:B$100,MATCH(A128,I$1:I$100,0)),""))</f>
        <v/>
      </c>
      <c r="C128" s="191" t="str">
        <f>IF(B128="-",0,IF(B126="-",13,""))</f>
        <v/>
      </c>
      <c r="D128" s="224"/>
      <c r="E128" s="156"/>
      <c r="F128" s="192"/>
      <c r="G128" s="174"/>
      <c r="H128" s="156"/>
      <c r="I128" s="174"/>
      <c r="J128" s="156"/>
    </row>
    <row r="129" spans="1:11" x14ac:dyDescent="0.2">
      <c r="A129" s="189"/>
      <c r="B129" s="179"/>
      <c r="C129" s="156"/>
      <c r="D129" s="427" t="s">
        <v>19</v>
      </c>
      <c r="E129" s="190" t="str">
        <f>IF(COUNT(E127,E131)=2,IF(E127&gt;E131,C127,C131),"")</f>
        <v/>
      </c>
      <c r="F129" s="276"/>
      <c r="G129" s="191" t="str">
        <f>IF(E129="-",0,IF(E121="-",13,""))</f>
        <v/>
      </c>
      <c r="H129" s="156"/>
      <c r="I129" s="174"/>
      <c r="J129" s="156"/>
    </row>
    <row r="130" spans="1:11" x14ac:dyDescent="0.2">
      <c r="A130" s="189" t="s">
        <v>207</v>
      </c>
      <c r="B130" s="369" t="str">
        <f>IF(A130="-","-",IFERROR(INDEX(B$1:B$100,MATCH(A130,I$1:I$100,0)),""))</f>
        <v>-</v>
      </c>
      <c r="C130" s="188">
        <f>IF(B130="-",0,IF(B132="-",13,""))</f>
        <v>0</v>
      </c>
      <c r="D130" s="192"/>
      <c r="E130" s="193"/>
      <c r="F130" s="174"/>
      <c r="G130" s="174"/>
      <c r="H130" s="156"/>
      <c r="I130" s="174"/>
      <c r="J130" s="156"/>
    </row>
    <row r="131" spans="1:11" x14ac:dyDescent="0.2">
      <c r="A131" s="189"/>
      <c r="B131" s="274"/>
      <c r="C131" s="190" t="str">
        <f>IF(COUNT(C130,C132)=2,IF(C130&gt;C132,B130,B132),"")</f>
        <v/>
      </c>
      <c r="D131" s="276"/>
      <c r="E131" s="191" t="str">
        <f>IF(C131="-",0,IF(C127="-",13,""))</f>
        <v/>
      </c>
      <c r="F131" s="156"/>
      <c r="G131" s="174" t="str">
        <f>IF(COUNT(G105,G113)=2,IF(G105&lt;G113,E105,E113),"")</f>
        <v/>
      </c>
      <c r="H131" s="156"/>
      <c r="I131" s="188" t="str">
        <f>IF(G131="-",0,IF(G133="-",13,""))</f>
        <v/>
      </c>
      <c r="J131" s="156"/>
    </row>
    <row r="132" spans="1:11" ht="13.5" thickBot="1" x14ac:dyDescent="0.25">
      <c r="A132" s="189" t="s">
        <v>197</v>
      </c>
      <c r="B132" s="275" t="str">
        <f>IF(A132="-","-",IFERROR(INDEX(B$1:B$100,MATCH(A132,I$1:I$100,0)),""))</f>
        <v/>
      </c>
      <c r="C132" s="191">
        <f>IF(B132="-",0,IF(B130="-",13,""))</f>
        <v>13</v>
      </c>
      <c r="D132" s="156"/>
      <c r="E132" s="174"/>
      <c r="F132" s="174"/>
      <c r="G132" s="280"/>
      <c r="H132" s="224"/>
      <c r="I132" s="226"/>
      <c r="J132" s="171" t="str">
        <f>IF(COUNT(I131,I133)=2,IF(I131&gt;I133,G131,G133),"")</f>
        <v/>
      </c>
    </row>
    <row r="133" spans="1:11" x14ac:dyDescent="0.2">
      <c r="A133" s="156"/>
      <c r="B133" s="156"/>
      <c r="C133" s="156"/>
      <c r="D133" s="156"/>
      <c r="E133" s="156"/>
      <c r="F133" s="174"/>
      <c r="G133" s="281" t="str">
        <f>IF(COUNT(G121,G129)=2,IF(G121&lt;G129,E121,E129),"")</f>
        <v/>
      </c>
      <c r="H133" s="276"/>
      <c r="I133" s="436" t="str">
        <f>IF(G133="-",0,IF(G131="-",13,""))</f>
        <v/>
      </c>
      <c r="J133" s="177" t="s">
        <v>189</v>
      </c>
      <c r="K133" s="221"/>
    </row>
    <row r="134" spans="1:11" x14ac:dyDescent="0.2">
      <c r="A134" s="156"/>
      <c r="B134" s="156"/>
      <c r="C134" s="156"/>
      <c r="D134" s="156"/>
      <c r="E134" s="156"/>
      <c r="F134" s="174"/>
      <c r="G134" s="156"/>
      <c r="H134" s="156"/>
      <c r="I134" s="156"/>
      <c r="J134" s="174"/>
      <c r="K134" s="222"/>
    </row>
    <row r="135" spans="1:11" ht="13.5" thickBot="1" x14ac:dyDescent="0.25">
      <c r="A135" s="156"/>
      <c r="B135" s="156"/>
      <c r="C135" s="156"/>
      <c r="D135" s="156"/>
      <c r="E135" s="156"/>
      <c r="F135" s="174"/>
      <c r="G135" s="174"/>
      <c r="H135" s="174"/>
      <c r="I135" s="156"/>
      <c r="J135" s="370" t="str">
        <f>IF(COUNT(I131,I133)=2,IF(I131&lt;I133,G131,G133),"")</f>
        <v/>
      </c>
      <c r="K135" s="371"/>
    </row>
    <row r="136" spans="1:11" x14ac:dyDescent="0.2">
      <c r="A136" s="156"/>
      <c r="B136" s="156"/>
      <c r="C136" s="156"/>
      <c r="D136" s="156"/>
      <c r="E136" s="156"/>
      <c r="F136" s="156"/>
      <c r="G136" s="174"/>
      <c r="H136" s="174"/>
      <c r="I136" s="156"/>
      <c r="J136" s="155" t="s">
        <v>190</v>
      </c>
    </row>
    <row r="137" spans="1:11" x14ac:dyDescent="0.2">
      <c r="A137" s="156"/>
      <c r="B137" s="156"/>
      <c r="C137" s="156"/>
      <c r="D137" s="156"/>
      <c r="E137" s="156"/>
      <c r="F137" s="156"/>
      <c r="G137" s="174"/>
      <c r="H137" s="174"/>
      <c r="I137" s="156"/>
      <c r="J137" s="155"/>
    </row>
    <row r="138" spans="1:11" x14ac:dyDescent="0.2">
      <c r="A138" s="219" t="s">
        <v>314</v>
      </c>
    </row>
    <row r="140" spans="1:11" x14ac:dyDescent="0.2">
      <c r="A140" s="156"/>
      <c r="B140" s="156"/>
      <c r="C140" s="156"/>
      <c r="D140" s="428" t="s">
        <v>15</v>
      </c>
      <c r="E140" s="281" t="str">
        <f>IF(COUNT(E103,E107)=2,IF(E103&lt;E107,C103,C107),"")</f>
        <v/>
      </c>
      <c r="F140" s="156"/>
      <c r="G140" s="188">
        <v>12</v>
      </c>
      <c r="H140" s="188"/>
      <c r="I140" s="188"/>
      <c r="J140" s="156"/>
    </row>
    <row r="141" spans="1:11" x14ac:dyDescent="0.2">
      <c r="A141" s="156"/>
      <c r="B141" s="156"/>
      <c r="C141" s="156"/>
      <c r="D141" s="426"/>
      <c r="E141" s="282"/>
      <c r="F141" s="225"/>
      <c r="G141" s="190" t="str">
        <f>IF(COUNT(G140,G142)=2,IF(G140&gt;G142,E140,E142),"")</f>
        <v/>
      </c>
      <c r="H141" s="156"/>
      <c r="I141" s="188" t="str">
        <f>IF(G141="-",0,IF(G145="-",13,""))</f>
        <v/>
      </c>
      <c r="J141" s="156"/>
    </row>
    <row r="142" spans="1:11" x14ac:dyDescent="0.2">
      <c r="A142" s="156"/>
      <c r="B142" s="156"/>
      <c r="C142" s="156"/>
      <c r="D142" s="428" t="s">
        <v>17</v>
      </c>
      <c r="E142" s="281" t="str">
        <f>IF(COUNT(E111,E115)=2,IF(E111&lt;E115,C111,C115),"")</f>
        <v/>
      </c>
      <c r="F142" s="283"/>
      <c r="G142" s="191">
        <v>13</v>
      </c>
      <c r="H142" s="225"/>
      <c r="I142" s="156"/>
      <c r="J142" s="156"/>
    </row>
    <row r="143" spans="1:11" ht="13.5" thickBot="1" x14ac:dyDescent="0.25">
      <c r="A143" s="156"/>
      <c r="B143" s="156"/>
      <c r="C143" s="156"/>
      <c r="D143" s="426"/>
      <c r="E143" s="188"/>
      <c r="F143" s="188"/>
      <c r="G143" s="195"/>
      <c r="H143" s="196"/>
      <c r="I143" s="226"/>
      <c r="J143" s="171" t="str">
        <f>IF(COUNT(I141,I145)=2,IF(I141&gt;I145,G141,G145),"")</f>
        <v/>
      </c>
    </row>
    <row r="144" spans="1:11" x14ac:dyDescent="0.2">
      <c r="A144" s="156"/>
      <c r="B144" s="156"/>
      <c r="C144" s="156"/>
      <c r="D144" s="428" t="s">
        <v>18</v>
      </c>
      <c r="E144" s="281" t="str">
        <f>IF(COUNT(E119,E123)=2,IF(E119&lt;E123,C119,C123),"")</f>
        <v/>
      </c>
      <c r="F144" s="188"/>
      <c r="G144" s="188">
        <v>13</v>
      </c>
      <c r="H144" s="196"/>
      <c r="I144" s="437"/>
      <c r="J144" s="177" t="s">
        <v>191</v>
      </c>
      <c r="K144" s="221"/>
    </row>
    <row r="145" spans="1:11" x14ac:dyDescent="0.2">
      <c r="A145" s="156"/>
      <c r="B145" s="156"/>
      <c r="C145" s="156"/>
      <c r="D145" s="426"/>
      <c r="E145" s="282"/>
      <c r="F145" s="225"/>
      <c r="G145" s="190" t="str">
        <f>IF(COUNT(G144,G146)=2,IF(G144&gt;G146,E144,E146),"")</f>
        <v/>
      </c>
      <c r="H145" s="276"/>
      <c r="I145" s="191" t="str">
        <f>IF(G145="-",0,IF(G141="-",13,""))</f>
        <v/>
      </c>
      <c r="J145" s="174"/>
      <c r="K145" s="222"/>
    </row>
    <row r="146" spans="1:11" ht="13.5" thickBot="1" x14ac:dyDescent="0.25">
      <c r="A146" s="156"/>
      <c r="B146" s="156"/>
      <c r="C146" s="156"/>
      <c r="D146" s="428" t="s">
        <v>19</v>
      </c>
      <c r="E146" s="281" t="str">
        <f>IF(COUNT(E127,E131)=2,IF(E127&lt;E131,C127,C131),"")</f>
        <v/>
      </c>
      <c r="F146" s="283"/>
      <c r="G146" s="191">
        <v>7</v>
      </c>
      <c r="H146" s="188"/>
      <c r="I146" s="195"/>
      <c r="J146" s="370" t="str">
        <f>IF(COUNT(I141,I145)=2,IF(I141&lt;I145,G141,G145),"")</f>
        <v/>
      </c>
      <c r="K146" s="371"/>
    </row>
    <row r="147" spans="1:11" x14ac:dyDescent="0.2">
      <c r="A147" s="156"/>
      <c r="B147" s="156"/>
      <c r="C147" s="156"/>
      <c r="D147" s="156"/>
      <c r="E147" s="188"/>
      <c r="F147" s="188"/>
      <c r="G147" s="188"/>
      <c r="H147" s="188"/>
      <c r="I147" s="195"/>
      <c r="J147" s="183" t="s">
        <v>192</v>
      </c>
    </row>
    <row r="148" spans="1:11" x14ac:dyDescent="0.2">
      <c r="A148" s="156"/>
      <c r="B148" s="156"/>
      <c r="C148" s="156"/>
      <c r="D148" s="156"/>
      <c r="E148" s="188"/>
      <c r="F148" s="195"/>
      <c r="G148" s="171" t="str">
        <f>IF(COUNT(G140,G142)=2,IF(G140&lt;G142,E140,E142),"")</f>
        <v/>
      </c>
      <c r="H148" s="156"/>
      <c r="I148" s="195" t="str">
        <f>IF(G148="-",0,IF(G150="-",13,""))</f>
        <v/>
      </c>
      <c r="J148" s="174"/>
    </row>
    <row r="149" spans="1:11" ht="13.5" thickBot="1" x14ac:dyDescent="0.25">
      <c r="A149" s="156"/>
      <c r="B149" s="156"/>
      <c r="C149" s="156"/>
      <c r="D149" s="156"/>
      <c r="E149" s="188"/>
      <c r="F149" s="195"/>
      <c r="G149" s="280"/>
      <c r="H149" s="224"/>
      <c r="I149" s="372"/>
      <c r="J149" s="171" t="str">
        <f>IF(COUNT(I148,I150)=2,IF(I148&gt;I150,G148,G150),"")</f>
        <v/>
      </c>
    </row>
    <row r="150" spans="1:11" x14ac:dyDescent="0.2">
      <c r="A150" s="156"/>
      <c r="B150" s="156"/>
      <c r="C150" s="156"/>
      <c r="D150" s="156"/>
      <c r="E150" s="188"/>
      <c r="F150" s="195"/>
      <c r="G150" s="281" t="str">
        <f>IF(COUNT(G144,G146)=2,IF(G144&lt;G146,E144,E146),"")</f>
        <v/>
      </c>
      <c r="H150" s="276"/>
      <c r="I150" s="191" t="str">
        <f>IF(G150="-",0,IF(G148="-",13,""))</f>
        <v/>
      </c>
      <c r="J150" s="177" t="s">
        <v>203</v>
      </c>
      <c r="K150" s="221"/>
    </row>
    <row r="151" spans="1:11" x14ac:dyDescent="0.2">
      <c r="A151" s="156"/>
      <c r="B151" s="156"/>
      <c r="C151" s="156"/>
      <c r="D151" s="156"/>
      <c r="E151" s="156"/>
      <c r="F151" s="174"/>
      <c r="G151" s="156"/>
      <c r="H151" s="156"/>
      <c r="I151" s="156"/>
      <c r="J151" s="174"/>
      <c r="K151" s="222"/>
    </row>
    <row r="152" spans="1:11" ht="13.5" thickBot="1" x14ac:dyDescent="0.25">
      <c r="A152" s="156"/>
      <c r="B152" s="156"/>
      <c r="C152" s="156"/>
      <c r="D152" s="156"/>
      <c r="E152" s="156"/>
      <c r="F152" s="156"/>
      <c r="G152" s="174"/>
      <c r="H152" s="174"/>
      <c r="I152" s="156"/>
      <c r="J152" s="373" t="str">
        <f>IF(COUNT(I148,I150)=2,IF(I148&lt;I150,G148,G150),"")</f>
        <v/>
      </c>
      <c r="K152" s="371"/>
    </row>
    <row r="153" spans="1:11" x14ac:dyDescent="0.2">
      <c r="A153" s="156"/>
      <c r="B153" s="156"/>
      <c r="C153" s="156"/>
      <c r="D153" s="156"/>
      <c r="E153" s="156"/>
      <c r="F153" s="156"/>
      <c r="G153" s="174"/>
      <c r="H153" s="174"/>
      <c r="I153" s="156"/>
      <c r="J153" s="183" t="s">
        <v>204</v>
      </c>
    </row>
    <row r="154" spans="1:11" hidden="1" x14ac:dyDescent="0.2"/>
    <row r="155" spans="1:11" hidden="1" x14ac:dyDescent="0.2">
      <c r="A155" s="219" t="s">
        <v>260</v>
      </c>
      <c r="B155" s="44"/>
      <c r="C155" s="44"/>
      <c r="D155" s="44"/>
      <c r="E155" s="44"/>
      <c r="F155" s="44"/>
      <c r="G155" s="44"/>
      <c r="H155" s="44"/>
      <c r="I155" s="44"/>
      <c r="J155" s="44"/>
    </row>
    <row r="156" spans="1:11" x14ac:dyDescent="0.2">
      <c r="A156" s="44"/>
      <c r="B156" s="44"/>
      <c r="C156" s="44"/>
      <c r="D156" s="44"/>
      <c r="E156" s="44"/>
      <c r="F156" s="44"/>
      <c r="G156" s="44"/>
      <c r="H156" s="44"/>
      <c r="I156" s="44"/>
      <c r="J156" s="44"/>
    </row>
    <row r="157" spans="1:11" x14ac:dyDescent="0.2">
      <c r="A157" s="44"/>
      <c r="B157" s="429"/>
      <c r="C157" s="281" t="str">
        <f>IF(COUNT(C102,C104)=2,IF(C102&lt;C104,B102,B104),"")</f>
        <v>-</v>
      </c>
      <c r="D157" s="44"/>
      <c r="E157" s="188">
        <f>IF(C157="-",0,IF(C159="-",13,""))</f>
        <v>0</v>
      </c>
      <c r="F157" s="156"/>
      <c r="G157" s="156"/>
      <c r="H157" s="156"/>
      <c r="I157" s="156"/>
      <c r="J157" s="156"/>
    </row>
    <row r="158" spans="1:11" x14ac:dyDescent="0.2">
      <c r="A158" s="44"/>
      <c r="B158" s="429"/>
      <c r="C158" s="274"/>
      <c r="D158" s="223"/>
      <c r="E158" s="190" t="str">
        <f>IF(COUNT(E157,E159)=2,IF(E157&gt;E159,C157,C159),"")</f>
        <v/>
      </c>
      <c r="F158" s="156"/>
      <c r="G158" s="188" t="str">
        <f>IF(E158="-",0,IF(E162="-",13,""))</f>
        <v/>
      </c>
      <c r="H158" s="156"/>
      <c r="I158" s="156"/>
      <c r="J158" s="156"/>
    </row>
    <row r="159" spans="1:11" x14ac:dyDescent="0.2">
      <c r="A159" s="44"/>
      <c r="B159" s="425" t="s">
        <v>10</v>
      </c>
      <c r="C159" s="281" t="str">
        <f>IF(COUNT(C106,C108)=2,IF(C106&lt;C108,B106,B108),"")</f>
        <v/>
      </c>
      <c r="D159" s="374"/>
      <c r="E159" s="191">
        <f>IF(C159="-",0,IF(C157="-",13,""))</f>
        <v>13</v>
      </c>
      <c r="F159" s="224"/>
      <c r="G159" s="156"/>
      <c r="H159" s="156"/>
      <c r="I159" s="156"/>
      <c r="J159" s="156"/>
    </row>
    <row r="160" spans="1:11" x14ac:dyDescent="0.2">
      <c r="A160" s="44"/>
      <c r="B160" s="429"/>
      <c r="C160" s="179"/>
      <c r="D160" s="44"/>
      <c r="E160" s="156"/>
      <c r="F160" s="192"/>
      <c r="G160" s="190" t="str">
        <f>IF(COUNT(G158,G162)=2,IF(G158&gt;G162,E158,E162),"")</f>
        <v/>
      </c>
      <c r="H160" s="156"/>
      <c r="I160" s="188" t="str">
        <f>IF(G160="-",0,IF(G168="-",13,""))</f>
        <v/>
      </c>
      <c r="J160" s="156"/>
    </row>
    <row r="161" spans="1:11" x14ac:dyDescent="0.2">
      <c r="A161" s="44"/>
      <c r="B161" s="425" t="s">
        <v>11</v>
      </c>
      <c r="C161" s="281" t="str">
        <f>IF(COUNT(C110,C112)=2,IF(C110&lt;C112,B110,B112),"")</f>
        <v/>
      </c>
      <c r="D161" s="44"/>
      <c r="E161" s="188">
        <f>IF(C161="-",0,IF(C163="-",13,""))</f>
        <v>13</v>
      </c>
      <c r="F161" s="192"/>
      <c r="G161" s="193"/>
      <c r="H161" s="224"/>
      <c r="I161" s="156"/>
      <c r="J161" s="156"/>
    </row>
    <row r="162" spans="1:11" x14ac:dyDescent="0.2">
      <c r="A162" s="44"/>
      <c r="B162" s="429"/>
      <c r="C162" s="274"/>
      <c r="D162" s="223"/>
      <c r="E162" s="190" t="str">
        <f>IF(COUNT(E161,E163)=2,IF(E161&gt;E163,C161,C163),"")</f>
        <v/>
      </c>
      <c r="F162" s="276"/>
      <c r="G162" s="191" t="str">
        <f>IF(E162="-",0,IF(E158="-",13,""))</f>
        <v/>
      </c>
      <c r="H162" s="192"/>
      <c r="I162" s="156"/>
      <c r="J162" s="156"/>
    </row>
    <row r="163" spans="1:11" x14ac:dyDescent="0.2">
      <c r="A163" s="44"/>
      <c r="B163" s="429"/>
      <c r="C163" s="281" t="str">
        <f>IF(COUNT(C114,C116)=2,IF(C114&lt;C116,B114,B116),"")</f>
        <v>-</v>
      </c>
      <c r="D163" s="374"/>
      <c r="E163" s="191">
        <f>IF(C163="-",0,IF(C161="-",13,""))</f>
        <v>0</v>
      </c>
      <c r="F163" s="156"/>
      <c r="G163" s="174"/>
      <c r="H163" s="192"/>
      <c r="I163" s="156"/>
      <c r="J163" s="156"/>
    </row>
    <row r="164" spans="1:11" ht="13.5" thickBot="1" x14ac:dyDescent="0.25">
      <c r="A164" s="44"/>
      <c r="B164" s="429"/>
      <c r="C164" s="179"/>
      <c r="D164" s="44"/>
      <c r="E164" s="156"/>
      <c r="F164" s="156"/>
      <c r="G164" s="174"/>
      <c r="H164" s="192"/>
      <c r="I164" s="156"/>
      <c r="J164" s="171" t="str">
        <f>IF(COUNT(I160,I168)=2,IF(I160&gt;I168,G160,G168),"")</f>
        <v/>
      </c>
    </row>
    <row r="165" spans="1:11" x14ac:dyDescent="0.2">
      <c r="A165" s="44"/>
      <c r="B165" s="429"/>
      <c r="C165" s="281" t="str">
        <f>IF(COUNT(C118,C120)=2,IF(C118&lt;C120,B118,B120),"")</f>
        <v>-</v>
      </c>
      <c r="D165" s="44"/>
      <c r="E165" s="188">
        <f>IF(C165="-",0,IF(C167="-",13,""))</f>
        <v>0</v>
      </c>
      <c r="F165" s="156"/>
      <c r="G165" s="156"/>
      <c r="H165" s="192"/>
      <c r="I165" s="194"/>
      <c r="J165" s="177" t="s">
        <v>209</v>
      </c>
      <c r="K165" s="221"/>
    </row>
    <row r="166" spans="1:11" x14ac:dyDescent="0.2">
      <c r="A166" s="44"/>
      <c r="B166" s="429"/>
      <c r="C166" s="274"/>
      <c r="D166" s="223"/>
      <c r="E166" s="190" t="str">
        <f>IF(COUNT(E165,E167)=2,IF(E165&gt;E167,C165,C167),"")</f>
        <v/>
      </c>
      <c r="F166" s="156"/>
      <c r="G166" s="188" t="str">
        <f>IF(E166="-",0,IF(E170="-",13,""))</f>
        <v/>
      </c>
      <c r="H166" s="192"/>
      <c r="I166" s="174"/>
      <c r="J166" s="174"/>
      <c r="K166" s="222"/>
    </row>
    <row r="167" spans="1:11" x14ac:dyDescent="0.2">
      <c r="A167" s="44"/>
      <c r="B167" s="425" t="s">
        <v>12</v>
      </c>
      <c r="C167" s="281" t="str">
        <f>IF(COUNT(C122,C124)=2,IF(C122&lt;C124,B122,B124),"")</f>
        <v/>
      </c>
      <c r="D167" s="374"/>
      <c r="E167" s="191">
        <f>IF(C167="-",0,IF(C165="-",13,""))</f>
        <v>13</v>
      </c>
      <c r="F167" s="224"/>
      <c r="G167" s="156"/>
      <c r="H167" s="192"/>
      <c r="I167" s="174"/>
      <c r="J167" s="174"/>
      <c r="K167" s="222"/>
    </row>
    <row r="168" spans="1:11" x14ac:dyDescent="0.2">
      <c r="A168" s="44"/>
      <c r="B168" s="429"/>
      <c r="C168" s="179"/>
      <c r="D168" s="44"/>
      <c r="E168" s="156"/>
      <c r="F168" s="192"/>
      <c r="G168" s="190" t="str">
        <f>IF(COUNT(G166,G170)=2,IF(G166&gt;G170,E166,E170),"")</f>
        <v/>
      </c>
      <c r="H168" s="276"/>
      <c r="I168" s="191" t="str">
        <f>IF(G168="-",0,IF(G160="-",13,""))</f>
        <v/>
      </c>
      <c r="J168" s="174"/>
      <c r="K168" s="222"/>
    </row>
    <row r="169" spans="1:11" ht="13.5" thickBot="1" x14ac:dyDescent="0.25">
      <c r="A169" s="44"/>
      <c r="B169" s="425" t="s">
        <v>13</v>
      </c>
      <c r="C169" s="281" t="str">
        <f>IF(COUNT(C126,C128)=2,IF(C126&lt;C128,B126,B128),"")</f>
        <v/>
      </c>
      <c r="D169" s="44"/>
      <c r="E169" s="188">
        <f>IF(C169="-",0,IF(C171="-",13,""))</f>
        <v>13</v>
      </c>
      <c r="F169" s="192"/>
      <c r="G169" s="193"/>
      <c r="H169" s="174"/>
      <c r="I169" s="174"/>
      <c r="J169" s="370" t="str">
        <f>IF(COUNT(I160,I168)=2,IF(I160&lt;I168,G160,G168),"")</f>
        <v/>
      </c>
      <c r="K169" s="371"/>
    </row>
    <row r="170" spans="1:11" x14ac:dyDescent="0.2">
      <c r="A170" s="44"/>
      <c r="B170" s="429"/>
      <c r="C170" s="274"/>
      <c r="D170" s="223"/>
      <c r="E170" s="190" t="str">
        <f>IF(COUNT(E169,E171)=2,IF(E169&gt;E171,C169,C171),"")</f>
        <v/>
      </c>
      <c r="F170" s="276"/>
      <c r="G170" s="191" t="str">
        <f>IF(E170="-",0,IF(E166="-",13,""))</f>
        <v/>
      </c>
      <c r="H170" s="156"/>
      <c r="I170" s="174"/>
      <c r="J170" s="183" t="s">
        <v>211</v>
      </c>
    </row>
    <row r="171" spans="1:11" x14ac:dyDescent="0.2">
      <c r="A171" s="44"/>
      <c r="B171" s="429"/>
      <c r="C171" s="281" t="str">
        <f>IF(COUNT(C130,C132)=2,IF(C130&lt;C132,B130,B132),"")</f>
        <v>-</v>
      </c>
      <c r="D171" s="374"/>
      <c r="E171" s="191">
        <f>IF(C171="-",0,IF(C169="-",13,""))</f>
        <v>0</v>
      </c>
      <c r="F171" s="156"/>
      <c r="G171" s="174"/>
      <c r="H171" s="174"/>
      <c r="I171" s="174"/>
      <c r="J171" s="156"/>
    </row>
    <row r="172" spans="1:11" x14ac:dyDescent="0.2">
      <c r="A172" s="44"/>
      <c r="B172" s="44"/>
      <c r="C172" s="44"/>
      <c r="D172" s="44"/>
      <c r="E172" s="156"/>
      <c r="F172" s="156"/>
      <c r="G172" s="171" t="str">
        <f>IF(COUNT(G158,G162)=2,IF(G158&lt;G162,E158,E162),"")</f>
        <v/>
      </c>
      <c r="H172" s="156"/>
      <c r="I172" s="188" t="str">
        <f>IF(G172="-",0,IF(G174="-",13,""))</f>
        <v/>
      </c>
      <c r="J172" s="156"/>
    </row>
    <row r="173" spans="1:11" ht="13.5" thickBot="1" x14ac:dyDescent="0.25">
      <c r="A173" s="44"/>
      <c r="B173" s="44"/>
      <c r="C173" s="44"/>
      <c r="D173" s="44"/>
      <c r="E173" s="156"/>
      <c r="F173" s="156"/>
      <c r="G173" s="280"/>
      <c r="H173" s="224"/>
      <c r="I173" s="226"/>
      <c r="J173" s="171" t="str">
        <f>IF(COUNT(I172,I174)=2,IF(I172&gt;I174,G172,G174),"")</f>
        <v/>
      </c>
    </row>
    <row r="174" spans="1:11" x14ac:dyDescent="0.2">
      <c r="A174" s="44"/>
      <c r="B174" s="44"/>
      <c r="C174" s="44"/>
      <c r="D174" s="44"/>
      <c r="E174" s="156"/>
      <c r="F174" s="156"/>
      <c r="G174" s="281" t="str">
        <f>IF(COUNT(G166,G170)=2,IF(G166&lt;G170,E166,E170),"")</f>
        <v/>
      </c>
      <c r="H174" s="276"/>
      <c r="I174" s="436" t="str">
        <f>IF(G174="-",0,IF(G172="-",13,""))</f>
        <v/>
      </c>
      <c r="J174" s="177" t="s">
        <v>212</v>
      </c>
      <c r="K174" s="221"/>
    </row>
    <row r="175" spans="1:11" x14ac:dyDescent="0.2">
      <c r="A175" s="44"/>
      <c r="B175" s="44"/>
      <c r="C175" s="44"/>
      <c r="D175" s="156"/>
      <c r="E175" s="156"/>
      <c r="F175" s="156"/>
      <c r="G175" s="156"/>
      <c r="H175" s="156"/>
      <c r="I175" s="156"/>
      <c r="J175" s="174"/>
      <c r="K175" s="222"/>
    </row>
    <row r="176" spans="1:11" ht="13.5" thickBot="1" x14ac:dyDescent="0.25">
      <c r="A176" s="44"/>
      <c r="B176" s="44"/>
      <c r="C176" s="44"/>
      <c r="D176" s="156"/>
      <c r="E176" s="156"/>
      <c r="F176" s="156"/>
      <c r="G176" s="174"/>
      <c r="H176" s="174"/>
      <c r="I176" s="156"/>
      <c r="J176" s="370" t="str">
        <f>IF(COUNT(I172,I174)=2,IF(I172&lt;I174,G172,G174),"")</f>
        <v/>
      </c>
      <c r="K176" s="371"/>
    </row>
    <row r="177" spans="1:11" x14ac:dyDescent="0.2">
      <c r="A177" s="44"/>
      <c r="B177" s="44"/>
      <c r="C177" s="44"/>
      <c r="D177" s="156"/>
      <c r="E177" s="156"/>
      <c r="F177" s="156"/>
      <c r="G177" s="156"/>
      <c r="H177" s="156"/>
      <c r="I177" s="156"/>
      <c r="J177" s="155" t="s">
        <v>213</v>
      </c>
    </row>
    <row r="178" spans="1:11" hidden="1" x14ac:dyDescent="0.2">
      <c r="A178" s="44"/>
      <c r="B178" s="44"/>
      <c r="C178" s="44"/>
      <c r="D178" s="156"/>
      <c r="E178" s="156"/>
      <c r="F178" s="156"/>
      <c r="G178" s="156"/>
      <c r="H178" s="156"/>
      <c r="I178" s="156"/>
      <c r="J178" s="156"/>
    </row>
    <row r="179" spans="1:11" hidden="1" x14ac:dyDescent="0.2">
      <c r="A179" s="44"/>
      <c r="B179" s="44"/>
      <c r="C179" s="44"/>
      <c r="D179" s="156"/>
      <c r="E179" s="281" t="str">
        <f>IF(COUNT(E157,E159)=2,IF(E157&lt;E159,C157,C159),"")</f>
        <v>-</v>
      </c>
      <c r="F179" s="156"/>
      <c r="G179" s="188">
        <f>IF(E179="-",0,IF(E181="-",13,""))</f>
        <v>0</v>
      </c>
      <c r="H179" s="188"/>
      <c r="I179" s="188"/>
      <c r="J179" s="156"/>
    </row>
    <row r="180" spans="1:11" hidden="1" x14ac:dyDescent="0.2">
      <c r="A180" s="44"/>
      <c r="B180" s="44"/>
      <c r="C180" s="44"/>
      <c r="D180" s="156"/>
      <c r="E180" s="282"/>
      <c r="F180" s="225"/>
      <c r="G180" s="190" t="str">
        <f>IF(COUNT(G179,G181)=2,IF(G179&gt;G181,E179,E181),"")</f>
        <v>-</v>
      </c>
      <c r="H180" s="156"/>
      <c r="I180" s="188">
        <f>IF(G180="-",0,IF(G184="-",13,""))</f>
        <v>0</v>
      </c>
      <c r="J180" s="156"/>
    </row>
    <row r="181" spans="1:11" hidden="1" x14ac:dyDescent="0.2">
      <c r="A181" s="44"/>
      <c r="B181" s="44"/>
      <c r="C181" s="44"/>
      <c r="D181" s="156"/>
      <c r="E181" s="281" t="str">
        <f>IF(COUNT(E161,E163)=2,IF(E161&lt;E163,C161,C163),"")</f>
        <v>-</v>
      </c>
      <c r="F181" s="283"/>
      <c r="G181" s="191">
        <f>IF(E181="-",0,IF(E179="-",13,""))</f>
        <v>0</v>
      </c>
      <c r="H181" s="225"/>
      <c r="I181" s="156"/>
      <c r="J181" s="156"/>
    </row>
    <row r="182" spans="1:11" hidden="1" x14ac:dyDescent="0.2">
      <c r="A182" s="44"/>
      <c r="B182" s="44"/>
      <c r="C182" s="44"/>
      <c r="D182" s="156"/>
      <c r="E182" s="188"/>
      <c r="F182" s="188"/>
      <c r="G182" s="195"/>
      <c r="H182" s="196"/>
      <c r="I182" s="226" t="str">
        <f>IF(COUNT(I180,I184)=2,IF(I180&gt;I184,G180,G184),"")</f>
        <v>-</v>
      </c>
      <c r="J182" s="171" t="str">
        <f>IF(COUNT(I180,I184)=2,IF(I180&gt;I184,G180,G184),"")</f>
        <v>-</v>
      </c>
    </row>
    <row r="183" spans="1:11" hidden="1" x14ac:dyDescent="0.2">
      <c r="A183" s="44"/>
      <c r="B183" s="44"/>
      <c r="C183" s="44"/>
      <c r="D183" s="156"/>
      <c r="E183" s="281" t="str">
        <f>IF(COUNT(E165,E167)=2,IF(E165&lt;E167,C165,C167),"")</f>
        <v>-</v>
      </c>
      <c r="F183" s="188"/>
      <c r="G183" s="188">
        <f>IF(E183="-",0,IF(E185="-",13,""))</f>
        <v>0</v>
      </c>
      <c r="H183" s="196"/>
      <c r="I183" s="194"/>
      <c r="J183" s="177"/>
      <c r="K183" s="221"/>
    </row>
    <row r="184" spans="1:11" hidden="1" x14ac:dyDescent="0.2">
      <c r="A184" s="44"/>
      <c r="B184" s="44"/>
      <c r="C184" s="44"/>
      <c r="D184" s="156"/>
      <c r="E184" s="282"/>
      <c r="F184" s="225"/>
      <c r="G184" s="190" t="str">
        <f>IF(COUNT(G183,G185)=2,IF(G183&gt;G185,E183,E185),"")</f>
        <v>-</v>
      </c>
      <c r="H184" s="276"/>
      <c r="I184" s="191">
        <f>IF(G184="-",0,IF(G180="-",13,""))</f>
        <v>0</v>
      </c>
      <c r="J184" s="174"/>
      <c r="K184" s="222"/>
    </row>
    <row r="185" spans="1:11" ht="13.5" hidden="1" thickBot="1" x14ac:dyDescent="0.25">
      <c r="A185" s="44"/>
      <c r="B185" s="44"/>
      <c r="C185" s="44"/>
      <c r="D185" s="156"/>
      <c r="E185" s="281" t="str">
        <f>IF(COUNT(E169,E171)=2,IF(E169&lt;E171,C169,C171),"")</f>
        <v>-</v>
      </c>
      <c r="F185" s="283"/>
      <c r="G185" s="191">
        <f>IF(E185="-",0,IF(E183="-",13,""))</f>
        <v>0</v>
      </c>
      <c r="H185" s="188"/>
      <c r="I185" s="195"/>
      <c r="J185" s="370" t="str">
        <f>IF(COUNT(I180,I184)=2,IF(I180&lt;I184,G180,G184),"")</f>
        <v>-</v>
      </c>
      <c r="K185" s="371"/>
    </row>
    <row r="186" spans="1:11" hidden="1" x14ac:dyDescent="0.2">
      <c r="A186" s="44"/>
      <c r="B186" s="44"/>
      <c r="C186" s="44"/>
      <c r="D186" s="156"/>
      <c r="E186" s="188"/>
      <c r="F186" s="188"/>
      <c r="G186" s="188"/>
      <c r="H186" s="188"/>
      <c r="I186" s="195"/>
      <c r="J186" s="155"/>
    </row>
    <row r="187" spans="1:11" hidden="1" x14ac:dyDescent="0.2">
      <c r="A187" s="44"/>
      <c r="B187" s="44"/>
      <c r="C187" s="44"/>
      <c r="D187" s="156"/>
      <c r="E187" s="188"/>
      <c r="F187" s="195"/>
      <c r="G187" s="171" t="str">
        <f>IF(COUNT(G179,G181)=2,IF(G179&lt;G181,E179,E181),"")</f>
        <v>-</v>
      </c>
      <c r="H187" s="156"/>
      <c r="I187" s="195">
        <f>IF(G187="-",0,IF(G189="-",13,""))</f>
        <v>0</v>
      </c>
      <c r="J187" s="174"/>
    </row>
    <row r="188" spans="1:11" ht="13.5" hidden="1" thickBot="1" x14ac:dyDescent="0.25">
      <c r="A188" s="44"/>
      <c r="B188" s="44"/>
      <c r="C188" s="44"/>
      <c r="D188" s="156"/>
      <c r="E188" s="188"/>
      <c r="F188" s="195"/>
      <c r="G188" s="280"/>
      <c r="H188" s="224"/>
      <c r="I188" s="372" t="str">
        <f>IF(COUNT(I187,I189)=2,IF(I187&gt;I189,G187,G189),"")</f>
        <v>-</v>
      </c>
      <c r="J188" s="171" t="str">
        <f>IF(COUNT(I187,I189)=2,IF(I187&gt;I189,G187,G189),"")</f>
        <v>-</v>
      </c>
    </row>
    <row r="189" spans="1:11" hidden="1" x14ac:dyDescent="0.2">
      <c r="A189" s="44"/>
      <c r="B189" s="44"/>
      <c r="C189" s="44"/>
      <c r="D189" s="156"/>
      <c r="E189" s="188"/>
      <c r="F189" s="195"/>
      <c r="G189" s="281" t="str">
        <f>IF(COUNT(G183,G185)=2,IF(G183&lt;G185,E183,E185),"")</f>
        <v>-</v>
      </c>
      <c r="H189" s="276"/>
      <c r="I189" s="191">
        <f>IF(G189="-",0,IF(G187="-",13,""))</f>
        <v>0</v>
      </c>
      <c r="J189" s="177"/>
      <c r="K189" s="221"/>
    </row>
    <row r="190" spans="1:11" hidden="1" x14ac:dyDescent="0.2">
      <c r="A190" s="44"/>
      <c r="B190" s="44"/>
      <c r="C190" s="44"/>
      <c r="D190" s="156"/>
      <c r="E190" s="156"/>
      <c r="F190" s="174"/>
      <c r="G190" s="156"/>
      <c r="H190" s="156"/>
      <c r="I190" s="156"/>
      <c r="J190" s="174"/>
      <c r="K190" s="222"/>
    </row>
    <row r="191" spans="1:11" ht="13.5" hidden="1" thickBot="1" x14ac:dyDescent="0.25">
      <c r="A191" s="44"/>
      <c r="B191" s="44"/>
      <c r="C191" s="44"/>
      <c r="D191" s="156"/>
      <c r="E191" s="156"/>
      <c r="F191" s="156"/>
      <c r="G191" s="174"/>
      <c r="H191" s="174"/>
      <c r="I191" s="156"/>
      <c r="J191" s="373" t="str">
        <f>IF(COUNT(I187,I189)=2,IF(I187&lt;I189,G187,G189),"")</f>
        <v>-</v>
      </c>
      <c r="K191" s="371"/>
    </row>
    <row r="192" spans="1:11" hidden="1" x14ac:dyDescent="0.2">
      <c r="A192" s="44"/>
      <c r="B192" s="44"/>
      <c r="C192" s="44"/>
      <c r="D192" s="156"/>
      <c r="E192" s="156"/>
      <c r="F192" s="156"/>
      <c r="G192" s="174"/>
      <c r="H192" s="174"/>
      <c r="I192" s="156"/>
      <c r="J192" s="155"/>
    </row>
    <row r="193" spans="1:11" x14ac:dyDescent="0.2">
      <c r="A193" s="44"/>
      <c r="B193" s="44"/>
      <c r="C193" s="44"/>
      <c r="D193" s="44"/>
      <c r="E193" s="44"/>
      <c r="F193" s="44"/>
      <c r="G193" s="44"/>
      <c r="H193" s="44"/>
      <c r="I193" s="44"/>
      <c r="J193" s="44"/>
    </row>
    <row r="194" spans="1:11" x14ac:dyDescent="0.2">
      <c r="A194" s="219" t="s">
        <v>261</v>
      </c>
      <c r="B194" s="44"/>
      <c r="C194" s="44"/>
      <c r="D194" s="44"/>
      <c r="E194" s="44"/>
      <c r="F194" s="44"/>
      <c r="G194" s="44"/>
      <c r="H194" s="44"/>
      <c r="I194" s="44"/>
      <c r="J194" s="44"/>
    </row>
    <row r="195" spans="1:11" x14ac:dyDescent="0.2">
      <c r="A195" s="44"/>
      <c r="B195" s="44"/>
      <c r="C195" s="44"/>
      <c r="D195" s="44"/>
      <c r="E195" s="44"/>
      <c r="F195" s="44"/>
      <c r="G195" s="44"/>
      <c r="H195" s="44"/>
      <c r="I195" s="44"/>
      <c r="J195" s="44"/>
    </row>
    <row r="196" spans="1:11" x14ac:dyDescent="0.2">
      <c r="B196" s="220" t="s">
        <v>205</v>
      </c>
      <c r="C196" s="369" t="str">
        <f>IF(B196="-","-",IFERROR(INDEX(B$1:B$100,MATCH(B196,I$1:I$100,0)),""))</f>
        <v/>
      </c>
      <c r="D196" s="44"/>
      <c r="E196" s="188">
        <f>IF(C196="-",0,IF(C198="-",13,""))</f>
        <v>13</v>
      </c>
      <c r="F196" s="156"/>
      <c r="G196" s="156"/>
      <c r="H196" s="156"/>
      <c r="I196" s="156"/>
      <c r="J196" s="156"/>
    </row>
    <row r="197" spans="1:11" x14ac:dyDescent="0.2">
      <c r="B197" s="220"/>
      <c r="C197" s="274"/>
      <c r="D197" s="223"/>
      <c r="E197" s="190" t="str">
        <f>IF(COUNT(E196,E198)=2,IF(E196&gt;E198,C196,C198),"")</f>
        <v/>
      </c>
      <c r="F197" s="156"/>
      <c r="G197" s="188" t="str">
        <f>IF(E197="-",0,IF(E201="-",13,""))</f>
        <v/>
      </c>
      <c r="H197" s="156"/>
      <c r="I197" s="156"/>
      <c r="J197" s="156"/>
    </row>
    <row r="198" spans="1:11" x14ac:dyDescent="0.2">
      <c r="B198" s="220" t="s">
        <v>207</v>
      </c>
      <c r="C198" s="369" t="str">
        <f>IF(B198="-","-",IFERROR(INDEX(B$1:B$100,MATCH(B198,I$1:I$100,0)),""))</f>
        <v>-</v>
      </c>
      <c r="D198" s="374"/>
      <c r="E198" s="191">
        <f>IF(C198="-",0,IF(C196="-",13,""))</f>
        <v>0</v>
      </c>
      <c r="F198" s="224"/>
      <c r="G198" s="156"/>
      <c r="H198" s="156"/>
      <c r="I198" s="156"/>
      <c r="J198" s="156"/>
    </row>
    <row r="199" spans="1:11" x14ac:dyDescent="0.2">
      <c r="B199" s="220"/>
      <c r="C199" s="179"/>
      <c r="D199" s="44"/>
      <c r="E199" s="156"/>
      <c r="F199" s="192"/>
      <c r="G199" s="190" t="str">
        <f>IF(COUNT(G197,G201)=2,IF(G197&gt;G201,E197,E201),"")</f>
        <v/>
      </c>
      <c r="H199" s="156"/>
      <c r="I199" s="188" t="str">
        <f>IF(G199="-",0,IF(G207="-",13,""))</f>
        <v/>
      </c>
      <c r="J199" s="156"/>
    </row>
    <row r="200" spans="1:11" x14ac:dyDescent="0.2">
      <c r="B200" s="220" t="s">
        <v>229</v>
      </c>
      <c r="C200" s="369" t="str">
        <f>IF(B200="-","-",IFERROR(INDEX(B$1:B$100,MATCH(B200,I$1:I$100,0)),""))</f>
        <v/>
      </c>
      <c r="D200" s="44"/>
      <c r="E200" s="188" t="str">
        <f>IF(C200="-",0,IF(C202="-",13,""))</f>
        <v/>
      </c>
      <c r="F200" s="192"/>
      <c r="G200" s="193"/>
      <c r="H200" s="224"/>
      <c r="I200" s="156"/>
      <c r="J200" s="156"/>
    </row>
    <row r="201" spans="1:11" x14ac:dyDescent="0.2">
      <c r="B201" s="220"/>
      <c r="C201" s="274"/>
      <c r="D201" s="430" t="s">
        <v>23</v>
      </c>
      <c r="E201" s="190" t="str">
        <f>IF(COUNT(E200,E202)=2,IF(E200&gt;E202,C200,C202),"")</f>
        <v/>
      </c>
      <c r="F201" s="276"/>
      <c r="G201" s="191" t="str">
        <f>IF(E201="-",0,IF(E197="-",13,""))</f>
        <v/>
      </c>
      <c r="H201" s="192"/>
      <c r="I201" s="156"/>
      <c r="J201" s="156"/>
    </row>
    <row r="202" spans="1:11" x14ac:dyDescent="0.2">
      <c r="B202" s="220" t="s">
        <v>210</v>
      </c>
      <c r="C202" s="369" t="str">
        <f>IF(B202="-","-",IFERROR(INDEX(B$1:B$100,MATCH(B202,I$1:I$100,0)),""))</f>
        <v/>
      </c>
      <c r="D202" s="374"/>
      <c r="E202" s="191" t="str">
        <f>IF(C202="-",0,IF(C200="-",13,""))</f>
        <v/>
      </c>
      <c r="F202" s="156"/>
      <c r="G202" s="174"/>
      <c r="H202" s="192"/>
      <c r="I202" s="156"/>
      <c r="J202" s="156"/>
    </row>
    <row r="203" spans="1:11" ht="13.5" thickBot="1" x14ac:dyDescent="0.25">
      <c r="B203" s="220"/>
      <c r="C203" s="179"/>
      <c r="D203" s="44"/>
      <c r="E203" s="156"/>
      <c r="F203" s="156"/>
      <c r="G203" s="174"/>
      <c r="H203" s="192"/>
      <c r="I203" s="156"/>
      <c r="J203" s="171" t="str">
        <f>IF(COUNT(I199,I207)=2,IF(I199&gt;I207,G199,G207),"")</f>
        <v/>
      </c>
    </row>
    <row r="204" spans="1:11" x14ac:dyDescent="0.2">
      <c r="B204" s="220" t="s">
        <v>208</v>
      </c>
      <c r="C204" s="369" t="str">
        <f>IF(B204="-","-",IFERROR(INDEX(B$1:B$100,MATCH(B204,I$1:I$100,0)),""))</f>
        <v/>
      </c>
      <c r="D204" s="44"/>
      <c r="E204" s="188" t="str">
        <f>IF(C204="-",0,IF(C206="-",13,""))</f>
        <v/>
      </c>
      <c r="F204" s="156"/>
      <c r="G204" s="156"/>
      <c r="H204" s="192"/>
      <c r="I204" s="194"/>
      <c r="J204" s="177" t="s">
        <v>214</v>
      </c>
      <c r="K204" s="221"/>
    </row>
    <row r="205" spans="1:11" x14ac:dyDescent="0.2">
      <c r="B205" s="220"/>
      <c r="C205" s="274"/>
      <c r="D205" s="430" t="s">
        <v>24</v>
      </c>
      <c r="E205" s="190" t="str">
        <f>IF(COUNT(E204,E206)=2,IF(E204&gt;E206,C204,C206),"")</f>
        <v/>
      </c>
      <c r="F205" s="156"/>
      <c r="G205" s="188" t="str">
        <f>IF(E205="-",0,IF(E209="-",13,""))</f>
        <v/>
      </c>
      <c r="H205" s="192"/>
      <c r="I205" s="174"/>
      <c r="J205" s="174"/>
      <c r="K205" s="222"/>
    </row>
    <row r="206" spans="1:11" x14ac:dyDescent="0.2">
      <c r="B206" s="220" t="s">
        <v>230</v>
      </c>
      <c r="C206" s="369" t="str">
        <f>IF(B206="-","-",IFERROR(INDEX(B$1:B$100,MATCH(B206,I$1:I$100,0)),""))</f>
        <v/>
      </c>
      <c r="D206" s="374"/>
      <c r="E206" s="191" t="str">
        <f>IF(C206="-",0,IF(C204="-",13,""))</f>
        <v/>
      </c>
      <c r="F206" s="224"/>
      <c r="G206" s="156"/>
      <c r="H206" s="192"/>
      <c r="I206" s="174"/>
      <c r="J206" s="174"/>
      <c r="K206" s="222"/>
    </row>
    <row r="207" spans="1:11" x14ac:dyDescent="0.2">
      <c r="B207" s="220"/>
      <c r="C207" s="179"/>
      <c r="D207" s="44"/>
      <c r="E207" s="156"/>
      <c r="F207" s="192"/>
      <c r="G207" s="190" t="str">
        <f>IF(COUNT(G205,G209)=2,IF(G205&gt;G209,E205,E209),"")</f>
        <v/>
      </c>
      <c r="H207" s="276"/>
      <c r="I207" s="191" t="str">
        <f>IF(G207="-",0,IF(G199="-",13,""))</f>
        <v/>
      </c>
      <c r="J207" s="174"/>
      <c r="K207" s="222"/>
    </row>
    <row r="208" spans="1:11" ht="13.5" thickBot="1" x14ac:dyDescent="0.25">
      <c r="B208" s="220" t="s">
        <v>207</v>
      </c>
      <c r="C208" s="369" t="str">
        <f>IF(B208="-","-",IFERROR(INDEX(B$1:B$100,MATCH(B208,I$1:I$100,0)),""))</f>
        <v>-</v>
      </c>
      <c r="D208" s="44"/>
      <c r="E208" s="188">
        <f>IF(C208="-",0,IF(C210="-",13,""))</f>
        <v>0</v>
      </c>
      <c r="F208" s="192"/>
      <c r="G208" s="193"/>
      <c r="H208" s="174"/>
      <c r="I208" s="174"/>
      <c r="J208" s="370" t="str">
        <f>IF(COUNT(I199,I207)=2,IF(I199&lt;I207,G199,G207),"")</f>
        <v/>
      </c>
      <c r="K208" s="371"/>
    </row>
    <row r="209" spans="2:11" x14ac:dyDescent="0.2">
      <c r="B209" s="220"/>
      <c r="C209" s="274"/>
      <c r="D209" s="223"/>
      <c r="E209" s="190" t="str">
        <f>IF(COUNT(E208,E210)=2,IF(E208&gt;E210,C208,C210),"")</f>
        <v/>
      </c>
      <c r="F209" s="276"/>
      <c r="G209" s="191" t="str">
        <f>IF(E209="-",0,IF(E205="-",13,""))</f>
        <v/>
      </c>
      <c r="H209" s="156"/>
      <c r="I209" s="174"/>
      <c r="J209" s="183" t="s">
        <v>215</v>
      </c>
    </row>
    <row r="210" spans="2:11" x14ac:dyDescent="0.2">
      <c r="B210" s="220" t="s">
        <v>206</v>
      </c>
      <c r="C210" s="369" t="str">
        <f>IF(B210="-","-",IFERROR(INDEX(B$1:B$100,MATCH(B210,I$1:I$100,0)),""))</f>
        <v/>
      </c>
      <c r="D210" s="374"/>
      <c r="E210" s="191">
        <f>IF(C210="-",0,IF(C208="-",13,""))</f>
        <v>13</v>
      </c>
      <c r="F210" s="156"/>
      <c r="G210" s="174"/>
      <c r="H210" s="174"/>
      <c r="I210" s="174"/>
      <c r="J210" s="156"/>
    </row>
    <row r="211" spans="2:11" x14ac:dyDescent="0.2">
      <c r="C211" s="44"/>
      <c r="D211" s="44"/>
      <c r="E211" s="156"/>
      <c r="F211" s="156"/>
      <c r="G211" s="171" t="str">
        <f>IF(COUNT(G197,G201)=2,IF(G197&lt;G201,E197,E201),"")</f>
        <v/>
      </c>
      <c r="H211" s="156"/>
      <c r="I211" s="188" t="str">
        <f>IF(G211="-",0,IF(G213="-",13,""))</f>
        <v/>
      </c>
      <c r="J211" s="156"/>
    </row>
    <row r="212" spans="2:11" ht="13.5" thickBot="1" x14ac:dyDescent="0.25">
      <c r="C212" s="44"/>
      <c r="D212" s="44"/>
      <c r="E212" s="156"/>
      <c r="F212" s="156"/>
      <c r="G212" s="280"/>
      <c r="H212" s="224"/>
      <c r="I212" s="226"/>
      <c r="J212" s="171" t="str">
        <f>IF(COUNT(I211,I213)=2,IF(I211&gt;I213,G211,G213),"")</f>
        <v/>
      </c>
    </row>
    <row r="213" spans="2:11" x14ac:dyDescent="0.2">
      <c r="C213" s="44"/>
      <c r="D213" s="44"/>
      <c r="E213" s="156"/>
      <c r="F213" s="156"/>
      <c r="G213" s="281" t="str">
        <f>IF(COUNT(G205,G209)=2,IF(G205&lt;G209,E205,E209),"")</f>
        <v/>
      </c>
      <c r="H213" s="276"/>
      <c r="I213" s="436" t="str">
        <f>IF(G213="-",0,IF(G211="-",13,""))</f>
        <v/>
      </c>
      <c r="J213" s="177" t="s">
        <v>218</v>
      </c>
      <c r="K213" s="221"/>
    </row>
    <row r="214" spans="2:11" x14ac:dyDescent="0.2">
      <c r="C214" s="44"/>
      <c r="D214" s="156"/>
      <c r="E214" s="156"/>
      <c r="F214" s="156"/>
      <c r="G214" s="156"/>
      <c r="H214" s="156"/>
      <c r="I214" s="174"/>
      <c r="J214" s="174"/>
      <c r="K214" s="222"/>
    </row>
    <row r="215" spans="2:11" ht="13.5" thickBot="1" x14ac:dyDescent="0.25">
      <c r="C215" s="44"/>
      <c r="D215" s="156"/>
      <c r="E215" s="156"/>
      <c r="F215" s="156"/>
      <c r="G215" s="174"/>
      <c r="H215" s="174"/>
      <c r="I215" s="174"/>
      <c r="J215" s="200" t="str">
        <f>IF(COUNT(I211,I213)=2,IF(I211&lt;I213,G211,G213),"")</f>
        <v/>
      </c>
      <c r="K215" s="371"/>
    </row>
    <row r="216" spans="2:11" x14ac:dyDescent="0.2">
      <c r="C216" s="44"/>
      <c r="D216" s="156"/>
      <c r="E216" s="156"/>
      <c r="F216" s="156"/>
      <c r="G216" s="156"/>
      <c r="H216" s="156"/>
      <c r="I216" s="174"/>
      <c r="J216" s="183" t="s">
        <v>219</v>
      </c>
    </row>
    <row r="217" spans="2:11" x14ac:dyDescent="0.2">
      <c r="C217" s="44"/>
      <c r="D217" s="156"/>
      <c r="E217" s="156"/>
      <c r="F217" s="156"/>
      <c r="G217" s="156"/>
      <c r="H217" s="156"/>
      <c r="I217" s="174"/>
      <c r="J217" s="174"/>
    </row>
    <row r="218" spans="2:11" x14ac:dyDescent="0.2">
      <c r="C218" s="44"/>
      <c r="D218" s="156"/>
      <c r="E218" s="281" t="str">
        <f>IF(COUNT(E196,E198)=2,IF(E196&lt;E198,C196,C198),"")</f>
        <v>-</v>
      </c>
      <c r="F218" s="156"/>
      <c r="G218" s="188">
        <f>IF(E218="-",0,IF(E220="-",13,""))</f>
        <v>0</v>
      </c>
      <c r="H218" s="188"/>
      <c r="I218" s="195"/>
      <c r="J218" s="174"/>
    </row>
    <row r="219" spans="2:11" x14ac:dyDescent="0.2">
      <c r="C219" s="44"/>
      <c r="D219" s="156"/>
      <c r="E219" s="282"/>
      <c r="F219" s="225"/>
      <c r="G219" s="190" t="str">
        <f>IF(COUNT(G218,G220)=2,IF(G218&gt;G220,E218,E220),"")</f>
        <v/>
      </c>
      <c r="H219" s="156"/>
      <c r="I219" s="195" t="str">
        <f>IF(G219="-",0,IF(G223="-",13,""))</f>
        <v/>
      </c>
      <c r="J219" s="174"/>
    </row>
    <row r="220" spans="2:11" x14ac:dyDescent="0.2">
      <c r="C220" s="44"/>
      <c r="D220" s="431" t="s">
        <v>23</v>
      </c>
      <c r="E220" s="281" t="str">
        <f>IF(COUNT(E200,E202)=2,IF(E200&lt;E202,C200,C202),"")</f>
        <v/>
      </c>
      <c r="F220" s="283"/>
      <c r="G220" s="191">
        <f>IF(E220="-",0,IF(E218="-",13,""))</f>
        <v>13</v>
      </c>
      <c r="H220" s="225"/>
      <c r="I220" s="174"/>
      <c r="J220" s="174"/>
    </row>
    <row r="221" spans="2:11" ht="13.5" thickBot="1" x14ac:dyDescent="0.25">
      <c r="C221" s="44"/>
      <c r="D221" s="156"/>
      <c r="E221" s="188"/>
      <c r="F221" s="188"/>
      <c r="G221" s="195"/>
      <c r="H221" s="196"/>
      <c r="I221" s="372"/>
      <c r="J221" s="200" t="str">
        <f>IF(COUNT(I219,I223)=2,IF(I219&gt;I223,G219,G223),"")</f>
        <v/>
      </c>
    </row>
    <row r="222" spans="2:11" x14ac:dyDescent="0.2">
      <c r="C222" s="44"/>
      <c r="D222" s="431" t="s">
        <v>24</v>
      </c>
      <c r="E222" s="281" t="str">
        <f>IF(COUNT(E204,E206)=2,IF(E204&lt;E206,C204,C206),"")</f>
        <v/>
      </c>
      <c r="F222" s="188"/>
      <c r="G222" s="188">
        <f>IF(E222="-",0,IF(E224="-",13,""))</f>
        <v>13</v>
      </c>
      <c r="H222" s="196"/>
      <c r="I222" s="432"/>
      <c r="J222" s="183" t="s">
        <v>220</v>
      </c>
      <c r="K222" s="221"/>
    </row>
    <row r="223" spans="2:11" x14ac:dyDescent="0.2">
      <c r="C223" s="44"/>
      <c r="D223" s="156"/>
      <c r="E223" s="282"/>
      <c r="F223" s="225"/>
      <c r="G223" s="190" t="str">
        <f>IF(COUNT(G222,G224)=2,IF(G222&gt;G224,E222,E224),"")</f>
        <v/>
      </c>
      <c r="H223" s="276"/>
      <c r="I223" s="191" t="str">
        <f>IF(G223="-",0,IF(G219="-",13,""))</f>
        <v/>
      </c>
      <c r="J223" s="174"/>
      <c r="K223" s="222"/>
    </row>
    <row r="224" spans="2:11" ht="13.5" thickBot="1" x14ac:dyDescent="0.25">
      <c r="C224" s="44"/>
      <c r="D224" s="156"/>
      <c r="E224" s="281" t="str">
        <f>IF(COUNT(E208,E210)=2,IF(E208&lt;E210,C208,C210),"")</f>
        <v>-</v>
      </c>
      <c r="F224" s="283"/>
      <c r="G224" s="191">
        <f>IF(E224="-",0,IF(E222="-",13,""))</f>
        <v>0</v>
      </c>
      <c r="H224" s="188"/>
      <c r="I224" s="195"/>
      <c r="J224" s="370" t="str">
        <f>IF(COUNT(I219,I223)=2,IF(I219&lt;I223,G219,G223),"")</f>
        <v/>
      </c>
      <c r="K224" s="371"/>
    </row>
    <row r="225" spans="3:11" x14ac:dyDescent="0.2">
      <c r="C225" s="44"/>
      <c r="D225" s="156"/>
      <c r="E225" s="188"/>
      <c r="F225" s="188"/>
      <c r="G225" s="188"/>
      <c r="H225" s="188"/>
      <c r="I225" s="195"/>
      <c r="J225" s="155" t="s">
        <v>221</v>
      </c>
    </row>
    <row r="226" spans="3:11" x14ac:dyDescent="0.2">
      <c r="C226" s="44"/>
      <c r="D226" s="156"/>
      <c r="E226" s="188"/>
      <c r="F226" s="195"/>
      <c r="G226" s="171" t="str">
        <f>IF(COUNT(G218,G220)=2,IF(G218&lt;G220,E218,E220),"")</f>
        <v>-</v>
      </c>
      <c r="H226" s="156"/>
      <c r="I226" s="188">
        <f>IF(G226="-",0,IF(G228="-",13,""))</f>
        <v>0</v>
      </c>
      <c r="J226" s="174"/>
    </row>
    <row r="227" spans="3:11" ht="13.5" thickBot="1" x14ac:dyDescent="0.25">
      <c r="C227" s="44"/>
      <c r="D227" s="156"/>
      <c r="E227" s="188"/>
      <c r="F227" s="195"/>
      <c r="G227" s="280"/>
      <c r="H227" s="224"/>
      <c r="I227" s="226"/>
      <c r="J227" s="171" t="str">
        <f>IF(COUNT(I226,I228)=2,IF(I226&gt;I228,G226,G228),"")</f>
        <v>-</v>
      </c>
    </row>
    <row r="228" spans="3:11" x14ac:dyDescent="0.2">
      <c r="C228" s="44"/>
      <c r="D228" s="156"/>
      <c r="E228" s="188"/>
      <c r="F228" s="195"/>
      <c r="G228" s="281" t="str">
        <f>IF(COUNT(G222,G224)=2,IF(G222&lt;G224,E222,E224),"")</f>
        <v>-</v>
      </c>
      <c r="H228" s="276"/>
      <c r="I228" s="436">
        <f>IF(G228="-",0,IF(G226="-",13,""))</f>
        <v>0</v>
      </c>
      <c r="J228" s="177"/>
      <c r="K228" s="221"/>
    </row>
    <row r="229" spans="3:11" x14ac:dyDescent="0.2">
      <c r="C229" s="44"/>
      <c r="D229" s="156"/>
      <c r="E229" s="156"/>
      <c r="F229" s="174"/>
      <c r="G229" s="156"/>
      <c r="H229" s="156"/>
      <c r="I229" s="156"/>
      <c r="J229" s="174"/>
      <c r="K229" s="222"/>
    </row>
    <row r="230" spans="3:11" ht="13.5" thickBot="1" x14ac:dyDescent="0.25">
      <c r="C230" s="44"/>
      <c r="D230" s="156"/>
      <c r="E230" s="156"/>
      <c r="F230" s="156"/>
      <c r="G230" s="174"/>
      <c r="H230" s="174"/>
      <c r="I230" s="156"/>
      <c r="J230" s="373" t="str">
        <f>IF(COUNT(I226,I228)=2,IF(I226&lt;I228,G226,G228),"")</f>
        <v>-</v>
      </c>
      <c r="K230" s="371"/>
    </row>
    <row r="231" spans="3:11" x14ac:dyDescent="0.2">
      <c r="C231" s="44"/>
      <c r="D231" s="156"/>
      <c r="E231" s="156"/>
      <c r="F231" s="156"/>
      <c r="G231" s="174"/>
      <c r="H231" s="174"/>
      <c r="I231" s="156"/>
      <c r="J231" s="155"/>
    </row>
    <row r="232" spans="3:11" hidden="1" x14ac:dyDescent="0.2"/>
    <row r="233" spans="3:11" hidden="1" x14ac:dyDescent="0.2"/>
    <row r="234" spans="3:11" hidden="1" x14ac:dyDescent="0.2"/>
    <row r="235" spans="3:11" hidden="1" x14ac:dyDescent="0.2"/>
    <row r="236" spans="3:11" hidden="1" x14ac:dyDescent="0.2"/>
    <row r="237" spans="3:11" hidden="1" x14ac:dyDescent="0.2"/>
    <row r="238" spans="3:11" hidden="1" x14ac:dyDescent="0.2"/>
    <row r="239" spans="3:11" hidden="1" x14ac:dyDescent="0.2"/>
    <row r="240" spans="3:11"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3" hidden="1" x14ac:dyDescent="0.2"/>
    <row r="290" spans="1:3" hidden="1" x14ac:dyDescent="0.2"/>
    <row r="291" spans="1:3" hidden="1" x14ac:dyDescent="0.2"/>
    <row r="292" spans="1:3" hidden="1" x14ac:dyDescent="0.2"/>
    <row r="293" spans="1:3" hidden="1" x14ac:dyDescent="0.2"/>
    <row r="294" spans="1:3" hidden="1" x14ac:dyDescent="0.2"/>
    <row r="295" spans="1:3" hidden="1" x14ac:dyDescent="0.2"/>
    <row r="296" spans="1:3" hidden="1" x14ac:dyDescent="0.2"/>
    <row r="297" spans="1:3" hidden="1" x14ac:dyDescent="0.2"/>
    <row r="299" spans="1:3" x14ac:dyDescent="0.2">
      <c r="A299" s="158"/>
      <c r="B299" s="158"/>
      <c r="C299" s="229" t="s">
        <v>231</v>
      </c>
    </row>
    <row r="300" spans="1:3" x14ac:dyDescent="0.2">
      <c r="A300" s="351">
        <v>1</v>
      </c>
      <c r="B300" s="350" t="str">
        <f t="shared" ref="B300:B317" si="11">IFERROR(INDEX(J$100:J$300,MATCH(A300&amp;". koht",J$101:J$301,0)),"")</f>
        <v/>
      </c>
      <c r="C300" s="323">
        <f t="shared" ref="C300:C317" si="12">IF(21-A300&gt;0,21-A300,1)</f>
        <v>20</v>
      </c>
    </row>
    <row r="301" spans="1:3" x14ac:dyDescent="0.2">
      <c r="A301" s="351">
        <v>2</v>
      </c>
      <c r="B301" s="350" t="str">
        <f t="shared" si="11"/>
        <v/>
      </c>
      <c r="C301" s="323">
        <f t="shared" si="12"/>
        <v>19</v>
      </c>
    </row>
    <row r="302" spans="1:3" x14ac:dyDescent="0.2">
      <c r="A302" s="351">
        <v>3</v>
      </c>
      <c r="B302" s="350" t="str">
        <f t="shared" si="11"/>
        <v/>
      </c>
      <c r="C302" s="323">
        <f t="shared" si="12"/>
        <v>18</v>
      </c>
    </row>
    <row r="303" spans="1:3" x14ac:dyDescent="0.2">
      <c r="A303" s="351">
        <v>4</v>
      </c>
      <c r="B303" s="350" t="str">
        <f t="shared" si="11"/>
        <v/>
      </c>
      <c r="C303" s="323">
        <f t="shared" si="12"/>
        <v>17</v>
      </c>
    </row>
    <row r="304" spans="1:3" x14ac:dyDescent="0.2">
      <c r="A304" s="351">
        <v>5</v>
      </c>
      <c r="B304" s="350" t="str">
        <f t="shared" si="11"/>
        <v/>
      </c>
      <c r="C304" s="323">
        <f t="shared" si="12"/>
        <v>16</v>
      </c>
    </row>
    <row r="305" spans="1:3" x14ac:dyDescent="0.2">
      <c r="A305" s="351">
        <v>6</v>
      </c>
      <c r="B305" s="350" t="str">
        <f t="shared" si="11"/>
        <v/>
      </c>
      <c r="C305" s="323">
        <f t="shared" si="12"/>
        <v>15</v>
      </c>
    </row>
    <row r="306" spans="1:3" x14ac:dyDescent="0.2">
      <c r="A306" s="351">
        <v>7</v>
      </c>
      <c r="B306" s="350" t="str">
        <f t="shared" si="11"/>
        <v/>
      </c>
      <c r="C306" s="323">
        <f t="shared" si="12"/>
        <v>14</v>
      </c>
    </row>
    <row r="307" spans="1:3" x14ac:dyDescent="0.2">
      <c r="A307" s="351">
        <v>8</v>
      </c>
      <c r="B307" s="350" t="str">
        <f t="shared" si="11"/>
        <v/>
      </c>
      <c r="C307" s="323">
        <f t="shared" si="12"/>
        <v>13</v>
      </c>
    </row>
    <row r="308" spans="1:3" x14ac:dyDescent="0.2">
      <c r="A308" s="351">
        <v>9</v>
      </c>
      <c r="B308" s="350" t="str">
        <f t="shared" si="11"/>
        <v/>
      </c>
      <c r="C308" s="323">
        <f t="shared" si="12"/>
        <v>12</v>
      </c>
    </row>
    <row r="309" spans="1:3" x14ac:dyDescent="0.2">
      <c r="A309" s="351">
        <v>10</v>
      </c>
      <c r="B309" s="350" t="str">
        <f t="shared" si="11"/>
        <v/>
      </c>
      <c r="C309" s="323">
        <f t="shared" si="12"/>
        <v>11</v>
      </c>
    </row>
    <row r="310" spans="1:3" x14ac:dyDescent="0.2">
      <c r="A310" s="351">
        <v>11</v>
      </c>
      <c r="B310" s="350" t="str">
        <f t="shared" si="11"/>
        <v/>
      </c>
      <c r="C310" s="323">
        <f t="shared" si="12"/>
        <v>10</v>
      </c>
    </row>
    <row r="311" spans="1:3" x14ac:dyDescent="0.2">
      <c r="A311" s="351">
        <v>12</v>
      </c>
      <c r="B311" s="350" t="str">
        <f t="shared" si="11"/>
        <v/>
      </c>
      <c r="C311" s="323">
        <f t="shared" si="12"/>
        <v>9</v>
      </c>
    </row>
    <row r="312" spans="1:3" x14ac:dyDescent="0.2">
      <c r="A312" s="351">
        <v>13</v>
      </c>
      <c r="B312" s="350" t="str">
        <f t="shared" si="11"/>
        <v/>
      </c>
      <c r="C312" s="323">
        <f t="shared" si="12"/>
        <v>8</v>
      </c>
    </row>
    <row r="313" spans="1:3" x14ac:dyDescent="0.2">
      <c r="A313" s="351">
        <v>14</v>
      </c>
      <c r="B313" s="350" t="str">
        <f t="shared" si="11"/>
        <v/>
      </c>
      <c r="C313" s="323">
        <f t="shared" si="12"/>
        <v>7</v>
      </c>
    </row>
    <row r="314" spans="1:3" x14ac:dyDescent="0.2">
      <c r="A314" s="351">
        <v>15</v>
      </c>
      <c r="B314" s="350" t="str">
        <f t="shared" si="11"/>
        <v/>
      </c>
      <c r="C314" s="323">
        <f t="shared" si="12"/>
        <v>6</v>
      </c>
    </row>
    <row r="315" spans="1:3" x14ac:dyDescent="0.2">
      <c r="A315" s="351">
        <v>16</v>
      </c>
      <c r="B315" s="350" t="str">
        <f t="shared" si="11"/>
        <v/>
      </c>
      <c r="C315" s="323">
        <f t="shared" si="12"/>
        <v>5</v>
      </c>
    </row>
    <row r="316" spans="1:3" x14ac:dyDescent="0.2">
      <c r="A316" s="351">
        <v>17</v>
      </c>
      <c r="B316" s="350" t="str">
        <f t="shared" si="11"/>
        <v/>
      </c>
      <c r="C316" s="323">
        <f t="shared" si="12"/>
        <v>4</v>
      </c>
    </row>
    <row r="317" spans="1:3" x14ac:dyDescent="0.2">
      <c r="A317" s="351">
        <v>18</v>
      </c>
      <c r="B317" s="350" t="str">
        <f t="shared" si="11"/>
        <v/>
      </c>
      <c r="C317" s="323">
        <f t="shared" si="12"/>
        <v>3</v>
      </c>
    </row>
  </sheetData>
  <conditionalFormatting sqref="D7 C8">
    <cfRule type="aboveAverage" dxfId="383" priority="365"/>
  </conditionalFormatting>
  <conditionalFormatting sqref="E7 C9">
    <cfRule type="aboveAverage" dxfId="382" priority="364"/>
  </conditionalFormatting>
  <conditionalFormatting sqref="F7 C10">
    <cfRule type="aboveAverage" dxfId="381" priority="363"/>
  </conditionalFormatting>
  <conditionalFormatting sqref="E8 D9">
    <cfRule type="aboveAverage" dxfId="380" priority="362"/>
  </conditionalFormatting>
  <conditionalFormatting sqref="G7 C11">
    <cfRule type="aboveAverage" dxfId="379" priority="361"/>
  </conditionalFormatting>
  <conditionalFormatting sqref="F8 D10">
    <cfRule type="aboveAverage" dxfId="378" priority="360"/>
  </conditionalFormatting>
  <conditionalFormatting sqref="G8 D11">
    <cfRule type="aboveAverage" dxfId="377" priority="359"/>
  </conditionalFormatting>
  <conditionalFormatting sqref="F9 E10">
    <cfRule type="aboveAverage" dxfId="376" priority="358"/>
  </conditionalFormatting>
  <conditionalFormatting sqref="G9 E11">
    <cfRule type="aboveAverage" dxfId="375" priority="357"/>
  </conditionalFormatting>
  <conditionalFormatting sqref="F11 G10">
    <cfRule type="aboveAverage" dxfId="374" priority="356"/>
  </conditionalFormatting>
  <conditionalFormatting sqref="D14 C15">
    <cfRule type="aboveAverage" dxfId="373" priority="355"/>
  </conditionalFormatting>
  <conditionalFormatting sqref="E14 C16">
    <cfRule type="aboveAverage" dxfId="372" priority="354"/>
  </conditionalFormatting>
  <conditionalFormatting sqref="F14 C17">
    <cfRule type="aboveAverage" dxfId="371" priority="353"/>
  </conditionalFormatting>
  <conditionalFormatting sqref="E15 D16">
    <cfRule type="aboveAverage" dxfId="370" priority="352"/>
  </conditionalFormatting>
  <conditionalFormatting sqref="G14 C18">
    <cfRule type="aboveAverage" dxfId="369" priority="351"/>
  </conditionalFormatting>
  <conditionalFormatting sqref="F15 D17">
    <cfRule type="aboveAverage" dxfId="368" priority="350"/>
  </conditionalFormatting>
  <conditionalFormatting sqref="G15 D18">
    <cfRule type="aboveAverage" dxfId="367" priority="349"/>
  </conditionalFormatting>
  <conditionalFormatting sqref="F16 E17">
    <cfRule type="aboveAverage" dxfId="366" priority="348"/>
  </conditionalFormatting>
  <conditionalFormatting sqref="G16 E18">
    <cfRule type="aboveAverage" dxfId="365" priority="347"/>
  </conditionalFormatting>
  <conditionalFormatting sqref="F18 G17">
    <cfRule type="aboveAverage" dxfId="364" priority="346"/>
  </conditionalFormatting>
  <conditionalFormatting sqref="D21 C22">
    <cfRule type="aboveAverage" dxfId="363" priority="345"/>
  </conditionalFormatting>
  <conditionalFormatting sqref="E21 C23">
    <cfRule type="aboveAverage" dxfId="362" priority="344"/>
  </conditionalFormatting>
  <conditionalFormatting sqref="F21 C24">
    <cfRule type="aboveAverage" dxfId="361" priority="343"/>
  </conditionalFormatting>
  <conditionalFormatting sqref="E22 D23">
    <cfRule type="aboveAverage" dxfId="360" priority="342"/>
  </conditionalFormatting>
  <conditionalFormatting sqref="G21 C25">
    <cfRule type="aboveAverage" dxfId="359" priority="341"/>
  </conditionalFormatting>
  <conditionalFormatting sqref="F22 D24">
    <cfRule type="aboveAverage" dxfId="358" priority="340"/>
  </conditionalFormatting>
  <conditionalFormatting sqref="G22 D25">
    <cfRule type="aboveAverage" dxfId="357" priority="339"/>
  </conditionalFormatting>
  <conditionalFormatting sqref="F23 E24">
    <cfRule type="aboveAverage" dxfId="356" priority="338"/>
  </conditionalFormatting>
  <conditionalFormatting sqref="G23 E25">
    <cfRule type="aboveAverage" dxfId="355" priority="337"/>
  </conditionalFormatting>
  <conditionalFormatting sqref="F25 G24">
    <cfRule type="aboveAverage" dxfId="354" priority="336"/>
  </conditionalFormatting>
  <conditionalFormatting sqref="D28 C29">
    <cfRule type="aboveAverage" dxfId="353" priority="335"/>
  </conditionalFormatting>
  <conditionalFormatting sqref="E28 C30">
    <cfRule type="aboveAverage" dxfId="352" priority="334"/>
  </conditionalFormatting>
  <conditionalFormatting sqref="F28 C31">
    <cfRule type="aboveAverage" dxfId="351" priority="333"/>
  </conditionalFormatting>
  <conditionalFormatting sqref="E29 D30">
    <cfRule type="aboveAverage" dxfId="350" priority="332"/>
  </conditionalFormatting>
  <conditionalFormatting sqref="G28 C32">
    <cfRule type="aboveAverage" dxfId="349" priority="331"/>
  </conditionalFormatting>
  <conditionalFormatting sqref="F29 D31">
    <cfRule type="aboveAverage" dxfId="348" priority="330"/>
  </conditionalFormatting>
  <conditionalFormatting sqref="G29 D32">
    <cfRule type="aboveAverage" dxfId="347" priority="329"/>
  </conditionalFormatting>
  <conditionalFormatting sqref="F30 E31">
    <cfRule type="aboveAverage" dxfId="346" priority="328"/>
  </conditionalFormatting>
  <conditionalFormatting sqref="G30 E32">
    <cfRule type="aboveAverage" dxfId="345" priority="327"/>
  </conditionalFormatting>
  <conditionalFormatting sqref="F32 G31">
    <cfRule type="aboveAverage" dxfId="344" priority="326"/>
  </conditionalFormatting>
  <conditionalFormatting sqref="D35 C36">
    <cfRule type="aboveAverage" dxfId="343" priority="325"/>
  </conditionalFormatting>
  <conditionalFormatting sqref="E35 C37">
    <cfRule type="aboveAverage" dxfId="342" priority="324"/>
  </conditionalFormatting>
  <conditionalFormatting sqref="F35 C38">
    <cfRule type="aboveAverage" dxfId="341" priority="323"/>
  </conditionalFormatting>
  <conditionalFormatting sqref="E36 D37">
    <cfRule type="aboveAverage" dxfId="340" priority="322"/>
  </conditionalFormatting>
  <conditionalFormatting sqref="G35 C39">
    <cfRule type="aboveAverage" dxfId="339" priority="321"/>
  </conditionalFormatting>
  <conditionalFormatting sqref="F36 D38">
    <cfRule type="aboveAverage" dxfId="338" priority="320"/>
  </conditionalFormatting>
  <conditionalFormatting sqref="G36 D39">
    <cfRule type="aboveAverage" dxfId="337" priority="319"/>
  </conditionalFormatting>
  <conditionalFormatting sqref="F37 E38">
    <cfRule type="aboveAverage" dxfId="336" priority="318"/>
  </conditionalFormatting>
  <conditionalFormatting sqref="G37 E39">
    <cfRule type="aboveAverage" dxfId="335" priority="317"/>
  </conditionalFormatting>
  <conditionalFormatting sqref="F39 G38">
    <cfRule type="aboveAverage" dxfId="334" priority="316"/>
  </conditionalFormatting>
  <conditionalFormatting sqref="D42 C43">
    <cfRule type="aboveAverage" dxfId="333" priority="315"/>
  </conditionalFormatting>
  <conditionalFormatting sqref="E42 C44">
    <cfRule type="aboveAverage" dxfId="332" priority="314"/>
  </conditionalFormatting>
  <conditionalFormatting sqref="F42 C45">
    <cfRule type="aboveAverage" dxfId="331" priority="313"/>
  </conditionalFormatting>
  <conditionalFormatting sqref="E43 D44">
    <cfRule type="aboveAverage" dxfId="330" priority="312"/>
  </conditionalFormatting>
  <conditionalFormatting sqref="G42 C46">
    <cfRule type="aboveAverage" dxfId="329" priority="311"/>
  </conditionalFormatting>
  <conditionalFormatting sqref="F43 D45">
    <cfRule type="aboveAverage" dxfId="328" priority="310"/>
  </conditionalFormatting>
  <conditionalFormatting sqref="G43 D46">
    <cfRule type="aboveAverage" dxfId="327" priority="309"/>
  </conditionalFormatting>
  <conditionalFormatting sqref="F44 E45">
    <cfRule type="aboveAverage" dxfId="326" priority="308"/>
  </conditionalFormatting>
  <conditionalFormatting sqref="G44 E46">
    <cfRule type="aboveAverage" dxfId="325" priority="307"/>
  </conditionalFormatting>
  <conditionalFormatting sqref="F46 G45">
    <cfRule type="aboveAverage" dxfId="324" priority="306"/>
  </conditionalFormatting>
  <conditionalFormatting sqref="H14:H18">
    <cfRule type="expression" dxfId="323" priority="252">
      <formula>AND(Q14=4,IF(COUNTIF(Q$14:Q$18,"=4")&gt;=2,TRUE))</formula>
    </cfRule>
    <cfRule type="expression" dxfId="322" priority="366">
      <formula>AND(Q14=3,IF(COUNTIF(Q$14:Q$18,"=3")&gt;=2,TRUE))</formula>
    </cfRule>
    <cfRule type="expression" dxfId="321" priority="367">
      <formula>AND(Q14=2,IF(COUNTIF(Q$14:Q$18,"=2")&gt;=2,TRUE))</formula>
    </cfRule>
    <cfRule type="expression" dxfId="320" priority="368">
      <formula>AND(Q14=1,IF(COUNTIF(Q$14:Q$18,"=1")&gt;=2,TRUE))</formula>
    </cfRule>
  </conditionalFormatting>
  <conditionalFormatting sqref="B7:B47">
    <cfRule type="duplicateValues" dxfId="319" priority="305"/>
  </conditionalFormatting>
  <conditionalFormatting sqref="L7:L11">
    <cfRule type="expression" dxfId="318" priority="288">
      <formula>K7=0</formula>
    </cfRule>
    <cfRule type="expression" dxfId="317" priority="297">
      <formula>IF(COUNTIF(J$7:J$11,"=2")=2,TRUE)</formula>
    </cfRule>
    <cfRule type="expression" dxfId="316" priority="298">
      <formula>IF(COUNTIF(J$7:J$11,"=1")=2,TRUE)</formula>
    </cfRule>
    <cfRule type="expression" dxfId="315" priority="299">
      <formula>AND(IF(COUNTIF(Q$7:Q$11,"=1")=2,TRUE),IF(COUNTIF(Q$7:Q$11,"=2")=2,TRUE))</formula>
    </cfRule>
    <cfRule type="expression" dxfId="314" priority="300">
      <formula>AND(Q7=4,IF(COUNTIF(Q$7:Q$11,"=4")=1,TRUE))</formula>
    </cfRule>
    <cfRule type="expression" dxfId="313" priority="301">
      <formula>AND(Q7=3,IF(COUNTIF(Q$7:Q$11,"=3")=1,TRUE))</formula>
    </cfRule>
    <cfRule type="expression" dxfId="312" priority="302">
      <formula>AND(Q7=2,IF(COUNTIF(Q$7:Q$11,"=2")=1,TRUE))</formula>
    </cfRule>
    <cfRule type="expression" dxfId="311" priority="303">
      <formula>AND(Q7=1,IF(COUNTIF(Q$7:Q$11,"=1")=1,TRUE))</formula>
    </cfRule>
    <cfRule type="expression" dxfId="310" priority="304">
      <formula>OR(Q7=0,Q7=5)</formula>
    </cfRule>
  </conditionalFormatting>
  <conditionalFormatting sqref="O7:O11">
    <cfRule type="expression" dxfId="309" priority="296">
      <formula>OR(AND(J7=1,K7=1,L7=0,M7=1),AND(J7=2,K7=2,L7=0,M7=2))</formula>
    </cfRule>
  </conditionalFormatting>
  <conditionalFormatting sqref="M7:M11">
    <cfRule type="expression" dxfId="308" priority="289">
      <formula>AND(L7&gt;0,IF(COUNTIF(L$7:L$11,L7)&gt;1,TRUE,FALSE))</formula>
    </cfRule>
    <cfRule type="expression" dxfId="307" priority="290">
      <formula>AND(IF(COUNTIF(R$7:R$11,"=1")=2,TRUE),IF(COUNTIF(R$7:R$11,"=2")=2,TRUE))</formula>
    </cfRule>
    <cfRule type="expression" dxfId="306" priority="291">
      <formula>AND(R7=4,IF(COUNTIF(R$7:R$11,"=4")=1,TRUE))</formula>
    </cfRule>
    <cfRule type="expression" dxfId="305" priority="292">
      <formula>AND(R7=3,IF(COUNTIF(R$7:R$11,"=3")=1,TRUE))</formula>
    </cfRule>
    <cfRule type="expression" dxfId="304" priority="293">
      <formula>AND(R7=2,IF(COUNTIF(R$7:R$11,"=2")=1,TRUE))</formula>
    </cfRule>
    <cfRule type="expression" dxfId="303" priority="294">
      <formula>AND(R7=1,IF(COUNTIF(R$7:R$11,"=1")=1,TRUE))</formula>
    </cfRule>
    <cfRule type="expression" dxfId="302" priority="295">
      <formula>OR(R7=0,R7=5)</formula>
    </cfRule>
  </conditionalFormatting>
  <conditionalFormatting sqref="J7:J11">
    <cfRule type="expression" dxfId="301" priority="284">
      <formula>AND(Q7=4,IF(COUNTIF(Q$7:Q$11,"=4")&gt;=2,TRUE))</formula>
    </cfRule>
    <cfRule type="expression" dxfId="300" priority="285">
      <formula>AND(Q7=3,IF(COUNTIF(Q$7:Q$11,"=3")&gt;=2,TRUE))</formula>
    </cfRule>
    <cfRule type="expression" dxfId="299" priority="286">
      <formula>AND(Q7=2,IF(COUNTIF(Q$7:Q$11,"=2")&gt;=2,TRUE))</formula>
    </cfRule>
    <cfRule type="expression" dxfId="298" priority="287">
      <formula>AND(Q7=1,IF(COUNTIF(Q$7:Q$11,"=1")&gt;=2,TRUE))</formula>
    </cfRule>
  </conditionalFormatting>
  <conditionalFormatting sqref="H7:H11">
    <cfRule type="expression" dxfId="297" priority="253">
      <formula>AND(Q7=4,IF(COUNTIF(Q$7:Q$11,"=4")&gt;=2,TRUE))</formula>
    </cfRule>
    <cfRule type="expression" dxfId="296" priority="369">
      <formula>AND(Q7=3,IF(COUNTIF(Q$7:Q$11,"=3")&gt;=2,TRUE))</formula>
    </cfRule>
    <cfRule type="expression" dxfId="295" priority="370">
      <formula>AND(Q7=2,IF(COUNTIF(Q$7:Q$11,"=2")&gt;=2,TRUE))</formula>
    </cfRule>
    <cfRule type="expression" dxfId="294" priority="371">
      <formula>AND(Q7=1,IF(COUNTIF(Q$7:Q$11,"=1")&gt;=2,TRUE))</formula>
    </cfRule>
  </conditionalFormatting>
  <conditionalFormatting sqref="K7:K11">
    <cfRule type="expression" dxfId="293" priority="372">
      <formula>AND(J7&gt;0,IF(COUNTIF(J$7:J$11,"=1")=2,TRUE),IF(COUNTIF(J$7:J$11,"=2")=2,TRUE))</formula>
    </cfRule>
    <cfRule type="expression" dxfId="292" priority="373">
      <formula>IF(COUNTIF(L$7:L$11,"=2")=2,TRUE)</formula>
    </cfRule>
    <cfRule type="expression" dxfId="291" priority="374">
      <formula>IF(COUNTIF(L$7:L$11,"=1")=2,TRUE)</formula>
    </cfRule>
    <cfRule type="expression" dxfId="290" priority="375">
      <formula>AND(IF(COUNTIF(R$7:R$11,"=1")=2,TRUE),IF(COUNTIF(S$7:S$11,"=2")=2,TRUE))</formula>
    </cfRule>
    <cfRule type="expression" dxfId="289" priority="376">
      <formula>AND(R7=4,IF(COUNTIF(R$7:R$11,"=4")=1,TRUE))</formula>
    </cfRule>
    <cfRule type="expression" dxfId="288" priority="377">
      <formula>AND(R7=3,IF(COUNTIF(R$7:R$11,"=3")=1,TRUE))</formula>
    </cfRule>
    <cfRule type="expression" dxfId="287" priority="378">
      <formula>AND(R7=2,IF(COUNTIF(R$7:R$11,"=2")=1,TRUE))</formula>
    </cfRule>
    <cfRule type="expression" dxfId="286" priority="379">
      <formula>AND(R7=1,IF(COUNTIF(R$7:R$11,"=1")=1,TRUE))</formula>
    </cfRule>
    <cfRule type="expression" dxfId="285" priority="380">
      <formula>OR(R7=0,R7=5)</formula>
    </cfRule>
  </conditionalFormatting>
  <conditionalFormatting sqref="L14:L18">
    <cfRule type="expression" dxfId="284" priority="258">
      <formula>K14=0</formula>
    </cfRule>
    <cfRule type="expression" dxfId="283" priority="267">
      <formula>IF(COUNTIF(J$14:J$18,"=2")=2,TRUE)</formula>
    </cfRule>
    <cfRule type="expression" dxfId="282" priority="268">
      <formula>IF(COUNTIF(J$14:J$18,"=1")=2,TRUE)</formula>
    </cfRule>
    <cfRule type="expression" dxfId="281" priority="269">
      <formula>AND(IF(COUNTIF(Q$14:Q$18,"=1")=2,TRUE),IF(COUNTIF(Q$14:Q$18,"=2")=2,TRUE))</formula>
    </cfRule>
    <cfRule type="expression" dxfId="280" priority="270">
      <formula>AND(Q14=4,IF(COUNTIF(Q$14:Q$18,"=4")=1,TRUE))</formula>
    </cfRule>
    <cfRule type="expression" dxfId="279" priority="271">
      <formula>AND(Q14=3,IF(COUNTIF(Q$14:Q$18,"=3")=1,TRUE))</formula>
    </cfRule>
    <cfRule type="expression" dxfId="278" priority="272">
      <formula>AND(Q14=2,IF(COUNTIF(Q$14:Q$18,"=2")=1,TRUE))</formula>
    </cfRule>
    <cfRule type="expression" dxfId="277" priority="273">
      <formula>AND(Q14=1,IF(COUNTIF(Q$14:Q$18,"=1")=1,TRUE))</formula>
    </cfRule>
    <cfRule type="expression" dxfId="276" priority="274">
      <formula>OR(Q14=0,Q14=5)</formula>
    </cfRule>
  </conditionalFormatting>
  <conditionalFormatting sqref="O14:O18">
    <cfRule type="expression" dxfId="275" priority="266">
      <formula>OR(AND(J14=1,K14=1,L14=0,M14=1),AND(J14=2,K14=2,L14=0,M14=2))</formula>
    </cfRule>
  </conditionalFormatting>
  <conditionalFormatting sqref="M14:M18">
    <cfRule type="expression" dxfId="274" priority="259">
      <formula>AND(L14&gt;0,IF(COUNTIF(L$14:L$18,L14)&gt;1,TRUE,FALSE))</formula>
    </cfRule>
    <cfRule type="expression" dxfId="273" priority="260">
      <formula>AND(IF(COUNTIF(R$14:R$18,"=1")=2,TRUE),IF(COUNTIF(R$14:R$18,"=2")=2,TRUE))</formula>
    </cfRule>
    <cfRule type="expression" dxfId="272" priority="261">
      <formula>AND(R14=4,IF(COUNTIF(R$14:R$18,"=4")=1,TRUE))</formula>
    </cfRule>
    <cfRule type="expression" dxfId="271" priority="262">
      <formula>AND(R14=3,IF(COUNTIF(R$14:R$18,"=3")=1,TRUE))</formula>
    </cfRule>
    <cfRule type="expression" dxfId="270" priority="263">
      <formula>AND(R14=2,IF(COUNTIF(R$14:R$18,"=2")=1,TRUE))</formula>
    </cfRule>
    <cfRule type="expression" dxfId="269" priority="264">
      <formula>AND(R14=1,IF(COUNTIF(R$14:R$18,"=1")=1,TRUE))</formula>
    </cfRule>
    <cfRule type="expression" dxfId="268" priority="265">
      <formula>OR(R14=0,R14=5)</formula>
    </cfRule>
  </conditionalFormatting>
  <conditionalFormatting sqref="J14:J18">
    <cfRule type="expression" dxfId="267" priority="254">
      <formula>AND(Q14=4,IF(COUNTIF(Q$14:Q$18,"=4")&gt;=2,TRUE))</formula>
    </cfRule>
    <cfRule type="expression" dxfId="266" priority="255">
      <formula>AND(Q14=3,IF(COUNTIF(Q$14:Q$18,"=3")&gt;=2,TRUE))</formula>
    </cfRule>
    <cfRule type="expression" dxfId="265" priority="256">
      <formula>AND(Q14=2,IF(COUNTIF(Q$14:Q$18,"=2")&gt;=2,TRUE))</formula>
    </cfRule>
    <cfRule type="expression" dxfId="264" priority="257">
      <formula>AND(Q14=1,IF(COUNTIF(Q$14:Q$18,"=1")&gt;=2,TRUE))</formula>
    </cfRule>
  </conditionalFormatting>
  <conditionalFormatting sqref="K14:K18">
    <cfRule type="expression" dxfId="263" priority="275">
      <formula>AND(J14&gt;0,IF(COUNTIF(J$14:J$18,"=1")=2,TRUE),IF(COUNTIF(J$14:J$18,"=2")=2,TRUE))</formula>
    </cfRule>
    <cfRule type="expression" dxfId="262" priority="276">
      <formula>IF(COUNTIF(L$14:L$18,"=2")=2,TRUE)</formula>
    </cfRule>
    <cfRule type="expression" dxfId="261" priority="277">
      <formula>IF(COUNTIF(L$14:L$18,"=1")=2,TRUE)</formula>
    </cfRule>
    <cfRule type="expression" dxfId="260" priority="278">
      <formula>AND(IF(COUNTIF(R$14:R$18,"=1")=2,TRUE),IF(COUNTIF(S$14:S$18,"=2")=2,TRUE))</formula>
    </cfRule>
    <cfRule type="expression" dxfId="259" priority="279">
      <formula>AND(R14=4,IF(COUNTIF(R$14:R$18,"=4")=1,TRUE))</formula>
    </cfRule>
    <cfRule type="expression" dxfId="258" priority="280">
      <formula>AND(R14=3,IF(COUNTIF(R$14:R$18,"=3")=1,TRUE))</formula>
    </cfRule>
    <cfRule type="expression" dxfId="257" priority="281">
      <formula>AND(R14=2,IF(COUNTIF(R$14:R$18,"=2")=1,TRUE))</formula>
    </cfRule>
    <cfRule type="expression" dxfId="256" priority="282">
      <formula>AND(R14=1,IF(COUNTIF(R$14:R$18,"=1")=1,TRUE))</formula>
    </cfRule>
    <cfRule type="expression" dxfId="255" priority="283">
      <formula>OR(R14=0,R14=5)</formula>
    </cfRule>
  </conditionalFormatting>
  <conditionalFormatting sqref="L21:L25">
    <cfRule type="expression" dxfId="254" priority="226">
      <formula>K21=0</formula>
    </cfRule>
    <cfRule type="expression" dxfId="253" priority="235">
      <formula>IF(COUNTIF(J$21:J$25,"=2")=2,TRUE)</formula>
    </cfRule>
    <cfRule type="expression" dxfId="252" priority="236">
      <formula>IF(COUNTIF(J$21:J$25,"=1")=2,TRUE)</formula>
    </cfRule>
    <cfRule type="expression" dxfId="251" priority="237">
      <formula>AND(IF(COUNTIF(Q$21:Q$25,"=1")=2,TRUE),IF(COUNTIF(Q$21:Q$25,"=2")=2,TRUE))</formula>
    </cfRule>
    <cfRule type="expression" dxfId="250" priority="238">
      <formula>AND(Q21=4,IF(COUNTIF(Q$21:Q$25,"=4")=1,TRUE))</formula>
    </cfRule>
    <cfRule type="expression" dxfId="249" priority="239">
      <formula>AND(Q21=3,IF(COUNTIF(Q$21:Q$25,"=3")=1,TRUE))</formula>
    </cfRule>
    <cfRule type="expression" dxfId="248" priority="240">
      <formula>AND(Q21=2,IF(COUNTIF(Q$21:Q$25,"=2")=1,TRUE))</formula>
    </cfRule>
    <cfRule type="expression" dxfId="247" priority="241">
      <formula>AND(Q21=1,IF(COUNTIF(Q$21:Q$25,"=1")=1,TRUE))</formula>
    </cfRule>
    <cfRule type="expression" dxfId="246" priority="242">
      <formula>OR(Q21=0,Q21=5)</formula>
    </cfRule>
  </conditionalFormatting>
  <conditionalFormatting sqref="O21:O25">
    <cfRule type="expression" dxfId="245" priority="234">
      <formula>OR(AND(J21=1,K21=1,L21=0,M21=1),AND(J21=2,K21=2,L21=0,M21=2))</formula>
    </cfRule>
  </conditionalFormatting>
  <conditionalFormatting sqref="M21:M25">
    <cfRule type="expression" dxfId="244" priority="227">
      <formula>AND(L21&gt;0,IF(COUNTIF(L$21:L$25,L21)&gt;1,TRUE,FALSE))</formula>
    </cfRule>
    <cfRule type="expression" dxfId="243" priority="228">
      <formula>AND(IF(COUNTIF(R$21:R$25,"=1")=2,TRUE),IF(COUNTIF(R$21:R$25,"=2")=2,TRUE))</formula>
    </cfRule>
    <cfRule type="expression" dxfId="242" priority="229">
      <formula>AND(R21=4,IF(COUNTIF(R$21:R$25,"=4")=1,TRUE))</formula>
    </cfRule>
    <cfRule type="expression" dxfId="241" priority="230">
      <formula>AND(R21=3,IF(COUNTIF(R$21:R$25,"=3")=1,TRUE))</formula>
    </cfRule>
    <cfRule type="expression" dxfId="240" priority="231">
      <formula>AND(R21=2,IF(COUNTIF(R$21:R$25,"=2")=1,TRUE))</formula>
    </cfRule>
    <cfRule type="expression" dxfId="239" priority="232">
      <formula>AND(R21=1,IF(COUNTIF(R$21:R$25,"=1")=1,TRUE))</formula>
    </cfRule>
    <cfRule type="expression" dxfId="238" priority="233">
      <formula>OR(R21=0,R21=5)</formula>
    </cfRule>
  </conditionalFormatting>
  <conditionalFormatting sqref="J21:J25">
    <cfRule type="expression" dxfId="237" priority="222">
      <formula>AND(Q21=4,IF(COUNTIF(Q$21:Q$25,"=4")&gt;=2,TRUE))</formula>
    </cfRule>
    <cfRule type="expression" dxfId="236" priority="223">
      <formula>AND(Q21=3,IF(COUNTIF(Q$21:Q$25,"=3")&gt;=2,TRUE))</formula>
    </cfRule>
    <cfRule type="expression" dxfId="235" priority="224">
      <formula>AND(Q21=2,IF(COUNTIF(Q$21:Q$25,"=2")&gt;=2,TRUE))</formula>
    </cfRule>
    <cfRule type="expression" dxfId="234" priority="225">
      <formula>AND(Q21=1,IF(COUNTIF(Q$21:Q$25,"=1")&gt;=2,TRUE))</formula>
    </cfRule>
  </conditionalFormatting>
  <conditionalFormatting sqref="K21:K25">
    <cfRule type="expression" dxfId="233" priority="243">
      <formula>AND(J21&gt;0,IF(COUNTIF(J$21:J$25,"=1")=2,TRUE),IF(COUNTIF(J$21:J$25,"=2")=2,TRUE))</formula>
    </cfRule>
    <cfRule type="expression" dxfId="232" priority="244">
      <formula>IF(COUNTIF(L$21:L$25,"=2")=2,TRUE)</formula>
    </cfRule>
    <cfRule type="expression" dxfId="231" priority="245">
      <formula>IF(COUNTIF(L$21:L$25,"=1")=2,TRUE)</formula>
    </cfRule>
    <cfRule type="expression" dxfId="230" priority="246">
      <formula>AND(IF(COUNTIF(R$21:R$25,"=1")=2,TRUE),IF(COUNTIF(S$21:S$25,"=2")=2,TRUE))</formula>
    </cfRule>
    <cfRule type="expression" dxfId="229" priority="247">
      <formula>AND(R21=4,IF(COUNTIF(R$21:R$25,"=4")=1,TRUE))</formula>
    </cfRule>
    <cfRule type="expression" dxfId="228" priority="248">
      <formula>AND(R21=3,IF(COUNTIF(R$21:R$25,"=3")=1,TRUE))</formula>
    </cfRule>
    <cfRule type="expression" dxfId="227" priority="249">
      <formula>AND(R21=2,IF(COUNTIF(R$21:R$25,"=2")=1,TRUE))</formula>
    </cfRule>
    <cfRule type="expression" dxfId="226" priority="250">
      <formula>AND(R21=1,IF(COUNTIF(R$21:R$25,"=1")=1,TRUE))</formula>
    </cfRule>
    <cfRule type="expression" dxfId="225" priority="251">
      <formula>OR(R21=0,R21=5)</formula>
    </cfRule>
  </conditionalFormatting>
  <conditionalFormatting sqref="H21:H25">
    <cfRule type="expression" dxfId="224" priority="218">
      <formula>AND(Q21=4,IF(COUNTIF(Q$21:Q$25,"=4")&gt;=2,TRUE))</formula>
    </cfRule>
    <cfRule type="expression" dxfId="223" priority="219">
      <formula>AND(Q21=3,IF(COUNTIF(Q$21:Q$25,"=3")&gt;=2,TRUE))</formula>
    </cfRule>
    <cfRule type="expression" dxfId="222" priority="220">
      <formula>AND(Q21=2,IF(COUNTIF(Q$21:Q$25,"=2")&gt;=2,TRUE))</formula>
    </cfRule>
    <cfRule type="expression" dxfId="221" priority="221">
      <formula>AND(Q21=1,IF(COUNTIF(Q$21:Q$25,"=1")&gt;=2,TRUE))</formula>
    </cfRule>
  </conditionalFormatting>
  <conditionalFormatting sqref="L28:L32">
    <cfRule type="expression" dxfId="220" priority="192">
      <formula>K28=0</formula>
    </cfRule>
    <cfRule type="expression" dxfId="219" priority="201">
      <formula>IF(COUNTIF(J$28:J$32,"=2")=2,TRUE)</formula>
    </cfRule>
    <cfRule type="expression" dxfId="218" priority="202">
      <formula>IF(COUNTIF(J$28:J$32,"=1")=2,TRUE)</formula>
    </cfRule>
    <cfRule type="expression" dxfId="217" priority="203">
      <formula>AND(IF(COUNTIF(Q$28:Q$32,"=1")=2,TRUE),IF(COUNTIF(Q$28:Q$32,"=2")=2,TRUE))</formula>
    </cfRule>
    <cfRule type="expression" dxfId="216" priority="204">
      <formula>AND(Q28=4,IF(COUNTIF(Q$28:Q$32,"=4")=1,TRUE))</formula>
    </cfRule>
    <cfRule type="expression" dxfId="215" priority="205">
      <formula>AND(Q28=3,IF(COUNTIF(Q$28:Q$32,"=3")=1,TRUE))</formula>
    </cfRule>
    <cfRule type="expression" dxfId="214" priority="206">
      <formula>AND(Q28=2,IF(COUNTIF(Q$28:Q$32,"=2")=1,TRUE))</formula>
    </cfRule>
    <cfRule type="expression" dxfId="213" priority="207">
      <formula>AND(Q28=1,IF(COUNTIF(Q$28:Q$32,"=1")=1,TRUE))</formula>
    </cfRule>
    <cfRule type="expression" dxfId="212" priority="208">
      <formula>OR(Q28=0,Q28=5)</formula>
    </cfRule>
  </conditionalFormatting>
  <conditionalFormatting sqref="O28:O32">
    <cfRule type="expression" dxfId="211" priority="200">
      <formula>OR(AND(J28=1,K28=1,L28=0,M28=1),AND(J28=2,K28=2,L28=0,M28=2))</formula>
    </cfRule>
  </conditionalFormatting>
  <conditionalFormatting sqref="M28:M32">
    <cfRule type="expression" dxfId="210" priority="193">
      <formula>AND(L28&gt;0,IF(COUNTIF(L$28:L$32,L28)&gt;1,TRUE,FALSE))</formula>
    </cfRule>
    <cfRule type="expression" dxfId="209" priority="194">
      <formula>AND(IF(COUNTIF(R$28:R$32,"=1")=2,TRUE),IF(COUNTIF(R$28:R$32,"=2")=2,TRUE))</formula>
    </cfRule>
    <cfRule type="expression" dxfId="208" priority="195">
      <formula>AND(R28=4,IF(COUNTIF(R$28:R$32,"=4")=1,TRUE))</formula>
    </cfRule>
    <cfRule type="expression" dxfId="207" priority="196">
      <formula>AND(R28=3,IF(COUNTIF(R$28:R$32,"=3")=1,TRUE))</formula>
    </cfRule>
    <cfRule type="expression" dxfId="206" priority="197">
      <formula>AND(R28=2,IF(COUNTIF(R$28:R$32,"=2")=1,TRUE))</formula>
    </cfRule>
    <cfRule type="expression" dxfId="205" priority="198">
      <formula>AND(R28=1,IF(COUNTIF(R$28:R$32,"=1")=1,TRUE))</formula>
    </cfRule>
    <cfRule type="expression" dxfId="204" priority="199">
      <formula>OR(R28=0,R28=5)</formula>
    </cfRule>
  </conditionalFormatting>
  <conditionalFormatting sqref="J28:J32">
    <cfRule type="expression" dxfId="203" priority="188">
      <formula>AND(Q28=4,IF(COUNTIF(Q$28:Q$32,"=4")&gt;=2,TRUE))</formula>
    </cfRule>
    <cfRule type="expression" dxfId="202" priority="189">
      <formula>AND(Q28=3,IF(COUNTIF(Q$28:Q$32,"=3")&gt;=2,TRUE))</formula>
    </cfRule>
    <cfRule type="expression" dxfId="201" priority="190">
      <formula>AND(Q28=2,IF(COUNTIF(Q$28:Q$32,"=2")&gt;=2,TRUE))</formula>
    </cfRule>
    <cfRule type="expression" dxfId="200" priority="191">
      <formula>AND(Q28=1,IF(COUNTIF(Q$28:Q$32,"=1")&gt;=2,TRUE))</formula>
    </cfRule>
  </conditionalFormatting>
  <conditionalFormatting sqref="K28:K32">
    <cfRule type="expression" dxfId="199" priority="209">
      <formula>AND(J28&gt;0,IF(COUNTIF(J$28:J$32,"=1")=2,TRUE),IF(COUNTIF(J$28:J$32,"=2")=2,TRUE))</formula>
    </cfRule>
    <cfRule type="expression" dxfId="198" priority="210">
      <formula>IF(COUNTIF(L$28:L$32,"=2")=2,TRUE)</formula>
    </cfRule>
    <cfRule type="expression" dxfId="197" priority="211">
      <formula>IF(COUNTIF(L$28:L$32,"=1")=2,TRUE)</formula>
    </cfRule>
    <cfRule type="expression" dxfId="196" priority="212">
      <formula>AND(IF(COUNTIF(R$28:R$32,"=1")=2,TRUE),IF(COUNTIF(S$28:S$32,"=2")=2,TRUE))</formula>
    </cfRule>
    <cfRule type="expression" dxfId="195" priority="213">
      <formula>AND(R28=4,IF(COUNTIF(R$28:R$32,"=4")=1,TRUE))</formula>
    </cfRule>
    <cfRule type="expression" dxfId="194" priority="214">
      <formula>AND(R28=3,IF(COUNTIF(R$28:R$32,"=3")=1,TRUE))</formula>
    </cfRule>
    <cfRule type="expression" dxfId="193" priority="215">
      <formula>AND(R28=2,IF(COUNTIF(R$28:R$32,"=2")=1,TRUE))</formula>
    </cfRule>
    <cfRule type="expression" dxfId="192" priority="216">
      <formula>AND(R28=1,IF(COUNTIF(R$28:R$32,"=1")=1,TRUE))</formula>
    </cfRule>
    <cfRule type="expression" dxfId="191" priority="217">
      <formula>OR(R28=0,R28=5)</formula>
    </cfRule>
  </conditionalFormatting>
  <conditionalFormatting sqref="H28:H32">
    <cfRule type="expression" dxfId="190" priority="184">
      <formula>AND(Q28=4,IF(COUNTIF(Q$28:Q$32,"=4")&gt;=2,TRUE))</formula>
    </cfRule>
    <cfRule type="expression" dxfId="189" priority="185">
      <formula>AND(Q28=3,IF(COUNTIF(Q$28:Q$32,"=3")&gt;=2,TRUE))</formula>
    </cfRule>
    <cfRule type="expression" dxfId="188" priority="186">
      <formula>AND(Q28=2,IF(COUNTIF(Q$28:Q$32,"=2")&gt;=2,TRUE))</formula>
    </cfRule>
    <cfRule type="expression" dxfId="187" priority="187">
      <formula>AND(Q28=1,IF(COUNTIF(Q$28:Q$32,"=1")&gt;=2,TRUE))</formula>
    </cfRule>
  </conditionalFormatting>
  <conditionalFormatting sqref="L35:L39">
    <cfRule type="expression" dxfId="186" priority="158">
      <formula>K35=0</formula>
    </cfRule>
    <cfRule type="expression" dxfId="185" priority="167">
      <formula>IF(COUNTIF(J$35:J$39,"=2")=2,TRUE)</formula>
    </cfRule>
    <cfRule type="expression" dxfId="184" priority="168">
      <formula>IF(COUNTIF(J$35:J$39,"=1")=2,TRUE)</formula>
    </cfRule>
    <cfRule type="expression" dxfId="183" priority="169">
      <formula>AND(IF(COUNTIF(Q$35:Q$39,"=1")=2,TRUE),IF(COUNTIF(Q$35:Q$39,"=2")=2,TRUE))</formula>
    </cfRule>
    <cfRule type="expression" dxfId="182" priority="170">
      <formula>AND(Q35=4,IF(COUNTIF(Q$35:Q$39,"=4")=1,TRUE))</formula>
    </cfRule>
    <cfRule type="expression" dxfId="181" priority="171">
      <formula>AND(Q35=3,IF(COUNTIF(Q$35:Q$39,"=3")=1,TRUE))</formula>
    </cfRule>
    <cfRule type="expression" dxfId="180" priority="172">
      <formula>AND(Q35=2,IF(COUNTIF(Q$35:Q$39,"=2")=1,TRUE))</formula>
    </cfRule>
    <cfRule type="expression" dxfId="179" priority="173">
      <formula>AND(Q35=1,IF(COUNTIF(Q$35:Q$39,"=1")=1,TRUE))</formula>
    </cfRule>
    <cfRule type="expression" dxfId="178" priority="174">
      <formula>OR(Q35=0,Q35=5)</formula>
    </cfRule>
  </conditionalFormatting>
  <conditionalFormatting sqref="O35:O39">
    <cfRule type="expression" dxfId="177" priority="166">
      <formula>OR(AND(J35=1,K35=1,L35=0,M35=1),AND(J35=2,K35=2,L35=0,M35=2))</formula>
    </cfRule>
  </conditionalFormatting>
  <conditionalFormatting sqref="M35:M39">
    <cfRule type="expression" dxfId="176" priority="159">
      <formula>AND(L35&gt;0,IF(COUNTIF(L$35:L$39,L35)&gt;1,TRUE,FALSE))</formula>
    </cfRule>
    <cfRule type="expression" dxfId="175" priority="160">
      <formula>AND(IF(COUNTIF(R$35:R$39,"=1")=2,TRUE),IF(COUNTIF(R$35:R$39,"=2")=2,TRUE))</formula>
    </cfRule>
    <cfRule type="expression" dxfId="174" priority="161">
      <formula>AND(R35=4,IF(COUNTIF(R$35:R$39,"=4")=1,TRUE))</formula>
    </cfRule>
    <cfRule type="expression" dxfId="173" priority="162">
      <formula>AND(R35=3,IF(COUNTIF(R$35:R$39,"=3")=1,TRUE))</formula>
    </cfRule>
    <cfRule type="expression" dxfId="172" priority="163">
      <formula>AND(R35=2,IF(COUNTIF(R$35:R$39,"=2")=1,TRUE))</formula>
    </cfRule>
    <cfRule type="expression" dxfId="171" priority="164">
      <formula>AND(R35=1,IF(COUNTIF(R$35:R$39,"=1")=1,TRUE))</formula>
    </cfRule>
    <cfRule type="expression" dxfId="170" priority="165">
      <formula>OR(R35=0,R35=5)</formula>
    </cfRule>
  </conditionalFormatting>
  <conditionalFormatting sqref="J35:J39">
    <cfRule type="expression" dxfId="169" priority="154">
      <formula>AND(Q35=4,IF(COUNTIF(Q$35:Q$39,"=4")&gt;=2,TRUE))</formula>
    </cfRule>
    <cfRule type="expression" dxfId="168" priority="155">
      <formula>AND(Q35=3,IF(COUNTIF(Q$35:Q$39,"=3")&gt;=2,TRUE))</formula>
    </cfRule>
    <cfRule type="expression" dxfId="167" priority="156">
      <formula>AND(Q35=2,IF(COUNTIF(Q$35:Q$39,"=2")&gt;=2,TRUE))</formula>
    </cfRule>
    <cfRule type="expression" dxfId="166" priority="157">
      <formula>AND(Q35=1,IF(COUNTIF(Q$35:Q$39,"=1")&gt;=2,TRUE))</formula>
    </cfRule>
  </conditionalFormatting>
  <conditionalFormatting sqref="K35:K39">
    <cfRule type="expression" dxfId="165" priority="175">
      <formula>AND(J35&gt;0,IF(COUNTIF(J$35:J$39,"=1")=2,TRUE),IF(COUNTIF(J$35:J$39,"=2")=2,TRUE))</formula>
    </cfRule>
    <cfRule type="expression" dxfId="164" priority="176">
      <formula>IF(COUNTIF(L$35:L$39,"=2")=2,TRUE)</formula>
    </cfRule>
    <cfRule type="expression" dxfId="163" priority="177">
      <formula>IF(COUNTIF(L$35:L$39,"=1")=2,TRUE)</formula>
    </cfRule>
    <cfRule type="expression" dxfId="162" priority="178">
      <formula>AND(IF(COUNTIF(R$35:R$39,"=1")=2,TRUE),IF(COUNTIF(S$35:S$39,"=2")=2,TRUE))</formula>
    </cfRule>
    <cfRule type="expression" dxfId="161" priority="179">
      <formula>AND(R35=4,IF(COUNTIF(R$35:R$39,"=4")=1,TRUE))</formula>
    </cfRule>
    <cfRule type="expression" dxfId="160" priority="180">
      <formula>AND(R35=3,IF(COUNTIF(R$35:R$39,"=3")=1,TRUE))</formula>
    </cfRule>
    <cfRule type="expression" dxfId="159" priority="181">
      <formula>AND(R35=2,IF(COUNTIF(R$35:R$39,"=2")=1,TRUE))</formula>
    </cfRule>
    <cfRule type="expression" dxfId="158" priority="182">
      <formula>AND(R35=1,IF(COUNTIF(R$35:R$39,"=1")=1,TRUE))</formula>
    </cfRule>
    <cfRule type="expression" dxfId="157" priority="183">
      <formula>OR(R35=0,R35=5)</formula>
    </cfRule>
  </conditionalFormatting>
  <conditionalFormatting sqref="H35:H39">
    <cfRule type="expression" dxfId="156" priority="150">
      <formula>AND(Q35=4,IF(COUNTIF(Q$35:Q$39,"=4")&gt;=2,TRUE))</formula>
    </cfRule>
    <cfRule type="expression" dxfId="155" priority="151">
      <formula>AND(Q35=3,IF(COUNTIF(Q$35:Q$39,"=3")&gt;=2,TRUE))</formula>
    </cfRule>
    <cfRule type="expression" dxfId="154" priority="152">
      <formula>AND(Q35=2,IF(COUNTIF(Q$35:Q$39,"=2")&gt;=2,TRUE))</formula>
    </cfRule>
    <cfRule type="expression" dxfId="153" priority="153">
      <formula>AND(Q35=1,IF(COUNTIF(Q$35:Q$39,"=1")&gt;=2,TRUE))</formula>
    </cfRule>
  </conditionalFormatting>
  <conditionalFormatting sqref="L42:L46">
    <cfRule type="expression" dxfId="152" priority="124">
      <formula>K42=0</formula>
    </cfRule>
    <cfRule type="expression" dxfId="151" priority="133">
      <formula>IF(COUNTIF(J$42:J$46,"=2")=2,TRUE)</formula>
    </cfRule>
    <cfRule type="expression" dxfId="150" priority="134">
      <formula>IF(COUNTIF(J$42:J$46,"=1")=2,TRUE)</formula>
    </cfRule>
    <cfRule type="expression" dxfId="149" priority="135">
      <formula>AND(IF(COUNTIF(Q$42:Q$46,"=1")=2,TRUE),IF(COUNTIF(Q$42:Q$46,"=2")=2,TRUE))</formula>
    </cfRule>
    <cfRule type="expression" dxfId="148" priority="136">
      <formula>AND(Q42=4,IF(COUNTIF(Q$42:Q$46,"=4")=1,TRUE))</formula>
    </cfRule>
    <cfRule type="expression" dxfId="147" priority="137">
      <formula>AND(Q42=3,IF(COUNTIF(Q$42:Q$46,"=3")=1,TRUE))</formula>
    </cfRule>
    <cfRule type="expression" dxfId="146" priority="138">
      <formula>AND(Q42=2,IF(COUNTIF(Q$42:Q$46,"=2")=1,TRUE))</formula>
    </cfRule>
    <cfRule type="expression" dxfId="145" priority="139">
      <formula>AND(Q42=1,IF(COUNTIF(Q$42:Q$46,"=1")=1,TRUE))</formula>
    </cfRule>
    <cfRule type="expression" dxfId="144" priority="140">
      <formula>OR(Q42=0,Q42=5)</formula>
    </cfRule>
  </conditionalFormatting>
  <conditionalFormatting sqref="O42:O46">
    <cfRule type="expression" dxfId="143" priority="132">
      <formula>OR(AND(J42=1,K42=1,L42=0,M42=1),AND(J42=2,K42=2,L42=0,M42=2))</formula>
    </cfRule>
  </conditionalFormatting>
  <conditionalFormatting sqref="M42:M46">
    <cfRule type="expression" dxfId="142" priority="125">
      <formula>AND(L42&gt;0,IF(COUNTIF(L$42:L$46,L42)&gt;1,TRUE,FALSE))</formula>
    </cfRule>
    <cfRule type="expression" dxfId="141" priority="126">
      <formula>AND(IF(COUNTIF(R$42:R$46,"=1")=2,TRUE),IF(COUNTIF(R$42:R$46,"=2")=2,TRUE))</formula>
    </cfRule>
    <cfRule type="expression" dxfId="140" priority="127">
      <formula>AND(R42=4,IF(COUNTIF(R$42:R$46,"=4")=1,TRUE))</formula>
    </cfRule>
    <cfRule type="expression" dxfId="139" priority="128">
      <formula>AND(R42=3,IF(COUNTIF(R$42:R$46,"=3")=1,TRUE))</formula>
    </cfRule>
    <cfRule type="expression" dxfId="138" priority="129">
      <formula>AND(R42=2,IF(COUNTIF(R$42:R$46,"=2")=1,TRUE))</formula>
    </cfRule>
    <cfRule type="expression" dxfId="137" priority="130">
      <formula>AND(R42=1,IF(COUNTIF(R$42:R$46,"=1")=1,TRUE))</formula>
    </cfRule>
    <cfRule type="expression" dxfId="136" priority="131">
      <formula>OR(R42=0,R42=5)</formula>
    </cfRule>
  </conditionalFormatting>
  <conditionalFormatting sqref="J42:J46">
    <cfRule type="expression" dxfId="135" priority="120">
      <formula>AND(Q42=4,IF(COUNTIF(Q$42:Q$46,"=4")&gt;=2,TRUE))</formula>
    </cfRule>
    <cfRule type="expression" dxfId="134" priority="121">
      <formula>AND(Q42=3,IF(COUNTIF(Q$42:Q$46,"=3")&gt;=2,TRUE))</formula>
    </cfRule>
    <cfRule type="expression" dxfId="133" priority="122">
      <formula>AND(Q42=2,IF(COUNTIF(Q$42:Q$46,"=2")&gt;=2,TRUE))</formula>
    </cfRule>
    <cfRule type="expression" dxfId="132" priority="123">
      <formula>AND(Q42=1,IF(COUNTIF(Q$42:Q$46,"=1")&gt;=2,TRUE))</formula>
    </cfRule>
  </conditionalFormatting>
  <conditionalFormatting sqref="K42:K46">
    <cfRule type="expression" dxfId="131" priority="141">
      <formula>AND(J42&gt;0,IF(COUNTIF(J$42:J$46,"=1")=2,TRUE),IF(COUNTIF(J$42:J$46,"=2")=2,TRUE))</formula>
    </cfRule>
    <cfRule type="expression" dxfId="130" priority="142">
      <formula>IF(COUNTIF(L$42:L$46,"=2")=2,TRUE)</formula>
    </cfRule>
    <cfRule type="expression" dxfId="129" priority="143">
      <formula>IF(COUNTIF(L$42:L$46,"=1")=2,TRUE)</formula>
    </cfRule>
    <cfRule type="expression" dxfId="128" priority="144">
      <formula>AND(IF(COUNTIF(R$42:R$46,"=1")=2,TRUE),IF(COUNTIF(S$42:S$46,"=2")=2,TRUE))</formula>
    </cfRule>
    <cfRule type="expression" dxfId="127" priority="145">
      <formula>AND(R42=4,IF(COUNTIF(R$42:R$46,"=4")=1,TRUE))</formula>
    </cfRule>
    <cfRule type="expression" dxfId="126" priority="146">
      <formula>AND(R42=3,IF(COUNTIF(R$42:R$46,"=3")=1,TRUE))</formula>
    </cfRule>
    <cfRule type="expression" dxfId="125" priority="147">
      <formula>AND(R42=2,IF(COUNTIF(R$42:R$46,"=2")=1,TRUE))</formula>
    </cfRule>
    <cfRule type="expression" dxfId="124" priority="148">
      <formula>AND(R42=1,IF(COUNTIF(R$42:R$46,"=1")=1,TRUE))</formula>
    </cfRule>
    <cfRule type="expression" dxfId="123" priority="149">
      <formula>OR(R42=0,R42=5)</formula>
    </cfRule>
  </conditionalFormatting>
  <conditionalFormatting sqref="H42:H46">
    <cfRule type="expression" dxfId="122" priority="116">
      <formula>AND(Q42=4,IF(COUNTIF(Q$42:Q$46,"=4")&gt;=2,TRUE))</formula>
    </cfRule>
    <cfRule type="expression" dxfId="121" priority="117">
      <formula>AND(Q42=3,IF(COUNTIF(Q$42:Q$46,"=3")&gt;=2,TRUE))</formula>
    </cfRule>
    <cfRule type="expression" dxfId="120" priority="118">
      <formula>AND(Q42=2,IF(COUNTIF(Q$42:Q$46,"=2")&gt;=2,TRUE))</formula>
    </cfRule>
    <cfRule type="expression" dxfId="119" priority="119">
      <formula>AND(Q42=1,IF(COUNTIF(Q$42:Q$46,"=1")&gt;=2,TRUE))</formula>
    </cfRule>
  </conditionalFormatting>
  <conditionalFormatting sqref="E196 E198">
    <cfRule type="containsBlanks" dxfId="118" priority="91">
      <formula>LEN(TRIM(E196))=0</formula>
    </cfRule>
  </conditionalFormatting>
  <conditionalFormatting sqref="G179 G181">
    <cfRule type="containsBlanks" dxfId="117" priority="97">
      <formula>LEN(TRIM(G179))=0</formula>
    </cfRule>
  </conditionalFormatting>
  <conditionalFormatting sqref="A102:A132">
    <cfRule type="cellIs" priority="86" stopIfTrue="1" operator="equal">
      <formula>"-"</formula>
    </cfRule>
    <cfRule type="duplicateValues" dxfId="116" priority="115"/>
  </conditionalFormatting>
  <conditionalFormatting sqref="C102 C104">
    <cfRule type="aboveAverage" dxfId="115" priority="114"/>
  </conditionalFormatting>
  <conditionalFormatting sqref="C102 C104">
    <cfRule type="containsBlanks" dxfId="114" priority="113">
      <formula>LEN(TRIM(C102))=0</formula>
    </cfRule>
  </conditionalFormatting>
  <conditionalFormatting sqref="G140 G142">
    <cfRule type="aboveAverage" dxfId="113" priority="112"/>
  </conditionalFormatting>
  <conditionalFormatting sqref="G140 G142">
    <cfRule type="containsBlanks" dxfId="112" priority="111">
      <formula>LEN(TRIM(G140))=0</formula>
    </cfRule>
  </conditionalFormatting>
  <conditionalFormatting sqref="G144 G146">
    <cfRule type="aboveAverage" dxfId="111" priority="110"/>
  </conditionalFormatting>
  <conditionalFormatting sqref="G144 G146">
    <cfRule type="containsBlanks" dxfId="110" priority="109">
      <formula>LEN(TRIM(G144))=0</formula>
    </cfRule>
  </conditionalFormatting>
  <conditionalFormatting sqref="E157 E159">
    <cfRule type="aboveAverage" dxfId="109" priority="108"/>
  </conditionalFormatting>
  <conditionalFormatting sqref="E157 E159">
    <cfRule type="containsBlanks" dxfId="108" priority="107">
      <formula>LEN(TRIM(E157))=0</formula>
    </cfRule>
  </conditionalFormatting>
  <conditionalFormatting sqref="G183 G185">
    <cfRule type="containsBlanks" dxfId="107" priority="95">
      <formula>LEN(TRIM(G183))=0</formula>
    </cfRule>
  </conditionalFormatting>
  <conditionalFormatting sqref="I187 I189">
    <cfRule type="containsBlanks" dxfId="106" priority="93">
      <formula>LEN(TRIM(I187))=0</formula>
    </cfRule>
  </conditionalFormatting>
  <conditionalFormatting sqref="E161 E163">
    <cfRule type="aboveAverage" dxfId="105" priority="106"/>
  </conditionalFormatting>
  <conditionalFormatting sqref="E161 E163">
    <cfRule type="containsBlanks" dxfId="104" priority="105">
      <formula>LEN(TRIM(E161))=0</formula>
    </cfRule>
  </conditionalFormatting>
  <conditionalFormatting sqref="E165 E167">
    <cfRule type="aboveAverage" dxfId="103" priority="104"/>
  </conditionalFormatting>
  <conditionalFormatting sqref="E165 E167">
    <cfRule type="containsBlanks" dxfId="102" priority="103">
      <formula>LEN(TRIM(E165))=0</formula>
    </cfRule>
  </conditionalFormatting>
  <conditionalFormatting sqref="E169 E171">
    <cfRule type="aboveAverage" dxfId="101" priority="102"/>
  </conditionalFormatting>
  <conditionalFormatting sqref="E169 E171">
    <cfRule type="containsBlanks" dxfId="100" priority="101">
      <formula>LEN(TRIM(E169))=0</formula>
    </cfRule>
  </conditionalFormatting>
  <conditionalFormatting sqref="I180 I184">
    <cfRule type="containsBlanks" dxfId="99" priority="99">
      <formula>LEN(TRIM(I180))=0</formula>
    </cfRule>
    <cfRule type="aboveAverage" dxfId="98" priority="100"/>
  </conditionalFormatting>
  <conditionalFormatting sqref="G179 G181">
    <cfRule type="aboveAverage" dxfId="97" priority="98"/>
  </conditionalFormatting>
  <conditionalFormatting sqref="G183 G185">
    <cfRule type="aboveAverage" dxfId="96" priority="96"/>
  </conditionalFormatting>
  <conditionalFormatting sqref="I187 I189">
    <cfRule type="aboveAverage" dxfId="95" priority="94"/>
  </conditionalFormatting>
  <conditionalFormatting sqref="E196 E198">
    <cfRule type="aboveAverage" dxfId="94" priority="92"/>
  </conditionalFormatting>
  <conditionalFormatting sqref="G218 G220">
    <cfRule type="aboveAverage" dxfId="93" priority="90"/>
  </conditionalFormatting>
  <conditionalFormatting sqref="G218 G220">
    <cfRule type="containsBlanks" dxfId="92" priority="89">
      <formula>LEN(TRIM(G218))=0</formula>
    </cfRule>
  </conditionalFormatting>
  <conditionalFormatting sqref="G222 G224">
    <cfRule type="aboveAverage" dxfId="91" priority="88"/>
  </conditionalFormatting>
  <conditionalFormatting sqref="G222 G224">
    <cfRule type="containsBlanks" dxfId="90" priority="87">
      <formula>LEN(TRIM(G222))=0</formula>
    </cfRule>
  </conditionalFormatting>
  <conditionalFormatting sqref="B300:B317">
    <cfRule type="expression" dxfId="89" priority="381">
      <formula>A300=3</formula>
    </cfRule>
    <cfRule type="expression" dxfId="88" priority="382">
      <formula>A300=2</formula>
    </cfRule>
    <cfRule type="expression" dxfId="87" priority="383">
      <formula>A300=1</formula>
    </cfRule>
    <cfRule type="containsBlanks" dxfId="86" priority="384">
      <formula>LEN(TRIM(B300))=0</formula>
    </cfRule>
    <cfRule type="duplicateValues" dxfId="85" priority="385"/>
  </conditionalFormatting>
  <conditionalFormatting sqref="AJ7:AJ44">
    <cfRule type="expression" dxfId="84" priority="79">
      <formula>AND(AI7="",FIND(",",AJ7))</formula>
    </cfRule>
    <cfRule type="expression" dxfId="83" priority="81">
      <formula>AND(AI7="",COUNTIF(AJ7,"*,*")=0)</formula>
    </cfRule>
  </conditionalFormatting>
  <conditionalFormatting sqref="AH7:AH44">
    <cfRule type="expression" dxfId="82" priority="82">
      <formula>AND(AG7="",FIND(",",AH7))</formula>
    </cfRule>
    <cfRule type="expression" dxfId="81" priority="83">
      <formula>AND(AG7="",COUNTIF(AH7,"*,*")=0)</formula>
    </cfRule>
  </conditionalFormatting>
  <conditionalFormatting sqref="AL7:AL44">
    <cfRule type="expression" dxfId="80" priority="84">
      <formula>AND(AK7="",FIND(",",AL7))</formula>
    </cfRule>
    <cfRule type="expression" dxfId="79" priority="85">
      <formula>AND(AK7="",COUNTIF(AL7,"*,*")=0)</formula>
    </cfRule>
  </conditionalFormatting>
  <conditionalFormatting sqref="AF7:AF44">
    <cfRule type="expression" dxfId="78" priority="80">
      <formula>AND(AE7="",COUNTIF(AF7,"*,*")=0)</formula>
    </cfRule>
  </conditionalFormatting>
  <conditionalFormatting sqref="AN7:AN44">
    <cfRule type="expression" dxfId="77" priority="76">
      <formula>AND(AM7="",COUNTIF(AN7,"*,*")=0)</formula>
    </cfRule>
    <cfRule type="expression" dxfId="76" priority="78">
      <formula>AND(AM7="",FIND(",",AN7))</formula>
    </cfRule>
  </conditionalFormatting>
  <conditionalFormatting sqref="AP7:AP44">
    <cfRule type="expression" dxfId="75" priority="75">
      <formula>AND(AO7="",COUNTIF(AP7,"*,*")=0)</formula>
    </cfRule>
    <cfRule type="expression" dxfId="74" priority="77">
      <formula>AND(AO7="",FIND(",",AP7))</formula>
    </cfRule>
  </conditionalFormatting>
  <conditionalFormatting sqref="I28:I32">
    <cfRule type="expression" dxfId="73" priority="69">
      <formula>FIND(2,I28,1)</formula>
    </cfRule>
    <cfRule type="expression" dxfId="72" priority="70">
      <formula>FIND(1,I28,1)</formula>
    </cfRule>
  </conditionalFormatting>
  <conditionalFormatting sqref="I21:I25">
    <cfRule type="expression" dxfId="71" priority="71">
      <formula>FIND(2,I21,1)</formula>
    </cfRule>
    <cfRule type="expression" dxfId="70" priority="72">
      <formula>FIND(1,I21,1)</formula>
    </cfRule>
  </conditionalFormatting>
  <conditionalFormatting sqref="I7:I11">
    <cfRule type="expression" dxfId="69" priority="73">
      <formula>FIND(2,I7,1)</formula>
    </cfRule>
    <cfRule type="expression" dxfId="68" priority="74">
      <formula>FIND(1,I7,1)</formula>
    </cfRule>
  </conditionalFormatting>
  <conditionalFormatting sqref="I35:I39">
    <cfRule type="expression" dxfId="67" priority="67">
      <formula>FIND(2,I35,1)</formula>
    </cfRule>
    <cfRule type="expression" dxfId="66" priority="68">
      <formula>FIND(1,I35,1)</formula>
    </cfRule>
  </conditionalFormatting>
  <conditionalFormatting sqref="I42:I46">
    <cfRule type="expression" dxfId="65" priority="65">
      <formula>FIND(2,I42,1)</formula>
    </cfRule>
    <cfRule type="expression" dxfId="64" priority="66">
      <formula>FIND(1,I42,1)</formula>
    </cfRule>
  </conditionalFormatting>
  <conditionalFormatting sqref="I14:I18">
    <cfRule type="expression" dxfId="63" priority="63">
      <formula>FIND(2,I14,1)</formula>
    </cfRule>
    <cfRule type="expression" dxfId="62" priority="64">
      <formula>FIND(1,I14,1)</formula>
    </cfRule>
  </conditionalFormatting>
  <conditionalFormatting sqref="C106 C108">
    <cfRule type="aboveAverage" dxfId="61" priority="62"/>
  </conditionalFormatting>
  <conditionalFormatting sqref="C106 C108">
    <cfRule type="containsBlanks" dxfId="60" priority="61">
      <formula>LEN(TRIM(C106))=0</formula>
    </cfRule>
  </conditionalFormatting>
  <conditionalFormatting sqref="C110 C112">
    <cfRule type="aboveAverage" dxfId="59" priority="60"/>
  </conditionalFormatting>
  <conditionalFormatting sqref="C110 C112">
    <cfRule type="containsBlanks" dxfId="58" priority="59">
      <formula>LEN(TRIM(C110))=0</formula>
    </cfRule>
  </conditionalFormatting>
  <conditionalFormatting sqref="C114 C116">
    <cfRule type="aboveAverage" dxfId="57" priority="58"/>
  </conditionalFormatting>
  <conditionalFormatting sqref="C114 C116">
    <cfRule type="containsBlanks" dxfId="56" priority="57">
      <formula>LEN(TRIM(C114))=0</formula>
    </cfRule>
  </conditionalFormatting>
  <conditionalFormatting sqref="C118 C120">
    <cfRule type="aboveAverage" dxfId="55" priority="56"/>
  </conditionalFormatting>
  <conditionalFormatting sqref="C118 C120">
    <cfRule type="containsBlanks" dxfId="54" priority="55">
      <formula>LEN(TRIM(C118))=0</formula>
    </cfRule>
  </conditionalFormatting>
  <conditionalFormatting sqref="C122 C124">
    <cfRule type="aboveAverage" dxfId="53" priority="54"/>
  </conditionalFormatting>
  <conditionalFormatting sqref="C122 C124">
    <cfRule type="containsBlanks" dxfId="52" priority="53">
      <formula>LEN(TRIM(C122))=0</formula>
    </cfRule>
  </conditionalFormatting>
  <conditionalFormatting sqref="C126 C128">
    <cfRule type="aboveAverage" dxfId="51" priority="52"/>
  </conditionalFormatting>
  <conditionalFormatting sqref="C126 C128">
    <cfRule type="containsBlanks" dxfId="50" priority="51">
      <formula>LEN(TRIM(C126))=0</formula>
    </cfRule>
  </conditionalFormatting>
  <conditionalFormatting sqref="C130 C132">
    <cfRule type="aboveAverage" dxfId="49" priority="50"/>
  </conditionalFormatting>
  <conditionalFormatting sqref="C130 C132">
    <cfRule type="containsBlanks" dxfId="48" priority="49">
      <formula>LEN(TRIM(C130))=0</formula>
    </cfRule>
  </conditionalFormatting>
  <conditionalFormatting sqref="E200 E202">
    <cfRule type="aboveAverage" dxfId="47" priority="48"/>
  </conditionalFormatting>
  <conditionalFormatting sqref="E200 E202">
    <cfRule type="containsBlanks" dxfId="46" priority="47">
      <formula>LEN(TRIM(E200))=0</formula>
    </cfRule>
  </conditionalFormatting>
  <conditionalFormatting sqref="E204 E206">
    <cfRule type="aboveAverage" dxfId="45" priority="46"/>
  </conditionalFormatting>
  <conditionalFormatting sqref="E204 E206">
    <cfRule type="containsBlanks" dxfId="44" priority="45">
      <formula>LEN(TRIM(E204))=0</formula>
    </cfRule>
  </conditionalFormatting>
  <conditionalFormatting sqref="I211 I213">
    <cfRule type="aboveAverage" dxfId="43" priority="44"/>
  </conditionalFormatting>
  <conditionalFormatting sqref="I211 I213">
    <cfRule type="containsBlanks" dxfId="42" priority="43">
      <formula>LEN(TRIM(I211))=0</formula>
    </cfRule>
  </conditionalFormatting>
  <conditionalFormatting sqref="E208 E210">
    <cfRule type="aboveAverage" dxfId="41" priority="42"/>
  </conditionalFormatting>
  <conditionalFormatting sqref="E208 E210">
    <cfRule type="containsBlanks" dxfId="40" priority="41">
      <formula>LEN(TRIM(E208))=0</formula>
    </cfRule>
  </conditionalFormatting>
  <conditionalFormatting sqref="I131 I133">
    <cfRule type="aboveAverage" dxfId="39" priority="40"/>
  </conditionalFormatting>
  <conditionalFormatting sqref="I131 I133">
    <cfRule type="containsBlanks" dxfId="38" priority="39">
      <formula>LEN(TRIM(I131))=0</formula>
    </cfRule>
  </conditionalFormatting>
  <conditionalFormatting sqref="I148 I150">
    <cfRule type="aboveAverage" dxfId="37" priority="38"/>
  </conditionalFormatting>
  <conditionalFormatting sqref="I148 I150">
    <cfRule type="containsBlanks" dxfId="36" priority="37">
      <formula>LEN(TRIM(I148))=0</formula>
    </cfRule>
  </conditionalFormatting>
  <conditionalFormatting sqref="I172 I174">
    <cfRule type="aboveAverage" dxfId="35" priority="36"/>
  </conditionalFormatting>
  <conditionalFormatting sqref="I172 I174">
    <cfRule type="containsBlanks" dxfId="34" priority="35">
      <formula>LEN(TRIM(I172))=0</formula>
    </cfRule>
  </conditionalFormatting>
  <conditionalFormatting sqref="I226 I228">
    <cfRule type="aboveAverage" dxfId="33" priority="34"/>
  </conditionalFormatting>
  <conditionalFormatting sqref="I226 I228">
    <cfRule type="containsBlanks" dxfId="32" priority="33">
      <formula>LEN(TRIM(I226))=0</formula>
    </cfRule>
  </conditionalFormatting>
  <conditionalFormatting sqref="E103 E107">
    <cfRule type="containsBlanks" dxfId="31" priority="31">
      <formula>LEN(TRIM(E103))=0</formula>
    </cfRule>
    <cfRule type="aboveAverage" dxfId="30" priority="32"/>
  </conditionalFormatting>
  <conditionalFormatting sqref="E111 E115">
    <cfRule type="containsBlanks" dxfId="29" priority="29">
      <formula>LEN(TRIM(E111))=0</formula>
    </cfRule>
    <cfRule type="aboveAverage" dxfId="28" priority="30"/>
  </conditionalFormatting>
  <conditionalFormatting sqref="E119 E123">
    <cfRule type="containsBlanks" dxfId="27" priority="27">
      <formula>LEN(TRIM(E119))=0</formula>
    </cfRule>
    <cfRule type="aboveAverage" dxfId="26" priority="28"/>
  </conditionalFormatting>
  <conditionalFormatting sqref="E127 E131">
    <cfRule type="containsBlanks" dxfId="25" priority="25">
      <formula>LEN(TRIM(E127))=0</formula>
    </cfRule>
    <cfRule type="aboveAverage" dxfId="24" priority="26"/>
  </conditionalFormatting>
  <conditionalFormatting sqref="I141 I145">
    <cfRule type="containsBlanks" dxfId="23" priority="23">
      <formula>LEN(TRIM(I141))=0</formula>
    </cfRule>
    <cfRule type="aboveAverage" dxfId="22" priority="24"/>
  </conditionalFormatting>
  <conditionalFormatting sqref="G158 G162">
    <cfRule type="containsBlanks" dxfId="21" priority="21">
      <formula>LEN(TRIM(G158))=0</formula>
    </cfRule>
    <cfRule type="aboveAverage" dxfId="20" priority="22"/>
  </conditionalFormatting>
  <conditionalFormatting sqref="G166 G170">
    <cfRule type="containsBlanks" dxfId="19" priority="19">
      <formula>LEN(TRIM(G166))=0</formula>
    </cfRule>
    <cfRule type="aboveAverage" dxfId="18" priority="20"/>
  </conditionalFormatting>
  <conditionalFormatting sqref="G197 G201">
    <cfRule type="containsBlanks" dxfId="17" priority="17">
      <formula>LEN(TRIM(G197))=0</formula>
    </cfRule>
    <cfRule type="aboveAverage" dxfId="16" priority="18"/>
  </conditionalFormatting>
  <conditionalFormatting sqref="G205 G209">
    <cfRule type="containsBlanks" dxfId="15" priority="15">
      <formula>LEN(TRIM(G205))=0</formula>
    </cfRule>
    <cfRule type="aboveAverage" dxfId="14" priority="16"/>
  </conditionalFormatting>
  <conditionalFormatting sqref="I219 I223">
    <cfRule type="containsBlanks" dxfId="13" priority="13">
      <formula>LEN(TRIM(I219))=0</formula>
    </cfRule>
    <cfRule type="aboveAverage" dxfId="12" priority="14"/>
  </conditionalFormatting>
  <conditionalFormatting sqref="G105 G113">
    <cfRule type="containsBlanks" dxfId="11" priority="11">
      <formula>LEN(TRIM(G105))=0</formula>
    </cfRule>
    <cfRule type="aboveAverage" dxfId="10" priority="12"/>
  </conditionalFormatting>
  <conditionalFormatting sqref="G121 G129">
    <cfRule type="containsBlanks" dxfId="9" priority="9">
      <formula>LEN(TRIM(G121))=0</formula>
    </cfRule>
    <cfRule type="aboveAverage" dxfId="8" priority="10"/>
  </conditionalFormatting>
  <conditionalFormatting sqref="I160 I168">
    <cfRule type="containsBlanks" dxfId="7" priority="7">
      <formula>LEN(TRIM(I160))=0</formula>
    </cfRule>
    <cfRule type="aboveAverage" dxfId="6" priority="8"/>
  </conditionalFormatting>
  <conditionalFormatting sqref="I199 I207">
    <cfRule type="containsBlanks" dxfId="5" priority="5">
      <formula>LEN(TRIM(I199))=0</formula>
    </cfRule>
    <cfRule type="aboveAverage" dxfId="4" priority="6"/>
  </conditionalFormatting>
  <conditionalFormatting sqref="I109">
    <cfRule type="containsBlanks" dxfId="3" priority="3">
      <formula>LEN(TRIM(I109))=0</formula>
    </cfRule>
    <cfRule type="aboveAverage" dxfId="2" priority="4"/>
  </conditionalFormatting>
  <conditionalFormatting sqref="I125">
    <cfRule type="containsBlanks" dxfId="1" priority="1">
      <formula>LEN(TRIM(I125))=0</formula>
    </cfRule>
    <cfRule type="aboveAverage" dxfId="0" priority="2"/>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rowBreaks count="4" manualBreakCount="4">
    <brk id="98" max="16383" man="1"/>
    <brk id="136" max="16383" man="1"/>
    <brk id="192" max="16383" man="1"/>
    <brk id="23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00"/>
    <pageSetUpPr fitToPage="1"/>
  </sheetPr>
  <dimension ref="A1:BR119"/>
  <sheetViews>
    <sheetView showGridLines="0" showRowColHeaders="0" zoomScaleNormal="100" workbookViewId="0">
      <pane ySplit="6" topLeftCell="A7" activePane="bottomLeft" state="frozen"/>
      <selection pane="bottomLeft" activeCell="AA1" sqref="AA1"/>
    </sheetView>
  </sheetViews>
  <sheetFormatPr defaultRowHeight="12.75" x14ac:dyDescent="0.2"/>
  <cols>
    <col min="1" max="1" width="6.140625" style="1" customWidth="1"/>
    <col min="2" max="2" width="7.42578125" style="1" hidden="1" customWidth="1"/>
    <col min="3" max="3" width="7.5703125" style="1" customWidth="1"/>
    <col min="4" max="4" width="9.140625" style="1" hidden="1" customWidth="1"/>
    <col min="5" max="5" width="3.140625" style="1" hidden="1" customWidth="1"/>
    <col min="6" max="6" width="4.42578125" style="1" hidden="1" customWidth="1"/>
    <col min="7" max="7" width="3" style="1" customWidth="1"/>
    <col min="8" max="8" width="6.7109375" style="1" hidden="1" customWidth="1"/>
    <col min="9" max="9" width="2.7109375" style="1" customWidth="1"/>
    <col min="10" max="10" width="8.28515625" style="1" hidden="1" customWidth="1"/>
    <col min="11" max="11" width="6" style="1" customWidth="1"/>
    <col min="12" max="12" width="21.140625" style="1" customWidth="1"/>
    <col min="13" max="16" width="3" style="1" hidden="1" customWidth="1"/>
    <col min="17" max="17" width="10" style="1" hidden="1" customWidth="1"/>
    <col min="18" max="18" width="7.5703125" style="1" customWidth="1"/>
    <col min="19" max="19" width="26.5703125" style="1" hidden="1" customWidth="1"/>
    <col min="20" max="20" width="28.28515625" style="1" hidden="1" customWidth="1"/>
    <col min="21" max="21" width="9" style="1" hidden="1" customWidth="1"/>
    <col min="22" max="22" width="7.5703125" style="1" hidden="1" customWidth="1"/>
    <col min="23" max="23" width="32" style="1" hidden="1" customWidth="1"/>
    <col min="24" max="24" width="11.28515625" style="1" hidden="1" customWidth="1"/>
    <col min="25" max="25" width="5" style="1" hidden="1" customWidth="1"/>
    <col min="26" max="31" width="3.28515625" style="1" customWidth="1"/>
    <col min="32" max="32" width="3.28515625" style="1" bestFit="1" customWidth="1"/>
    <col min="33" max="34" width="3.28515625" style="1" customWidth="1"/>
    <col min="35" max="35" width="4.140625" style="1" customWidth="1"/>
    <col min="36" max="36" width="3" style="1" hidden="1" customWidth="1"/>
    <col min="37" max="37" width="6.28515625" style="1" hidden="1" customWidth="1"/>
    <col min="38" max="38" width="8" style="1" hidden="1" customWidth="1"/>
    <col min="39" max="39" width="5.42578125" style="1" hidden="1" customWidth="1"/>
    <col min="40" max="42" width="3.28515625" style="1" customWidth="1"/>
    <col min="43" max="43" width="0.140625" style="1" customWidth="1"/>
    <col min="46" max="55" width="8" style="1" hidden="1" customWidth="1"/>
    <col min="56" max="56" width="7" style="1" hidden="1" customWidth="1"/>
    <col min="57" max="57" width="9.140625" style="1"/>
    <col min="58" max="60" width="9.140625" style="1018"/>
    <col min="61" max="70" width="0" style="1" hidden="1" customWidth="1"/>
    <col min="71" max="16384" width="9.140625" style="1"/>
  </cols>
  <sheetData>
    <row r="1" spans="1:70" x14ac:dyDescent="0.2">
      <c r="A1" s="49"/>
      <c r="B1" s="47"/>
      <c r="C1" s="52" t="s">
        <v>408</v>
      </c>
      <c r="D1" s="50"/>
      <c r="E1" s="50"/>
      <c r="F1" s="50"/>
      <c r="H1" s="50"/>
      <c r="J1" s="50"/>
      <c r="K1" s="51"/>
      <c r="L1" s="49"/>
      <c r="M1" s="53"/>
      <c r="N1" s="53"/>
      <c r="O1" s="53"/>
      <c r="P1" s="54"/>
      <c r="Q1" s="54"/>
      <c r="R1" s="55"/>
      <c r="S1" s="53"/>
      <c r="T1" s="53"/>
      <c r="U1" s="53"/>
      <c r="V1" s="53"/>
      <c r="W1" s="53"/>
      <c r="X1" s="53"/>
      <c r="Y1" s="462"/>
      <c r="Z1" s="459"/>
      <c r="AA1" s="55"/>
      <c r="AB1" s="55"/>
      <c r="AC1" s="55"/>
      <c r="AD1" s="55"/>
      <c r="AE1" s="33" t="str">
        <f>HYPERLINK("#Juhend!B1","Juhend")</f>
        <v>Juhend</v>
      </c>
      <c r="AF1" s="55" t="s">
        <v>32</v>
      </c>
      <c r="AG1" s="55"/>
      <c r="AI1" s="352" t="s">
        <v>72</v>
      </c>
      <c r="AJ1" s="56"/>
      <c r="AK1" s="56"/>
      <c r="AL1" s="353"/>
      <c r="AM1" s="353"/>
      <c r="AN1" s="46" t="s">
        <v>69</v>
      </c>
      <c r="AO1" s="46"/>
      <c r="AP1" s="57"/>
      <c r="AQ1" s="49"/>
      <c r="AT1" s="45" t="s">
        <v>73</v>
      </c>
      <c r="AU1" s="47"/>
      <c r="AV1" s="47"/>
      <c r="AW1" s="47"/>
      <c r="AX1" s="47"/>
      <c r="AY1" s="47"/>
      <c r="AZ1" s="47"/>
      <c r="BA1" s="47"/>
      <c r="BB1" s="47"/>
      <c r="BC1" s="47"/>
      <c r="BD1" s="47"/>
      <c r="BI1" s="45" t="s">
        <v>73</v>
      </c>
      <c r="BJ1" s="47"/>
      <c r="BK1" s="47"/>
      <c r="BL1" s="47"/>
      <c r="BM1" s="47"/>
      <c r="BN1" s="47"/>
      <c r="BO1" s="47"/>
      <c r="BP1" s="47"/>
      <c r="BQ1" s="47"/>
      <c r="BR1" s="47"/>
    </row>
    <row r="2" spans="1:70" x14ac:dyDescent="0.2">
      <c r="A2" s="49"/>
      <c r="B2" s="49"/>
      <c r="C2" s="58" t="s">
        <v>339</v>
      </c>
      <c r="D2" s="51"/>
      <c r="E2" s="51"/>
      <c r="F2" s="51"/>
      <c r="H2" s="51"/>
      <c r="J2" s="51"/>
      <c r="K2" s="51"/>
      <c r="L2" s="49"/>
      <c r="M2" s="55"/>
      <c r="N2" s="55"/>
      <c r="O2" s="55"/>
      <c r="P2" s="59"/>
      <c r="Q2" s="59"/>
      <c r="R2" s="55"/>
      <c r="S2" s="55"/>
      <c r="T2" s="55"/>
      <c r="U2" s="55"/>
      <c r="V2" s="55"/>
      <c r="W2" s="55"/>
      <c r="X2" s="55"/>
      <c r="Y2" s="459"/>
      <c r="Z2" s="55"/>
      <c r="AA2" s="55"/>
      <c r="AB2" s="55"/>
      <c r="AC2" s="55"/>
      <c r="AD2" s="55"/>
      <c r="AE2" s="55"/>
      <c r="AF2" s="55"/>
      <c r="AG2" s="60"/>
      <c r="AH2" s="60"/>
      <c r="AI2" s="60"/>
      <c r="AJ2" s="55"/>
      <c r="AK2" s="55"/>
      <c r="AL2" s="55"/>
      <c r="AN2" s="47" t="s">
        <v>70</v>
      </c>
      <c r="AO2" s="47"/>
      <c r="AP2" s="49"/>
      <c r="AQ2" s="49"/>
      <c r="AT2" s="61">
        <v>3</v>
      </c>
      <c r="AU2" s="62" t="s">
        <v>257</v>
      </c>
      <c r="AV2" s="63"/>
      <c r="AW2" s="63"/>
      <c r="AX2" s="63"/>
      <c r="AY2" s="63"/>
      <c r="AZ2" s="63"/>
      <c r="BA2" s="49"/>
      <c r="BB2" s="49"/>
      <c r="BC2" s="49"/>
      <c r="BD2" s="49"/>
    </row>
    <row r="3" spans="1:70" x14ac:dyDescent="0.2">
      <c r="A3" s="49"/>
      <c r="B3" s="49"/>
      <c r="C3" s="58"/>
      <c r="D3" s="51"/>
      <c r="E3" s="51"/>
      <c r="F3" s="51"/>
      <c r="H3" s="51"/>
      <c r="J3" s="51"/>
      <c r="K3" s="51"/>
      <c r="L3" s="49"/>
      <c r="M3" s="55"/>
      <c r="N3" s="55"/>
      <c r="O3" s="55"/>
      <c r="P3" s="59"/>
      <c r="Q3" s="59"/>
      <c r="R3" s="59"/>
      <c r="S3" s="55">
        <f>COUNTIF((Q$7:Q$114),"&lt;&gt;Viru SK")</f>
        <v>55</v>
      </c>
      <c r="T3" s="55"/>
      <c r="U3" s="55"/>
      <c r="V3" s="55"/>
      <c r="W3" s="55"/>
      <c r="X3" s="55"/>
      <c r="Y3" s="459"/>
      <c r="Z3" s="55"/>
      <c r="AA3" s="55"/>
      <c r="AB3" s="55"/>
      <c r="AC3" s="55"/>
      <c r="AD3" s="55"/>
      <c r="AE3" s="55"/>
      <c r="AF3" s="55"/>
      <c r="AG3" s="55"/>
      <c r="AH3" s="55"/>
      <c r="AI3" s="55"/>
      <c r="AJ3" s="55"/>
      <c r="AK3" s="55"/>
      <c r="AL3" s="55"/>
      <c r="AN3" s="48" t="s">
        <v>71</v>
      </c>
      <c r="AO3" s="48"/>
      <c r="AP3" s="49"/>
      <c r="AQ3" s="49"/>
      <c r="AT3" s="61">
        <v>1</v>
      </c>
      <c r="AU3" s="62" t="s">
        <v>256</v>
      </c>
      <c r="AV3" s="63"/>
      <c r="AW3" s="63"/>
      <c r="AX3" s="63"/>
      <c r="AY3" s="63"/>
      <c r="AZ3" s="63"/>
      <c r="BA3" s="63"/>
      <c r="BB3" s="63"/>
      <c r="BC3" s="49"/>
      <c r="BD3" s="49"/>
    </row>
    <row r="4" spans="1:70" ht="29.25" customHeight="1" x14ac:dyDescent="0.2">
      <c r="A4" s="644"/>
      <c r="B4" s="361"/>
      <c r="C4" s="364"/>
      <c r="D4" s="365"/>
      <c r="E4" s="64"/>
      <c r="F4" s="64"/>
      <c r="G4" s="64"/>
      <c r="H4" s="64"/>
      <c r="I4" s="64"/>
      <c r="J4" s="64"/>
      <c r="K4" s="64"/>
      <c r="L4" s="64"/>
      <c r="M4" s="64"/>
      <c r="N4" s="64"/>
      <c r="O4" s="64"/>
      <c r="P4" s="64"/>
      <c r="Q4" s="64"/>
      <c r="R4" s="368"/>
      <c r="S4" s="65" t="s">
        <v>74</v>
      </c>
      <c r="T4" s="65"/>
      <c r="U4" s="66" t="s">
        <v>75</v>
      </c>
      <c r="V4" s="65" t="s">
        <v>76</v>
      </c>
      <c r="W4" s="65" t="s">
        <v>77</v>
      </c>
      <c r="X4" s="65"/>
      <c r="Y4" s="67" t="s">
        <v>78</v>
      </c>
      <c r="Z4" s="68" t="str">
        <f>MID(Kalend!$A5,4,5)</f>
        <v>13.11</v>
      </c>
      <c r="AA4" s="68" t="str">
        <f>MID(Kalend!$A6,4,5)</f>
        <v>27.11</v>
      </c>
      <c r="AB4" s="68" t="str">
        <f>MID(Kalend!$A8,4,5)</f>
        <v>04.12</v>
      </c>
      <c r="AC4" s="68" t="str">
        <f>MID(Kalend!$A9,4,5)</f>
        <v>18.12</v>
      </c>
      <c r="AD4" s="68" t="str">
        <f>MID(Kalend!$A13,4,5)</f>
        <v>08.01</v>
      </c>
      <c r="AE4" s="68" t="str">
        <f>MID(Kalend!$A15,4,5)</f>
        <v>22.01</v>
      </c>
      <c r="AF4" s="68" t="str">
        <f>MID(Kalend!$A17,4,5)</f>
        <v>05.02</v>
      </c>
      <c r="AG4" s="68" t="str">
        <f>MID(Kalend!$A18,4,5)</f>
        <v>12.02</v>
      </c>
      <c r="AH4" s="68" t="str">
        <f>MID(Kalend!$A21,4,5)</f>
        <v>12.03</v>
      </c>
      <c r="AI4" s="68" t="str">
        <f>MID(Kalend!$A26,4,5)</f>
        <v>16.04</v>
      </c>
      <c r="AJ4" s="69"/>
      <c r="AK4" s="403"/>
      <c r="AL4" s="70"/>
      <c r="AM4" s="415"/>
      <c r="AN4" s="1053" t="s">
        <v>80</v>
      </c>
      <c r="AO4" s="1054" t="s">
        <v>224</v>
      </c>
      <c r="AP4" s="1056" t="s">
        <v>81</v>
      </c>
      <c r="AQ4" s="49"/>
      <c r="AT4" s="49"/>
      <c r="AW4" s="49"/>
      <c r="AX4" s="49"/>
      <c r="AY4" s="49"/>
      <c r="AZ4" s="49"/>
      <c r="BA4" s="49"/>
      <c r="BB4" s="49"/>
      <c r="BC4" s="49"/>
      <c r="BD4" s="49"/>
    </row>
    <row r="5" spans="1:70" x14ac:dyDescent="0.2">
      <c r="A5" s="645" t="s">
        <v>79</v>
      </c>
      <c r="B5" s="153"/>
      <c r="C5" s="153"/>
      <c r="D5" s="153"/>
      <c r="E5" s="154" t="s">
        <v>79</v>
      </c>
      <c r="F5" s="153"/>
      <c r="G5" s="154" t="s">
        <v>79</v>
      </c>
      <c r="H5" s="153"/>
      <c r="I5" s="154"/>
      <c r="J5" s="153"/>
      <c r="K5" s="414" t="s">
        <v>57</v>
      </c>
      <c r="L5" s="72"/>
      <c r="M5" s="73" t="s">
        <v>79</v>
      </c>
      <c r="N5" s="73" t="s">
        <v>79</v>
      </c>
      <c r="O5" s="73" t="s">
        <v>79</v>
      </c>
      <c r="P5" s="73" t="s">
        <v>79</v>
      </c>
      <c r="Q5" s="73" t="s">
        <v>79</v>
      </c>
      <c r="R5" s="71" t="s">
        <v>59</v>
      </c>
      <c r="S5" s="74" t="s">
        <v>82</v>
      </c>
      <c r="T5" s="75"/>
      <c r="U5" s="76" t="s">
        <v>83</v>
      </c>
      <c r="V5" s="77"/>
      <c r="W5" s="77"/>
      <c r="X5" s="77"/>
      <c r="Y5" s="78" t="s">
        <v>84</v>
      </c>
      <c r="Z5" s="79" t="s">
        <v>85</v>
      </c>
      <c r="AA5" s="79" t="s">
        <v>85</v>
      </c>
      <c r="AB5" s="79" t="s">
        <v>85</v>
      </c>
      <c r="AC5" s="79" t="s">
        <v>85</v>
      </c>
      <c r="AD5" s="79" t="s">
        <v>85</v>
      </c>
      <c r="AE5" s="79" t="s">
        <v>85</v>
      </c>
      <c r="AF5" s="79" t="s">
        <v>85</v>
      </c>
      <c r="AG5" s="79" t="s">
        <v>85</v>
      </c>
      <c r="AH5" s="79" t="s">
        <v>85</v>
      </c>
      <c r="AI5" s="79" t="s">
        <v>85</v>
      </c>
      <c r="AJ5" s="80"/>
      <c r="AK5" s="405" t="s">
        <v>305</v>
      </c>
      <c r="AL5" s="81" t="s">
        <v>86</v>
      </c>
      <c r="AM5" s="360" t="s">
        <v>87</v>
      </c>
      <c r="AN5" s="1053"/>
      <c r="AO5" s="1055"/>
      <c r="AP5" s="1056"/>
      <c r="AQ5" s="49"/>
      <c r="AT5" s="49"/>
      <c r="AU5" s="49"/>
      <c r="AV5" s="49"/>
      <c r="AW5" s="49"/>
      <c r="AX5" s="49"/>
      <c r="AY5" s="49"/>
      <c r="AZ5" s="49"/>
      <c r="BA5" s="49"/>
      <c r="BB5" s="49"/>
      <c r="BC5" s="49"/>
      <c r="BD5" s="49"/>
    </row>
    <row r="6" spans="1:70" x14ac:dyDescent="0.2">
      <c r="A6" s="646" t="s">
        <v>88</v>
      </c>
      <c r="B6" s="362" t="s">
        <v>88</v>
      </c>
      <c r="C6" s="408" t="s">
        <v>258</v>
      </c>
      <c r="D6" s="366" t="s">
        <v>258</v>
      </c>
      <c r="E6" s="83" t="s">
        <v>12</v>
      </c>
      <c r="F6" s="82" t="s">
        <v>89</v>
      </c>
      <c r="G6" s="84" t="s">
        <v>13</v>
      </c>
      <c r="H6" s="82" t="s">
        <v>90</v>
      </c>
      <c r="I6" s="85" t="s">
        <v>9</v>
      </c>
      <c r="J6" s="82" t="s">
        <v>91</v>
      </c>
      <c r="K6" s="92" t="s">
        <v>92</v>
      </c>
      <c r="L6" s="86" t="s">
        <v>58</v>
      </c>
      <c r="M6" s="87" t="s">
        <v>13</v>
      </c>
      <c r="N6" s="88" t="s">
        <v>12</v>
      </c>
      <c r="O6" s="89" t="s">
        <v>9</v>
      </c>
      <c r="P6" s="90" t="s">
        <v>19</v>
      </c>
      <c r="Q6" s="91" t="s">
        <v>21</v>
      </c>
      <c r="R6" s="92" t="s">
        <v>10</v>
      </c>
      <c r="S6" s="93" t="s">
        <v>93</v>
      </c>
      <c r="T6" s="93" t="s">
        <v>94</v>
      </c>
      <c r="U6" s="93" t="s">
        <v>95</v>
      </c>
      <c r="V6" s="94" t="s">
        <v>96</v>
      </c>
      <c r="W6" s="93" t="s">
        <v>97</v>
      </c>
      <c r="X6" s="93" t="s">
        <v>98</v>
      </c>
      <c r="Y6" s="93" t="s">
        <v>99</v>
      </c>
      <c r="Z6" s="95" t="str">
        <f>HYPERLINK("#V1!A5","V1")</f>
        <v>V1</v>
      </c>
      <c r="AA6" s="95" t="str">
        <f>HYPERLINK("#V2!A5","V2")</f>
        <v>V2</v>
      </c>
      <c r="AB6" s="95" t="str">
        <f>HYPERLINK("#V3!A5","V3")</f>
        <v>V3</v>
      </c>
      <c r="AC6" s="95" t="str">
        <f>HYPERLINK("#V4!A5","V4")</f>
        <v>V4</v>
      </c>
      <c r="AD6" s="95" t="str">
        <f>HYPERLINK("#V5!A5","V5")</f>
        <v>V5</v>
      </c>
      <c r="AE6" s="95" t="str">
        <f>HYPERLINK("#V6!A5","V6")</f>
        <v>V6</v>
      </c>
      <c r="AF6" s="95" t="str">
        <f>HYPERLINK("#V7!A5","V7")</f>
        <v>V7</v>
      </c>
      <c r="AG6" s="95" t="str">
        <f>HYPERLINK("#V8!A5","V8")</f>
        <v>V8</v>
      </c>
      <c r="AH6" s="95" t="str">
        <f>HYPERLINK("#V9!A5","V9")</f>
        <v>V9</v>
      </c>
      <c r="AI6" s="95" t="str">
        <f>HYPERLINK("#V10!A5","V10")</f>
        <v>V10</v>
      </c>
      <c r="AJ6" s="96"/>
      <c r="AK6" s="406" t="s">
        <v>306</v>
      </c>
      <c r="AL6" s="97" t="s">
        <v>100</v>
      </c>
      <c r="AM6" s="98" t="str">
        <f>HYPERLINK("#'V-Fin'!J1","V-Fin")</f>
        <v>V-Fin</v>
      </c>
      <c r="AN6" s="1053"/>
      <c r="AO6" s="1055"/>
      <c r="AP6" s="1056"/>
      <c r="AQ6" s="49"/>
      <c r="AT6" s="49"/>
      <c r="AU6" s="49"/>
      <c r="AV6" s="49"/>
      <c r="AW6" s="49"/>
      <c r="AX6" s="49"/>
      <c r="AY6" s="49"/>
      <c r="AZ6" s="49"/>
      <c r="BA6" s="49"/>
      <c r="BB6" s="49"/>
      <c r="BC6" s="49"/>
      <c r="BD6" s="49"/>
      <c r="BI6" s="1018">
        <f>LARGE(Z7:Z114,1)</f>
        <v>18</v>
      </c>
      <c r="BJ6" s="1018">
        <f t="shared" ref="BJ6:BR6" si="0">LARGE(AA7:AA114,1)</f>
        <v>20</v>
      </c>
      <c r="BK6" s="1018">
        <f t="shared" si="0"/>
        <v>16</v>
      </c>
      <c r="BL6" s="1018">
        <f t="shared" si="0"/>
        <v>16</v>
      </c>
      <c r="BM6" s="1018">
        <f t="shared" si="0"/>
        <v>24</v>
      </c>
      <c r="BN6" s="1018">
        <f t="shared" si="0"/>
        <v>26</v>
      </c>
      <c r="BO6" s="1018">
        <f t="shared" si="0"/>
        <v>26</v>
      </c>
      <c r="BP6" s="1018">
        <f t="shared" si="0"/>
        <v>20</v>
      </c>
      <c r="BQ6" s="1018">
        <f t="shared" si="0"/>
        <v>24</v>
      </c>
      <c r="BR6" s="1018">
        <f t="shared" si="0"/>
        <v>26</v>
      </c>
    </row>
    <row r="7" spans="1:70" x14ac:dyDescent="0.2">
      <c r="A7" s="647" t="str">
        <f t="shared" ref="A7:A38" si="1">IF(R7&gt;0,IF(Q7="Viru SK",RANK(B7,B$7:B$114,1)-COUNTIF((Q$7:Q$114),"&lt;&gt;Viru SK"),""),"")</f>
        <v/>
      </c>
      <c r="B7" s="363">
        <f t="shared" ref="B7:B38" si="2">IF((Q7="Viru SK"),U7,U7-1000)</f>
        <v>-999</v>
      </c>
      <c r="C7" s="409" t="str">
        <f t="shared" ref="C7:C38" si="3">IF(R7&gt;0,IF(P7="t",RANK(D7,D$7:D$114,1)-COUNTBLANK(P$7:P$114),""),"")</f>
        <v/>
      </c>
      <c r="D7" s="367">
        <f t="shared" ref="D7:D38" si="4">IF((P7="t"),U7,U7-1000)</f>
        <v>-999</v>
      </c>
      <c r="E7" s="100">
        <f t="shared" ref="E7:E38" si="5">IF(R7&gt;0,IF(N7="m",RANK(F7,F$7:F$114,1)-COUNTBLANK(N$7:N$114),""),"")</f>
        <v>2</v>
      </c>
      <c r="F7" s="99">
        <f t="shared" ref="F7:F38" si="6">IF((N7="m"),U7,U7-1000)</f>
        <v>1</v>
      </c>
      <c r="G7" s="101" t="str">
        <f t="shared" ref="G7:G38" si="7">IF(R7&gt;0,IF(M7="n",RANK(H7,H$7:H$114,1)-COUNTBLANK(M$7:M$114),""),"")</f>
        <v/>
      </c>
      <c r="H7" s="99">
        <f t="shared" ref="H7:H38" si="8">IF((M7="n"),U7,U7-1000)</f>
        <v>-999</v>
      </c>
      <c r="I7" s="102" t="str">
        <f t="shared" ref="I7:I38" si="9">IF(R7&gt;0,IF(O7="j",RANK(J7,J$7:J$114,1)-COUNTBLANK(O$7:O$114),""),"")</f>
        <v/>
      </c>
      <c r="J7" s="103">
        <f t="shared" ref="J7:J38" si="10">IF((O7="j"),U7,U7-1000)</f>
        <v>-999</v>
      </c>
      <c r="K7" s="71">
        <f t="shared" ref="K7:K38" si="11">IF(R7&gt;0,RANK(U7,U$7:U$114,1),"")</f>
        <v>1</v>
      </c>
      <c r="L7" s="121" t="s">
        <v>307</v>
      </c>
      <c r="M7" s="105"/>
      <c r="N7" s="106" t="s">
        <v>105</v>
      </c>
      <c r="O7" s="107"/>
      <c r="P7" s="108"/>
      <c r="Q7" s="109" t="s">
        <v>345</v>
      </c>
      <c r="R7" s="110">
        <f>(IF(COUNT(Z7,AA7,AB7,AC7,AD7,AE7,AF7,AG7,AH7,AI7)&lt;10,SUM(Z7,AA7,AB7,AC7,AD7,AE7,AF7,AG7,AH7,AI7),SUM(LARGE((Z7,AA7,AB7,AC7,AD7,AE7,AF7,AG7,AH7,AI7),{1;2;3;4;5;6;7;8;9}))))</f>
        <v>160</v>
      </c>
      <c r="S7" s="111" t="str">
        <f>INDEX(ETAPP!B$1:B$32,MATCH(COUNTIF(BI7:BR7,1),ETAPP!A$1:A$32,0))&amp;INDEX(ETAPP!B$1:B$32,MATCH(COUNTIF(BI7:BR7,2),ETAPP!A$1:A$32,0))&amp;INDEX(ETAPP!B$1:B$32,MATCH(COUNTIF(BI7:BR7,3),ETAPP!A$1:A$32,0))&amp;INDEX(ETAPP!B$1:B$32,MATCH(COUNTIF(BI7:BR7,4),ETAPP!A$1:A$32,0))&amp;INDEX(ETAPP!B$1:B$32,MATCH(COUNTIF(BI7:BR7,5),ETAPP!A$1:A$32,0))&amp;INDEX(ETAPP!B$1:B$32,MATCH(COUNTIF(BI7:BR7,6),ETAPP!A$1:A$32,0))&amp;INDEX(ETAPP!B$1:B$32,MATCH(COUNTIF(BI7:BR7,7),ETAPP!A$1:A$32,0))&amp;INDEX(ETAPP!B$1:B$32,MATCH(COUNTIF(BI7:BR7,8),ETAPP!A$1:A$32,0))&amp;INDEX(ETAPP!B$1:B$32,MATCH(COUNTIF(BI7:BR7,9),ETAPP!A$1:A$32,0))&amp;INDEX(ETAPP!B$1:B$32,MATCH(COUNTIF(BI7:BR7,10),ETAPP!A$1:A$32,0))&amp;INDEX(ETAPP!B$1:B$32,MATCH(COUNTIF(BI7:BR7,11),ETAPP!A$1:A$32,0))&amp;INDEX(ETAPP!B$1:B$32,MATCH(COUNTIF(BI7:BR7,12),ETAPP!A$1:A$32,0))&amp;INDEX(ETAPP!B$1:B$32,MATCH(COUNTIF(BI7:BR7,13),ETAPP!A$1:A$32,0))&amp;INDEX(ETAPP!B$1:B$32,MATCH(COUNTIF(BI7:BR7,14),ETAPP!A$1:A$32,0))&amp;INDEX(ETAPP!B$1:B$32,MATCH(COUNTIF(BI7:BR7,15),ETAPP!A$1:A$32,0))&amp;INDEX(ETAPP!B$1:B$32,MATCH(COUNTIF(BI7:BR7,16),ETAPP!A$1:A$32,0))&amp;INDEX(ETAPP!B$1:B$32,MATCH(COUNTIF(BI7:BR7,17),ETAPP!A$1:A$32,0))&amp;INDEX(ETAPP!B$1:B$32,MATCH(COUNTIF(BI7:BR7,18),ETAPP!A$1:A$32,0))&amp;INDEX(ETAPP!B$1:B$32,MATCH(COUNTIF(BI7:BR7,19),ETAPP!A$1:A$32,0))&amp;INDEX(ETAPP!B$1:B$32,MATCH(COUNTIF(BI7:BR7,20),ETAPP!A$1:A$32,0))&amp;INDEX(ETAPP!B$1:B$32,MATCH(COUNTIF(BI7:BR7,21),ETAPP!A$1:A$32,0))</f>
        <v>CB0AAB000000000000000</v>
      </c>
      <c r="T7" s="111" t="str">
        <f t="shared" ref="T7:T38" si="12">TEXT(R7,"000,0")&amp;"-"&amp;S7</f>
        <v>160,0-CB0AAB000000000000000</v>
      </c>
      <c r="U7" s="111">
        <f t="shared" ref="U7:U38" si="13">COUNTIF(T$7:T$114,"&gt;="&amp;T7)</f>
        <v>1</v>
      </c>
      <c r="V7" s="111">
        <f t="shared" ref="V7:V38" si="14">COUNTIF(L$7:L$114,"&gt;="&amp;L7)</f>
        <v>39</v>
      </c>
      <c r="W7" s="111" t="str">
        <f t="shared" ref="W7:W38" si="15">TEXT(R7,"000,0")&amp;"-"&amp;S7&amp;"-"&amp;TEXT(V7,"000")</f>
        <v>160,0-CB0AAB000000000000000-039</v>
      </c>
      <c r="X7" s="111">
        <f t="shared" ref="X7:X38" si="16">COUNTIF(W$7:W$114,"&gt;="&amp;W7)</f>
        <v>1</v>
      </c>
      <c r="Y7" s="112">
        <f t="shared" ref="Y7:Y38" si="17">RANK(X7,X$7:X$114,0)</f>
        <v>108</v>
      </c>
      <c r="Z7" s="113" t="str">
        <f>IFERROR(INDEX('V1'!C$300:C$400,MATCH("*"&amp;L7&amp;"*",'V1'!B$300:B$400,0)),"  ")</f>
        <v xml:space="preserve">  </v>
      </c>
      <c r="AA7" s="113">
        <f>IFERROR(INDEX('V2'!C$300:C$400,MATCH("*"&amp;L7&amp;"*",'V2'!B$300:B$400,0)),"  ")</f>
        <v>20</v>
      </c>
      <c r="AB7" s="113">
        <f>IFERROR(INDEX('V3'!C$300:C$400,MATCH("*"&amp;L7&amp;"*",'V3'!B$300:B$400,0)),"  ")</f>
        <v>14</v>
      </c>
      <c r="AC7" s="113">
        <f>IFERROR(INDEX('V4'!C$300:C$400,MATCH("*"&amp;L7&amp;"*",'V4'!B$300:B$400,0)),"  ")</f>
        <v>8</v>
      </c>
      <c r="AD7" s="113">
        <f>IFERROR(INDEX('V5'!C$300:C$400,MATCH("*"&amp;L7&amp;"*",'V5'!B$300:B$400,0)),"  ")</f>
        <v>24</v>
      </c>
      <c r="AE7" s="113">
        <f>IFERROR(INDEX('V6'!C$300:C$400,MATCH("*"&amp;L7&amp;"*",'V6'!B$300:B$400,0)),"  ")</f>
        <v>24</v>
      </c>
      <c r="AF7" s="113">
        <f>IFERROR(INDEX('V7'!C$300:C$400,MATCH("*"&amp;L7&amp;"*",'V7'!B$300:B$400,0)),"  ")</f>
        <v>16</v>
      </c>
      <c r="AG7" s="113">
        <f>IFERROR(INDEX('V8'!C$300:C$400,MATCH("*"&amp;L7&amp;"*",'V8'!B$300:B$400,0)),"  ")</f>
        <v>14</v>
      </c>
      <c r="AH7" s="113">
        <f>IFERROR(INDEX('V9'!C$300:C$399,MATCH("*"&amp;L7&amp;"*",'V9'!B$300:B$399,0)),"  ")</f>
        <v>14</v>
      </c>
      <c r="AI7" s="113">
        <f>IFERROR(INDEX('V10'!C$300:C$399,MATCH("*"&amp;L7&amp;"*",'V10'!B$300:B$399,0)),"  ")</f>
        <v>26</v>
      </c>
      <c r="AJ7" s="114">
        <f t="shared" ref="AJ7:AJ38" si="18">IF(AN7&gt;(AT$2-1),K7,"")</f>
        <v>1</v>
      </c>
      <c r="AK7" s="404">
        <f t="shared" ref="AK7:AK38" si="19">SUM(Z7:AI7)</f>
        <v>160</v>
      </c>
      <c r="AL7" s="115" t="str">
        <f t="shared" ref="AL7:AL38" si="20">IFERROR("edasi "&amp;RANK(AJ7,AJ$7:AJ$114,1),K7)</f>
        <v>edasi 1</v>
      </c>
      <c r="AM7" s="116" t="str">
        <f>IFERROR(INDEX(#REF!,MATCH("*"&amp;L7&amp;"*",#REF!,0)),"  ")</f>
        <v xml:space="preserve">  </v>
      </c>
      <c r="AN7" s="117">
        <f t="shared" ref="AN7:AN38" si="21">COUNTIF(Z7:AI7,"&gt;=0")</f>
        <v>9</v>
      </c>
      <c r="AO7" s="118">
        <f t="shared" ref="AO7:AO38" si="22">IFERROR(IF(Z7+1&gt;LARGE(Z$7:Z$114,1)-2*LEN(Z$5),1),0)+IFERROR(IF(AA7+1&gt;LARGE(AA$7:AA$114,1)-2*LEN(AA$5),1),0)+IFERROR(IF(AB7+1&gt;LARGE(AB$7:AB$114,1)-2*LEN(AB$5),1),0)+IFERROR(IF(AC7+1&gt;LARGE(AC$7:AC$114,1)-2*LEN(AC$5),1),0)+IFERROR(IF(AD7+1&gt;LARGE(AD$7:AD$114,1)-2*LEN(AD$5),1),0)+IFERROR(IF(AE7+1&gt;LARGE(AE$7:AE$114,1)-2*LEN(AE$5),1),0)+IFERROR(IF(AF7+1&gt;LARGE(AF$7:AF$114,1)-2*LEN(AF$5),1),0)+IFERROR(IF(AG7+1&gt;LARGE(AG$7:AG$114,1)-2*LEN(AG$5),1),0)+IFERROR(IF(AH7+1&gt;LARGE(AH$7:AH$114,1)-2*LEN(AH$5),1),0)+IFERROR(IF(AI7+1&gt;LARGE(AI$7:AI$114,1)-2*LEN(AI$5),1),0)</f>
        <v>5</v>
      </c>
      <c r="AP7" s="118">
        <f t="shared" ref="AP7:AP38" si="23">IF(Z7=0,0,IF(Z7=IFERROR(LARGE(Z$7:Z$114,1),0),1,0))+IF(AA7=0,0,IF(AA7=IFERROR(LARGE(AA$7:AA$114,1),0),1,0))+IF(AB7=0,0,IF(AB7=IFERROR(LARGE(AB$7:AB$114,1),0),1,0))+IF(AC7=0,0,IF(AC7=IFERROR(LARGE(AC$7:AC$114,1),0),1,0))+IF(AD7=0,0,IF(AD7=IFERROR(LARGE(AD$7:AD$114,1),0),1,0))+IF(AE7=0,0,IF(AE7=IFERROR(LARGE(AE$7:AE$114,1),0),1,0))+IF(AF7=0,0,IF(AF7=IFERROR(LARGE(AF$7:AF$114,1),0),1,0))+IF(AG7=0,0,IF(AG7=IFERROR(LARGE(AG$7:AG$114,1),0),1,0))+IF(AH7=0,0,IF(AH7=IFERROR(LARGE(AH$7:AH$114,1),0),1,0))+IF(AI7=0,0,IF(AI7=IFERROR(LARGE(AI$7:AI$114,1),0),1,0))</f>
        <v>3</v>
      </c>
      <c r="AQ7" s="49"/>
      <c r="AR7" s="1018"/>
      <c r="AS7" s="1018"/>
      <c r="AT7" s="119">
        <f t="shared" ref="AT7:AT38" si="24">SMALL(AU7:BD7,AT$3)</f>
        <v>1E-4</v>
      </c>
      <c r="AU7" s="120">
        <f t="shared" ref="AU7:AU38" si="25">IF(Z7="  ",0+MID(Z$6,FIND("V",Z$6)+1,256)/10000,Z7+MID(Z$6,FIND("V",Z$6)+1,256)/10000)</f>
        <v>1E-4</v>
      </c>
      <c r="AV7" s="120">
        <f t="shared" ref="AV7:AV38" si="26">IF(AA7="  ",0+MID(AA$6,FIND("V",AA$6)+1,256)/10000,AA7+MID(AA$6,FIND("V",AA$6)+1,256)/10000)</f>
        <v>20.0002</v>
      </c>
      <c r="AW7" s="120">
        <f t="shared" ref="AW7:AW38" si="27">IF(AB7="  ",0+MID(AB$6,FIND("V",AB$6)+1,256)/10000,AB7+MID(AB$6,FIND("V",AB$6)+1,256)/10000)</f>
        <v>14.000299999999999</v>
      </c>
      <c r="AX7" s="120">
        <f t="shared" ref="AX7:AX38" si="28">IF(AC7="  ",0+MID(AC$6,FIND("V",AC$6)+1,256)/10000,AC7+MID(AC$6,FIND("V",AC$6)+1,256)/10000)</f>
        <v>8.0004000000000008</v>
      </c>
      <c r="AY7" s="120">
        <f t="shared" ref="AY7:AY38" si="29">IF(AD7="  ",0+MID(AD$6,FIND("V",AD$6)+1,256)/10000,AD7+MID(AD$6,FIND("V",AD$6)+1,256)/10000)</f>
        <v>24.000499999999999</v>
      </c>
      <c r="AZ7" s="120">
        <f t="shared" ref="AZ7:AZ38" si="30">IF(AE7="  ",0+MID(AE$6,FIND("V",AE$6)+1,256)/10000,AE7+MID(AE$6,FIND("V",AE$6)+1,256)/10000)</f>
        <v>24.000599999999999</v>
      </c>
      <c r="BA7" s="120">
        <f t="shared" ref="BA7:BA38" si="31">IF(AF7="  ",0+MID(AF$6,FIND("V",AF$6)+1,256)/10000,AF7+MID(AF$6,FIND("V",AF$6)+1,256)/10000)</f>
        <v>16.000699999999998</v>
      </c>
      <c r="BB7" s="120">
        <f t="shared" ref="BB7:BB38" si="32">IF(AG7="  ",0+MID(AG$6,FIND("V",AG$6)+1,256)/10000,AG7+MID(AG$6,FIND("V",AG$6)+1,256)/10000)</f>
        <v>14.0008</v>
      </c>
      <c r="BC7" s="120">
        <f t="shared" ref="BC7:BC38" si="33">IF(AH7="  ",0+MID(AH$6,FIND("V",AH$6)+1,256)/10000,AH7+MID(AH$6,FIND("V",AH$6)+1,256)/10000)</f>
        <v>14.0009</v>
      </c>
      <c r="BD7" s="120">
        <f t="shared" ref="BD7:BD38" si="34">IF(AI7="  ",0+MID(AI$6,FIND("V",AI$6)+1,256)/10000,AI7+MID(AI$6,FIND("V",AI$6)+1,256)/10000)</f>
        <v>26.001000000000001</v>
      </c>
      <c r="BE7" s="122"/>
      <c r="BI7" s="1018" t="e">
        <f t="shared" ref="BI7:BI38" si="35">(LARGE(Z$7:Z$114,1)-Z7)/2+1</f>
        <v>#VALUE!</v>
      </c>
      <c r="BJ7" s="1018">
        <f t="shared" ref="BJ7:BJ38" si="36">(LARGE(AA$7:AA$114,1)-AA7)/2+1</f>
        <v>1</v>
      </c>
      <c r="BK7" s="1018">
        <f t="shared" ref="BK7:BK38" si="37">(LARGE(AB$7:AB$114,1)-AB7)/2+1</f>
        <v>2</v>
      </c>
      <c r="BL7" s="1018">
        <f t="shared" ref="BL7:BL38" si="38">(LARGE(AC$7:AC$114,1)-AC7)/2+1</f>
        <v>5</v>
      </c>
      <c r="BM7" s="1018">
        <f t="shared" ref="BM7:BM38" si="39">(LARGE(AD$7:AD$114,1)-AD7)/2+1</f>
        <v>1</v>
      </c>
      <c r="BN7" s="1018">
        <f t="shared" ref="BN7:BN38" si="40">(LARGE(AE$7:AE$114,1)-AE7)/2+1</f>
        <v>2</v>
      </c>
      <c r="BO7" s="1018">
        <f t="shared" ref="BO7:BO38" si="41">(LARGE(AF$7:AF$114,1)-AF7)/2+1</f>
        <v>6</v>
      </c>
      <c r="BP7" s="1018">
        <f t="shared" ref="BP7:BP38" si="42">(LARGE(AG$7:AG$114,1)-AG7)/2+1</f>
        <v>4</v>
      </c>
      <c r="BQ7" s="1018">
        <f t="shared" ref="BQ7:BQ38" si="43">(LARGE(AH$7:AH$114,1)-AH7)/2+1</f>
        <v>6</v>
      </c>
      <c r="BR7" s="1018">
        <f t="shared" ref="BR7:BR38" si="44">(LARGE(AI$7:AI$114,1)-AI7)/2+1</f>
        <v>1</v>
      </c>
    </row>
    <row r="8" spans="1:70" x14ac:dyDescent="0.2">
      <c r="A8" s="647">
        <f t="shared" si="1"/>
        <v>1</v>
      </c>
      <c r="B8" s="363">
        <f t="shared" si="2"/>
        <v>2</v>
      </c>
      <c r="C8" s="409">
        <f t="shared" si="3"/>
        <v>1</v>
      </c>
      <c r="D8" s="367">
        <f t="shared" si="4"/>
        <v>2</v>
      </c>
      <c r="E8" s="100">
        <f t="shared" si="5"/>
        <v>3</v>
      </c>
      <c r="F8" s="99">
        <f t="shared" si="6"/>
        <v>2</v>
      </c>
      <c r="G8" s="101" t="str">
        <f t="shared" si="7"/>
        <v/>
      </c>
      <c r="H8" s="99">
        <f t="shared" si="8"/>
        <v>-998</v>
      </c>
      <c r="I8" s="102" t="str">
        <f t="shared" si="9"/>
        <v/>
      </c>
      <c r="J8" s="103">
        <f t="shared" si="10"/>
        <v>-998</v>
      </c>
      <c r="K8" s="71">
        <f t="shared" si="11"/>
        <v>2</v>
      </c>
      <c r="L8" s="121" t="s">
        <v>64</v>
      </c>
      <c r="M8" s="105"/>
      <c r="N8" s="106" t="str">
        <f>IF(M8="","m","")</f>
        <v>m</v>
      </c>
      <c r="O8" s="107"/>
      <c r="P8" s="108" t="s">
        <v>317</v>
      </c>
      <c r="Q8" s="109" t="s">
        <v>88</v>
      </c>
      <c r="R8" s="110">
        <f>(IF(COUNT(Z8,AA8,AB8,AC8,AD8,AE8,AF8,AG8,AH8,AI8)&lt;10,SUM(Z8,AA8,AB8,AC8,AD8,AE8,AF8,AG8,AH8,AI8),SUM(LARGE((Z8,AA8,AB8,AC8,AD8,AE8,AF8,AG8,AH8,AI8),{1;2;3;4;5;6;7;8;9}))))</f>
        <v>160</v>
      </c>
      <c r="S8" s="111" t="str">
        <f>INDEX(ETAPP!B$1:B$32,MATCH(COUNTIF(BI8:BR8,1),ETAPP!A$1:A$32,0))&amp;INDEX(ETAPP!B$1:B$32,MATCH(COUNTIF(BI8:BR8,2),ETAPP!A$1:A$32,0))&amp;INDEX(ETAPP!B$1:B$32,MATCH(COUNTIF(BI8:BR8,3),ETAPP!A$1:A$32,0))&amp;INDEX(ETAPP!B$1:B$32,MATCH(COUNTIF(BI8:BR8,4),ETAPP!A$1:A$32,0))&amp;INDEX(ETAPP!B$1:B$32,MATCH(COUNTIF(BI8:BR8,5),ETAPP!A$1:A$32,0))&amp;INDEX(ETAPP!B$1:B$32,MATCH(COUNTIF(BI8:BR8,6),ETAPP!A$1:A$32,0))&amp;INDEX(ETAPP!B$1:B$32,MATCH(COUNTIF(BI8:BR8,7),ETAPP!A$1:A$32,0))&amp;INDEX(ETAPP!B$1:B$32,MATCH(COUNTIF(BI8:BR8,8),ETAPP!A$1:A$32,0))&amp;INDEX(ETAPP!B$1:B$32,MATCH(COUNTIF(BI8:BR8,9),ETAPP!A$1:A$32,0))&amp;INDEX(ETAPP!B$1:B$32,MATCH(COUNTIF(BI8:BR8,10),ETAPP!A$1:A$32,0))&amp;INDEX(ETAPP!B$1:B$32,MATCH(COUNTIF(BI8:BR8,11),ETAPP!A$1:A$32,0))&amp;INDEX(ETAPP!B$1:B$32,MATCH(COUNTIF(BI8:BR8,12),ETAPP!A$1:A$32,0))&amp;INDEX(ETAPP!B$1:B$32,MATCH(COUNTIF(BI8:BR8,13),ETAPP!A$1:A$32,0))&amp;INDEX(ETAPP!B$1:B$32,MATCH(COUNTIF(BI8:BR8,14),ETAPP!A$1:A$32,0))&amp;INDEX(ETAPP!B$1:B$32,MATCH(COUNTIF(BI8:BR8,15),ETAPP!A$1:A$32,0))&amp;INDEX(ETAPP!B$1:B$32,MATCH(COUNTIF(BI8:BR8,16),ETAPP!A$1:A$32,0))&amp;INDEX(ETAPP!B$1:B$32,MATCH(COUNTIF(BI8:BR8,17),ETAPP!A$1:A$32,0))&amp;INDEX(ETAPP!B$1:B$32,MATCH(COUNTIF(BI8:BR8,18),ETAPP!A$1:A$32,0))&amp;INDEX(ETAPP!B$1:B$32,MATCH(COUNTIF(BI8:BR8,19),ETAPP!A$1:A$32,0))&amp;INDEX(ETAPP!B$1:B$32,MATCH(COUNTIF(BI8:BR8,20),ETAPP!A$1:A$32,0))&amp;INDEX(ETAPP!B$1:B$32,MATCH(COUNTIF(BI8:BR8,21),ETAPP!A$1:A$32,0))</f>
        <v>BBC0AA0A0000000000000</v>
      </c>
      <c r="T8" s="111" t="str">
        <f t="shared" si="12"/>
        <v>160,0-BBC0AA0A0000000000000</v>
      </c>
      <c r="U8" s="111">
        <f t="shared" si="13"/>
        <v>2</v>
      </c>
      <c r="V8" s="111">
        <f t="shared" si="14"/>
        <v>61</v>
      </c>
      <c r="W8" s="111" t="str">
        <f t="shared" si="15"/>
        <v>160,0-BBC0AA0A0000000000000-061</v>
      </c>
      <c r="X8" s="111">
        <f t="shared" si="16"/>
        <v>2</v>
      </c>
      <c r="Y8" s="112">
        <f t="shared" si="17"/>
        <v>107</v>
      </c>
      <c r="Z8" s="113">
        <f>IFERROR(INDEX('V1'!C$300:C$400,MATCH("*"&amp;L8&amp;"*",'V1'!B$300:B$400,0)),"  ")</f>
        <v>8</v>
      </c>
      <c r="AA8" s="113">
        <f>IFERROR(INDEX('V2'!C$300:C$400,MATCH("*"&amp;L8&amp;"*",'V2'!B$300:B$400,0)),"  ")</f>
        <v>16</v>
      </c>
      <c r="AB8" s="113">
        <f>IFERROR(INDEX('V3'!C$300:C$400,MATCH("*"&amp;L8&amp;"*",'V3'!B$300:B$400,0)),"  ")</f>
        <v>12</v>
      </c>
      <c r="AC8" s="113">
        <f>IFERROR(INDEX('V4'!C$300:C$400,MATCH("*"&amp;L8&amp;"*",'V4'!B$300:B$400,0)),"  ")</f>
        <v>8</v>
      </c>
      <c r="AD8" s="113">
        <f>IFERROR(INDEX('V5'!C$300:C$400,MATCH("*"&amp;L8&amp;"*",'V5'!B$300:B$400,0)),"  ")</f>
        <v>20</v>
      </c>
      <c r="AE8" s="113">
        <f>IFERROR(INDEX('V6'!C$300:C$400,MATCH("*"&amp;L8&amp;"*",'V6'!B$300:B$400,0)),"  ")</f>
        <v>12</v>
      </c>
      <c r="AF8" s="113">
        <f>IFERROR(INDEX('V7'!C$300:C$400,MATCH("*"&amp;L8&amp;"*",'V7'!B$300:B$400,0)),"  ")</f>
        <v>26</v>
      </c>
      <c r="AG8" s="113">
        <f>IFERROR(INDEX('V8'!C$300:C$400,MATCH("*"&amp;L8&amp;"*",'V8'!B$300:B$400,0)),"  ")</f>
        <v>18</v>
      </c>
      <c r="AH8" s="113">
        <f>IFERROR(INDEX('V9'!C$300:C$399,MATCH("*"&amp;L8&amp;"*",'V9'!B$300:B$399,0)),"  ")</f>
        <v>24</v>
      </c>
      <c r="AI8" s="113">
        <f>IFERROR(INDEX('V10'!C$300:C$399,MATCH("*"&amp;L8&amp;"*",'V10'!B$300:B$399,0)),"  ")</f>
        <v>24</v>
      </c>
      <c r="AJ8" s="114">
        <f t="shared" si="18"/>
        <v>2</v>
      </c>
      <c r="AK8" s="404">
        <f t="shared" si="19"/>
        <v>168</v>
      </c>
      <c r="AL8" s="115" t="str">
        <f t="shared" si="20"/>
        <v>edasi 2</v>
      </c>
      <c r="AM8" s="116" t="str">
        <f>IFERROR(INDEX(#REF!,MATCH("*"&amp;L8&amp;"*",#REF!,0)),"  ")</f>
        <v xml:space="preserve">  </v>
      </c>
      <c r="AN8" s="117">
        <f t="shared" si="21"/>
        <v>10</v>
      </c>
      <c r="AO8" s="118">
        <f t="shared" si="22"/>
        <v>7</v>
      </c>
      <c r="AP8" s="118">
        <f t="shared" si="23"/>
        <v>2</v>
      </c>
      <c r="AQ8" s="122"/>
      <c r="AR8" s="122"/>
      <c r="AS8" s="122"/>
      <c r="AT8" s="119">
        <f t="shared" si="24"/>
        <v>8.0000999999999998</v>
      </c>
      <c r="AU8" s="120">
        <f t="shared" si="25"/>
        <v>8.0000999999999998</v>
      </c>
      <c r="AV8" s="120">
        <f t="shared" si="26"/>
        <v>16.0002</v>
      </c>
      <c r="AW8" s="120">
        <f t="shared" si="27"/>
        <v>12.000299999999999</v>
      </c>
      <c r="AX8" s="120">
        <f t="shared" si="28"/>
        <v>8.0004000000000008</v>
      </c>
      <c r="AY8" s="120">
        <f t="shared" si="29"/>
        <v>20.000499999999999</v>
      </c>
      <c r="AZ8" s="120">
        <f t="shared" si="30"/>
        <v>12.0006</v>
      </c>
      <c r="BA8" s="120">
        <f t="shared" si="31"/>
        <v>26.000699999999998</v>
      </c>
      <c r="BB8" s="120">
        <f t="shared" si="32"/>
        <v>18.000800000000002</v>
      </c>
      <c r="BC8" s="120">
        <f t="shared" si="33"/>
        <v>24.000900000000001</v>
      </c>
      <c r="BD8" s="120">
        <f t="shared" si="34"/>
        <v>24.001000000000001</v>
      </c>
      <c r="BE8" s="122"/>
      <c r="BF8" s="122"/>
      <c r="BG8" s="122"/>
      <c r="BH8" s="122"/>
      <c r="BI8" s="1018">
        <f t="shared" si="35"/>
        <v>6</v>
      </c>
      <c r="BJ8" s="1018">
        <f t="shared" si="36"/>
        <v>3</v>
      </c>
      <c r="BK8" s="1018">
        <f t="shared" si="37"/>
        <v>3</v>
      </c>
      <c r="BL8" s="1018">
        <f t="shared" si="38"/>
        <v>5</v>
      </c>
      <c r="BM8" s="1018">
        <f t="shared" si="39"/>
        <v>3</v>
      </c>
      <c r="BN8" s="1018">
        <f t="shared" si="40"/>
        <v>8</v>
      </c>
      <c r="BO8" s="1018">
        <f t="shared" si="41"/>
        <v>1</v>
      </c>
      <c r="BP8" s="1018">
        <f t="shared" si="42"/>
        <v>2</v>
      </c>
      <c r="BQ8" s="1018">
        <f t="shared" si="43"/>
        <v>1</v>
      </c>
      <c r="BR8" s="1018">
        <f t="shared" si="44"/>
        <v>2</v>
      </c>
    </row>
    <row r="9" spans="1:70" x14ac:dyDescent="0.2">
      <c r="A9" s="647">
        <f t="shared" si="1"/>
        <v>2</v>
      </c>
      <c r="B9" s="99">
        <f t="shared" si="2"/>
        <v>3</v>
      </c>
      <c r="C9" s="409" t="str">
        <f t="shared" si="3"/>
        <v/>
      </c>
      <c r="D9" s="367">
        <f t="shared" si="4"/>
        <v>-997</v>
      </c>
      <c r="E9" s="100">
        <f t="shared" si="5"/>
        <v>4</v>
      </c>
      <c r="F9" s="99">
        <f t="shared" si="6"/>
        <v>3</v>
      </c>
      <c r="G9" s="101" t="str">
        <f t="shared" si="7"/>
        <v/>
      </c>
      <c r="H9" s="99">
        <f t="shared" si="8"/>
        <v>-997</v>
      </c>
      <c r="I9" s="102" t="str">
        <f t="shared" si="9"/>
        <v/>
      </c>
      <c r="J9" s="103">
        <f t="shared" si="10"/>
        <v>-997</v>
      </c>
      <c r="K9" s="71">
        <f t="shared" si="11"/>
        <v>3</v>
      </c>
      <c r="L9" s="121" t="s">
        <v>308</v>
      </c>
      <c r="M9" s="105"/>
      <c r="N9" s="106" t="s">
        <v>105</v>
      </c>
      <c r="O9" s="107"/>
      <c r="P9" s="108"/>
      <c r="Q9" s="109" t="s">
        <v>88</v>
      </c>
      <c r="R9" s="110">
        <f>(IF(COUNT(Z9,AA9,AB9,AC9,AD9,AE9,AF9,AG9,AH9,AI9)&lt;10,SUM(Z9,AA9,AB9,AC9,AD9,AE9,AF9,AG9,AH9,AI9),SUM(LARGE((Z9,AA9,AB9,AC9,AD9,AE9,AF9,AG9,AH9,AI9),{1;2;3;4;5;6;7;8;9}))))</f>
        <v>142</v>
      </c>
      <c r="S9" s="111" t="str">
        <f>INDEX(ETAPP!B$1:B$32,MATCH(COUNTIF(BI9:BR9,1),ETAPP!A$1:A$32,0))&amp;INDEX(ETAPP!B$1:B$32,MATCH(COUNTIF(BI9:BR9,2),ETAPP!A$1:A$32,0))&amp;INDEX(ETAPP!B$1:B$32,MATCH(COUNTIF(BI9:BR9,3),ETAPP!A$1:A$32,0))&amp;INDEX(ETAPP!B$1:B$32,MATCH(COUNTIF(BI9:BR9,4),ETAPP!A$1:A$32,0))&amp;INDEX(ETAPP!B$1:B$32,MATCH(COUNTIF(BI9:BR9,5),ETAPP!A$1:A$32,0))&amp;INDEX(ETAPP!B$1:B$32,MATCH(COUNTIF(BI9:BR9,6),ETAPP!A$1:A$32,0))&amp;INDEX(ETAPP!B$1:B$32,MATCH(COUNTIF(BI9:BR9,7),ETAPP!A$1:A$32,0))&amp;INDEX(ETAPP!B$1:B$32,MATCH(COUNTIF(BI9:BR9,8),ETAPP!A$1:A$32,0))&amp;INDEX(ETAPP!B$1:B$32,MATCH(COUNTIF(BI9:BR9,9),ETAPP!A$1:A$32,0))&amp;INDEX(ETAPP!B$1:B$32,MATCH(COUNTIF(BI9:BR9,10),ETAPP!A$1:A$32,0))&amp;INDEX(ETAPP!B$1:B$32,MATCH(COUNTIF(BI9:BR9,11),ETAPP!A$1:A$32,0))&amp;INDEX(ETAPP!B$1:B$32,MATCH(COUNTIF(BI9:BR9,12),ETAPP!A$1:A$32,0))&amp;INDEX(ETAPP!B$1:B$32,MATCH(COUNTIF(BI9:BR9,13),ETAPP!A$1:A$32,0))&amp;INDEX(ETAPP!B$1:B$32,MATCH(COUNTIF(BI9:BR9,14),ETAPP!A$1:A$32,0))&amp;INDEX(ETAPP!B$1:B$32,MATCH(COUNTIF(BI9:BR9,15),ETAPP!A$1:A$32,0))&amp;INDEX(ETAPP!B$1:B$32,MATCH(COUNTIF(BI9:BR9,16),ETAPP!A$1:A$32,0))&amp;INDEX(ETAPP!B$1:B$32,MATCH(COUNTIF(BI9:BR9,17),ETAPP!A$1:A$32,0))&amp;INDEX(ETAPP!B$1:B$32,MATCH(COUNTIF(BI9:BR9,18),ETAPP!A$1:A$32,0))&amp;INDEX(ETAPP!B$1:B$32,MATCH(COUNTIF(BI9:BR9,19),ETAPP!A$1:A$32,0))&amp;INDEX(ETAPP!B$1:B$32,MATCH(COUNTIF(BI9:BR9,20),ETAPP!A$1:A$32,0))&amp;INDEX(ETAPP!B$1:B$32,MATCH(COUNTIF(BI9:BR9,21),ETAPP!A$1:A$32,0))</f>
        <v>0ADAA0C00000000000000</v>
      </c>
      <c r="T9" s="111" t="str">
        <f t="shared" si="12"/>
        <v>142,0-0ADAA0C00000000000000</v>
      </c>
      <c r="U9" s="111">
        <f t="shared" si="13"/>
        <v>3</v>
      </c>
      <c r="V9" s="111">
        <f t="shared" si="14"/>
        <v>26</v>
      </c>
      <c r="W9" s="111" t="str">
        <f t="shared" si="15"/>
        <v>142,0-0ADAA0C00000000000000-026</v>
      </c>
      <c r="X9" s="111">
        <f t="shared" si="16"/>
        <v>3</v>
      </c>
      <c r="Y9" s="112">
        <f t="shared" si="17"/>
        <v>106</v>
      </c>
      <c r="Z9" s="113">
        <f>IFERROR(INDEX('V1'!C$300:C$400,MATCH("*"&amp;L9&amp;"*",'V1'!B$300:B$400,0)),"  ")</f>
        <v>6</v>
      </c>
      <c r="AA9" s="113">
        <f>IFERROR(INDEX('V2'!C$300:C$400,MATCH("*"&amp;L9&amp;"*",'V2'!B$300:B$400,0)),"  ")</f>
        <v>16</v>
      </c>
      <c r="AB9" s="113">
        <f>IFERROR(INDEX('V3'!C$300:C$400,MATCH("*"&amp;L9&amp;"*",'V3'!B$300:B$400,0)),"  ")</f>
        <v>10</v>
      </c>
      <c r="AC9" s="113">
        <f>IFERROR(INDEX('V4'!C$300:C$400,MATCH("*"&amp;L9&amp;"*",'V4'!B$300:B$400,0)),"  ")</f>
        <v>12</v>
      </c>
      <c r="AD9" s="113">
        <f>IFERROR(INDEX('V5'!C$300:C$400,MATCH("*"&amp;L9&amp;"*",'V5'!B$300:B$400,0)),"  ")</f>
        <v>12</v>
      </c>
      <c r="AE9" s="113">
        <f>IFERROR(INDEX('V6'!C$300:C$400,MATCH("*"&amp;L9&amp;"*",'V6'!B$300:B$400,0)),"  ")</f>
        <v>22</v>
      </c>
      <c r="AF9" s="113">
        <f>IFERROR(INDEX('V7'!C$300:C$400,MATCH("*"&amp;L9&amp;"*",'V7'!B$300:B$400,0)),"  ")</f>
        <v>24</v>
      </c>
      <c r="AG9" s="113">
        <f>IFERROR(INDEX('V8'!C$300:C$400,MATCH("*"&amp;L9&amp;"*",'V8'!B$300:B$400,0)),"  ")</f>
        <v>12</v>
      </c>
      <c r="AH9" s="113">
        <f>IFERROR(INDEX('V9'!C$300:C$399,MATCH("*"&amp;L9&amp;"*",'V9'!B$300:B$399,0)),"  ")</f>
        <v>12</v>
      </c>
      <c r="AI9" s="113">
        <f>IFERROR(INDEX('V10'!C$300:C$399,MATCH("*"&amp;L9&amp;"*",'V10'!B$300:B$399,0)),"  ")</f>
        <v>22</v>
      </c>
      <c r="AJ9" s="114">
        <f t="shared" si="18"/>
        <v>3</v>
      </c>
      <c r="AK9" s="404">
        <f t="shared" si="19"/>
        <v>148</v>
      </c>
      <c r="AL9" s="115" t="str">
        <f t="shared" si="20"/>
        <v>edasi 3</v>
      </c>
      <c r="AM9" s="116" t="str">
        <f>IFERROR(INDEX(#REF!,MATCH("*"&amp;L9&amp;"*",#REF!,0)),"  ")</f>
        <v xml:space="preserve">  </v>
      </c>
      <c r="AN9" s="117">
        <f t="shared" si="21"/>
        <v>10</v>
      </c>
      <c r="AO9" s="118">
        <f t="shared" si="22"/>
        <v>5</v>
      </c>
      <c r="AP9" s="118">
        <f t="shared" si="23"/>
        <v>0</v>
      </c>
      <c r="AQ9" s="49"/>
      <c r="AR9" s="1"/>
      <c r="AS9" s="1"/>
      <c r="AT9" s="119">
        <f t="shared" si="24"/>
        <v>6.0000999999999998</v>
      </c>
      <c r="AU9" s="120">
        <f t="shared" si="25"/>
        <v>6.0000999999999998</v>
      </c>
      <c r="AV9" s="120">
        <f t="shared" si="26"/>
        <v>16.0002</v>
      </c>
      <c r="AW9" s="120">
        <f t="shared" si="27"/>
        <v>10.000299999999999</v>
      </c>
      <c r="AX9" s="120">
        <f t="shared" si="28"/>
        <v>12.000400000000001</v>
      </c>
      <c r="AY9" s="120">
        <f t="shared" si="29"/>
        <v>12.000500000000001</v>
      </c>
      <c r="AZ9" s="120">
        <f t="shared" si="30"/>
        <v>22.000599999999999</v>
      </c>
      <c r="BA9" s="120">
        <f t="shared" si="31"/>
        <v>24.000699999999998</v>
      </c>
      <c r="BB9" s="120">
        <f t="shared" si="32"/>
        <v>12.0008</v>
      </c>
      <c r="BC9" s="120">
        <f t="shared" si="33"/>
        <v>12.0009</v>
      </c>
      <c r="BD9" s="120">
        <f t="shared" si="34"/>
        <v>22.001000000000001</v>
      </c>
      <c r="BE9" s="122"/>
      <c r="BF9" s="122"/>
      <c r="BG9" s="122"/>
      <c r="BH9" s="122"/>
      <c r="BI9" s="1018">
        <f t="shared" si="35"/>
        <v>7</v>
      </c>
      <c r="BJ9" s="1018">
        <f t="shared" si="36"/>
        <v>3</v>
      </c>
      <c r="BK9" s="1018">
        <f t="shared" si="37"/>
        <v>4</v>
      </c>
      <c r="BL9" s="1018">
        <f t="shared" si="38"/>
        <v>3</v>
      </c>
      <c r="BM9" s="1018">
        <f t="shared" si="39"/>
        <v>7</v>
      </c>
      <c r="BN9" s="1018">
        <f t="shared" si="40"/>
        <v>3</v>
      </c>
      <c r="BO9" s="1018">
        <f t="shared" si="41"/>
        <v>2</v>
      </c>
      <c r="BP9" s="1018">
        <f t="shared" si="42"/>
        <v>5</v>
      </c>
      <c r="BQ9" s="1018">
        <f t="shared" si="43"/>
        <v>7</v>
      </c>
      <c r="BR9" s="1018">
        <f t="shared" si="44"/>
        <v>3</v>
      </c>
    </row>
    <row r="10" spans="1:70" x14ac:dyDescent="0.2">
      <c r="A10" s="647">
        <f t="shared" si="1"/>
        <v>3</v>
      </c>
      <c r="B10" s="99">
        <f t="shared" si="2"/>
        <v>4</v>
      </c>
      <c r="C10" s="409" t="str">
        <f t="shared" si="3"/>
        <v/>
      </c>
      <c r="D10" s="367">
        <f t="shared" si="4"/>
        <v>-996</v>
      </c>
      <c r="E10" s="100">
        <f t="shared" si="5"/>
        <v>5</v>
      </c>
      <c r="F10" s="99">
        <f t="shared" si="6"/>
        <v>4</v>
      </c>
      <c r="G10" s="101" t="str">
        <f t="shared" si="7"/>
        <v/>
      </c>
      <c r="H10" s="99">
        <f t="shared" si="8"/>
        <v>-996</v>
      </c>
      <c r="I10" s="102" t="str">
        <f t="shared" si="9"/>
        <v/>
      </c>
      <c r="J10" s="103">
        <f t="shared" si="10"/>
        <v>-996</v>
      </c>
      <c r="K10" s="71">
        <f t="shared" si="11"/>
        <v>4</v>
      </c>
      <c r="L10" s="121" t="s">
        <v>115</v>
      </c>
      <c r="M10" s="105"/>
      <c r="N10" s="106" t="str">
        <f>IF(M10="","m","")</f>
        <v>m</v>
      </c>
      <c r="O10" s="107"/>
      <c r="P10" s="108"/>
      <c r="Q10" s="109" t="s">
        <v>88</v>
      </c>
      <c r="R10" s="110">
        <f>(IF(COUNT(Z10,AA10,AB10,AC10,AD10,AE10,AF10,AG10,AH10,AI10)&lt;10,SUM(Z10,AA10,AB10,AC10,AD10,AE10,AF10,AG10,AH10,AI10),SUM(LARGE((Z10,AA10,AB10,AC10,AD10,AE10,AF10,AG10,AH10,AI10),{1;2;3;4;5;6;7;8;9}))))</f>
        <v>140</v>
      </c>
      <c r="S10" s="111" t="str">
        <f>INDEX(ETAPP!B$1:B$32,MATCH(COUNTIF(BI10:BR10,1),ETAPP!A$1:A$32,0))&amp;INDEX(ETAPP!B$1:B$32,MATCH(COUNTIF(BI10:BR10,2),ETAPP!A$1:A$32,0))&amp;INDEX(ETAPP!B$1:B$32,MATCH(COUNTIF(BI10:BR10,3),ETAPP!A$1:A$32,0))&amp;INDEX(ETAPP!B$1:B$32,MATCH(COUNTIF(BI10:BR10,4),ETAPP!A$1:A$32,0))&amp;INDEX(ETAPP!B$1:B$32,MATCH(COUNTIF(BI10:BR10,5),ETAPP!A$1:A$32,0))&amp;INDEX(ETAPP!B$1:B$32,MATCH(COUNTIF(BI10:BR10,6),ETAPP!A$1:A$32,0))&amp;INDEX(ETAPP!B$1:B$32,MATCH(COUNTIF(BI10:BR10,7),ETAPP!A$1:A$32,0))&amp;INDEX(ETAPP!B$1:B$32,MATCH(COUNTIF(BI10:BR10,8),ETAPP!A$1:A$32,0))&amp;INDEX(ETAPP!B$1:B$32,MATCH(COUNTIF(BI10:BR10,9),ETAPP!A$1:A$32,0))&amp;INDEX(ETAPP!B$1:B$32,MATCH(COUNTIF(BI10:BR10,10),ETAPP!A$1:A$32,0))&amp;INDEX(ETAPP!B$1:B$32,MATCH(COUNTIF(BI10:BR10,11),ETAPP!A$1:A$32,0))&amp;INDEX(ETAPP!B$1:B$32,MATCH(COUNTIF(BI10:BR10,12),ETAPP!A$1:A$32,0))&amp;INDEX(ETAPP!B$1:B$32,MATCH(COUNTIF(BI10:BR10,13),ETAPP!A$1:A$32,0))&amp;INDEX(ETAPP!B$1:B$32,MATCH(COUNTIF(BI10:BR10,14),ETAPP!A$1:A$32,0))&amp;INDEX(ETAPP!B$1:B$32,MATCH(COUNTIF(BI10:BR10,15),ETAPP!A$1:A$32,0))&amp;INDEX(ETAPP!B$1:B$32,MATCH(COUNTIF(BI10:BR10,16),ETAPP!A$1:A$32,0))&amp;INDEX(ETAPP!B$1:B$32,MATCH(COUNTIF(BI10:BR10,17),ETAPP!A$1:A$32,0))&amp;INDEX(ETAPP!B$1:B$32,MATCH(COUNTIF(BI10:BR10,18),ETAPP!A$1:A$32,0))&amp;INDEX(ETAPP!B$1:B$32,MATCH(COUNTIF(BI10:BR10,19),ETAPP!A$1:A$32,0))&amp;INDEX(ETAPP!B$1:B$32,MATCH(COUNTIF(BI10:BR10,20),ETAPP!A$1:A$32,0))&amp;INDEX(ETAPP!B$1:B$32,MATCH(COUNTIF(BI10:BR10,21),ETAPP!A$1:A$32,0))</f>
        <v>0ADAA0BA0000000000000</v>
      </c>
      <c r="T10" s="111" t="str">
        <f t="shared" si="12"/>
        <v>140,0-0ADAA0BA0000000000000</v>
      </c>
      <c r="U10" s="111">
        <f t="shared" si="13"/>
        <v>4</v>
      </c>
      <c r="V10" s="111">
        <f t="shared" si="14"/>
        <v>38</v>
      </c>
      <c r="W10" s="111" t="str">
        <f t="shared" si="15"/>
        <v>140,0-0ADAA0BA0000000000000-038</v>
      </c>
      <c r="X10" s="111">
        <f t="shared" si="16"/>
        <v>4</v>
      </c>
      <c r="Y10" s="112">
        <f t="shared" si="17"/>
        <v>105</v>
      </c>
      <c r="Z10" s="113">
        <f>IFERROR(INDEX('V1'!C$300:C$400,MATCH("*"&amp;L10&amp;"*",'V1'!B$300:B$400,0)),"  ")</f>
        <v>14</v>
      </c>
      <c r="AA10" s="113">
        <f>IFERROR(INDEX('V2'!C$300:C$400,MATCH("*"&amp;L10&amp;"*",'V2'!B$300:B$400,0)),"  ")</f>
        <v>6</v>
      </c>
      <c r="AB10" s="113">
        <f>IFERROR(INDEX('V3'!C$300:C$400,MATCH("*"&amp;L10&amp;"*",'V3'!B$300:B$400,0)),"  ")</f>
        <v>10</v>
      </c>
      <c r="AC10" s="113">
        <f>IFERROR(INDEX('V4'!C$300:C$400,MATCH("*"&amp;L10&amp;"*",'V4'!B$300:B$400,0)),"  ")</f>
        <v>12</v>
      </c>
      <c r="AD10" s="113">
        <f>IFERROR(INDEX('V5'!C$300:C$400,MATCH("*"&amp;L10&amp;"*",'V5'!B$300:B$400,0)),"  ")</f>
        <v>12</v>
      </c>
      <c r="AE10" s="113">
        <f>IFERROR(INDEX('V6'!C$300:C$400,MATCH("*"&amp;L10&amp;"*",'V6'!B$300:B$400,0)),"  ")</f>
        <v>22</v>
      </c>
      <c r="AF10" s="113">
        <f>IFERROR(INDEX('V7'!C$300:C$400,MATCH("*"&amp;L10&amp;"*",'V7'!B$300:B$400,0)),"  ")</f>
        <v>24</v>
      </c>
      <c r="AG10" s="113">
        <f>IFERROR(INDEX('V8'!C$300:C$400,MATCH("*"&amp;L10&amp;"*",'V8'!B$300:B$400,0)),"  ")</f>
        <v>12</v>
      </c>
      <c r="AH10" s="113">
        <f>IFERROR(INDEX('V9'!C$300:C$399,MATCH("*"&amp;L10&amp;"*",'V9'!B$300:B$399,0)),"  ")</f>
        <v>12</v>
      </c>
      <c r="AI10" s="113">
        <f>IFERROR(INDEX('V10'!C$300:C$399,MATCH("*"&amp;L10&amp;"*",'V10'!B$300:B$399,0)),"  ")</f>
        <v>22</v>
      </c>
      <c r="AJ10" s="114">
        <f t="shared" si="18"/>
        <v>4</v>
      </c>
      <c r="AK10" s="404">
        <f t="shared" si="19"/>
        <v>146</v>
      </c>
      <c r="AL10" s="115" t="str">
        <f t="shared" si="20"/>
        <v>edasi 4</v>
      </c>
      <c r="AM10" s="116" t="str">
        <f>IFERROR(INDEX(#REF!,MATCH("*"&amp;L10&amp;"*",#REF!,0)),"  ")</f>
        <v xml:space="preserve">  </v>
      </c>
      <c r="AN10" s="117">
        <f t="shared" si="21"/>
        <v>10</v>
      </c>
      <c r="AO10" s="118">
        <f t="shared" si="22"/>
        <v>5</v>
      </c>
      <c r="AP10" s="118">
        <f t="shared" si="23"/>
        <v>0</v>
      </c>
      <c r="AQ10" s="122"/>
      <c r="AR10" s="122"/>
      <c r="AS10" s="122"/>
      <c r="AT10" s="119">
        <f t="shared" si="24"/>
        <v>6.0002000000000004</v>
      </c>
      <c r="AU10" s="120">
        <f t="shared" si="25"/>
        <v>14.0001</v>
      </c>
      <c r="AV10" s="120">
        <f t="shared" si="26"/>
        <v>6.0002000000000004</v>
      </c>
      <c r="AW10" s="120">
        <f t="shared" si="27"/>
        <v>10.000299999999999</v>
      </c>
      <c r="AX10" s="120">
        <f t="shared" si="28"/>
        <v>12.000400000000001</v>
      </c>
      <c r="AY10" s="120">
        <f t="shared" si="29"/>
        <v>12.000500000000001</v>
      </c>
      <c r="AZ10" s="120">
        <f t="shared" si="30"/>
        <v>22.000599999999999</v>
      </c>
      <c r="BA10" s="120">
        <f t="shared" si="31"/>
        <v>24.000699999999998</v>
      </c>
      <c r="BB10" s="120">
        <f t="shared" si="32"/>
        <v>12.0008</v>
      </c>
      <c r="BC10" s="120">
        <f t="shared" si="33"/>
        <v>12.0009</v>
      </c>
      <c r="BD10" s="120">
        <f t="shared" si="34"/>
        <v>22.001000000000001</v>
      </c>
      <c r="BE10" s="122"/>
      <c r="BF10" s="122"/>
      <c r="BG10" s="122"/>
      <c r="BH10" s="122"/>
      <c r="BI10" s="1018">
        <f t="shared" si="35"/>
        <v>3</v>
      </c>
      <c r="BJ10" s="1018">
        <f t="shared" si="36"/>
        <v>8</v>
      </c>
      <c r="BK10" s="1018">
        <f t="shared" si="37"/>
        <v>4</v>
      </c>
      <c r="BL10" s="1018">
        <f t="shared" si="38"/>
        <v>3</v>
      </c>
      <c r="BM10" s="1018">
        <f t="shared" si="39"/>
        <v>7</v>
      </c>
      <c r="BN10" s="1018">
        <f t="shared" si="40"/>
        <v>3</v>
      </c>
      <c r="BO10" s="1018">
        <f t="shared" si="41"/>
        <v>2</v>
      </c>
      <c r="BP10" s="1018">
        <f t="shared" si="42"/>
        <v>5</v>
      </c>
      <c r="BQ10" s="1018">
        <f t="shared" si="43"/>
        <v>7</v>
      </c>
      <c r="BR10" s="1018">
        <f t="shared" si="44"/>
        <v>3</v>
      </c>
    </row>
    <row r="11" spans="1:70" x14ac:dyDescent="0.2">
      <c r="A11" s="647">
        <f t="shared" si="1"/>
        <v>4</v>
      </c>
      <c r="B11" s="99">
        <f t="shared" si="2"/>
        <v>5</v>
      </c>
      <c r="C11" s="409">
        <f t="shared" si="3"/>
        <v>2</v>
      </c>
      <c r="D11" s="367">
        <f t="shared" si="4"/>
        <v>5</v>
      </c>
      <c r="E11" s="100" t="str">
        <f t="shared" si="5"/>
        <v/>
      </c>
      <c r="F11" s="99">
        <f t="shared" si="6"/>
        <v>-995</v>
      </c>
      <c r="G11" s="101">
        <f t="shared" si="7"/>
        <v>1</v>
      </c>
      <c r="H11" s="99">
        <f t="shared" si="8"/>
        <v>5</v>
      </c>
      <c r="I11" s="102" t="str">
        <f t="shared" si="9"/>
        <v/>
      </c>
      <c r="J11" s="103">
        <f t="shared" si="10"/>
        <v>-995</v>
      </c>
      <c r="K11" s="71">
        <f t="shared" si="11"/>
        <v>5</v>
      </c>
      <c r="L11" s="121" t="s">
        <v>322</v>
      </c>
      <c r="M11" s="105" t="s">
        <v>110</v>
      </c>
      <c r="N11" s="106"/>
      <c r="O11" s="107"/>
      <c r="P11" s="108" t="s">
        <v>317</v>
      </c>
      <c r="Q11" s="109" t="s">
        <v>88</v>
      </c>
      <c r="R11" s="110">
        <f>(IF(COUNT(Z11,AA11,AB11,AC11,AD11,AE11,AF11,AG11,AH11,AI11)&lt;10,SUM(Z11,AA11,AB11,AC11,AD11,AE11,AF11,AG11,AH11,AI11),SUM(LARGE((Z11,AA11,AB11,AC11,AD11,AE11,AF11,AG11,AH11,AI11),{1;2;3;4;5;6;7;8;9}))))</f>
        <v>130</v>
      </c>
      <c r="S11" s="111" t="str">
        <f>INDEX(ETAPP!B$1:B$32,MATCH(COUNTIF(BI11:BR11,1),ETAPP!A$1:A$32,0))&amp;INDEX(ETAPP!B$1:B$32,MATCH(COUNTIF(BI11:BR11,2),ETAPP!A$1:A$32,0))&amp;INDEX(ETAPP!B$1:B$32,MATCH(COUNTIF(BI11:BR11,3),ETAPP!A$1:A$32,0))&amp;INDEX(ETAPP!B$1:B$32,MATCH(COUNTIF(BI11:BR11,4),ETAPP!A$1:A$32,0))&amp;INDEX(ETAPP!B$1:B$32,MATCH(COUNTIF(BI11:BR11,5),ETAPP!A$1:A$32,0))&amp;INDEX(ETAPP!B$1:B$32,MATCH(COUNTIF(BI11:BR11,6),ETAPP!A$1:A$32,0))&amp;INDEX(ETAPP!B$1:B$32,MATCH(COUNTIF(BI11:BR11,7),ETAPP!A$1:A$32,0))&amp;INDEX(ETAPP!B$1:B$32,MATCH(COUNTIF(BI11:BR11,8),ETAPP!A$1:A$32,0))&amp;INDEX(ETAPP!B$1:B$32,MATCH(COUNTIF(BI11:BR11,9),ETAPP!A$1:A$32,0))&amp;INDEX(ETAPP!B$1:B$32,MATCH(COUNTIF(BI11:BR11,10),ETAPP!A$1:A$32,0))&amp;INDEX(ETAPP!B$1:B$32,MATCH(COUNTIF(BI11:BR11,11),ETAPP!A$1:A$32,0))&amp;INDEX(ETAPP!B$1:B$32,MATCH(COUNTIF(BI11:BR11,12),ETAPP!A$1:A$32,0))&amp;INDEX(ETAPP!B$1:B$32,MATCH(COUNTIF(BI11:BR11,13),ETAPP!A$1:A$32,0))&amp;INDEX(ETAPP!B$1:B$32,MATCH(COUNTIF(BI11:BR11,14),ETAPP!A$1:A$32,0))&amp;INDEX(ETAPP!B$1:B$32,MATCH(COUNTIF(BI11:BR11,15),ETAPP!A$1:A$32,0))&amp;INDEX(ETAPP!B$1:B$32,MATCH(COUNTIF(BI11:BR11,16),ETAPP!A$1:A$32,0))&amp;INDEX(ETAPP!B$1:B$32,MATCH(COUNTIF(BI11:BR11,17),ETAPP!A$1:A$32,0))&amp;INDEX(ETAPP!B$1:B$32,MATCH(COUNTIF(BI11:BR11,18),ETAPP!A$1:A$32,0))&amp;INDEX(ETAPP!B$1:B$32,MATCH(COUNTIF(BI11:BR11,19),ETAPP!A$1:A$32,0))&amp;INDEX(ETAPP!B$1:B$32,MATCH(COUNTIF(BI11:BR11,20),ETAPP!A$1:A$32,0))&amp;INDEX(ETAPP!B$1:B$32,MATCH(COUNTIF(BI11:BR11,21),ETAPP!A$1:A$32,0))</f>
        <v>AA0ABC00A000000000000</v>
      </c>
      <c r="T11" s="111" t="str">
        <f t="shared" si="12"/>
        <v>130,0-AA0ABC00A000000000000</v>
      </c>
      <c r="U11" s="111">
        <f t="shared" si="13"/>
        <v>5</v>
      </c>
      <c r="V11" s="111">
        <f t="shared" si="14"/>
        <v>22</v>
      </c>
      <c r="W11" s="111" t="str">
        <f t="shared" si="15"/>
        <v>130,0-AA0ABC00A000000000000-022</v>
      </c>
      <c r="X11" s="111">
        <f t="shared" si="16"/>
        <v>5</v>
      </c>
      <c r="Y11" s="112">
        <f t="shared" si="17"/>
        <v>104</v>
      </c>
      <c r="Z11" s="113">
        <f>IFERROR(INDEX('V1'!C$300:C$400,MATCH("*"&amp;L11&amp;"*",'V1'!B$300:B$400,0)),"  ")</f>
        <v>10</v>
      </c>
      <c r="AA11" s="113">
        <f>IFERROR(INDEX('V2'!C$300:C$400,MATCH("*"&amp;L11&amp;"*",'V2'!B$300:B$400,0)),"  ")</f>
        <v>10</v>
      </c>
      <c r="AB11" s="113">
        <f>IFERROR(INDEX('V3'!C$300:C$400,MATCH("*"&amp;L11&amp;"*",'V3'!B$300:B$400,0)),"  ")</f>
        <v>8</v>
      </c>
      <c r="AC11" s="113" t="str">
        <f>IFERROR(INDEX('V4'!C$300:C$400,MATCH("*"&amp;L11&amp;"*",'V4'!B$300:B$400,0)),"  ")</f>
        <v xml:space="preserve">  </v>
      </c>
      <c r="AD11" s="113">
        <f>IFERROR(INDEX('V5'!C$300:C$400,MATCH("*"&amp;L11&amp;"*",'V5'!B$300:B$400,0)),"  ")</f>
        <v>24</v>
      </c>
      <c r="AE11" s="113">
        <f>IFERROR(INDEX('V6'!C$300:C$400,MATCH("*"&amp;L11&amp;"*",'V6'!B$300:B$400,0)),"  ")</f>
        <v>24</v>
      </c>
      <c r="AF11" s="113">
        <f>IFERROR(INDEX('V7'!C$300:C$400,MATCH("*"&amp;L11&amp;"*",'V7'!B$300:B$400,0)),"  ")</f>
        <v>16</v>
      </c>
      <c r="AG11" s="113">
        <f>IFERROR(INDEX('V8'!C$300:C$400,MATCH("*"&amp;L11&amp;"*",'V8'!B$300:B$400,0)),"  ")</f>
        <v>14</v>
      </c>
      <c r="AH11" s="113">
        <f>IFERROR(INDEX('V9'!C$300:C$399,MATCH("*"&amp;L11&amp;"*",'V9'!B$300:B$399,0)),"  ")</f>
        <v>14</v>
      </c>
      <c r="AI11" s="113">
        <f>IFERROR(INDEX('V10'!C$300:C$399,MATCH("*"&amp;L11&amp;"*",'V10'!B$300:B$399,0)),"  ")</f>
        <v>10</v>
      </c>
      <c r="AJ11" s="114">
        <f t="shared" si="18"/>
        <v>5</v>
      </c>
      <c r="AK11" s="404">
        <f t="shared" si="19"/>
        <v>130</v>
      </c>
      <c r="AL11" s="115" t="str">
        <f t="shared" si="20"/>
        <v>edasi 5</v>
      </c>
      <c r="AM11" s="116" t="str">
        <f>IFERROR(INDEX(#REF!,MATCH("*"&amp;L11&amp;"*",#REF!,0)),"  ")</f>
        <v xml:space="preserve">  </v>
      </c>
      <c r="AN11" s="117">
        <f t="shared" si="21"/>
        <v>9</v>
      </c>
      <c r="AO11" s="118">
        <f t="shared" si="22"/>
        <v>2</v>
      </c>
      <c r="AP11" s="118">
        <f t="shared" si="23"/>
        <v>1</v>
      </c>
      <c r="AQ11" s="122"/>
      <c r="AR11" s="122"/>
      <c r="AS11" s="122"/>
      <c r="AT11" s="119">
        <f t="shared" si="24"/>
        <v>4.0000000000000002E-4</v>
      </c>
      <c r="AU11" s="120">
        <f t="shared" si="25"/>
        <v>10.0001</v>
      </c>
      <c r="AV11" s="120">
        <f t="shared" si="26"/>
        <v>10.0002</v>
      </c>
      <c r="AW11" s="120">
        <f t="shared" si="27"/>
        <v>8.0002999999999993</v>
      </c>
      <c r="AX11" s="120">
        <f t="shared" si="28"/>
        <v>4.0000000000000002E-4</v>
      </c>
      <c r="AY11" s="120">
        <f t="shared" si="29"/>
        <v>24.000499999999999</v>
      </c>
      <c r="AZ11" s="120">
        <f t="shared" si="30"/>
        <v>24.000599999999999</v>
      </c>
      <c r="BA11" s="120">
        <f t="shared" si="31"/>
        <v>16.000699999999998</v>
      </c>
      <c r="BB11" s="120">
        <f t="shared" si="32"/>
        <v>14.0008</v>
      </c>
      <c r="BC11" s="120">
        <f t="shared" si="33"/>
        <v>14.0009</v>
      </c>
      <c r="BD11" s="120">
        <f t="shared" si="34"/>
        <v>10.000999999999999</v>
      </c>
      <c r="BE11" s="122"/>
      <c r="BF11" s="122"/>
      <c r="BG11" s="122"/>
      <c r="BH11" s="122"/>
      <c r="BI11" s="1018">
        <f t="shared" si="35"/>
        <v>5</v>
      </c>
      <c r="BJ11" s="1018">
        <f t="shared" si="36"/>
        <v>6</v>
      </c>
      <c r="BK11" s="1018">
        <f t="shared" si="37"/>
        <v>5</v>
      </c>
      <c r="BL11" s="1018" t="e">
        <f t="shared" si="38"/>
        <v>#VALUE!</v>
      </c>
      <c r="BM11" s="1018">
        <f t="shared" si="39"/>
        <v>1</v>
      </c>
      <c r="BN11" s="1018">
        <f t="shared" si="40"/>
        <v>2</v>
      </c>
      <c r="BO11" s="1018">
        <f t="shared" si="41"/>
        <v>6</v>
      </c>
      <c r="BP11" s="1018">
        <f t="shared" si="42"/>
        <v>4</v>
      </c>
      <c r="BQ11" s="1018">
        <f t="shared" si="43"/>
        <v>6</v>
      </c>
      <c r="BR11" s="1018">
        <f t="shared" si="44"/>
        <v>9</v>
      </c>
    </row>
    <row r="12" spans="1:70" x14ac:dyDescent="0.2">
      <c r="A12" s="647">
        <f t="shared" si="1"/>
        <v>5</v>
      </c>
      <c r="B12" s="99">
        <f t="shared" si="2"/>
        <v>6</v>
      </c>
      <c r="C12" s="409">
        <f t="shared" si="3"/>
        <v>3</v>
      </c>
      <c r="D12" s="367">
        <f t="shared" si="4"/>
        <v>6</v>
      </c>
      <c r="E12" s="100">
        <f t="shared" si="5"/>
        <v>6</v>
      </c>
      <c r="F12" s="99">
        <f t="shared" si="6"/>
        <v>6</v>
      </c>
      <c r="G12" s="101" t="str">
        <f t="shared" si="7"/>
        <v/>
      </c>
      <c r="H12" s="99">
        <f t="shared" si="8"/>
        <v>-994</v>
      </c>
      <c r="I12" s="102" t="str">
        <f t="shared" si="9"/>
        <v/>
      </c>
      <c r="J12" s="103">
        <f t="shared" si="10"/>
        <v>-994</v>
      </c>
      <c r="K12" s="71">
        <f t="shared" si="11"/>
        <v>6</v>
      </c>
      <c r="L12" s="104" t="s">
        <v>116</v>
      </c>
      <c r="M12" s="105"/>
      <c r="N12" s="106" t="str">
        <f>IF(M12="","m","")</f>
        <v>m</v>
      </c>
      <c r="O12" s="107"/>
      <c r="P12" s="108" t="s">
        <v>317</v>
      </c>
      <c r="Q12" s="109" t="s">
        <v>88</v>
      </c>
      <c r="R12" s="110">
        <f>(IF(COUNT(Z12,AA12,AB12,AC12,AD12,AE12,AF12,AG12,AH12,AI12)&lt;10,SUM(Z12,AA12,AB12,AC12,AD12,AE12,AF12,AG12,AH12,AI12),SUM(LARGE((Z12,AA12,AB12,AC12,AD12,AE12,AF12,AG12,AH12,AI12),{1;2;3;4;5;6;7;8;9}))))</f>
        <v>108</v>
      </c>
      <c r="S12" s="111" t="str">
        <f>INDEX(ETAPP!B$1:B$32,MATCH(COUNTIF(BI12:BR12,1),ETAPP!A$1:A$32,0))&amp;INDEX(ETAPP!B$1:B$32,MATCH(COUNTIF(BI12:BR12,2),ETAPP!A$1:A$32,0))&amp;INDEX(ETAPP!B$1:B$32,MATCH(COUNTIF(BI12:BR12,3),ETAPP!A$1:A$32,0))&amp;INDEX(ETAPP!B$1:B$32,MATCH(COUNTIF(BI12:BR12,4),ETAPP!A$1:A$32,0))&amp;INDEX(ETAPP!B$1:B$32,MATCH(COUNTIF(BI12:BR12,5),ETAPP!A$1:A$32,0))&amp;INDEX(ETAPP!B$1:B$32,MATCH(COUNTIF(BI12:BR12,6),ETAPP!A$1:A$32,0))&amp;INDEX(ETAPP!B$1:B$32,MATCH(COUNTIF(BI12:BR12,7),ETAPP!A$1:A$32,0))&amp;INDEX(ETAPP!B$1:B$32,MATCH(COUNTIF(BI12:BR12,8),ETAPP!A$1:A$32,0))&amp;INDEX(ETAPP!B$1:B$32,MATCH(COUNTIF(BI12:BR12,9),ETAPP!A$1:A$32,0))&amp;INDEX(ETAPP!B$1:B$32,MATCH(COUNTIF(BI12:BR12,10),ETAPP!A$1:A$32,0))&amp;INDEX(ETAPP!B$1:B$32,MATCH(COUNTIF(BI12:BR12,11),ETAPP!A$1:A$32,0))&amp;INDEX(ETAPP!B$1:B$32,MATCH(COUNTIF(BI12:BR12,12),ETAPP!A$1:A$32,0))&amp;INDEX(ETAPP!B$1:B$32,MATCH(COUNTIF(BI12:BR12,13),ETAPP!A$1:A$32,0))&amp;INDEX(ETAPP!B$1:B$32,MATCH(COUNTIF(BI12:BR12,14),ETAPP!A$1:A$32,0))&amp;INDEX(ETAPP!B$1:B$32,MATCH(COUNTIF(BI12:BR12,15),ETAPP!A$1:A$32,0))&amp;INDEX(ETAPP!B$1:B$32,MATCH(COUNTIF(BI12:BR12,16),ETAPP!A$1:A$32,0))&amp;INDEX(ETAPP!B$1:B$32,MATCH(COUNTIF(BI12:BR12,17),ETAPP!A$1:A$32,0))&amp;INDEX(ETAPP!B$1:B$32,MATCH(COUNTIF(BI12:BR12,18),ETAPP!A$1:A$32,0))&amp;INDEX(ETAPP!B$1:B$32,MATCH(COUNTIF(BI12:BR12,19),ETAPP!A$1:A$32,0))&amp;INDEX(ETAPP!B$1:B$32,MATCH(COUNTIF(BI12:BR12,20),ETAPP!A$1:A$32,0))&amp;INDEX(ETAPP!B$1:B$32,MATCH(COUNTIF(BI12:BR12,21),ETAPP!A$1:A$32,0))</f>
        <v>BAA0AA000A00000000000</v>
      </c>
      <c r="T12" s="111" t="str">
        <f t="shared" si="12"/>
        <v>108,0-BAA0AA000A00000000000</v>
      </c>
      <c r="U12" s="111">
        <f t="shared" si="13"/>
        <v>6</v>
      </c>
      <c r="V12" s="111">
        <f t="shared" si="14"/>
        <v>80</v>
      </c>
      <c r="W12" s="111" t="str">
        <f t="shared" si="15"/>
        <v>108,0-BAA0AA000A00000000000-080</v>
      </c>
      <c r="X12" s="111">
        <f t="shared" si="16"/>
        <v>6</v>
      </c>
      <c r="Y12" s="112">
        <f t="shared" si="17"/>
        <v>103</v>
      </c>
      <c r="Z12" s="113">
        <f>IFERROR(INDEX('V1'!C$300:C$400,MATCH("*"&amp;L12&amp;"*",'V1'!B$300:B$400,0)),"  ")</f>
        <v>14</v>
      </c>
      <c r="AA12" s="113">
        <f>IFERROR(INDEX('V2'!C$300:C$400,MATCH("*"&amp;L12&amp;"*",'V2'!B$300:B$400,0)),"  ")</f>
        <v>20</v>
      </c>
      <c r="AB12" s="113">
        <f>IFERROR(INDEX('V3'!C$300:C$400,MATCH("*"&amp;L12&amp;"*",'V3'!B$300:B$400,0)),"  ")</f>
        <v>14</v>
      </c>
      <c r="AC12" s="113" t="str">
        <f>IFERROR(INDEX('V4'!C$300:C$400,MATCH("*"&amp;L12&amp;"*",'V4'!B$300:B$400,0)),"  ")</f>
        <v xml:space="preserve">  </v>
      </c>
      <c r="AD12" s="113" t="str">
        <f>IFERROR(INDEX('V5'!C$300:C$400,MATCH("*"&amp;L12&amp;"*",'V5'!B$300:B$400,0)),"  ")</f>
        <v xml:space="preserve">  </v>
      </c>
      <c r="AE12" s="113">
        <f>IFERROR(INDEX('V6'!C$300:C$400,MATCH("*"&amp;L12&amp;"*",'V6'!B$300:B$400,0)),"  ")</f>
        <v>18</v>
      </c>
      <c r="AF12" s="113" t="str">
        <f>IFERROR(INDEX('V7'!C$300:C$400,MATCH("*"&amp;L12&amp;"*",'V7'!B$300:B$400,0)),"  ")</f>
        <v xml:space="preserve">  </v>
      </c>
      <c r="AG12" s="113">
        <f>IFERROR(INDEX('V8'!C$300:C$400,MATCH("*"&amp;L12&amp;"*",'V8'!B$300:B$400,0)),"  ")</f>
        <v>20</v>
      </c>
      <c r="AH12" s="113">
        <f>IFERROR(INDEX('V9'!C$300:C$399,MATCH("*"&amp;L12&amp;"*",'V9'!B$300:B$399,0)),"  ")</f>
        <v>6</v>
      </c>
      <c r="AI12" s="113">
        <f>IFERROR(INDEX('V10'!C$300:C$399,MATCH("*"&amp;L12&amp;"*",'V10'!B$300:B$399,0)),"  ")</f>
        <v>16</v>
      </c>
      <c r="AJ12" s="114">
        <f t="shared" si="18"/>
        <v>6</v>
      </c>
      <c r="AK12" s="404">
        <f t="shared" si="19"/>
        <v>108</v>
      </c>
      <c r="AL12" s="115" t="str">
        <f t="shared" si="20"/>
        <v>edasi 6</v>
      </c>
      <c r="AM12" s="116" t="str">
        <f>IFERROR(INDEX(#REF!,MATCH("*"&amp;L12&amp;"*",#REF!,0)),"  ")</f>
        <v xml:space="preserve">  </v>
      </c>
      <c r="AN12" s="117">
        <f t="shared" si="21"/>
        <v>7</v>
      </c>
      <c r="AO12" s="118">
        <f t="shared" si="22"/>
        <v>4</v>
      </c>
      <c r="AP12" s="118">
        <f t="shared" si="23"/>
        <v>2</v>
      </c>
      <c r="AQ12" s="122"/>
      <c r="AR12" s="122"/>
      <c r="AS12" s="122"/>
      <c r="AT12" s="119">
        <f t="shared" si="24"/>
        <v>4.0000000000000002E-4</v>
      </c>
      <c r="AU12" s="120">
        <f t="shared" si="25"/>
        <v>14.0001</v>
      </c>
      <c r="AV12" s="120">
        <f t="shared" si="26"/>
        <v>20.0002</v>
      </c>
      <c r="AW12" s="120">
        <f t="shared" si="27"/>
        <v>14.000299999999999</v>
      </c>
      <c r="AX12" s="120">
        <f t="shared" si="28"/>
        <v>4.0000000000000002E-4</v>
      </c>
      <c r="AY12" s="120">
        <f t="shared" si="29"/>
        <v>5.0000000000000001E-4</v>
      </c>
      <c r="AZ12" s="120">
        <f t="shared" si="30"/>
        <v>18.000599999999999</v>
      </c>
      <c r="BA12" s="120">
        <f t="shared" si="31"/>
        <v>6.9999999999999999E-4</v>
      </c>
      <c r="BB12" s="120">
        <f t="shared" si="32"/>
        <v>20.000800000000002</v>
      </c>
      <c r="BC12" s="120">
        <f t="shared" si="33"/>
        <v>6.0008999999999997</v>
      </c>
      <c r="BD12" s="120">
        <f t="shared" si="34"/>
        <v>16.001000000000001</v>
      </c>
      <c r="BE12" s="122"/>
      <c r="BF12" s="122"/>
      <c r="BG12" s="122"/>
      <c r="BH12" s="122"/>
      <c r="BI12" s="1018">
        <f t="shared" si="35"/>
        <v>3</v>
      </c>
      <c r="BJ12" s="1018">
        <f t="shared" si="36"/>
        <v>1</v>
      </c>
      <c r="BK12" s="1018">
        <f t="shared" si="37"/>
        <v>2</v>
      </c>
      <c r="BL12" s="1018" t="e">
        <f t="shared" si="38"/>
        <v>#VALUE!</v>
      </c>
      <c r="BM12" s="1018" t="e">
        <f t="shared" si="39"/>
        <v>#VALUE!</v>
      </c>
      <c r="BN12" s="1018">
        <f t="shared" si="40"/>
        <v>5</v>
      </c>
      <c r="BO12" s="1018" t="e">
        <f t="shared" si="41"/>
        <v>#VALUE!</v>
      </c>
      <c r="BP12" s="1018">
        <f t="shared" si="42"/>
        <v>1</v>
      </c>
      <c r="BQ12" s="1018">
        <f t="shared" si="43"/>
        <v>10</v>
      </c>
      <c r="BR12" s="1018">
        <f t="shared" si="44"/>
        <v>6</v>
      </c>
    </row>
    <row r="13" spans="1:70" x14ac:dyDescent="0.2">
      <c r="A13" s="647">
        <f t="shared" si="1"/>
        <v>6</v>
      </c>
      <c r="B13" s="99">
        <f t="shared" si="2"/>
        <v>7</v>
      </c>
      <c r="C13" s="409" t="str">
        <f t="shared" si="3"/>
        <v/>
      </c>
      <c r="D13" s="367">
        <f t="shared" si="4"/>
        <v>-993</v>
      </c>
      <c r="E13" s="100">
        <f t="shared" si="5"/>
        <v>7</v>
      </c>
      <c r="F13" s="99">
        <f t="shared" si="6"/>
        <v>7</v>
      </c>
      <c r="G13" s="101" t="str">
        <f t="shared" si="7"/>
        <v/>
      </c>
      <c r="H13" s="99">
        <f t="shared" si="8"/>
        <v>-993</v>
      </c>
      <c r="I13" s="102" t="str">
        <f t="shared" si="9"/>
        <v/>
      </c>
      <c r="J13" s="103">
        <f t="shared" si="10"/>
        <v>-993</v>
      </c>
      <c r="K13" s="71">
        <f t="shared" si="11"/>
        <v>7</v>
      </c>
      <c r="L13" s="104" t="s">
        <v>223</v>
      </c>
      <c r="M13" s="105"/>
      <c r="N13" s="106" t="s">
        <v>105</v>
      </c>
      <c r="O13" s="107"/>
      <c r="P13" s="108"/>
      <c r="Q13" s="109" t="s">
        <v>88</v>
      </c>
      <c r="R13" s="110">
        <f>(IF(COUNT(Z13,AA13,AB13,AC13,AD13,AE13,AF13,AG13,AH13,AI13)&lt;10,SUM(Z13,AA13,AB13,AC13,AD13,AE13,AF13,AG13,AH13,AI13),SUM(LARGE((Z13,AA13,AB13,AC13,AD13,AE13,AF13,AG13,AH13,AI13),{1;2;3;4;5;6;7;8;9}))))</f>
        <v>102</v>
      </c>
      <c r="S13" s="111" t="str">
        <f>INDEX(ETAPP!B$1:B$32,MATCH(COUNTIF(BI13:BR13,1),ETAPP!A$1:A$32,0))&amp;INDEX(ETAPP!B$1:B$32,MATCH(COUNTIF(BI13:BR13,2),ETAPP!A$1:A$32,0))&amp;INDEX(ETAPP!B$1:B$32,MATCH(COUNTIF(BI13:BR13,3),ETAPP!A$1:A$32,0))&amp;INDEX(ETAPP!B$1:B$32,MATCH(COUNTIF(BI13:BR13,4),ETAPP!A$1:A$32,0))&amp;INDEX(ETAPP!B$1:B$32,MATCH(COUNTIF(BI13:BR13,5),ETAPP!A$1:A$32,0))&amp;INDEX(ETAPP!B$1:B$32,MATCH(COUNTIF(BI13:BR13,6),ETAPP!A$1:A$32,0))&amp;INDEX(ETAPP!B$1:B$32,MATCH(COUNTIF(BI13:BR13,7),ETAPP!A$1:A$32,0))&amp;INDEX(ETAPP!B$1:B$32,MATCH(COUNTIF(BI13:BR13,8),ETAPP!A$1:A$32,0))&amp;INDEX(ETAPP!B$1:B$32,MATCH(COUNTIF(BI13:BR13,9),ETAPP!A$1:A$32,0))&amp;INDEX(ETAPP!B$1:B$32,MATCH(COUNTIF(BI13:BR13,10),ETAPP!A$1:A$32,0))&amp;INDEX(ETAPP!B$1:B$32,MATCH(COUNTIF(BI13:BR13,11),ETAPP!A$1:A$32,0))&amp;INDEX(ETAPP!B$1:B$32,MATCH(COUNTIF(BI13:BR13,12),ETAPP!A$1:A$32,0))&amp;INDEX(ETAPP!B$1:B$32,MATCH(COUNTIF(BI13:BR13,13),ETAPP!A$1:A$32,0))&amp;INDEX(ETAPP!B$1:B$32,MATCH(COUNTIF(BI13:BR13,14),ETAPP!A$1:A$32,0))&amp;INDEX(ETAPP!B$1:B$32,MATCH(COUNTIF(BI13:BR13,15),ETAPP!A$1:A$32,0))&amp;INDEX(ETAPP!B$1:B$32,MATCH(COUNTIF(BI13:BR13,16),ETAPP!A$1:A$32,0))&amp;INDEX(ETAPP!B$1:B$32,MATCH(COUNTIF(BI13:BR13,17),ETAPP!A$1:A$32,0))&amp;INDEX(ETAPP!B$1:B$32,MATCH(COUNTIF(BI13:BR13,18),ETAPP!A$1:A$32,0))&amp;INDEX(ETAPP!B$1:B$32,MATCH(COUNTIF(BI13:BR13,19),ETAPP!A$1:A$32,0))&amp;INDEX(ETAPP!B$1:B$32,MATCH(COUNTIF(BI13:BR13,20),ETAPP!A$1:A$32,0))&amp;INDEX(ETAPP!B$1:B$32,MATCH(COUNTIF(BI13:BR13,21),ETAPP!A$1:A$32,0))</f>
        <v>AB0B00000B00000000000</v>
      </c>
      <c r="T13" s="111" t="str">
        <f t="shared" si="12"/>
        <v>102,0-AB0B00000B00000000000</v>
      </c>
      <c r="U13" s="111">
        <f t="shared" si="13"/>
        <v>7</v>
      </c>
      <c r="V13" s="111">
        <f t="shared" si="14"/>
        <v>78</v>
      </c>
      <c r="W13" s="111" t="str">
        <f t="shared" si="15"/>
        <v>102,0-AB0B00000B00000000000-078</v>
      </c>
      <c r="X13" s="111">
        <f t="shared" si="16"/>
        <v>7</v>
      </c>
      <c r="Y13" s="112">
        <f t="shared" si="17"/>
        <v>102</v>
      </c>
      <c r="Z13" s="113">
        <f>IFERROR(INDEX('V1'!C$300:C$400,MATCH("*"&amp;L13&amp;"*",'V1'!B$300:B$400,0)),"  ")</f>
        <v>18</v>
      </c>
      <c r="AA13" s="113" t="str">
        <f>IFERROR(INDEX('V2'!C$300:C$400,MATCH("*"&amp;L13&amp;"*",'V2'!B$300:B$400,0)),"  ")</f>
        <v xml:space="preserve">  </v>
      </c>
      <c r="AB13" s="113" t="str">
        <f>IFERROR(INDEX('V3'!C$300:C$400,MATCH("*"&amp;L13&amp;"*",'V3'!B$300:B$400,0)),"  ")</f>
        <v xml:space="preserve">  </v>
      </c>
      <c r="AC13" s="113">
        <f>IFERROR(INDEX('V4'!C$300:C$400,MATCH("*"&amp;L13&amp;"*",'V4'!B$300:B$400,0)),"  ")</f>
        <v>14</v>
      </c>
      <c r="AD13" s="113">
        <f>IFERROR(INDEX('V5'!C$300:C$400,MATCH("*"&amp;L13&amp;"*",'V5'!B$300:B$400,0)),"  ")</f>
        <v>6</v>
      </c>
      <c r="AE13" s="113" t="str">
        <f>IFERROR(INDEX('V6'!C$300:C$400,MATCH("*"&amp;L13&amp;"*",'V6'!B$300:B$400,0)),"  ")</f>
        <v xml:space="preserve">  </v>
      </c>
      <c r="AF13" s="113">
        <f>IFERROR(INDEX('V7'!C$300:C$400,MATCH("*"&amp;L13&amp;"*",'V7'!B$300:B$400,0)),"  ")</f>
        <v>20</v>
      </c>
      <c r="AG13" s="113">
        <f>IFERROR(INDEX('V8'!C$300:C$400,MATCH("*"&amp;L13&amp;"*",'V8'!B$300:B$400,0)),"  ")</f>
        <v>18</v>
      </c>
      <c r="AH13" s="113">
        <f>IFERROR(INDEX('V9'!C$300:C$399,MATCH("*"&amp;L13&amp;"*",'V9'!B$300:B$399,0)),"  ")</f>
        <v>18</v>
      </c>
      <c r="AI13" s="113">
        <f>IFERROR(INDEX('V10'!C$300:C$399,MATCH("*"&amp;L13&amp;"*",'V10'!B$300:B$399,0)),"  ")</f>
        <v>8</v>
      </c>
      <c r="AJ13" s="114">
        <f t="shared" si="18"/>
        <v>7</v>
      </c>
      <c r="AK13" s="404">
        <f t="shared" si="19"/>
        <v>102</v>
      </c>
      <c r="AL13" s="115" t="str">
        <f t="shared" si="20"/>
        <v>edasi 7</v>
      </c>
      <c r="AM13" s="116" t="str">
        <f>IFERROR(INDEX(#REF!,MATCH("*"&amp;L13&amp;"*",#REF!,0)),"  ")</f>
        <v xml:space="preserve">  </v>
      </c>
      <c r="AN13" s="117">
        <f t="shared" si="21"/>
        <v>7</v>
      </c>
      <c r="AO13" s="118">
        <f t="shared" si="22"/>
        <v>3</v>
      </c>
      <c r="AP13" s="118">
        <f t="shared" si="23"/>
        <v>1</v>
      </c>
      <c r="AQ13" s="122"/>
      <c r="AR13" s="122"/>
      <c r="AS13" s="122"/>
      <c r="AT13" s="119">
        <f t="shared" si="24"/>
        <v>2.0000000000000001E-4</v>
      </c>
      <c r="AU13" s="120">
        <f t="shared" si="25"/>
        <v>18.0001</v>
      </c>
      <c r="AV13" s="120">
        <f t="shared" si="26"/>
        <v>2.0000000000000001E-4</v>
      </c>
      <c r="AW13" s="120">
        <f t="shared" si="27"/>
        <v>2.9999999999999997E-4</v>
      </c>
      <c r="AX13" s="120">
        <f t="shared" si="28"/>
        <v>14.000400000000001</v>
      </c>
      <c r="AY13" s="120">
        <f t="shared" si="29"/>
        <v>6.0004999999999997</v>
      </c>
      <c r="AZ13" s="120">
        <f t="shared" si="30"/>
        <v>5.9999999999999995E-4</v>
      </c>
      <c r="BA13" s="120">
        <f t="shared" si="31"/>
        <v>20.000699999999998</v>
      </c>
      <c r="BB13" s="120">
        <f t="shared" si="32"/>
        <v>18.000800000000002</v>
      </c>
      <c r="BC13" s="120">
        <f t="shared" si="33"/>
        <v>18.000900000000001</v>
      </c>
      <c r="BD13" s="120">
        <f t="shared" si="34"/>
        <v>8.0009999999999994</v>
      </c>
      <c r="BE13" s="122"/>
      <c r="BF13" s="122"/>
      <c r="BG13" s="122"/>
      <c r="BH13" s="122"/>
      <c r="BI13" s="1018">
        <f t="shared" si="35"/>
        <v>1</v>
      </c>
      <c r="BJ13" s="1018" t="e">
        <f t="shared" si="36"/>
        <v>#VALUE!</v>
      </c>
      <c r="BK13" s="1018" t="e">
        <f t="shared" si="37"/>
        <v>#VALUE!</v>
      </c>
      <c r="BL13" s="1018">
        <f t="shared" si="38"/>
        <v>2</v>
      </c>
      <c r="BM13" s="1018">
        <f t="shared" si="39"/>
        <v>10</v>
      </c>
      <c r="BN13" s="1018" t="e">
        <f t="shared" si="40"/>
        <v>#VALUE!</v>
      </c>
      <c r="BO13" s="1018">
        <f t="shared" si="41"/>
        <v>4</v>
      </c>
      <c r="BP13" s="1018">
        <f t="shared" si="42"/>
        <v>2</v>
      </c>
      <c r="BQ13" s="1018">
        <f t="shared" si="43"/>
        <v>4</v>
      </c>
      <c r="BR13" s="1018">
        <f t="shared" si="44"/>
        <v>10</v>
      </c>
    </row>
    <row r="14" spans="1:70" x14ac:dyDescent="0.2">
      <c r="A14" s="647">
        <f t="shared" si="1"/>
        <v>7</v>
      </c>
      <c r="B14" s="99">
        <f t="shared" si="2"/>
        <v>8</v>
      </c>
      <c r="C14" s="409" t="str">
        <f t="shared" si="3"/>
        <v/>
      </c>
      <c r="D14" s="367">
        <f t="shared" si="4"/>
        <v>-992</v>
      </c>
      <c r="E14" s="100">
        <f t="shared" si="5"/>
        <v>8</v>
      </c>
      <c r="F14" s="99">
        <f t="shared" si="6"/>
        <v>8</v>
      </c>
      <c r="G14" s="101" t="str">
        <f t="shared" si="7"/>
        <v/>
      </c>
      <c r="H14" s="99">
        <f t="shared" si="8"/>
        <v>-992</v>
      </c>
      <c r="I14" s="102" t="str">
        <f t="shared" si="9"/>
        <v/>
      </c>
      <c r="J14" s="103">
        <f t="shared" si="10"/>
        <v>-992</v>
      </c>
      <c r="K14" s="71">
        <f t="shared" si="11"/>
        <v>8</v>
      </c>
      <c r="L14" s="123" t="s">
        <v>65</v>
      </c>
      <c r="M14" s="105"/>
      <c r="N14" s="106" t="str">
        <f>IF(M14="","m","")</f>
        <v>m</v>
      </c>
      <c r="O14" s="107"/>
      <c r="P14" s="108"/>
      <c r="Q14" s="109" t="s">
        <v>88</v>
      </c>
      <c r="R14" s="110">
        <f>(IF(COUNT(Z14,AA14,AB14,AC14,AD14,AE14,AF14,AG14,AH14,AI14)&lt;10,SUM(Z14,AA14,AB14,AC14,AD14,AE14,AF14,AG14,AH14,AI14),SUM(LARGE((Z14,AA14,AB14,AC14,AD14,AE14,AF14,AG14,AH14,AI14),{1;2;3;4;5;6;7;8;9}))))</f>
        <v>102</v>
      </c>
      <c r="S14" s="111" t="str">
        <f>INDEX(ETAPP!B$1:B$32,MATCH(COUNTIF(BI14:BR14,1),ETAPP!A$1:A$32,0))&amp;INDEX(ETAPP!B$1:B$32,MATCH(COUNTIF(BI14:BR14,2),ETAPP!A$1:A$32,0))&amp;INDEX(ETAPP!B$1:B$32,MATCH(COUNTIF(BI14:BR14,3),ETAPP!A$1:A$32,0))&amp;INDEX(ETAPP!B$1:B$32,MATCH(COUNTIF(BI14:BR14,4),ETAPP!A$1:A$32,0))&amp;INDEX(ETAPP!B$1:B$32,MATCH(COUNTIF(BI14:BR14,5),ETAPP!A$1:A$32,0))&amp;INDEX(ETAPP!B$1:B$32,MATCH(COUNTIF(BI14:BR14,6),ETAPP!A$1:A$32,0))&amp;INDEX(ETAPP!B$1:B$32,MATCH(COUNTIF(BI14:BR14,7),ETAPP!A$1:A$32,0))&amp;INDEX(ETAPP!B$1:B$32,MATCH(COUNTIF(BI14:BR14,8),ETAPP!A$1:A$32,0))&amp;INDEX(ETAPP!B$1:B$32,MATCH(COUNTIF(BI14:BR14,9),ETAPP!A$1:A$32,0))&amp;INDEX(ETAPP!B$1:B$32,MATCH(COUNTIF(BI14:BR14,10),ETAPP!A$1:A$32,0))&amp;INDEX(ETAPP!B$1:B$32,MATCH(COUNTIF(BI14:BR14,11),ETAPP!A$1:A$32,0))&amp;INDEX(ETAPP!B$1:B$32,MATCH(COUNTIF(BI14:BR14,12),ETAPP!A$1:A$32,0))&amp;INDEX(ETAPP!B$1:B$32,MATCH(COUNTIF(BI14:BR14,13),ETAPP!A$1:A$32,0))&amp;INDEX(ETAPP!B$1:B$32,MATCH(COUNTIF(BI14:BR14,14),ETAPP!A$1:A$32,0))&amp;INDEX(ETAPP!B$1:B$32,MATCH(COUNTIF(BI14:BR14,15),ETAPP!A$1:A$32,0))&amp;INDEX(ETAPP!B$1:B$32,MATCH(COUNTIF(BI14:BR14,16),ETAPP!A$1:A$32,0))&amp;INDEX(ETAPP!B$1:B$32,MATCH(COUNTIF(BI14:BR14,17),ETAPP!A$1:A$32,0))&amp;INDEX(ETAPP!B$1:B$32,MATCH(COUNTIF(BI14:BR14,18),ETAPP!A$1:A$32,0))&amp;INDEX(ETAPP!B$1:B$32,MATCH(COUNTIF(BI14:BR14,19),ETAPP!A$1:A$32,0))&amp;INDEX(ETAPP!B$1:B$32,MATCH(COUNTIF(BI14:BR14,20),ETAPP!A$1:A$32,0))&amp;INDEX(ETAPP!B$1:B$32,MATCH(COUNTIF(BI14:BR14,21),ETAPP!A$1:A$32,0))</f>
        <v>000CBA000000000000000</v>
      </c>
      <c r="T14" s="111" t="str">
        <f t="shared" si="12"/>
        <v>102,0-000CBA000000000000000</v>
      </c>
      <c r="U14" s="111">
        <f t="shared" si="13"/>
        <v>8</v>
      </c>
      <c r="V14" s="111">
        <f t="shared" si="14"/>
        <v>45</v>
      </c>
      <c r="W14" s="111" t="str">
        <f t="shared" si="15"/>
        <v>102,0-000CBA000000000000000-045</v>
      </c>
      <c r="X14" s="111">
        <f t="shared" si="16"/>
        <v>8</v>
      </c>
      <c r="Y14" s="112">
        <f t="shared" si="17"/>
        <v>101</v>
      </c>
      <c r="Z14" s="113" t="str">
        <f>IFERROR(INDEX('V1'!C$300:C$400,MATCH("*"&amp;L14&amp;"*",'V1'!B$300:B$400,0)),"  ")</f>
        <v xml:space="preserve">  </v>
      </c>
      <c r="AA14" s="113">
        <f>IFERROR(INDEX('V2'!C$300:C$400,MATCH("*"&amp;L14&amp;"*",'V2'!B$300:B$400,0)),"  ")</f>
        <v>14</v>
      </c>
      <c r="AB14" s="113" t="str">
        <f>IFERROR(INDEX('V3'!C$300:C$400,MATCH("*"&amp;L14&amp;"*",'V3'!B$300:B$400,0)),"  ")</f>
        <v xml:space="preserve">  </v>
      </c>
      <c r="AC14" s="113" t="str">
        <f>IFERROR(INDEX('V4'!C$300:C$400,MATCH("*"&amp;L14&amp;"*",'V4'!B$300:B$400,0)),"  ")</f>
        <v xml:space="preserve">  </v>
      </c>
      <c r="AD14" s="113">
        <f>IFERROR(INDEX('V5'!C$300:C$400,MATCH("*"&amp;L14&amp;"*",'V5'!B$300:B$400,0)),"  ")</f>
        <v>18</v>
      </c>
      <c r="AE14" s="113">
        <f>IFERROR(INDEX('V6'!C$300:C$400,MATCH("*"&amp;L14&amp;"*",'V6'!B$300:B$400,0)),"  ")</f>
        <v>16</v>
      </c>
      <c r="AF14" s="113">
        <f>IFERROR(INDEX('V7'!C$300:C$400,MATCH("*"&amp;L14&amp;"*",'V7'!B$300:B$400,0)),"  ")</f>
        <v>18</v>
      </c>
      <c r="AG14" s="113" t="str">
        <f>IFERROR(INDEX('V8'!C$300:C$400,MATCH("*"&amp;L14&amp;"*",'V8'!B$300:B$400,0)),"  ")</f>
        <v xml:space="preserve">  </v>
      </c>
      <c r="AH14" s="113">
        <f>IFERROR(INDEX('V9'!C$300:C$399,MATCH("*"&amp;L14&amp;"*",'V9'!B$300:B$399,0)),"  ")</f>
        <v>16</v>
      </c>
      <c r="AI14" s="113">
        <f>IFERROR(INDEX('V10'!C$300:C$399,MATCH("*"&amp;L14&amp;"*",'V10'!B$300:B$399,0)),"  ")</f>
        <v>20</v>
      </c>
      <c r="AJ14" s="114">
        <f t="shared" si="18"/>
        <v>8</v>
      </c>
      <c r="AK14" s="404">
        <f t="shared" si="19"/>
        <v>102</v>
      </c>
      <c r="AL14" s="115" t="str">
        <f t="shared" si="20"/>
        <v>edasi 8</v>
      </c>
      <c r="AM14" s="116" t="str">
        <f>IFERROR(INDEX(#REF!,MATCH("*"&amp;L14&amp;"*",#REF!,0)),"  ")</f>
        <v xml:space="preserve">  </v>
      </c>
      <c r="AN14" s="117">
        <f t="shared" si="21"/>
        <v>6</v>
      </c>
      <c r="AO14" s="118">
        <f t="shared" si="22"/>
        <v>0</v>
      </c>
      <c r="AP14" s="118">
        <f t="shared" si="23"/>
        <v>0</v>
      </c>
      <c r="AQ14" s="49"/>
      <c r="AR14" s="1"/>
      <c r="AS14" s="1"/>
      <c r="AT14" s="119">
        <f t="shared" si="24"/>
        <v>1E-4</v>
      </c>
      <c r="AU14" s="120">
        <f t="shared" si="25"/>
        <v>1E-4</v>
      </c>
      <c r="AV14" s="120">
        <f t="shared" si="26"/>
        <v>14.0002</v>
      </c>
      <c r="AW14" s="120">
        <f t="shared" si="27"/>
        <v>2.9999999999999997E-4</v>
      </c>
      <c r="AX14" s="120">
        <f t="shared" si="28"/>
        <v>4.0000000000000002E-4</v>
      </c>
      <c r="AY14" s="120">
        <f t="shared" si="29"/>
        <v>18.000499999999999</v>
      </c>
      <c r="AZ14" s="120">
        <f t="shared" si="30"/>
        <v>16.000599999999999</v>
      </c>
      <c r="BA14" s="120">
        <f t="shared" si="31"/>
        <v>18.000699999999998</v>
      </c>
      <c r="BB14" s="120">
        <f t="shared" si="32"/>
        <v>8.0000000000000004E-4</v>
      </c>
      <c r="BC14" s="120">
        <f t="shared" si="33"/>
        <v>16.000900000000001</v>
      </c>
      <c r="BD14" s="120">
        <f t="shared" si="34"/>
        <v>20.001000000000001</v>
      </c>
      <c r="BI14" s="1018" t="e">
        <f t="shared" si="35"/>
        <v>#VALUE!</v>
      </c>
      <c r="BJ14" s="1018">
        <f t="shared" si="36"/>
        <v>4</v>
      </c>
      <c r="BK14" s="1018" t="e">
        <f t="shared" si="37"/>
        <v>#VALUE!</v>
      </c>
      <c r="BL14" s="1018" t="e">
        <f t="shared" si="38"/>
        <v>#VALUE!</v>
      </c>
      <c r="BM14" s="1018">
        <f t="shared" si="39"/>
        <v>4</v>
      </c>
      <c r="BN14" s="1018">
        <f t="shared" si="40"/>
        <v>6</v>
      </c>
      <c r="BO14" s="1018">
        <f t="shared" si="41"/>
        <v>5</v>
      </c>
      <c r="BP14" s="1018" t="e">
        <f t="shared" si="42"/>
        <v>#VALUE!</v>
      </c>
      <c r="BQ14" s="1018">
        <f t="shared" si="43"/>
        <v>5</v>
      </c>
      <c r="BR14" s="1018">
        <f t="shared" si="44"/>
        <v>4</v>
      </c>
    </row>
    <row r="15" spans="1:70" x14ac:dyDescent="0.2">
      <c r="A15" s="647">
        <f t="shared" si="1"/>
        <v>8</v>
      </c>
      <c r="B15" s="99">
        <f t="shared" si="2"/>
        <v>9</v>
      </c>
      <c r="C15" s="409">
        <f t="shared" si="3"/>
        <v>4</v>
      </c>
      <c r="D15" s="367">
        <f t="shared" si="4"/>
        <v>9</v>
      </c>
      <c r="E15" s="100">
        <f t="shared" si="5"/>
        <v>9</v>
      </c>
      <c r="F15" s="99">
        <f t="shared" si="6"/>
        <v>9</v>
      </c>
      <c r="G15" s="101" t="str">
        <f t="shared" si="7"/>
        <v/>
      </c>
      <c r="H15" s="99">
        <f t="shared" si="8"/>
        <v>-991</v>
      </c>
      <c r="I15" s="102" t="str">
        <f t="shared" si="9"/>
        <v/>
      </c>
      <c r="J15" s="103">
        <f t="shared" si="10"/>
        <v>-991</v>
      </c>
      <c r="K15" s="71">
        <f t="shared" si="11"/>
        <v>9</v>
      </c>
      <c r="L15" s="121" t="s">
        <v>112</v>
      </c>
      <c r="M15" s="105"/>
      <c r="N15" s="106" t="str">
        <f>IF(M15="","m","")</f>
        <v>m</v>
      </c>
      <c r="O15" s="107"/>
      <c r="P15" s="108" t="s">
        <v>317</v>
      </c>
      <c r="Q15" s="109" t="s">
        <v>88</v>
      </c>
      <c r="R15" s="110">
        <f>(IF(COUNT(Z15,AA15,AB15,AC15,AD15,AE15,AF15,AG15,AH15,AI15)&lt;10,SUM(Z15,AA15,AB15,AC15,AD15,AE15,AF15,AG15,AH15,AI15),SUM(LARGE((Z15,AA15,AB15,AC15,AD15,AE15,AF15,AG15,AH15,AI15),{1;2;3;4;5;6;7;8;9}))))</f>
        <v>94</v>
      </c>
      <c r="S15" s="111" t="str">
        <f>INDEX(ETAPP!B$1:B$32,MATCH(COUNTIF(BI15:BR15,1),ETAPP!A$1:A$32,0))&amp;INDEX(ETAPP!B$1:B$32,MATCH(COUNTIF(BI15:BR15,2),ETAPP!A$1:A$32,0))&amp;INDEX(ETAPP!B$1:B$32,MATCH(COUNTIF(BI15:BR15,3),ETAPP!A$1:A$32,0))&amp;INDEX(ETAPP!B$1:B$32,MATCH(COUNTIF(BI15:BR15,4),ETAPP!A$1:A$32,0))&amp;INDEX(ETAPP!B$1:B$32,MATCH(COUNTIF(BI15:BR15,5),ETAPP!A$1:A$32,0))&amp;INDEX(ETAPP!B$1:B$32,MATCH(COUNTIF(BI15:BR15,6),ETAPP!A$1:A$32,0))&amp;INDEX(ETAPP!B$1:B$32,MATCH(COUNTIF(BI15:BR15,7),ETAPP!A$1:A$32,0))&amp;INDEX(ETAPP!B$1:B$32,MATCH(COUNTIF(BI15:BR15,8),ETAPP!A$1:A$32,0))&amp;INDEX(ETAPP!B$1:B$32,MATCH(COUNTIF(BI15:BR15,9),ETAPP!A$1:A$32,0))&amp;INDEX(ETAPP!B$1:B$32,MATCH(COUNTIF(BI15:BR15,10),ETAPP!A$1:A$32,0))&amp;INDEX(ETAPP!B$1:B$32,MATCH(COUNTIF(BI15:BR15,11),ETAPP!A$1:A$32,0))&amp;INDEX(ETAPP!B$1:B$32,MATCH(COUNTIF(BI15:BR15,12),ETAPP!A$1:A$32,0))&amp;INDEX(ETAPP!B$1:B$32,MATCH(COUNTIF(BI15:BR15,13),ETAPP!A$1:A$32,0))&amp;INDEX(ETAPP!B$1:B$32,MATCH(COUNTIF(BI15:BR15,14),ETAPP!A$1:A$32,0))&amp;INDEX(ETAPP!B$1:B$32,MATCH(COUNTIF(BI15:BR15,15),ETAPP!A$1:A$32,0))&amp;INDEX(ETAPP!B$1:B$32,MATCH(COUNTIF(BI15:BR15,16),ETAPP!A$1:A$32,0))&amp;INDEX(ETAPP!B$1:B$32,MATCH(COUNTIF(BI15:BR15,17),ETAPP!A$1:A$32,0))&amp;INDEX(ETAPP!B$1:B$32,MATCH(COUNTIF(BI15:BR15,18),ETAPP!A$1:A$32,0))&amp;INDEX(ETAPP!B$1:B$32,MATCH(COUNTIF(BI15:BR15,19),ETAPP!A$1:A$32,0))&amp;INDEX(ETAPP!B$1:B$32,MATCH(COUNTIF(BI15:BR15,20),ETAPP!A$1:A$32,0))&amp;INDEX(ETAPP!B$1:B$32,MATCH(COUNTIF(BI15:BR15,21),ETAPP!A$1:A$32,0))</f>
        <v>AA00AA0BBA0A000000000</v>
      </c>
      <c r="T15" s="111" t="str">
        <f t="shared" si="12"/>
        <v>094,0-AA00AA0BBA0A000000000</v>
      </c>
      <c r="U15" s="111">
        <f t="shared" si="13"/>
        <v>9</v>
      </c>
      <c r="V15" s="111">
        <f t="shared" si="14"/>
        <v>84</v>
      </c>
      <c r="W15" s="111" t="str">
        <f t="shared" si="15"/>
        <v>094,0-AA00AA0BBA0A000000000-084</v>
      </c>
      <c r="X15" s="111">
        <f t="shared" si="16"/>
        <v>9</v>
      </c>
      <c r="Y15" s="112">
        <f t="shared" si="17"/>
        <v>100</v>
      </c>
      <c r="Z15" s="113">
        <f>IFERROR(INDEX('V1'!C$300:C$400,MATCH("*"&amp;L15&amp;"*",'V1'!B$300:B$400,0)),"  ")</f>
        <v>2</v>
      </c>
      <c r="AA15" s="113">
        <f>IFERROR(INDEX('V2'!C$300:C$400,MATCH("*"&amp;L15&amp;"*",'V2'!B$300:B$400,0)),"  ")</f>
        <v>18</v>
      </c>
      <c r="AB15" s="113">
        <f>IFERROR(INDEX('V3'!C$300:C$400,MATCH("*"&amp;L15&amp;"*",'V3'!B$300:B$400,0)),"  ")</f>
        <v>16</v>
      </c>
      <c r="AC15" s="113">
        <f>IFERROR(INDEX('V4'!C$300:C$400,MATCH("*"&amp;L15&amp;"*",'V4'!B$300:B$400,0)),"  ")</f>
        <v>2</v>
      </c>
      <c r="AD15" s="113">
        <f>IFERROR(INDEX('V5'!C$300:C$400,MATCH("*"&amp;L15&amp;"*",'V5'!B$300:B$400,0)),"  ")</f>
        <v>14</v>
      </c>
      <c r="AE15" s="113">
        <f>IFERROR(INDEX('V6'!C$300:C$400,MATCH("*"&amp;L15&amp;"*",'V6'!B$300:B$400,0)),"  ")</f>
        <v>8</v>
      </c>
      <c r="AF15" s="113">
        <f>IFERROR(INDEX('V7'!C$300:C$400,MATCH("*"&amp;L15&amp;"*",'V7'!B$300:B$400,0)),"  ")</f>
        <v>10</v>
      </c>
      <c r="AG15" s="113">
        <f>IFERROR(INDEX('V8'!C$300:C$400,MATCH("*"&amp;L15&amp;"*",'V8'!B$300:B$400,0)),"  ")</f>
        <v>6</v>
      </c>
      <c r="AH15" s="113">
        <f>IFERROR(INDEX('V9'!C$300:C$399,MATCH("*"&amp;L15&amp;"*",'V9'!B$300:B$399,0)),"  ")</f>
        <v>2</v>
      </c>
      <c r="AI15" s="113">
        <f>IFERROR(INDEX('V10'!C$300:C$399,MATCH("*"&amp;L15&amp;"*",'V10'!B$300:B$399,0)),"  ")</f>
        <v>18</v>
      </c>
      <c r="AJ15" s="114">
        <f t="shared" si="18"/>
        <v>9</v>
      </c>
      <c r="AK15" s="404">
        <f t="shared" si="19"/>
        <v>96</v>
      </c>
      <c r="AL15" s="115" t="str">
        <f t="shared" si="20"/>
        <v>edasi 9</v>
      </c>
      <c r="AM15" s="116" t="str">
        <f>IFERROR(INDEX(#REF!,MATCH("*"&amp;L15&amp;"*",#REF!,0)),"  ")</f>
        <v xml:space="preserve">  </v>
      </c>
      <c r="AN15" s="117">
        <f t="shared" si="21"/>
        <v>10</v>
      </c>
      <c r="AO15" s="118">
        <f t="shared" si="22"/>
        <v>2</v>
      </c>
      <c r="AP15" s="118">
        <f t="shared" si="23"/>
        <v>1</v>
      </c>
      <c r="AQ15" s="122"/>
      <c r="AR15" s="122"/>
      <c r="AS15" s="122"/>
      <c r="AT15" s="119">
        <f t="shared" si="24"/>
        <v>2.0001000000000002</v>
      </c>
      <c r="AU15" s="120">
        <f t="shared" si="25"/>
        <v>2.0001000000000002</v>
      </c>
      <c r="AV15" s="120">
        <f t="shared" si="26"/>
        <v>18.0002</v>
      </c>
      <c r="AW15" s="120">
        <f t="shared" si="27"/>
        <v>16.000299999999999</v>
      </c>
      <c r="AX15" s="120">
        <f t="shared" si="28"/>
        <v>2.0004</v>
      </c>
      <c r="AY15" s="120">
        <f t="shared" si="29"/>
        <v>14.000500000000001</v>
      </c>
      <c r="AZ15" s="120">
        <f t="shared" si="30"/>
        <v>8.0006000000000004</v>
      </c>
      <c r="BA15" s="120">
        <f t="shared" si="31"/>
        <v>10.0007</v>
      </c>
      <c r="BB15" s="120">
        <f t="shared" si="32"/>
        <v>6.0007999999999999</v>
      </c>
      <c r="BC15" s="120">
        <f t="shared" si="33"/>
        <v>2.0009000000000001</v>
      </c>
      <c r="BD15" s="120">
        <f t="shared" si="34"/>
        <v>18.001000000000001</v>
      </c>
      <c r="BE15" s="122"/>
      <c r="BF15" s="122"/>
      <c r="BG15" s="122"/>
      <c r="BH15" s="122"/>
      <c r="BI15" s="1018">
        <f t="shared" si="35"/>
        <v>9</v>
      </c>
      <c r="BJ15" s="1018">
        <f t="shared" si="36"/>
        <v>2</v>
      </c>
      <c r="BK15" s="1018">
        <f t="shared" si="37"/>
        <v>1</v>
      </c>
      <c r="BL15" s="1018">
        <f t="shared" si="38"/>
        <v>8</v>
      </c>
      <c r="BM15" s="1018">
        <f t="shared" si="39"/>
        <v>6</v>
      </c>
      <c r="BN15" s="1018">
        <f t="shared" si="40"/>
        <v>10</v>
      </c>
      <c r="BO15" s="1018">
        <f t="shared" si="41"/>
        <v>9</v>
      </c>
      <c r="BP15" s="1018">
        <f t="shared" si="42"/>
        <v>8</v>
      </c>
      <c r="BQ15" s="1018">
        <f t="shared" si="43"/>
        <v>12</v>
      </c>
      <c r="BR15" s="1018">
        <f t="shared" si="44"/>
        <v>5</v>
      </c>
    </row>
    <row r="16" spans="1:70" x14ac:dyDescent="0.2">
      <c r="A16" s="647">
        <f t="shared" si="1"/>
        <v>9</v>
      </c>
      <c r="B16" s="99">
        <f t="shared" si="2"/>
        <v>10</v>
      </c>
      <c r="C16" s="409" t="str">
        <f t="shared" si="3"/>
        <v/>
      </c>
      <c r="D16" s="367">
        <f t="shared" si="4"/>
        <v>-990</v>
      </c>
      <c r="E16" s="100">
        <f t="shared" si="5"/>
        <v>10</v>
      </c>
      <c r="F16" s="99">
        <f t="shared" si="6"/>
        <v>10</v>
      </c>
      <c r="G16" s="101" t="str">
        <f t="shared" si="7"/>
        <v/>
      </c>
      <c r="H16" s="99">
        <f t="shared" si="8"/>
        <v>-990</v>
      </c>
      <c r="I16" s="102" t="str">
        <f t="shared" si="9"/>
        <v/>
      </c>
      <c r="J16" s="103">
        <f t="shared" si="10"/>
        <v>-990</v>
      </c>
      <c r="K16" s="71">
        <f t="shared" si="11"/>
        <v>10</v>
      </c>
      <c r="L16" s="104" t="s">
        <v>140</v>
      </c>
      <c r="M16" s="105"/>
      <c r="N16" s="106" t="s">
        <v>105</v>
      </c>
      <c r="O16" s="107"/>
      <c r="P16" s="108"/>
      <c r="Q16" s="109" t="s">
        <v>88</v>
      </c>
      <c r="R16" s="110">
        <f>(IF(COUNT(Z16,AA16,AB16,AC16,AD16,AE16,AF16,AG16,AH16,AI16)&lt;10,SUM(Z16,AA16,AB16,AC16,AD16,AE16,AF16,AG16,AH16,AI16),SUM(LARGE((Z16,AA16,AB16,AC16,AD16,AE16,AF16,AG16,AH16,AI16),{1;2;3;4;5;6;7;8;9}))))</f>
        <v>86</v>
      </c>
      <c r="S16" s="111" t="str">
        <f>INDEX(ETAPP!B$1:B$32,MATCH(COUNTIF(BI16:BR16,1),ETAPP!A$1:A$32,0))&amp;INDEX(ETAPP!B$1:B$32,MATCH(COUNTIF(BI16:BR16,2),ETAPP!A$1:A$32,0))&amp;INDEX(ETAPP!B$1:B$32,MATCH(COUNTIF(BI16:BR16,3),ETAPP!A$1:A$32,0))&amp;INDEX(ETAPP!B$1:B$32,MATCH(COUNTIF(BI16:BR16,4),ETAPP!A$1:A$32,0))&amp;INDEX(ETAPP!B$1:B$32,MATCH(COUNTIF(BI16:BR16,5),ETAPP!A$1:A$32,0))&amp;INDEX(ETAPP!B$1:B$32,MATCH(COUNTIF(BI16:BR16,6),ETAPP!A$1:A$32,0))&amp;INDEX(ETAPP!B$1:B$32,MATCH(COUNTIF(BI16:BR16,7),ETAPP!A$1:A$32,0))&amp;INDEX(ETAPP!B$1:B$32,MATCH(COUNTIF(BI16:BR16,8),ETAPP!A$1:A$32,0))&amp;INDEX(ETAPP!B$1:B$32,MATCH(COUNTIF(BI16:BR16,9),ETAPP!A$1:A$32,0))&amp;INDEX(ETAPP!B$1:B$32,MATCH(COUNTIF(BI16:BR16,10),ETAPP!A$1:A$32,0))&amp;INDEX(ETAPP!B$1:B$32,MATCH(COUNTIF(BI16:BR16,11),ETAPP!A$1:A$32,0))&amp;INDEX(ETAPP!B$1:B$32,MATCH(COUNTIF(BI16:BR16,12),ETAPP!A$1:A$32,0))&amp;INDEX(ETAPP!B$1:B$32,MATCH(COUNTIF(BI16:BR16,13),ETAPP!A$1:A$32,0))&amp;INDEX(ETAPP!B$1:B$32,MATCH(COUNTIF(BI16:BR16,14),ETAPP!A$1:A$32,0))&amp;INDEX(ETAPP!B$1:B$32,MATCH(COUNTIF(BI16:BR16,15),ETAPP!A$1:A$32,0))&amp;INDEX(ETAPP!B$1:B$32,MATCH(COUNTIF(BI16:BR16,16),ETAPP!A$1:A$32,0))&amp;INDEX(ETAPP!B$1:B$32,MATCH(COUNTIF(BI16:BR16,17),ETAPP!A$1:A$32,0))&amp;INDEX(ETAPP!B$1:B$32,MATCH(COUNTIF(BI16:BR16,18),ETAPP!A$1:A$32,0))&amp;INDEX(ETAPP!B$1:B$32,MATCH(COUNTIF(BI16:BR16,19),ETAPP!A$1:A$32,0))&amp;INDEX(ETAPP!B$1:B$32,MATCH(COUNTIF(BI16:BR16,20),ETAPP!A$1:A$32,0))&amp;INDEX(ETAPP!B$1:B$32,MATCH(COUNTIF(BI16:BR16,21),ETAPP!A$1:A$32,0))</f>
        <v>AA00AA00AA0A000000000</v>
      </c>
      <c r="T16" s="111" t="str">
        <f t="shared" si="12"/>
        <v>086,0-AA00AA00AA0A000000000</v>
      </c>
      <c r="U16" s="111">
        <f t="shared" si="13"/>
        <v>10</v>
      </c>
      <c r="V16" s="111">
        <f t="shared" si="14"/>
        <v>100</v>
      </c>
      <c r="W16" s="111" t="str">
        <f t="shared" si="15"/>
        <v>086,0-AA00AA00AA0A000000000-100</v>
      </c>
      <c r="X16" s="111">
        <f t="shared" si="16"/>
        <v>10</v>
      </c>
      <c r="Y16" s="112">
        <f t="shared" si="17"/>
        <v>99</v>
      </c>
      <c r="Z16" s="113" t="str">
        <f>IFERROR(INDEX('V1'!C$300:C$400,MATCH("*"&amp;L16&amp;"*",'V1'!B$300:B$400,0)),"  ")</f>
        <v xml:space="preserve">  </v>
      </c>
      <c r="AA16" s="113">
        <f>IFERROR(INDEX('V2'!C$300:C$400,MATCH("*"&amp;L16&amp;"*",'V2'!B$300:B$400,0)),"  ")</f>
        <v>18</v>
      </c>
      <c r="AB16" s="113">
        <f>IFERROR(INDEX('V3'!C$300:C$400,MATCH("*"&amp;L16&amp;"*",'V3'!B$300:B$400,0)),"  ")</f>
        <v>16</v>
      </c>
      <c r="AC16" s="113" t="str">
        <f>IFERROR(INDEX('V4'!C$300:C$400,MATCH("*"&amp;L16&amp;"*",'V4'!B$300:B$400,0)),"  ")</f>
        <v xml:space="preserve">  </v>
      </c>
      <c r="AD16" s="113">
        <f>IFERROR(INDEX('V5'!C$300:C$400,MATCH("*"&amp;L16&amp;"*",'V5'!B$300:B$400,0)),"  ")</f>
        <v>14</v>
      </c>
      <c r="AE16" s="113">
        <f>IFERROR(INDEX('V6'!C$300:C$400,MATCH("*"&amp;L16&amp;"*",'V6'!B$300:B$400,0)),"  ")</f>
        <v>8</v>
      </c>
      <c r="AF16" s="113">
        <f>IFERROR(INDEX('V7'!C$300:C$400,MATCH("*"&amp;L16&amp;"*",'V7'!B$300:B$400,0)),"  ")</f>
        <v>10</v>
      </c>
      <c r="AG16" s="113" t="str">
        <f>IFERROR(INDEX('V8'!C$300:C$400,MATCH("*"&amp;L16&amp;"*",'V8'!B$300:B$400,0)),"  ")</f>
        <v xml:space="preserve">  </v>
      </c>
      <c r="AH16" s="113">
        <f>IFERROR(INDEX('V9'!C$300:C$399,MATCH("*"&amp;L16&amp;"*",'V9'!B$300:B$399,0)),"  ")</f>
        <v>2</v>
      </c>
      <c r="AI16" s="113">
        <f>IFERROR(INDEX('V10'!C$300:C$399,MATCH("*"&amp;L16&amp;"*",'V10'!B$300:B$399,0)),"  ")</f>
        <v>18</v>
      </c>
      <c r="AJ16" s="114">
        <f t="shared" si="18"/>
        <v>10</v>
      </c>
      <c r="AK16" s="404">
        <f t="shared" si="19"/>
        <v>86</v>
      </c>
      <c r="AL16" s="115" t="str">
        <f t="shared" si="20"/>
        <v>edasi 10</v>
      </c>
      <c r="AM16" s="116" t="str">
        <f>IFERROR(INDEX(#REF!,MATCH("*"&amp;L16&amp;"*",#REF!,0)),"  ")</f>
        <v xml:space="preserve">  </v>
      </c>
      <c r="AN16" s="117">
        <f t="shared" si="21"/>
        <v>7</v>
      </c>
      <c r="AO16" s="118">
        <f t="shared" si="22"/>
        <v>2</v>
      </c>
      <c r="AP16" s="118">
        <f t="shared" si="23"/>
        <v>1</v>
      </c>
      <c r="AQ16" s="49"/>
      <c r="AR16" s="1018"/>
      <c r="AS16" s="1018"/>
      <c r="AT16" s="119">
        <f t="shared" si="24"/>
        <v>1E-4</v>
      </c>
      <c r="AU16" s="120">
        <f t="shared" si="25"/>
        <v>1E-4</v>
      </c>
      <c r="AV16" s="120">
        <f t="shared" si="26"/>
        <v>18.0002</v>
      </c>
      <c r="AW16" s="120">
        <f t="shared" si="27"/>
        <v>16.000299999999999</v>
      </c>
      <c r="AX16" s="120">
        <f t="shared" si="28"/>
        <v>4.0000000000000002E-4</v>
      </c>
      <c r="AY16" s="120">
        <f t="shared" si="29"/>
        <v>14.000500000000001</v>
      </c>
      <c r="AZ16" s="120">
        <f t="shared" si="30"/>
        <v>8.0006000000000004</v>
      </c>
      <c r="BA16" s="120">
        <f t="shared" si="31"/>
        <v>10.0007</v>
      </c>
      <c r="BB16" s="120">
        <f t="shared" si="32"/>
        <v>8.0000000000000004E-4</v>
      </c>
      <c r="BC16" s="120">
        <f t="shared" si="33"/>
        <v>2.0009000000000001</v>
      </c>
      <c r="BD16" s="120">
        <f t="shared" si="34"/>
        <v>18.001000000000001</v>
      </c>
      <c r="BE16" s="1018"/>
      <c r="BI16" s="1018" t="e">
        <f t="shared" si="35"/>
        <v>#VALUE!</v>
      </c>
      <c r="BJ16" s="1018">
        <f t="shared" si="36"/>
        <v>2</v>
      </c>
      <c r="BK16" s="1018">
        <f t="shared" si="37"/>
        <v>1</v>
      </c>
      <c r="BL16" s="1018" t="e">
        <f t="shared" si="38"/>
        <v>#VALUE!</v>
      </c>
      <c r="BM16" s="1018">
        <f t="shared" si="39"/>
        <v>6</v>
      </c>
      <c r="BN16" s="1018">
        <f t="shared" si="40"/>
        <v>10</v>
      </c>
      <c r="BO16" s="1018">
        <f t="shared" si="41"/>
        <v>9</v>
      </c>
      <c r="BP16" s="1018" t="e">
        <f t="shared" si="42"/>
        <v>#VALUE!</v>
      </c>
      <c r="BQ16" s="1018">
        <f t="shared" si="43"/>
        <v>12</v>
      </c>
      <c r="BR16" s="1018">
        <f t="shared" si="44"/>
        <v>5</v>
      </c>
    </row>
    <row r="17" spans="1:70" x14ac:dyDescent="0.2">
      <c r="A17" s="647">
        <f t="shared" si="1"/>
        <v>10</v>
      </c>
      <c r="B17" s="99">
        <f t="shared" si="2"/>
        <v>11</v>
      </c>
      <c r="C17" s="409">
        <f t="shared" si="3"/>
        <v>5</v>
      </c>
      <c r="D17" s="367">
        <f t="shared" si="4"/>
        <v>11</v>
      </c>
      <c r="E17" s="100">
        <f t="shared" si="5"/>
        <v>11</v>
      </c>
      <c r="F17" s="99">
        <f t="shared" si="6"/>
        <v>11</v>
      </c>
      <c r="G17" s="101" t="str">
        <f t="shared" si="7"/>
        <v/>
      </c>
      <c r="H17" s="99">
        <f t="shared" si="8"/>
        <v>-989</v>
      </c>
      <c r="I17" s="102" t="str">
        <f t="shared" si="9"/>
        <v/>
      </c>
      <c r="J17" s="103">
        <f t="shared" si="10"/>
        <v>-989</v>
      </c>
      <c r="K17" s="124">
        <f t="shared" si="11"/>
        <v>11</v>
      </c>
      <c r="L17" s="896" t="s">
        <v>130</v>
      </c>
      <c r="M17" s="125"/>
      <c r="N17" s="126" t="s">
        <v>105</v>
      </c>
      <c r="O17" s="899"/>
      <c r="P17" s="127" t="s">
        <v>317</v>
      </c>
      <c r="Q17" s="128" t="s">
        <v>88</v>
      </c>
      <c r="R17" s="110">
        <f>(IF(COUNT(Z17,AA17,AB17,AC17,AD17,AE17,AF17,AG17,AH17,AI17)&lt;10,SUM(Z17,AA17,AB17,AC17,AD17,AE17,AF17,AG17,AH17,AI17),SUM(LARGE((Z17,AA17,AB17,AC17,AD17,AE17,AF17,AG17,AH17,AI17),{1;2;3;4;5;6;7;8;9}))))</f>
        <v>84</v>
      </c>
      <c r="S17" s="111" t="str">
        <f>INDEX(ETAPP!B$1:B$32,MATCH(COUNTIF(BI17:BR17,1),ETAPP!A$1:A$32,0))&amp;INDEX(ETAPP!B$1:B$32,MATCH(COUNTIF(BI17:BR17,2),ETAPP!A$1:A$32,0))&amp;INDEX(ETAPP!B$1:B$32,MATCH(COUNTIF(BI17:BR17,3),ETAPP!A$1:A$32,0))&amp;INDEX(ETAPP!B$1:B$32,MATCH(COUNTIF(BI17:BR17,4),ETAPP!A$1:A$32,0))&amp;INDEX(ETAPP!B$1:B$32,MATCH(COUNTIF(BI17:BR17,5),ETAPP!A$1:A$32,0))&amp;INDEX(ETAPP!B$1:B$32,MATCH(COUNTIF(BI17:BR17,6),ETAPP!A$1:A$32,0))&amp;INDEX(ETAPP!B$1:B$32,MATCH(COUNTIF(BI17:BR17,7),ETAPP!A$1:A$32,0))&amp;INDEX(ETAPP!B$1:B$32,MATCH(COUNTIF(BI17:BR17,8),ETAPP!A$1:A$32,0))&amp;INDEX(ETAPP!B$1:B$32,MATCH(COUNTIF(BI17:BR17,9),ETAPP!A$1:A$32,0))&amp;INDEX(ETAPP!B$1:B$32,MATCH(COUNTIF(BI17:BR17,10),ETAPP!A$1:A$32,0))&amp;INDEX(ETAPP!B$1:B$32,MATCH(COUNTIF(BI17:BR17,11),ETAPP!A$1:A$32,0))&amp;INDEX(ETAPP!B$1:B$32,MATCH(COUNTIF(BI17:BR17,12),ETAPP!A$1:A$32,0))&amp;INDEX(ETAPP!B$1:B$32,MATCH(COUNTIF(BI17:BR17,13),ETAPP!A$1:A$32,0))&amp;INDEX(ETAPP!B$1:B$32,MATCH(COUNTIF(BI17:BR17,14),ETAPP!A$1:A$32,0))&amp;INDEX(ETAPP!B$1:B$32,MATCH(COUNTIF(BI17:BR17,15),ETAPP!A$1:A$32,0))&amp;INDEX(ETAPP!B$1:B$32,MATCH(COUNTIF(BI17:BR17,16),ETAPP!A$1:A$32,0))&amp;INDEX(ETAPP!B$1:B$32,MATCH(COUNTIF(BI17:BR17,17),ETAPP!A$1:A$32,0))&amp;INDEX(ETAPP!B$1:B$32,MATCH(COUNTIF(BI17:BR17,18),ETAPP!A$1:A$32,0))&amp;INDEX(ETAPP!B$1:B$32,MATCH(COUNTIF(BI17:BR17,19),ETAPP!A$1:A$32,0))&amp;INDEX(ETAPP!B$1:B$32,MATCH(COUNTIF(BI17:BR17,20),ETAPP!A$1:A$32,0))&amp;INDEX(ETAPP!B$1:B$32,MATCH(COUNTIF(BI17:BR17,21),ETAPP!A$1:A$32,0))</f>
        <v>AA0B00000B00000000000</v>
      </c>
      <c r="T17" s="129" t="str">
        <f t="shared" si="12"/>
        <v>084,0-AA0B00000B00000000000</v>
      </c>
      <c r="U17" s="129">
        <f t="shared" si="13"/>
        <v>11</v>
      </c>
      <c r="V17" s="129">
        <f t="shared" si="14"/>
        <v>63</v>
      </c>
      <c r="W17" s="129" t="str">
        <f t="shared" si="15"/>
        <v>084,0-AA0B00000B00000000000-063</v>
      </c>
      <c r="X17" s="129">
        <f t="shared" si="16"/>
        <v>11</v>
      </c>
      <c r="Y17" s="130">
        <f t="shared" si="17"/>
        <v>98</v>
      </c>
      <c r="Z17" s="113">
        <f>IFERROR(INDEX('V1'!C$300:C$400,MATCH("*"&amp;L17&amp;"*",'V1'!B$300:B$400,0)),"  ")</f>
        <v>18</v>
      </c>
      <c r="AA17" s="113" t="str">
        <f>IFERROR(INDEX('V2'!C$300:C$400,MATCH("*"&amp;L17&amp;"*",'V2'!B$300:B$400,0)),"  ")</f>
        <v xml:space="preserve">  </v>
      </c>
      <c r="AB17" s="113" t="str">
        <f>IFERROR(INDEX('V3'!C$300:C$400,MATCH("*"&amp;L17&amp;"*",'V3'!B$300:B$400,0)),"  ")</f>
        <v xml:space="preserve">  </v>
      </c>
      <c r="AC17" s="113">
        <f>IFERROR(INDEX('V4'!C$300:C$400,MATCH("*"&amp;L17&amp;"*",'V4'!B$300:B$400,0)),"  ")</f>
        <v>14</v>
      </c>
      <c r="AD17" s="113">
        <f>IFERROR(INDEX('V5'!C$300:C$400,MATCH("*"&amp;L17&amp;"*",'V5'!B$300:B$400,0)),"  ")</f>
        <v>6</v>
      </c>
      <c r="AE17" s="113" t="str">
        <f>IFERROR(INDEX('V6'!C$300:C$400,MATCH("*"&amp;L17&amp;"*",'V6'!B$300:B$400,0)),"  ")</f>
        <v xml:space="preserve">  </v>
      </c>
      <c r="AF17" s="113">
        <f>IFERROR(INDEX('V7'!C$300:C$400,MATCH("*"&amp;L17&amp;"*",'V7'!B$300:B$400,0)),"  ")</f>
        <v>20</v>
      </c>
      <c r="AG17" s="113" t="str">
        <f>IFERROR(INDEX('V8'!C$300:C$400,MATCH("*"&amp;L17&amp;"*",'V8'!B$300:B$400,0)),"  ")</f>
        <v xml:space="preserve">  </v>
      </c>
      <c r="AH17" s="113">
        <f>IFERROR(INDEX('V9'!C$300:C$399,MATCH("*"&amp;L17&amp;"*",'V9'!B$300:B$399,0)),"  ")</f>
        <v>18</v>
      </c>
      <c r="AI17" s="113">
        <f>IFERROR(INDEX('V10'!C$300:C$399,MATCH("*"&amp;L17&amp;"*",'V10'!B$300:B$399,0)),"  ")</f>
        <v>8</v>
      </c>
      <c r="AJ17" s="114">
        <f t="shared" si="18"/>
        <v>11</v>
      </c>
      <c r="AK17" s="404">
        <f t="shared" si="19"/>
        <v>84</v>
      </c>
      <c r="AL17" s="115" t="str">
        <f t="shared" si="20"/>
        <v>edasi 11</v>
      </c>
      <c r="AM17" s="116" t="str">
        <f>IFERROR(INDEX(#REF!,MATCH("*"&amp;L17&amp;"*",#REF!,0)),"  ")</f>
        <v xml:space="preserve">  </v>
      </c>
      <c r="AN17" s="117">
        <f t="shared" si="21"/>
        <v>6</v>
      </c>
      <c r="AO17" s="118">
        <f t="shared" si="22"/>
        <v>2</v>
      </c>
      <c r="AP17" s="118">
        <f t="shared" si="23"/>
        <v>1</v>
      </c>
      <c r="AQ17" s="122"/>
      <c r="AR17" s="122"/>
      <c r="AS17" s="122"/>
      <c r="AT17" s="119">
        <f t="shared" si="24"/>
        <v>2.0000000000000001E-4</v>
      </c>
      <c r="AU17" s="120">
        <f t="shared" si="25"/>
        <v>18.0001</v>
      </c>
      <c r="AV17" s="120">
        <f t="shared" si="26"/>
        <v>2.0000000000000001E-4</v>
      </c>
      <c r="AW17" s="120">
        <f t="shared" si="27"/>
        <v>2.9999999999999997E-4</v>
      </c>
      <c r="AX17" s="120">
        <f t="shared" si="28"/>
        <v>14.000400000000001</v>
      </c>
      <c r="AY17" s="120">
        <f t="shared" si="29"/>
        <v>6.0004999999999997</v>
      </c>
      <c r="AZ17" s="120">
        <f t="shared" si="30"/>
        <v>5.9999999999999995E-4</v>
      </c>
      <c r="BA17" s="120">
        <f t="shared" si="31"/>
        <v>20.000699999999998</v>
      </c>
      <c r="BB17" s="120">
        <f t="shared" si="32"/>
        <v>8.0000000000000004E-4</v>
      </c>
      <c r="BC17" s="120">
        <f t="shared" si="33"/>
        <v>18.000900000000001</v>
      </c>
      <c r="BD17" s="120">
        <f t="shared" si="34"/>
        <v>8.0009999999999994</v>
      </c>
      <c r="BE17" s="122"/>
      <c r="BF17" s="122"/>
      <c r="BG17" s="122"/>
      <c r="BH17" s="122"/>
      <c r="BI17" s="1018">
        <f t="shared" si="35"/>
        <v>1</v>
      </c>
      <c r="BJ17" s="1018" t="e">
        <f t="shared" si="36"/>
        <v>#VALUE!</v>
      </c>
      <c r="BK17" s="1018" t="e">
        <f t="shared" si="37"/>
        <v>#VALUE!</v>
      </c>
      <c r="BL17" s="1018">
        <f t="shared" si="38"/>
        <v>2</v>
      </c>
      <c r="BM17" s="1018">
        <f t="shared" si="39"/>
        <v>10</v>
      </c>
      <c r="BN17" s="1018" t="e">
        <f t="shared" si="40"/>
        <v>#VALUE!</v>
      </c>
      <c r="BO17" s="1018">
        <f t="shared" si="41"/>
        <v>4</v>
      </c>
      <c r="BP17" s="1018" t="e">
        <f t="shared" si="42"/>
        <v>#VALUE!</v>
      </c>
      <c r="BQ17" s="1018">
        <f t="shared" si="43"/>
        <v>4</v>
      </c>
      <c r="BR17" s="1018">
        <f t="shared" si="44"/>
        <v>10</v>
      </c>
    </row>
    <row r="18" spans="1:70" x14ac:dyDescent="0.2">
      <c r="A18" s="647">
        <f t="shared" si="1"/>
        <v>11</v>
      </c>
      <c r="B18" s="99">
        <f t="shared" si="2"/>
        <v>12</v>
      </c>
      <c r="C18" s="409">
        <f t="shared" si="3"/>
        <v>6</v>
      </c>
      <c r="D18" s="367">
        <f t="shared" si="4"/>
        <v>12</v>
      </c>
      <c r="E18" s="100">
        <f t="shared" si="5"/>
        <v>12</v>
      </c>
      <c r="F18" s="99">
        <f t="shared" si="6"/>
        <v>12</v>
      </c>
      <c r="G18" s="101" t="str">
        <f t="shared" si="7"/>
        <v/>
      </c>
      <c r="H18" s="99">
        <f t="shared" si="8"/>
        <v>-988</v>
      </c>
      <c r="I18" s="102" t="str">
        <f t="shared" si="9"/>
        <v/>
      </c>
      <c r="J18" s="103">
        <f t="shared" si="10"/>
        <v>-988</v>
      </c>
      <c r="K18" s="71">
        <f t="shared" si="11"/>
        <v>12</v>
      </c>
      <c r="L18" s="121" t="s">
        <v>111</v>
      </c>
      <c r="M18" s="105"/>
      <c r="N18" s="106" t="str">
        <f t="shared" ref="N18:N23" si="45">IF(M18="","m","")</f>
        <v>m</v>
      </c>
      <c r="O18" s="107"/>
      <c r="P18" s="108" t="s">
        <v>317</v>
      </c>
      <c r="Q18" s="109" t="s">
        <v>88</v>
      </c>
      <c r="R18" s="110">
        <f>(IF(COUNT(Z18,AA18,AB18,AC18,AD18,AE18,AF18,AG18,AH18,AI18)&lt;10,SUM(Z18,AA18,AB18,AC18,AD18,AE18,AF18,AG18,AH18,AI18),SUM(LARGE((Z18,AA18,AB18,AC18,AD18,AE18,AF18,AG18,AH18,AI18),{1;2;3;4;5;6;7;8;9}))))</f>
        <v>84</v>
      </c>
      <c r="S18" s="111" t="str">
        <f>INDEX(ETAPP!B$1:B$32,MATCH(COUNTIF(BI18:BR18,1),ETAPP!A$1:A$32,0))&amp;INDEX(ETAPP!B$1:B$32,MATCH(COUNTIF(BI18:BR18,2),ETAPP!A$1:A$32,0))&amp;INDEX(ETAPP!B$1:B$32,MATCH(COUNTIF(BI18:BR18,3),ETAPP!A$1:A$32,0))&amp;INDEX(ETAPP!B$1:B$32,MATCH(COUNTIF(BI18:BR18,4),ETAPP!A$1:A$32,0))&amp;INDEX(ETAPP!B$1:B$32,MATCH(COUNTIF(BI18:BR18,5),ETAPP!A$1:A$32,0))&amp;INDEX(ETAPP!B$1:B$32,MATCH(COUNTIF(BI18:BR18,6),ETAPP!A$1:A$32,0))&amp;INDEX(ETAPP!B$1:B$32,MATCH(COUNTIF(BI18:BR18,7),ETAPP!A$1:A$32,0))&amp;INDEX(ETAPP!B$1:B$32,MATCH(COUNTIF(BI18:BR18,8),ETAPP!A$1:A$32,0))&amp;INDEX(ETAPP!B$1:B$32,MATCH(COUNTIF(BI18:BR18,9),ETAPP!A$1:A$32,0))&amp;INDEX(ETAPP!B$1:B$32,MATCH(COUNTIF(BI18:BR18,10),ETAPP!A$1:A$32,0))&amp;INDEX(ETAPP!B$1:B$32,MATCH(COUNTIF(BI18:BR18,11),ETAPP!A$1:A$32,0))&amp;INDEX(ETAPP!B$1:B$32,MATCH(COUNTIF(BI18:BR18,12),ETAPP!A$1:A$32,0))&amp;INDEX(ETAPP!B$1:B$32,MATCH(COUNTIF(BI18:BR18,13),ETAPP!A$1:A$32,0))&amp;INDEX(ETAPP!B$1:B$32,MATCH(COUNTIF(BI18:BR18,14),ETAPP!A$1:A$32,0))&amp;INDEX(ETAPP!B$1:B$32,MATCH(COUNTIF(BI18:BR18,15),ETAPP!A$1:A$32,0))&amp;INDEX(ETAPP!B$1:B$32,MATCH(COUNTIF(BI18:BR18,16),ETAPP!A$1:A$32,0))&amp;INDEX(ETAPP!B$1:B$32,MATCH(COUNTIF(BI18:BR18,17),ETAPP!A$1:A$32,0))&amp;INDEX(ETAPP!B$1:B$32,MATCH(COUNTIF(BI18:BR18,18),ETAPP!A$1:A$32,0))&amp;INDEX(ETAPP!B$1:B$32,MATCH(COUNTIF(BI18:BR18,19),ETAPP!A$1:A$32,0))&amp;INDEX(ETAPP!B$1:B$32,MATCH(COUNTIF(BI18:BR18,20),ETAPP!A$1:A$32,0))&amp;INDEX(ETAPP!B$1:B$32,MATCH(COUNTIF(BI18:BR18,21),ETAPP!A$1:A$32,0))</f>
        <v>00A0BAAAB0A0000000000</v>
      </c>
      <c r="T18" s="111" t="str">
        <f t="shared" si="12"/>
        <v>084,0-00A0BAAAB0A0000000000</v>
      </c>
      <c r="U18" s="111">
        <f t="shared" si="13"/>
        <v>12</v>
      </c>
      <c r="V18" s="111">
        <f t="shared" si="14"/>
        <v>74</v>
      </c>
      <c r="W18" s="111" t="str">
        <f t="shared" si="15"/>
        <v>084,0-00A0BAAAB0A0000000000-074</v>
      </c>
      <c r="X18" s="111">
        <f t="shared" si="16"/>
        <v>12</v>
      </c>
      <c r="Y18" s="112">
        <f t="shared" si="17"/>
        <v>97</v>
      </c>
      <c r="Z18" s="113">
        <f>IFERROR(INDEX('V1'!C$300:C$400,MATCH("*"&amp;L18&amp;"*",'V1'!B$300:B$400,0)),"  ")</f>
        <v>10</v>
      </c>
      <c r="AA18" s="113">
        <f>IFERROR(INDEX('V2'!C$300:C$400,MATCH("*"&amp;L18&amp;"*",'V2'!B$300:B$400,0)),"  ")</f>
        <v>10</v>
      </c>
      <c r="AB18" s="113">
        <f>IFERROR(INDEX('V3'!C$300:C$400,MATCH("*"&amp;L18&amp;"*",'V3'!B$300:B$400,0)),"  ")</f>
        <v>8</v>
      </c>
      <c r="AC18" s="113">
        <f>IFERROR(INDEX('V4'!C$300:C$400,MATCH("*"&amp;L18&amp;"*",'V4'!B$300:B$400,0)),"  ")</f>
        <v>4</v>
      </c>
      <c r="AD18" s="113" t="str">
        <f>IFERROR(INDEX('V5'!C$300:C$400,MATCH("*"&amp;L18&amp;"*",'V5'!B$300:B$400,0)),"  ")</f>
        <v xml:space="preserve">  </v>
      </c>
      <c r="AE18" s="113">
        <f>IFERROR(INDEX('V6'!C$300:C$400,MATCH("*"&amp;L18&amp;"*",'V6'!B$300:B$400,0)),"  ")</f>
        <v>10</v>
      </c>
      <c r="AF18" s="113">
        <f>IFERROR(INDEX('V7'!C$300:C$400,MATCH("*"&amp;L18&amp;"*",'V7'!B$300:B$400,0)),"  ")</f>
        <v>12</v>
      </c>
      <c r="AG18" s="113">
        <f>IFERROR(INDEX('V8'!C$300:C$400,MATCH("*"&amp;L18&amp;"*",'V8'!B$300:B$400,0)),"  ")</f>
        <v>4</v>
      </c>
      <c r="AH18" s="113">
        <f>IFERROR(INDEX('V9'!C$300:C$399,MATCH("*"&amp;L18&amp;"*",'V9'!B$300:B$399,0)),"  ")</f>
        <v>20</v>
      </c>
      <c r="AI18" s="113">
        <f>IFERROR(INDEX('V10'!C$300:C$399,MATCH("*"&amp;L18&amp;"*",'V10'!B$300:B$399,0)),"  ")</f>
        <v>6</v>
      </c>
      <c r="AJ18" s="114">
        <f t="shared" si="18"/>
        <v>12</v>
      </c>
      <c r="AK18" s="404">
        <f t="shared" si="19"/>
        <v>84</v>
      </c>
      <c r="AL18" s="115" t="str">
        <f t="shared" si="20"/>
        <v>edasi 12</v>
      </c>
      <c r="AM18" s="116" t="str">
        <f>IFERROR(INDEX(#REF!,MATCH("*"&amp;L18&amp;"*",#REF!,0)),"  ")</f>
        <v xml:space="preserve">  </v>
      </c>
      <c r="AN18" s="117">
        <f t="shared" si="21"/>
        <v>9</v>
      </c>
      <c r="AO18" s="118">
        <f t="shared" si="22"/>
        <v>1</v>
      </c>
      <c r="AP18" s="118">
        <f t="shared" si="23"/>
        <v>0</v>
      </c>
      <c r="AQ18" s="122"/>
      <c r="AR18" s="122"/>
      <c r="AS18" s="122"/>
      <c r="AT18" s="119">
        <f t="shared" si="24"/>
        <v>5.0000000000000001E-4</v>
      </c>
      <c r="AU18" s="120">
        <f t="shared" si="25"/>
        <v>10.0001</v>
      </c>
      <c r="AV18" s="120">
        <f t="shared" si="26"/>
        <v>10.0002</v>
      </c>
      <c r="AW18" s="120">
        <f t="shared" si="27"/>
        <v>8.0002999999999993</v>
      </c>
      <c r="AX18" s="120">
        <f t="shared" si="28"/>
        <v>4.0004</v>
      </c>
      <c r="AY18" s="120">
        <f t="shared" si="29"/>
        <v>5.0000000000000001E-4</v>
      </c>
      <c r="AZ18" s="120">
        <f t="shared" si="30"/>
        <v>10.0006</v>
      </c>
      <c r="BA18" s="120">
        <f t="shared" si="31"/>
        <v>12.0007</v>
      </c>
      <c r="BB18" s="120">
        <f t="shared" si="32"/>
        <v>4.0007999999999999</v>
      </c>
      <c r="BC18" s="120">
        <f t="shared" si="33"/>
        <v>20.000900000000001</v>
      </c>
      <c r="BD18" s="120">
        <f t="shared" si="34"/>
        <v>6.0010000000000003</v>
      </c>
      <c r="BE18" s="122"/>
      <c r="BF18" s="122"/>
      <c r="BG18" s="122"/>
      <c r="BH18" s="122"/>
      <c r="BI18" s="1018">
        <f t="shared" si="35"/>
        <v>5</v>
      </c>
      <c r="BJ18" s="1018">
        <f t="shared" si="36"/>
        <v>6</v>
      </c>
      <c r="BK18" s="1018">
        <f t="shared" si="37"/>
        <v>5</v>
      </c>
      <c r="BL18" s="1018">
        <f t="shared" si="38"/>
        <v>7</v>
      </c>
      <c r="BM18" s="1018" t="e">
        <f t="shared" si="39"/>
        <v>#VALUE!</v>
      </c>
      <c r="BN18" s="1018">
        <f t="shared" si="40"/>
        <v>9</v>
      </c>
      <c r="BO18" s="1018">
        <f t="shared" si="41"/>
        <v>8</v>
      </c>
      <c r="BP18" s="1018">
        <f t="shared" si="42"/>
        <v>9</v>
      </c>
      <c r="BQ18" s="1018">
        <f t="shared" si="43"/>
        <v>3</v>
      </c>
      <c r="BR18" s="1018">
        <f t="shared" si="44"/>
        <v>11</v>
      </c>
    </row>
    <row r="19" spans="1:70" x14ac:dyDescent="0.2">
      <c r="A19" s="647">
        <f t="shared" si="1"/>
        <v>12</v>
      </c>
      <c r="B19" s="99">
        <f t="shared" si="2"/>
        <v>14</v>
      </c>
      <c r="C19" s="409" t="str">
        <f t="shared" si="3"/>
        <v/>
      </c>
      <c r="D19" s="367">
        <f t="shared" si="4"/>
        <v>-986</v>
      </c>
      <c r="E19" s="100">
        <f t="shared" si="5"/>
        <v>13</v>
      </c>
      <c r="F19" s="99">
        <f t="shared" si="6"/>
        <v>14</v>
      </c>
      <c r="G19" s="101" t="str">
        <f t="shared" si="7"/>
        <v/>
      </c>
      <c r="H19" s="99">
        <f t="shared" si="8"/>
        <v>-986</v>
      </c>
      <c r="I19" s="102" t="str">
        <f t="shared" si="9"/>
        <v/>
      </c>
      <c r="J19" s="103">
        <f t="shared" si="10"/>
        <v>-986</v>
      </c>
      <c r="K19" s="71">
        <f t="shared" si="11"/>
        <v>13</v>
      </c>
      <c r="L19" s="123" t="s">
        <v>60</v>
      </c>
      <c r="M19" s="105"/>
      <c r="N19" s="106" t="str">
        <f t="shared" si="45"/>
        <v>m</v>
      </c>
      <c r="O19" s="107"/>
      <c r="P19" s="108"/>
      <c r="Q19" s="109" t="s">
        <v>88</v>
      </c>
      <c r="R19" s="110">
        <f>(IF(COUNT(Z19,AA19,AB19,AC19,AD19,AE19,AF19,AG19,AH19,AI19)&lt;10,SUM(Z19,AA19,AB19,AC19,AD19,AE19,AF19,AG19,AH19,AI19),SUM(LARGE((Z19,AA19,AB19,AC19,AD19,AE19,AF19,AG19,AH19,AI19),{1;2;3;4;5;6;7;8;9}))))</f>
        <v>76</v>
      </c>
      <c r="S19" s="111" t="str">
        <f>INDEX(ETAPP!B$1:B$32,MATCH(COUNTIF(BI19:BR19,1),ETAPP!A$1:A$32,0))&amp;INDEX(ETAPP!B$1:B$32,MATCH(COUNTIF(BI19:BR19,2),ETAPP!A$1:A$32,0))&amp;INDEX(ETAPP!B$1:B$32,MATCH(COUNTIF(BI19:BR19,3),ETAPP!A$1:A$32,0))&amp;INDEX(ETAPP!B$1:B$32,MATCH(COUNTIF(BI19:BR19,4),ETAPP!A$1:A$32,0))&amp;INDEX(ETAPP!B$1:B$32,MATCH(COUNTIF(BI19:BR19,5),ETAPP!A$1:A$32,0))&amp;INDEX(ETAPP!B$1:B$32,MATCH(COUNTIF(BI19:BR19,6),ETAPP!A$1:A$32,0))&amp;INDEX(ETAPP!B$1:B$32,MATCH(COUNTIF(BI19:BR19,7),ETAPP!A$1:A$32,0))&amp;INDEX(ETAPP!B$1:B$32,MATCH(COUNTIF(BI19:BR19,8),ETAPP!A$1:A$32,0))&amp;INDEX(ETAPP!B$1:B$32,MATCH(COUNTIF(BI19:BR19,9),ETAPP!A$1:A$32,0))&amp;INDEX(ETAPP!B$1:B$32,MATCH(COUNTIF(BI19:BR19,10),ETAPP!A$1:A$32,0))&amp;INDEX(ETAPP!B$1:B$32,MATCH(COUNTIF(BI19:BR19,11),ETAPP!A$1:A$32,0))&amp;INDEX(ETAPP!B$1:B$32,MATCH(COUNTIF(BI19:BR19,12),ETAPP!A$1:A$32,0))&amp;INDEX(ETAPP!B$1:B$32,MATCH(COUNTIF(BI19:BR19,13),ETAPP!A$1:A$32,0))&amp;INDEX(ETAPP!B$1:B$32,MATCH(COUNTIF(BI19:BR19,14),ETAPP!A$1:A$32,0))&amp;INDEX(ETAPP!B$1:B$32,MATCH(COUNTIF(BI19:BR19,15),ETAPP!A$1:A$32,0))&amp;INDEX(ETAPP!B$1:B$32,MATCH(COUNTIF(BI19:BR19,16),ETAPP!A$1:A$32,0))&amp;INDEX(ETAPP!B$1:B$32,MATCH(COUNTIF(BI19:BR19,17),ETAPP!A$1:A$32,0))&amp;INDEX(ETAPP!B$1:B$32,MATCH(COUNTIF(BI19:BR19,18),ETAPP!A$1:A$32,0))&amp;INDEX(ETAPP!B$1:B$32,MATCH(COUNTIF(BI19:BR19,19),ETAPP!A$1:A$32,0))&amp;INDEX(ETAPP!B$1:B$32,MATCH(COUNTIF(BI19:BR19,20),ETAPP!A$1:A$32,0))&amp;INDEX(ETAPP!B$1:B$32,MATCH(COUNTIF(BI19:BR19,21),ETAPP!A$1:A$32,0))</f>
        <v>0A0A00CA00AAA00000000</v>
      </c>
      <c r="T19" s="111" t="str">
        <f t="shared" si="12"/>
        <v>076,0-0A0A00CA00AAA00000000</v>
      </c>
      <c r="U19" s="111">
        <f t="shared" si="13"/>
        <v>14</v>
      </c>
      <c r="V19" s="111">
        <f t="shared" si="14"/>
        <v>92</v>
      </c>
      <c r="W19" s="111" t="str">
        <f t="shared" si="15"/>
        <v>076,0-0A0A00CA00AAA00000000-092</v>
      </c>
      <c r="X19" s="111">
        <f t="shared" si="16"/>
        <v>13</v>
      </c>
      <c r="Y19" s="112">
        <f t="shared" si="17"/>
        <v>96</v>
      </c>
      <c r="Z19" s="113">
        <f>IFERROR(INDEX('V1'!C$300:C$400,MATCH("*"&amp;L19&amp;"*",'V1'!B$300:B$400,0)),"  ")</f>
        <v>16</v>
      </c>
      <c r="AA19" s="113">
        <f>IFERROR(INDEX('V2'!C$300:C$400,MATCH("*"&amp;L19&amp;"*",'V2'!B$300:B$400,0)),"  ")</f>
        <v>8</v>
      </c>
      <c r="AB19" s="113" t="str">
        <f>IFERROR(INDEX('V3'!C$300:C$400,MATCH("*"&amp;L19&amp;"*",'V3'!B$300:B$400,0)),"  ")</f>
        <v xml:space="preserve">  </v>
      </c>
      <c r="AC19" s="113">
        <f>IFERROR(INDEX('V4'!C$300:C$400,MATCH("*"&amp;L19&amp;"*",'V4'!B$300:B$400,0)),"  ")</f>
        <v>10</v>
      </c>
      <c r="AD19" s="113">
        <f>IFERROR(INDEX('V5'!C$300:C$400,MATCH("*"&amp;L19&amp;"*",'V5'!B$300:B$400,0)),"  ")</f>
        <v>10</v>
      </c>
      <c r="AE19" s="113">
        <f>IFERROR(INDEX('V6'!C$300:C$400,MATCH("*"&amp;L19&amp;"*",'V6'!B$300:B$400,0)),"  ")</f>
        <v>4</v>
      </c>
      <c r="AF19" s="113">
        <f>IFERROR(INDEX('V7'!C$300:C$400,MATCH("*"&amp;L19&amp;"*",'V7'!B$300:B$400,0)),"  ")</f>
        <v>14</v>
      </c>
      <c r="AG19" s="113">
        <f>IFERROR(INDEX('V8'!C$300:C$400,MATCH("*"&amp;L19&amp;"*",'V8'!B$300:B$400,0)),"  ")</f>
        <v>8</v>
      </c>
      <c r="AH19" s="113">
        <f>IFERROR(INDEX('V9'!C$300:C$399,MATCH("*"&amp;L19&amp;"*",'V9'!B$300:B$399,0)),"  ")</f>
        <v>4</v>
      </c>
      <c r="AI19" s="113">
        <f>IFERROR(INDEX('V10'!C$300:C$399,MATCH("*"&amp;L19&amp;"*",'V10'!B$300:B$399,0)),"  ")</f>
        <v>2</v>
      </c>
      <c r="AJ19" s="114">
        <f t="shared" si="18"/>
        <v>13</v>
      </c>
      <c r="AK19" s="404">
        <f t="shared" si="19"/>
        <v>76</v>
      </c>
      <c r="AL19" s="115" t="str">
        <f t="shared" si="20"/>
        <v>edasi 13</v>
      </c>
      <c r="AM19" s="116" t="str">
        <f>IFERROR(INDEX(#REF!,MATCH("*"&amp;L19&amp;"*",#REF!,0)),"  ")</f>
        <v xml:space="preserve">  </v>
      </c>
      <c r="AN19" s="117">
        <f t="shared" si="21"/>
        <v>9</v>
      </c>
      <c r="AO19" s="118">
        <f t="shared" si="22"/>
        <v>1</v>
      </c>
      <c r="AP19" s="118">
        <f t="shared" si="23"/>
        <v>0</v>
      </c>
      <c r="AQ19" s="49"/>
      <c r="AR19" s="1"/>
      <c r="AS19" s="1"/>
      <c r="AT19" s="119">
        <f t="shared" si="24"/>
        <v>2.9999999999999997E-4</v>
      </c>
      <c r="AU19" s="120">
        <f t="shared" si="25"/>
        <v>16.0001</v>
      </c>
      <c r="AV19" s="120">
        <f t="shared" si="26"/>
        <v>8.0001999999999995</v>
      </c>
      <c r="AW19" s="120">
        <f t="shared" si="27"/>
        <v>2.9999999999999997E-4</v>
      </c>
      <c r="AX19" s="120">
        <f t="shared" si="28"/>
        <v>10.000400000000001</v>
      </c>
      <c r="AY19" s="120">
        <f t="shared" si="29"/>
        <v>10.000500000000001</v>
      </c>
      <c r="AZ19" s="120">
        <f t="shared" si="30"/>
        <v>4.0006000000000004</v>
      </c>
      <c r="BA19" s="120">
        <f t="shared" si="31"/>
        <v>14.0007</v>
      </c>
      <c r="BB19" s="120">
        <f t="shared" si="32"/>
        <v>8.0007999999999999</v>
      </c>
      <c r="BC19" s="120">
        <f t="shared" si="33"/>
        <v>4.0008999999999997</v>
      </c>
      <c r="BD19" s="120">
        <f t="shared" si="34"/>
        <v>2.0009999999999999</v>
      </c>
      <c r="BI19" s="1018">
        <f t="shared" si="35"/>
        <v>2</v>
      </c>
      <c r="BJ19" s="1018">
        <f t="shared" si="36"/>
        <v>7</v>
      </c>
      <c r="BK19" s="1018" t="e">
        <f t="shared" si="37"/>
        <v>#VALUE!</v>
      </c>
      <c r="BL19" s="1018">
        <f t="shared" si="38"/>
        <v>4</v>
      </c>
      <c r="BM19" s="1018">
        <f t="shared" si="39"/>
        <v>8</v>
      </c>
      <c r="BN19" s="1018">
        <f t="shared" si="40"/>
        <v>12</v>
      </c>
      <c r="BO19" s="1018">
        <f t="shared" si="41"/>
        <v>7</v>
      </c>
      <c r="BP19" s="1018">
        <f t="shared" si="42"/>
        <v>7</v>
      </c>
      <c r="BQ19" s="1018">
        <f t="shared" si="43"/>
        <v>11</v>
      </c>
      <c r="BR19" s="1018">
        <f t="shared" si="44"/>
        <v>13</v>
      </c>
    </row>
    <row r="20" spans="1:70" x14ac:dyDescent="0.2">
      <c r="A20" s="647">
        <f t="shared" si="1"/>
        <v>12</v>
      </c>
      <c r="B20" s="99">
        <f t="shared" si="2"/>
        <v>14</v>
      </c>
      <c r="C20" s="409" t="str">
        <f t="shared" si="3"/>
        <v/>
      </c>
      <c r="D20" s="367">
        <f t="shared" si="4"/>
        <v>-986</v>
      </c>
      <c r="E20" s="100">
        <f t="shared" si="5"/>
        <v>13</v>
      </c>
      <c r="F20" s="99">
        <f t="shared" si="6"/>
        <v>14</v>
      </c>
      <c r="G20" s="101" t="str">
        <f t="shared" si="7"/>
        <v/>
      </c>
      <c r="H20" s="99">
        <f t="shared" si="8"/>
        <v>-986</v>
      </c>
      <c r="I20" s="102" t="str">
        <f t="shared" si="9"/>
        <v/>
      </c>
      <c r="J20" s="103">
        <f t="shared" si="10"/>
        <v>-986</v>
      </c>
      <c r="K20" s="71">
        <f t="shared" si="11"/>
        <v>13</v>
      </c>
      <c r="L20" s="121" t="s">
        <v>106</v>
      </c>
      <c r="M20" s="105"/>
      <c r="N20" s="106" t="str">
        <f t="shared" si="45"/>
        <v>m</v>
      </c>
      <c r="O20" s="107"/>
      <c r="P20" s="108"/>
      <c r="Q20" s="109" t="s">
        <v>88</v>
      </c>
      <c r="R20" s="110">
        <f>(IF(COUNT(Z20,AA20,AB20,AC20,AD20,AE20,AF20,AG20,AH20,AI20)&lt;10,SUM(Z20,AA20,AB20,AC20,AD20,AE20,AF20,AG20,AH20,AI20),SUM(LARGE((Z20,AA20,AB20,AC20,AD20,AE20,AF20,AG20,AH20,AI20),{1;2;3;4;5;6;7;8;9}))))</f>
        <v>76</v>
      </c>
      <c r="S20" s="111" t="str">
        <f>INDEX(ETAPP!B$1:B$32,MATCH(COUNTIF(BI20:BR20,1),ETAPP!A$1:A$32,0))&amp;INDEX(ETAPP!B$1:B$32,MATCH(COUNTIF(BI20:BR20,2),ETAPP!A$1:A$32,0))&amp;INDEX(ETAPP!B$1:B$32,MATCH(COUNTIF(BI20:BR20,3),ETAPP!A$1:A$32,0))&amp;INDEX(ETAPP!B$1:B$32,MATCH(COUNTIF(BI20:BR20,4),ETAPP!A$1:A$32,0))&amp;INDEX(ETAPP!B$1:B$32,MATCH(COUNTIF(BI20:BR20,5),ETAPP!A$1:A$32,0))&amp;INDEX(ETAPP!B$1:B$32,MATCH(COUNTIF(BI20:BR20,6),ETAPP!A$1:A$32,0))&amp;INDEX(ETAPP!B$1:B$32,MATCH(COUNTIF(BI20:BR20,7),ETAPP!A$1:A$32,0))&amp;INDEX(ETAPP!B$1:B$32,MATCH(COUNTIF(BI20:BR20,8),ETAPP!A$1:A$32,0))&amp;INDEX(ETAPP!B$1:B$32,MATCH(COUNTIF(BI20:BR20,9),ETAPP!A$1:A$32,0))&amp;INDEX(ETAPP!B$1:B$32,MATCH(COUNTIF(BI20:BR20,10),ETAPP!A$1:A$32,0))&amp;INDEX(ETAPP!B$1:B$32,MATCH(COUNTIF(BI20:BR20,11),ETAPP!A$1:A$32,0))&amp;INDEX(ETAPP!B$1:B$32,MATCH(COUNTIF(BI20:BR20,12),ETAPP!A$1:A$32,0))&amp;INDEX(ETAPP!B$1:B$32,MATCH(COUNTIF(BI20:BR20,13),ETAPP!A$1:A$32,0))&amp;INDEX(ETAPP!B$1:B$32,MATCH(COUNTIF(BI20:BR20,14),ETAPP!A$1:A$32,0))&amp;INDEX(ETAPP!B$1:B$32,MATCH(COUNTIF(BI20:BR20,15),ETAPP!A$1:A$32,0))&amp;INDEX(ETAPP!B$1:B$32,MATCH(COUNTIF(BI20:BR20,16),ETAPP!A$1:A$32,0))&amp;INDEX(ETAPP!B$1:B$32,MATCH(COUNTIF(BI20:BR20,17),ETAPP!A$1:A$32,0))&amp;INDEX(ETAPP!B$1:B$32,MATCH(COUNTIF(BI20:BR20,18),ETAPP!A$1:A$32,0))&amp;INDEX(ETAPP!B$1:B$32,MATCH(COUNTIF(BI20:BR20,19),ETAPP!A$1:A$32,0))&amp;INDEX(ETAPP!B$1:B$32,MATCH(COUNTIF(BI20:BR20,20),ETAPP!A$1:A$32,0))&amp;INDEX(ETAPP!B$1:B$32,MATCH(COUNTIF(BI20:BR20,21),ETAPP!A$1:A$32,0))</f>
        <v>0A0A00CA00AAA00000000</v>
      </c>
      <c r="T20" s="111" t="str">
        <f t="shared" si="12"/>
        <v>076,0-0A0A00CA00AAA00000000</v>
      </c>
      <c r="U20" s="111">
        <f t="shared" si="13"/>
        <v>14</v>
      </c>
      <c r="V20" s="111">
        <f t="shared" si="14"/>
        <v>86</v>
      </c>
      <c r="W20" s="111" t="str">
        <f t="shared" si="15"/>
        <v>076,0-0A0A00CA00AAA00000000-086</v>
      </c>
      <c r="X20" s="111">
        <f t="shared" si="16"/>
        <v>14</v>
      </c>
      <c r="Y20" s="112">
        <f t="shared" si="17"/>
        <v>95</v>
      </c>
      <c r="Z20" s="113">
        <f>IFERROR(INDEX('V1'!C$300:C$400,MATCH("*"&amp;L20&amp;"*",'V1'!B$300:B$400,0)),"  ")</f>
        <v>16</v>
      </c>
      <c r="AA20" s="113">
        <f>IFERROR(INDEX('V2'!C$300:C$400,MATCH("*"&amp;L20&amp;"*",'V2'!B$300:B$400,0)),"  ")</f>
        <v>8</v>
      </c>
      <c r="AB20" s="113" t="str">
        <f>IFERROR(INDEX('V3'!C$300:C$400,MATCH("*"&amp;L20&amp;"*",'V3'!B$300:B$400,0)),"  ")</f>
        <v xml:space="preserve">  </v>
      </c>
      <c r="AC20" s="113">
        <f>IFERROR(INDEX('V4'!C$300:C$400,MATCH("*"&amp;L20&amp;"*",'V4'!B$300:B$400,0)),"  ")</f>
        <v>10</v>
      </c>
      <c r="AD20" s="113">
        <f>IFERROR(INDEX('V5'!C$300:C$400,MATCH("*"&amp;L20&amp;"*",'V5'!B$300:B$400,0)),"  ")</f>
        <v>10</v>
      </c>
      <c r="AE20" s="113">
        <f>IFERROR(INDEX('V6'!C$300:C$400,MATCH("*"&amp;L20&amp;"*",'V6'!B$300:B$400,0)),"  ")</f>
        <v>4</v>
      </c>
      <c r="AF20" s="113">
        <f>IFERROR(INDEX('V7'!C$300:C$400,MATCH("*"&amp;L20&amp;"*",'V7'!B$300:B$400,0)),"  ")</f>
        <v>14</v>
      </c>
      <c r="AG20" s="113">
        <f>IFERROR(INDEX('V8'!C$300:C$400,MATCH("*"&amp;L20&amp;"*",'V8'!B$300:B$400,0)),"  ")</f>
        <v>8</v>
      </c>
      <c r="AH20" s="113">
        <f>IFERROR(INDEX('V9'!C$300:C$399,MATCH("*"&amp;L20&amp;"*",'V9'!B$300:B$399,0)),"  ")</f>
        <v>4</v>
      </c>
      <c r="AI20" s="113">
        <f>IFERROR(INDEX('V10'!C$300:C$399,MATCH("*"&amp;L20&amp;"*",'V10'!B$300:B$399,0)),"  ")</f>
        <v>2</v>
      </c>
      <c r="AJ20" s="114">
        <f t="shared" si="18"/>
        <v>13</v>
      </c>
      <c r="AK20" s="404">
        <f t="shared" si="19"/>
        <v>76</v>
      </c>
      <c r="AL20" s="115" t="str">
        <f t="shared" si="20"/>
        <v>edasi 13</v>
      </c>
      <c r="AM20" s="116" t="str">
        <f>IFERROR(INDEX(#REF!,MATCH("*"&amp;L20&amp;"*",#REF!,0)),"  ")</f>
        <v xml:space="preserve">  </v>
      </c>
      <c r="AN20" s="117">
        <f t="shared" si="21"/>
        <v>9</v>
      </c>
      <c r="AO20" s="118">
        <f t="shared" si="22"/>
        <v>1</v>
      </c>
      <c r="AP20" s="118">
        <f t="shared" si="23"/>
        <v>0</v>
      </c>
      <c r="AQ20" s="49"/>
      <c r="AR20" s="1"/>
      <c r="AS20" s="1"/>
      <c r="AT20" s="119">
        <f t="shared" si="24"/>
        <v>2.9999999999999997E-4</v>
      </c>
      <c r="AU20" s="120">
        <f t="shared" si="25"/>
        <v>16.0001</v>
      </c>
      <c r="AV20" s="120">
        <f t="shared" si="26"/>
        <v>8.0001999999999995</v>
      </c>
      <c r="AW20" s="120">
        <f t="shared" si="27"/>
        <v>2.9999999999999997E-4</v>
      </c>
      <c r="AX20" s="120">
        <f t="shared" si="28"/>
        <v>10.000400000000001</v>
      </c>
      <c r="AY20" s="120">
        <f t="shared" si="29"/>
        <v>10.000500000000001</v>
      </c>
      <c r="AZ20" s="120">
        <f t="shared" si="30"/>
        <v>4.0006000000000004</v>
      </c>
      <c r="BA20" s="120">
        <f t="shared" si="31"/>
        <v>14.0007</v>
      </c>
      <c r="BB20" s="120">
        <f t="shared" si="32"/>
        <v>8.0007999999999999</v>
      </c>
      <c r="BC20" s="120">
        <f t="shared" si="33"/>
        <v>4.0008999999999997</v>
      </c>
      <c r="BD20" s="120">
        <f t="shared" si="34"/>
        <v>2.0009999999999999</v>
      </c>
      <c r="BI20" s="1018">
        <f t="shared" si="35"/>
        <v>2</v>
      </c>
      <c r="BJ20" s="1018">
        <f t="shared" si="36"/>
        <v>7</v>
      </c>
      <c r="BK20" s="1018" t="e">
        <f t="shared" si="37"/>
        <v>#VALUE!</v>
      </c>
      <c r="BL20" s="1018">
        <f t="shared" si="38"/>
        <v>4</v>
      </c>
      <c r="BM20" s="1018">
        <f t="shared" si="39"/>
        <v>8</v>
      </c>
      <c r="BN20" s="1018">
        <f t="shared" si="40"/>
        <v>12</v>
      </c>
      <c r="BO20" s="1018">
        <f t="shared" si="41"/>
        <v>7</v>
      </c>
      <c r="BP20" s="1018">
        <f t="shared" si="42"/>
        <v>7</v>
      </c>
      <c r="BQ20" s="1018">
        <f t="shared" si="43"/>
        <v>11</v>
      </c>
      <c r="BR20" s="1018">
        <f t="shared" si="44"/>
        <v>13</v>
      </c>
    </row>
    <row r="21" spans="1:70" x14ac:dyDescent="0.2">
      <c r="A21" s="647">
        <f t="shared" si="1"/>
        <v>14</v>
      </c>
      <c r="B21" s="99">
        <f t="shared" si="2"/>
        <v>16</v>
      </c>
      <c r="C21" s="409">
        <f t="shared" si="3"/>
        <v>7</v>
      </c>
      <c r="D21" s="367">
        <f t="shared" si="4"/>
        <v>16</v>
      </c>
      <c r="E21" s="100" t="str">
        <f t="shared" si="5"/>
        <v/>
      </c>
      <c r="F21" s="99">
        <f t="shared" si="6"/>
        <v>-984</v>
      </c>
      <c r="G21" s="101">
        <f t="shared" si="7"/>
        <v>2</v>
      </c>
      <c r="H21" s="99">
        <f t="shared" si="8"/>
        <v>16</v>
      </c>
      <c r="I21" s="102" t="str">
        <f t="shared" si="9"/>
        <v/>
      </c>
      <c r="J21" s="103">
        <f t="shared" si="10"/>
        <v>-984</v>
      </c>
      <c r="K21" s="71">
        <f t="shared" si="11"/>
        <v>15</v>
      </c>
      <c r="L21" s="123" t="s">
        <v>124</v>
      </c>
      <c r="M21" s="105" t="s">
        <v>110</v>
      </c>
      <c r="N21" s="106" t="str">
        <f t="shared" si="45"/>
        <v/>
      </c>
      <c r="O21" s="107"/>
      <c r="P21" s="108" t="s">
        <v>317</v>
      </c>
      <c r="Q21" s="109" t="s">
        <v>88</v>
      </c>
      <c r="R21" s="110">
        <f>(IF(COUNT(Z21,AA21,AB21,AC21,AD21,AE21,AF21,AG21,AH21,AI21)&lt;10,SUM(Z21,AA21,AB21,AC21,AD21,AE21,AF21,AG21,AH21,AI21),SUM(LARGE((Z21,AA21,AB21,AC21,AD21,AE21,AF21,AG21,AH21,AI21),{1;2;3;4;5;6;7;8;9}))))</f>
        <v>74</v>
      </c>
      <c r="S21" s="111" t="str">
        <f>INDEX(ETAPP!B$1:B$32,MATCH(COUNTIF(BI21:BR21,1),ETAPP!A$1:A$32,0))&amp;INDEX(ETAPP!B$1:B$32,MATCH(COUNTIF(BI21:BR21,2),ETAPP!A$1:A$32,0))&amp;INDEX(ETAPP!B$1:B$32,MATCH(COUNTIF(BI21:BR21,3),ETAPP!A$1:A$32,0))&amp;INDEX(ETAPP!B$1:B$32,MATCH(COUNTIF(BI21:BR21,4),ETAPP!A$1:A$32,0))&amp;INDEX(ETAPP!B$1:B$32,MATCH(COUNTIF(BI21:BR21,5),ETAPP!A$1:A$32,0))&amp;INDEX(ETAPP!B$1:B$32,MATCH(COUNTIF(BI21:BR21,6),ETAPP!A$1:A$32,0))&amp;INDEX(ETAPP!B$1:B$32,MATCH(COUNTIF(BI21:BR21,7),ETAPP!A$1:A$32,0))&amp;INDEX(ETAPP!B$1:B$32,MATCH(COUNTIF(BI21:BR21,8),ETAPP!A$1:A$32,0))&amp;INDEX(ETAPP!B$1:B$32,MATCH(COUNTIF(BI21:BR21,9),ETAPP!A$1:A$32,0))&amp;INDEX(ETAPP!B$1:B$32,MATCH(COUNTIF(BI21:BR21,10),ETAPP!A$1:A$32,0))&amp;INDEX(ETAPP!B$1:B$32,MATCH(COUNTIF(BI21:BR21,11),ETAPP!A$1:A$32,0))&amp;INDEX(ETAPP!B$1:B$32,MATCH(COUNTIF(BI21:BR21,12),ETAPP!A$1:A$32,0))&amp;INDEX(ETAPP!B$1:B$32,MATCH(COUNTIF(BI21:BR21,13),ETAPP!A$1:A$32,0))&amp;INDEX(ETAPP!B$1:B$32,MATCH(COUNTIF(BI21:BR21,14),ETAPP!A$1:A$32,0))&amp;INDEX(ETAPP!B$1:B$32,MATCH(COUNTIF(BI21:BR21,15),ETAPP!A$1:A$32,0))&amp;INDEX(ETAPP!B$1:B$32,MATCH(COUNTIF(BI21:BR21,16),ETAPP!A$1:A$32,0))&amp;INDEX(ETAPP!B$1:B$32,MATCH(COUNTIF(BI21:BR21,17),ETAPP!A$1:A$32,0))&amp;INDEX(ETAPP!B$1:B$32,MATCH(COUNTIF(BI21:BR21,18),ETAPP!A$1:A$32,0))&amp;INDEX(ETAPP!B$1:B$32,MATCH(COUNTIF(BI21:BR21,19),ETAPP!A$1:A$32,0))&amp;INDEX(ETAPP!B$1:B$32,MATCH(COUNTIF(BI21:BR21,20),ETAPP!A$1:A$32,0))&amp;INDEX(ETAPP!B$1:B$32,MATCH(COUNTIF(BI21:BR21,21),ETAPP!A$1:A$32,0))</f>
        <v>00AAAB0000A0A00000000</v>
      </c>
      <c r="T21" s="111" t="str">
        <f t="shared" si="12"/>
        <v>074,0-00AAAB0000A0A00000000</v>
      </c>
      <c r="U21" s="111">
        <f t="shared" si="13"/>
        <v>16</v>
      </c>
      <c r="V21" s="111">
        <f t="shared" si="14"/>
        <v>107</v>
      </c>
      <c r="W21" s="111" t="str">
        <f t="shared" si="15"/>
        <v>074,0-00AAAB0000A0A00000000-107</v>
      </c>
      <c r="X21" s="111">
        <f t="shared" si="16"/>
        <v>15</v>
      </c>
      <c r="Y21" s="112">
        <f t="shared" si="17"/>
        <v>94</v>
      </c>
      <c r="Z21" s="113" t="str">
        <f>IFERROR(INDEX('V1'!C$300:C$400,MATCH("*"&amp;L21&amp;"*",'V1'!B$300:B$400,0)),"  ")</f>
        <v xml:space="preserve">  </v>
      </c>
      <c r="AA21" s="113">
        <f>IFERROR(INDEX('V2'!C$300:C$400,MATCH("*"&amp;L21&amp;"*",'V2'!B$300:B$400,0)),"  ")</f>
        <v>12</v>
      </c>
      <c r="AB21" s="113" t="str">
        <f>IFERROR(INDEX('V3'!C$300:C$400,MATCH("*"&amp;L21&amp;"*",'V3'!B$300:B$400,0)),"  ")</f>
        <v xml:space="preserve">  </v>
      </c>
      <c r="AC21" s="113">
        <f>IFERROR(INDEX('V4'!C$300:C$400,MATCH("*"&amp;L21&amp;"*",'V4'!B$300:B$400,0)),"  ")</f>
        <v>6</v>
      </c>
      <c r="AD21" s="113">
        <f>IFERROR(INDEX('V5'!C$300:C$400,MATCH("*"&amp;L21&amp;"*",'V5'!B$300:B$400,0)),"  ")</f>
        <v>4</v>
      </c>
      <c r="AE21" s="113">
        <f>IFERROR(INDEX('V6'!C$300:C$400,MATCH("*"&amp;L21&amp;"*",'V6'!B$300:B$400,0)),"  ")</f>
        <v>20</v>
      </c>
      <c r="AF21" s="113">
        <f>IFERROR(INDEX('V7'!C$300:C$400,MATCH("*"&amp;L21&amp;"*",'V7'!B$300:B$400,0)),"  ")</f>
        <v>22</v>
      </c>
      <c r="AG21" s="113">
        <f>IFERROR(INDEX('V8'!C$300:C$400,MATCH("*"&amp;L21&amp;"*",'V8'!B$300:B$400,0)),"  ")</f>
        <v>10</v>
      </c>
      <c r="AH21" s="113">
        <f>IFERROR(INDEX('V9'!C$300:C$399,MATCH("*"&amp;L21&amp;"*",'V9'!B$300:B$399,0)),"  ")</f>
        <v>0</v>
      </c>
      <c r="AI21" s="113" t="str">
        <f>IFERROR(INDEX('V10'!C$300:C$399,MATCH("*"&amp;L21&amp;"*",'V10'!B$300:B$399,0)),"  ")</f>
        <v xml:space="preserve">  </v>
      </c>
      <c r="AJ21" s="114">
        <f t="shared" si="18"/>
        <v>15</v>
      </c>
      <c r="AK21" s="404">
        <f t="shared" si="19"/>
        <v>74</v>
      </c>
      <c r="AL21" s="115" t="str">
        <f t="shared" si="20"/>
        <v>edasi 15</v>
      </c>
      <c r="AM21" s="116" t="str">
        <f>IFERROR(INDEX(#REF!,MATCH("*"&amp;L21&amp;"*",#REF!,0)),"  ")</f>
        <v xml:space="preserve">  </v>
      </c>
      <c r="AN21" s="117">
        <f t="shared" si="21"/>
        <v>7</v>
      </c>
      <c r="AO21" s="118">
        <f t="shared" si="22"/>
        <v>1</v>
      </c>
      <c r="AP21" s="118">
        <f t="shared" si="23"/>
        <v>0</v>
      </c>
      <c r="AQ21" s="122"/>
      <c r="AR21" s="1"/>
      <c r="AS21" s="1"/>
      <c r="AT21" s="119">
        <f t="shared" si="24"/>
        <v>1E-4</v>
      </c>
      <c r="AU21" s="120">
        <f t="shared" si="25"/>
        <v>1E-4</v>
      </c>
      <c r="AV21" s="120">
        <f t="shared" si="26"/>
        <v>12.0002</v>
      </c>
      <c r="AW21" s="120">
        <f t="shared" si="27"/>
        <v>2.9999999999999997E-4</v>
      </c>
      <c r="AX21" s="120">
        <f t="shared" si="28"/>
        <v>6.0004</v>
      </c>
      <c r="AY21" s="120">
        <f t="shared" si="29"/>
        <v>4.0004999999999997</v>
      </c>
      <c r="AZ21" s="120">
        <f t="shared" si="30"/>
        <v>20.000599999999999</v>
      </c>
      <c r="BA21" s="120">
        <f t="shared" si="31"/>
        <v>22.000699999999998</v>
      </c>
      <c r="BB21" s="120">
        <f t="shared" si="32"/>
        <v>10.0008</v>
      </c>
      <c r="BC21" s="120">
        <f t="shared" si="33"/>
        <v>8.9999999999999998E-4</v>
      </c>
      <c r="BD21" s="120">
        <f t="shared" si="34"/>
        <v>1E-3</v>
      </c>
      <c r="BI21" s="1018" t="e">
        <f t="shared" si="35"/>
        <v>#VALUE!</v>
      </c>
      <c r="BJ21" s="1018">
        <f t="shared" si="36"/>
        <v>5</v>
      </c>
      <c r="BK21" s="1018" t="e">
        <f t="shared" si="37"/>
        <v>#VALUE!</v>
      </c>
      <c r="BL21" s="1018">
        <f t="shared" si="38"/>
        <v>6</v>
      </c>
      <c r="BM21" s="1018">
        <f t="shared" si="39"/>
        <v>11</v>
      </c>
      <c r="BN21" s="1018">
        <f t="shared" si="40"/>
        <v>4</v>
      </c>
      <c r="BO21" s="1018">
        <f t="shared" si="41"/>
        <v>3</v>
      </c>
      <c r="BP21" s="1018">
        <f t="shared" si="42"/>
        <v>6</v>
      </c>
      <c r="BQ21" s="1018">
        <f t="shared" si="43"/>
        <v>13</v>
      </c>
      <c r="BR21" s="1018" t="e">
        <f t="shared" si="44"/>
        <v>#VALUE!</v>
      </c>
    </row>
    <row r="22" spans="1:70" x14ac:dyDescent="0.2">
      <c r="A22" s="647">
        <f t="shared" si="1"/>
        <v>14</v>
      </c>
      <c r="B22" s="99">
        <f t="shared" si="2"/>
        <v>16</v>
      </c>
      <c r="C22" s="409">
        <f t="shared" si="3"/>
        <v>7</v>
      </c>
      <c r="D22" s="367">
        <f t="shared" si="4"/>
        <v>16</v>
      </c>
      <c r="E22" s="100">
        <f t="shared" si="5"/>
        <v>15</v>
      </c>
      <c r="F22" s="99">
        <f t="shared" si="6"/>
        <v>16</v>
      </c>
      <c r="G22" s="101" t="str">
        <f t="shared" si="7"/>
        <v/>
      </c>
      <c r="H22" s="99">
        <f t="shared" si="8"/>
        <v>-984</v>
      </c>
      <c r="I22" s="102" t="str">
        <f t="shared" si="9"/>
        <v/>
      </c>
      <c r="J22" s="103">
        <f t="shared" si="10"/>
        <v>-984</v>
      </c>
      <c r="K22" s="71">
        <f t="shared" si="11"/>
        <v>15</v>
      </c>
      <c r="L22" s="123" t="s">
        <v>62</v>
      </c>
      <c r="M22" s="105"/>
      <c r="N22" s="106" t="str">
        <f t="shared" si="45"/>
        <v>m</v>
      </c>
      <c r="O22" s="107"/>
      <c r="P22" s="108" t="s">
        <v>317</v>
      </c>
      <c r="Q22" s="109" t="s">
        <v>88</v>
      </c>
      <c r="R22" s="110">
        <f>(IF(COUNT(Z22,AA22,AB22,AC22,AD22,AE22,AF22,AG22,AH22,AI22)&lt;10,SUM(Z22,AA22,AB22,AC22,AD22,AE22,AF22,AG22,AH22,AI22),SUM(LARGE((Z22,AA22,AB22,AC22,AD22,AE22,AF22,AG22,AH22,AI22),{1;2;3;4;5;6;7;8;9}))))</f>
        <v>74</v>
      </c>
      <c r="S22" s="111" t="str">
        <f>INDEX(ETAPP!B$1:B$32,MATCH(COUNTIF(BI22:BR22,1),ETAPP!A$1:A$32,0))&amp;INDEX(ETAPP!B$1:B$32,MATCH(COUNTIF(BI22:BR22,2),ETAPP!A$1:A$32,0))&amp;INDEX(ETAPP!B$1:B$32,MATCH(COUNTIF(BI22:BR22,3),ETAPP!A$1:A$32,0))&amp;INDEX(ETAPP!B$1:B$32,MATCH(COUNTIF(BI22:BR22,4),ETAPP!A$1:A$32,0))&amp;INDEX(ETAPP!B$1:B$32,MATCH(COUNTIF(BI22:BR22,5),ETAPP!A$1:A$32,0))&amp;INDEX(ETAPP!B$1:B$32,MATCH(COUNTIF(BI22:BR22,6),ETAPP!A$1:A$32,0))&amp;INDEX(ETAPP!B$1:B$32,MATCH(COUNTIF(BI22:BR22,7),ETAPP!A$1:A$32,0))&amp;INDEX(ETAPP!B$1:B$32,MATCH(COUNTIF(BI22:BR22,8),ETAPP!A$1:A$32,0))&amp;INDEX(ETAPP!B$1:B$32,MATCH(COUNTIF(BI22:BR22,9),ETAPP!A$1:A$32,0))&amp;INDEX(ETAPP!B$1:B$32,MATCH(COUNTIF(BI22:BR22,10),ETAPP!A$1:A$32,0))&amp;INDEX(ETAPP!B$1:B$32,MATCH(COUNTIF(BI22:BR22,11),ETAPP!A$1:A$32,0))&amp;INDEX(ETAPP!B$1:B$32,MATCH(COUNTIF(BI22:BR22,12),ETAPP!A$1:A$32,0))&amp;INDEX(ETAPP!B$1:B$32,MATCH(COUNTIF(BI22:BR22,13),ETAPP!A$1:A$32,0))&amp;INDEX(ETAPP!B$1:B$32,MATCH(COUNTIF(BI22:BR22,14),ETAPP!A$1:A$32,0))&amp;INDEX(ETAPP!B$1:B$32,MATCH(COUNTIF(BI22:BR22,15),ETAPP!A$1:A$32,0))&amp;INDEX(ETAPP!B$1:B$32,MATCH(COUNTIF(BI22:BR22,16),ETAPP!A$1:A$32,0))&amp;INDEX(ETAPP!B$1:B$32,MATCH(COUNTIF(BI22:BR22,17),ETAPP!A$1:A$32,0))&amp;INDEX(ETAPP!B$1:B$32,MATCH(COUNTIF(BI22:BR22,18),ETAPP!A$1:A$32,0))&amp;INDEX(ETAPP!B$1:B$32,MATCH(COUNTIF(BI22:BR22,19),ETAPP!A$1:A$32,0))&amp;INDEX(ETAPP!B$1:B$32,MATCH(COUNTIF(BI22:BR22,20),ETAPP!A$1:A$32,0))&amp;INDEX(ETAPP!B$1:B$32,MATCH(COUNTIF(BI22:BR22,21),ETAPP!A$1:A$32,0))</f>
        <v>00AAAB0000A0A00000000</v>
      </c>
      <c r="T22" s="111" t="str">
        <f t="shared" si="12"/>
        <v>074,0-00AAAB0000A0A00000000</v>
      </c>
      <c r="U22" s="111">
        <f t="shared" si="13"/>
        <v>16</v>
      </c>
      <c r="V22" s="111">
        <f t="shared" si="14"/>
        <v>66</v>
      </c>
      <c r="W22" s="111" t="str">
        <f t="shared" si="15"/>
        <v>074,0-00AAAB0000A0A00000000-066</v>
      </c>
      <c r="X22" s="111">
        <f t="shared" si="16"/>
        <v>16</v>
      </c>
      <c r="Y22" s="112">
        <f t="shared" si="17"/>
        <v>93</v>
      </c>
      <c r="Z22" s="113" t="str">
        <f>IFERROR(INDEX('V1'!C$300:C$400,MATCH("*"&amp;L22&amp;"*",'V1'!B$300:B$400,0)),"  ")</f>
        <v xml:space="preserve">  </v>
      </c>
      <c r="AA22" s="113">
        <f>IFERROR(INDEX('V2'!C$300:C$400,MATCH("*"&amp;L22&amp;"*",'V2'!B$300:B$400,0)),"  ")</f>
        <v>12</v>
      </c>
      <c r="AB22" s="113" t="str">
        <f>IFERROR(INDEX('V3'!C$300:C$400,MATCH("*"&amp;L22&amp;"*",'V3'!B$300:B$400,0)),"  ")</f>
        <v xml:space="preserve">  </v>
      </c>
      <c r="AC22" s="113">
        <f>IFERROR(INDEX('V4'!C$300:C$400,MATCH("*"&amp;L22&amp;"*",'V4'!B$300:B$400,0)),"  ")</f>
        <v>6</v>
      </c>
      <c r="AD22" s="113">
        <f>IFERROR(INDEX('V5'!C$300:C$400,MATCH("*"&amp;L22&amp;"*",'V5'!B$300:B$400,0)),"  ")</f>
        <v>4</v>
      </c>
      <c r="AE22" s="113">
        <f>IFERROR(INDEX('V6'!C$300:C$400,MATCH("*"&amp;L22&amp;"*",'V6'!B$300:B$400,0)),"  ")</f>
        <v>20</v>
      </c>
      <c r="AF22" s="113">
        <f>IFERROR(INDEX('V7'!C$300:C$400,MATCH("*"&amp;L22&amp;"*",'V7'!B$300:B$400,0)),"  ")</f>
        <v>22</v>
      </c>
      <c r="AG22" s="113">
        <f>IFERROR(INDEX('V8'!C$300:C$400,MATCH("*"&amp;L22&amp;"*",'V8'!B$300:B$400,0)),"  ")</f>
        <v>10</v>
      </c>
      <c r="AH22" s="113">
        <f>IFERROR(INDEX('V9'!C$300:C$399,MATCH("*"&amp;L22&amp;"*",'V9'!B$300:B$399,0)),"  ")</f>
        <v>0</v>
      </c>
      <c r="AI22" s="113" t="str">
        <f>IFERROR(INDEX('V10'!C$300:C$399,MATCH("*"&amp;L22&amp;"*",'V10'!B$300:B$399,0)),"  ")</f>
        <v xml:space="preserve">  </v>
      </c>
      <c r="AJ22" s="114">
        <f t="shared" si="18"/>
        <v>15</v>
      </c>
      <c r="AK22" s="404">
        <f t="shared" si="19"/>
        <v>74</v>
      </c>
      <c r="AL22" s="115" t="str">
        <f t="shared" si="20"/>
        <v>edasi 15</v>
      </c>
      <c r="AM22" s="116" t="str">
        <f>IFERROR(INDEX(#REF!,MATCH("*"&amp;L22&amp;"*",#REF!,0)),"  ")</f>
        <v xml:space="preserve">  </v>
      </c>
      <c r="AN22" s="117">
        <f t="shared" si="21"/>
        <v>7</v>
      </c>
      <c r="AO22" s="118">
        <f t="shared" si="22"/>
        <v>1</v>
      </c>
      <c r="AP22" s="118">
        <f t="shared" si="23"/>
        <v>0</v>
      </c>
      <c r="AQ22" s="49"/>
      <c r="AR22" s="1"/>
      <c r="AS22" s="1"/>
      <c r="AT22" s="119">
        <f t="shared" si="24"/>
        <v>1E-4</v>
      </c>
      <c r="AU22" s="120">
        <f t="shared" si="25"/>
        <v>1E-4</v>
      </c>
      <c r="AV22" s="120">
        <f t="shared" si="26"/>
        <v>12.0002</v>
      </c>
      <c r="AW22" s="120">
        <f t="shared" si="27"/>
        <v>2.9999999999999997E-4</v>
      </c>
      <c r="AX22" s="120">
        <f t="shared" si="28"/>
        <v>6.0004</v>
      </c>
      <c r="AY22" s="120">
        <f t="shared" si="29"/>
        <v>4.0004999999999997</v>
      </c>
      <c r="AZ22" s="120">
        <f t="shared" si="30"/>
        <v>20.000599999999999</v>
      </c>
      <c r="BA22" s="120">
        <f t="shared" si="31"/>
        <v>22.000699999999998</v>
      </c>
      <c r="BB22" s="120">
        <f t="shared" si="32"/>
        <v>10.0008</v>
      </c>
      <c r="BC22" s="120">
        <f t="shared" si="33"/>
        <v>8.9999999999999998E-4</v>
      </c>
      <c r="BD22" s="120">
        <f t="shared" si="34"/>
        <v>1E-3</v>
      </c>
      <c r="BI22" s="1018" t="e">
        <f t="shared" si="35"/>
        <v>#VALUE!</v>
      </c>
      <c r="BJ22" s="1018">
        <f t="shared" si="36"/>
        <v>5</v>
      </c>
      <c r="BK22" s="1018" t="e">
        <f t="shared" si="37"/>
        <v>#VALUE!</v>
      </c>
      <c r="BL22" s="1018">
        <f t="shared" si="38"/>
        <v>6</v>
      </c>
      <c r="BM22" s="1018">
        <f t="shared" si="39"/>
        <v>11</v>
      </c>
      <c r="BN22" s="1018">
        <f t="shared" si="40"/>
        <v>4</v>
      </c>
      <c r="BO22" s="1018">
        <f t="shared" si="41"/>
        <v>3</v>
      </c>
      <c r="BP22" s="1018">
        <f t="shared" si="42"/>
        <v>6</v>
      </c>
      <c r="BQ22" s="1018">
        <f t="shared" si="43"/>
        <v>13</v>
      </c>
      <c r="BR22" s="1018" t="e">
        <f t="shared" si="44"/>
        <v>#VALUE!</v>
      </c>
    </row>
    <row r="23" spans="1:70" x14ac:dyDescent="0.2">
      <c r="A23" s="647">
        <f t="shared" si="1"/>
        <v>16</v>
      </c>
      <c r="B23" s="99">
        <f t="shared" si="2"/>
        <v>17</v>
      </c>
      <c r="C23" s="409">
        <f t="shared" si="3"/>
        <v>9</v>
      </c>
      <c r="D23" s="367">
        <f t="shared" si="4"/>
        <v>17</v>
      </c>
      <c r="E23" s="100">
        <f t="shared" si="5"/>
        <v>16</v>
      </c>
      <c r="F23" s="99">
        <f t="shared" si="6"/>
        <v>17</v>
      </c>
      <c r="G23" s="101" t="str">
        <f t="shared" si="7"/>
        <v/>
      </c>
      <c r="H23" s="99">
        <f t="shared" si="8"/>
        <v>-983</v>
      </c>
      <c r="I23" s="102" t="str">
        <f t="shared" si="9"/>
        <v/>
      </c>
      <c r="J23" s="103">
        <f t="shared" si="10"/>
        <v>-983</v>
      </c>
      <c r="K23" s="71">
        <f t="shared" si="11"/>
        <v>17</v>
      </c>
      <c r="L23" s="131" t="s">
        <v>119</v>
      </c>
      <c r="M23" s="105"/>
      <c r="N23" s="106" t="str">
        <f t="shared" si="45"/>
        <v>m</v>
      </c>
      <c r="O23" s="107"/>
      <c r="P23" s="108" t="s">
        <v>317</v>
      </c>
      <c r="Q23" s="109" t="s">
        <v>88</v>
      </c>
      <c r="R23" s="110">
        <f>(IF(COUNT(Z23,AA23,AB23,AC23,AD23,AE23,AF23,AG23,AH23,AI23)&lt;10,SUM(Z23,AA23,AB23,AC23,AD23,AE23,AF23,AG23,AH23,AI23),SUM(LARGE((Z23,AA23,AB23,AC23,AD23,AE23,AF23,AG23,AH23,AI23),{1;2;3;4;5;6;7;8;9}))))</f>
        <v>72</v>
      </c>
      <c r="S23" s="111" t="str">
        <f>INDEX(ETAPP!B$1:B$32,MATCH(COUNTIF(BI23:BR23,1),ETAPP!A$1:A$32,0))&amp;INDEX(ETAPP!B$1:B$32,MATCH(COUNTIF(BI23:BR23,2),ETAPP!A$1:A$32,0))&amp;INDEX(ETAPP!B$1:B$32,MATCH(COUNTIF(BI23:BR23,3),ETAPP!A$1:A$32,0))&amp;INDEX(ETAPP!B$1:B$32,MATCH(COUNTIF(BI23:BR23,4),ETAPP!A$1:A$32,0))&amp;INDEX(ETAPP!B$1:B$32,MATCH(COUNTIF(BI23:BR23,5),ETAPP!A$1:A$32,0))&amp;INDEX(ETAPP!B$1:B$32,MATCH(COUNTIF(BI23:BR23,6),ETAPP!A$1:A$32,0))&amp;INDEX(ETAPP!B$1:B$32,MATCH(COUNTIF(BI23:BR23,7),ETAPP!A$1:A$32,0))&amp;INDEX(ETAPP!B$1:B$32,MATCH(COUNTIF(BI23:BR23,8),ETAPP!A$1:A$32,0))&amp;INDEX(ETAPP!B$1:B$32,MATCH(COUNTIF(BI23:BR23,9),ETAPP!A$1:A$32,0))&amp;INDEX(ETAPP!B$1:B$32,MATCH(COUNTIF(BI23:BR23,10),ETAPP!A$1:A$32,0))&amp;INDEX(ETAPP!B$1:B$32,MATCH(COUNTIF(BI23:BR23,11),ETAPP!A$1:A$32,0))&amp;INDEX(ETAPP!B$1:B$32,MATCH(COUNTIF(BI23:BR23,12),ETAPP!A$1:A$32,0))&amp;INDEX(ETAPP!B$1:B$32,MATCH(COUNTIF(BI23:BR23,13),ETAPP!A$1:A$32,0))&amp;INDEX(ETAPP!B$1:B$32,MATCH(COUNTIF(BI23:BR23,14),ETAPP!A$1:A$32,0))&amp;INDEX(ETAPP!B$1:B$32,MATCH(COUNTIF(BI23:BR23,15),ETAPP!A$1:A$32,0))&amp;INDEX(ETAPP!B$1:B$32,MATCH(COUNTIF(BI23:BR23,16),ETAPP!A$1:A$32,0))&amp;INDEX(ETAPP!B$1:B$32,MATCH(COUNTIF(BI23:BR23,17),ETAPP!A$1:A$32,0))&amp;INDEX(ETAPP!B$1:B$32,MATCH(COUNTIF(BI23:BR23,18),ETAPP!A$1:A$32,0))&amp;INDEX(ETAPP!B$1:B$32,MATCH(COUNTIF(BI23:BR23,19),ETAPP!A$1:A$32,0))&amp;INDEX(ETAPP!B$1:B$32,MATCH(COUNTIF(BI23:BR23,20),ETAPP!A$1:A$32,0))&amp;INDEX(ETAPP!B$1:B$32,MATCH(COUNTIF(BI23:BR23,21),ETAPP!A$1:A$32,0))</f>
        <v>B000AA000000000000000</v>
      </c>
      <c r="T23" s="111" t="str">
        <f t="shared" si="12"/>
        <v>072,0-B000AA000000000000000</v>
      </c>
      <c r="U23" s="111">
        <f t="shared" si="13"/>
        <v>17</v>
      </c>
      <c r="V23" s="111">
        <f t="shared" si="14"/>
        <v>11</v>
      </c>
      <c r="W23" s="111" t="str">
        <f t="shared" si="15"/>
        <v>072,0-B000AA000000000000000-011</v>
      </c>
      <c r="X23" s="111">
        <f t="shared" si="16"/>
        <v>17</v>
      </c>
      <c r="Y23" s="112">
        <f t="shared" si="17"/>
        <v>92</v>
      </c>
      <c r="Z23" s="113">
        <f>IFERROR(INDEX('V1'!C$300:C$400,MATCH("*"&amp;L23&amp;"*",'V1'!B$300:B$400,0)),"  ")</f>
        <v>8</v>
      </c>
      <c r="AA23" s="113" t="str">
        <f>IFERROR(INDEX('V2'!C$300:C$400,MATCH("*"&amp;L23&amp;"*",'V2'!B$300:B$400,0)),"  ")</f>
        <v xml:space="preserve">  </v>
      </c>
      <c r="AB23" s="113" t="str">
        <f>IFERROR(INDEX('V3'!C$300:C$400,MATCH("*"&amp;L23&amp;"*",'V3'!B$300:B$400,0)),"  ")</f>
        <v xml:space="preserve">  </v>
      </c>
      <c r="AC23" s="113" t="str">
        <f>IFERROR(INDEX('V4'!C$300:C$400,MATCH("*"&amp;L23&amp;"*",'V4'!B$300:B$400,0)),"  ")</f>
        <v xml:space="preserve">  </v>
      </c>
      <c r="AD23" s="113" t="str">
        <f>IFERROR(INDEX('V5'!C$300:C$400,MATCH("*"&amp;L23&amp;"*",'V5'!B$300:B$400,0)),"  ")</f>
        <v xml:space="preserve">  </v>
      </c>
      <c r="AE23" s="113">
        <f>IFERROR(INDEX('V6'!C$300:C$400,MATCH("*"&amp;L23&amp;"*",'V6'!B$300:B$400,0)),"  ")</f>
        <v>18</v>
      </c>
      <c r="AF23" s="113" t="str">
        <f>IFERROR(INDEX('V7'!C$300:C$400,MATCH("*"&amp;L23&amp;"*",'V7'!B$300:B$400,0)),"  ")</f>
        <v xml:space="preserve">  </v>
      </c>
      <c r="AG23" s="113">
        <f>IFERROR(INDEX('V8'!C$300:C$400,MATCH("*"&amp;L23&amp;"*",'V8'!B$300:B$400,0)),"  ")</f>
        <v>20</v>
      </c>
      <c r="AH23" s="113" t="str">
        <f>IFERROR(INDEX('V9'!C$300:C$399,MATCH("*"&amp;L23&amp;"*",'V9'!B$300:B$399,0)),"  ")</f>
        <v xml:space="preserve">  </v>
      </c>
      <c r="AI23" s="113">
        <f>IFERROR(INDEX('V10'!C$300:C$399,MATCH("*"&amp;L23&amp;"*",'V10'!B$300:B$399,0)),"  ")</f>
        <v>26</v>
      </c>
      <c r="AJ23" s="114">
        <f t="shared" si="18"/>
        <v>17</v>
      </c>
      <c r="AK23" s="404">
        <f t="shared" si="19"/>
        <v>72</v>
      </c>
      <c r="AL23" s="115" t="str">
        <f t="shared" si="20"/>
        <v>edasi 17</v>
      </c>
      <c r="AM23" s="116" t="str">
        <f>IFERROR(INDEX(#REF!,MATCH("*"&amp;L23&amp;"*",#REF!,0)),"  ")</f>
        <v xml:space="preserve">  </v>
      </c>
      <c r="AN23" s="117">
        <f t="shared" si="21"/>
        <v>4</v>
      </c>
      <c r="AO23" s="118">
        <f t="shared" si="22"/>
        <v>2</v>
      </c>
      <c r="AP23" s="118">
        <f t="shared" si="23"/>
        <v>2</v>
      </c>
      <c r="AQ23" s="122"/>
      <c r="AR23" s="1"/>
      <c r="AS23" s="1"/>
      <c r="AT23" s="119">
        <f t="shared" si="24"/>
        <v>2.0000000000000001E-4</v>
      </c>
      <c r="AU23" s="120">
        <f t="shared" si="25"/>
        <v>8.0000999999999998</v>
      </c>
      <c r="AV23" s="120">
        <f t="shared" si="26"/>
        <v>2.0000000000000001E-4</v>
      </c>
      <c r="AW23" s="120">
        <f t="shared" si="27"/>
        <v>2.9999999999999997E-4</v>
      </c>
      <c r="AX23" s="120">
        <f t="shared" si="28"/>
        <v>4.0000000000000002E-4</v>
      </c>
      <c r="AY23" s="120">
        <f t="shared" si="29"/>
        <v>5.0000000000000001E-4</v>
      </c>
      <c r="AZ23" s="120">
        <f t="shared" si="30"/>
        <v>18.000599999999999</v>
      </c>
      <c r="BA23" s="120">
        <f t="shared" si="31"/>
        <v>6.9999999999999999E-4</v>
      </c>
      <c r="BB23" s="120">
        <f t="shared" si="32"/>
        <v>20.000800000000002</v>
      </c>
      <c r="BC23" s="120">
        <f t="shared" si="33"/>
        <v>8.9999999999999998E-4</v>
      </c>
      <c r="BD23" s="120">
        <f t="shared" si="34"/>
        <v>26.001000000000001</v>
      </c>
      <c r="BI23" s="1018">
        <f t="shared" si="35"/>
        <v>6</v>
      </c>
      <c r="BJ23" s="1018" t="e">
        <f t="shared" si="36"/>
        <v>#VALUE!</v>
      </c>
      <c r="BK23" s="1018" t="e">
        <f t="shared" si="37"/>
        <v>#VALUE!</v>
      </c>
      <c r="BL23" s="1018" t="e">
        <f t="shared" si="38"/>
        <v>#VALUE!</v>
      </c>
      <c r="BM23" s="1018" t="e">
        <f t="shared" si="39"/>
        <v>#VALUE!</v>
      </c>
      <c r="BN23" s="1018">
        <f t="shared" si="40"/>
        <v>5</v>
      </c>
      <c r="BO23" s="1018" t="e">
        <f t="shared" si="41"/>
        <v>#VALUE!</v>
      </c>
      <c r="BP23" s="1018">
        <f t="shared" si="42"/>
        <v>1</v>
      </c>
      <c r="BQ23" s="1018" t="e">
        <f t="shared" si="43"/>
        <v>#VALUE!</v>
      </c>
      <c r="BR23" s="1018">
        <f t="shared" si="44"/>
        <v>1</v>
      </c>
    </row>
    <row r="24" spans="1:70" x14ac:dyDescent="0.2">
      <c r="A24" s="647" t="str">
        <f t="shared" si="1"/>
        <v/>
      </c>
      <c r="B24" s="99">
        <f t="shared" si="2"/>
        <v>-982</v>
      </c>
      <c r="C24" s="409" t="str">
        <f t="shared" si="3"/>
        <v/>
      </c>
      <c r="D24" s="367">
        <f t="shared" si="4"/>
        <v>-982</v>
      </c>
      <c r="E24" s="100">
        <f t="shared" si="5"/>
        <v>17</v>
      </c>
      <c r="F24" s="99">
        <f t="shared" si="6"/>
        <v>18</v>
      </c>
      <c r="G24" s="101" t="str">
        <f t="shared" si="7"/>
        <v/>
      </c>
      <c r="H24" s="99">
        <f t="shared" si="8"/>
        <v>-982</v>
      </c>
      <c r="I24" s="102" t="str">
        <f t="shared" si="9"/>
        <v/>
      </c>
      <c r="J24" s="103">
        <f t="shared" si="10"/>
        <v>-982</v>
      </c>
      <c r="K24" s="71">
        <f t="shared" si="11"/>
        <v>18</v>
      </c>
      <c r="L24" s="121" t="s">
        <v>363</v>
      </c>
      <c r="M24" s="105"/>
      <c r="N24" s="106" t="s">
        <v>105</v>
      </c>
      <c r="O24" s="107"/>
      <c r="P24" s="108"/>
      <c r="Q24" s="109"/>
      <c r="R24" s="110">
        <f>(IF(COUNT(Z24,AA24,AB24,AC24,AD24,AE24,AF24,AG24,AH24,AI24)&lt;10,SUM(Z24,AA24,AB24,AC24,AD24,AE24,AF24,AG24,AH24,AI24),SUM(LARGE((Z24,AA24,AB24,AC24,AD24,AE24,AF24,AG24,AH24,AI24),{1;2;3;4;5;6;7;8;9}))))</f>
        <v>66</v>
      </c>
      <c r="S24" s="111" t="str">
        <f>INDEX(ETAPP!B$1:B$32,MATCH(COUNTIF(BI24:BR24,1),ETAPP!A$1:A$32,0))&amp;INDEX(ETAPP!B$1:B$32,MATCH(COUNTIF(BI24:BR24,2),ETAPP!A$1:A$32,0))&amp;INDEX(ETAPP!B$1:B$32,MATCH(COUNTIF(BI24:BR24,3),ETAPP!A$1:A$32,0))&amp;INDEX(ETAPP!B$1:B$32,MATCH(COUNTIF(BI24:BR24,4),ETAPP!A$1:A$32,0))&amp;INDEX(ETAPP!B$1:B$32,MATCH(COUNTIF(BI24:BR24,5),ETAPP!A$1:A$32,0))&amp;INDEX(ETAPP!B$1:B$32,MATCH(COUNTIF(BI24:BR24,6),ETAPP!A$1:A$32,0))&amp;INDEX(ETAPP!B$1:B$32,MATCH(COUNTIF(BI24:BR24,7),ETAPP!A$1:A$32,0))&amp;INDEX(ETAPP!B$1:B$32,MATCH(COUNTIF(BI24:BR24,8),ETAPP!A$1:A$32,0))&amp;INDEX(ETAPP!B$1:B$32,MATCH(COUNTIF(BI24:BR24,9),ETAPP!A$1:A$32,0))&amp;INDEX(ETAPP!B$1:B$32,MATCH(COUNTIF(BI24:BR24,10),ETAPP!A$1:A$32,0))&amp;INDEX(ETAPP!B$1:B$32,MATCH(COUNTIF(BI24:BR24,11),ETAPP!A$1:A$32,0))&amp;INDEX(ETAPP!B$1:B$32,MATCH(COUNTIF(BI24:BR24,12),ETAPP!A$1:A$32,0))&amp;INDEX(ETAPP!B$1:B$32,MATCH(COUNTIF(BI24:BR24,13),ETAPP!A$1:A$32,0))&amp;INDEX(ETAPP!B$1:B$32,MATCH(COUNTIF(BI24:BR24,14),ETAPP!A$1:A$32,0))&amp;INDEX(ETAPP!B$1:B$32,MATCH(COUNTIF(BI24:BR24,15),ETAPP!A$1:A$32,0))&amp;INDEX(ETAPP!B$1:B$32,MATCH(COUNTIF(BI24:BR24,16),ETAPP!A$1:A$32,0))&amp;INDEX(ETAPP!B$1:B$32,MATCH(COUNTIF(BI24:BR24,17),ETAPP!A$1:A$32,0))&amp;INDEX(ETAPP!B$1:B$32,MATCH(COUNTIF(BI24:BR24,18),ETAPP!A$1:A$32,0))&amp;INDEX(ETAPP!B$1:B$32,MATCH(COUNTIF(BI24:BR24,19),ETAPP!A$1:A$32,0))&amp;INDEX(ETAPP!B$1:B$32,MATCH(COUNTIF(BI24:BR24,20),ETAPP!A$1:A$32,0))&amp;INDEX(ETAPP!B$1:B$32,MATCH(COUNTIF(BI24:BR24,21),ETAPP!A$1:A$32,0))</f>
        <v>AA000A0BA00A000000000</v>
      </c>
      <c r="T24" s="111" t="str">
        <f t="shared" si="12"/>
        <v>066,0-AA000A0BA00A000000000</v>
      </c>
      <c r="U24" s="111">
        <f t="shared" si="13"/>
        <v>18</v>
      </c>
      <c r="V24" s="111">
        <f t="shared" si="14"/>
        <v>9</v>
      </c>
      <c r="W24" s="111" t="str">
        <f t="shared" si="15"/>
        <v>066,0-AA000A0BA00A000000000-009</v>
      </c>
      <c r="X24" s="111">
        <f t="shared" si="16"/>
        <v>18</v>
      </c>
      <c r="Y24" s="112">
        <f t="shared" si="17"/>
        <v>91</v>
      </c>
      <c r="Z24" s="113">
        <f>IFERROR(INDEX('V1'!C$300:C$400,MATCH("*"&amp;L24&amp;"*",'V1'!B$300:B$400,0)),"  ")</f>
        <v>2</v>
      </c>
      <c r="AA24" s="113">
        <f>IFERROR(INDEX('V2'!C$300:C$400,MATCH("*"&amp;L24&amp;"*",'V2'!B$300:B$400,0)),"  ")</f>
        <v>6</v>
      </c>
      <c r="AB24" s="113">
        <f>IFERROR(INDEX('V3'!C$300:C$400,MATCH("*"&amp;L24&amp;"*",'V3'!B$300:B$400,0)),"  ")</f>
        <v>6</v>
      </c>
      <c r="AC24" s="113">
        <f>IFERROR(INDEX('V4'!C$300:C$400,MATCH("*"&amp;L24&amp;"*",'V4'!B$300:B$400,0)),"  ")</f>
        <v>16</v>
      </c>
      <c r="AD24" s="113">
        <f>IFERROR(INDEX('V5'!C$300:C$400,MATCH("*"&amp;L24&amp;"*",'V5'!B$300:B$400,0)),"  ")</f>
        <v>2</v>
      </c>
      <c r="AE24" s="113" t="str">
        <f>IFERROR(INDEX('V6'!C$300:C$400,MATCH("*"&amp;L24&amp;"*",'V6'!B$300:B$400,0)),"  ")</f>
        <v xml:space="preserve">  </v>
      </c>
      <c r="AF24" s="113" t="str">
        <f>IFERROR(INDEX('V7'!C$300:C$400,MATCH("*"&amp;L24&amp;"*",'V7'!B$300:B$400,0)),"  ")</f>
        <v xml:space="preserve">  </v>
      </c>
      <c r="AG24" s="113" t="str">
        <f>IFERROR(INDEX('V8'!C$300:C$400,MATCH("*"&amp;L24&amp;"*",'V8'!B$300:B$400,0)),"  ")</f>
        <v xml:space="preserve">  </v>
      </c>
      <c r="AH24" s="113">
        <f>IFERROR(INDEX('V9'!C$300:C$399,MATCH("*"&amp;L24&amp;"*",'V9'!B$300:B$399,0)),"  ")</f>
        <v>22</v>
      </c>
      <c r="AI24" s="113">
        <f>IFERROR(INDEX('V10'!C$300:C$399,MATCH("*"&amp;L24&amp;"*",'V10'!B$300:B$399,0)),"  ")</f>
        <v>12</v>
      </c>
      <c r="AJ24" s="114">
        <f t="shared" si="18"/>
        <v>18</v>
      </c>
      <c r="AK24" s="404">
        <f t="shared" si="19"/>
        <v>66</v>
      </c>
      <c r="AL24" s="115" t="str">
        <f t="shared" si="20"/>
        <v>edasi 18</v>
      </c>
      <c r="AM24" s="116" t="str">
        <f>IFERROR(INDEX(#REF!,MATCH("*"&amp;L24&amp;"*",#REF!,0)),"  ")</f>
        <v xml:space="preserve">  </v>
      </c>
      <c r="AN24" s="117">
        <f t="shared" si="21"/>
        <v>7</v>
      </c>
      <c r="AO24" s="118">
        <f t="shared" si="22"/>
        <v>2</v>
      </c>
      <c r="AP24" s="118">
        <f t="shared" si="23"/>
        <v>1</v>
      </c>
      <c r="AQ24" s="49"/>
      <c r="AR24" s="1018"/>
      <c r="AS24" s="1018"/>
      <c r="AT24" s="119">
        <f t="shared" si="24"/>
        <v>5.9999999999999995E-4</v>
      </c>
      <c r="AU24" s="120">
        <f t="shared" si="25"/>
        <v>2.0001000000000002</v>
      </c>
      <c r="AV24" s="120">
        <f t="shared" si="26"/>
        <v>6.0002000000000004</v>
      </c>
      <c r="AW24" s="120">
        <f t="shared" si="27"/>
        <v>6.0003000000000002</v>
      </c>
      <c r="AX24" s="120">
        <f t="shared" si="28"/>
        <v>16.000399999999999</v>
      </c>
      <c r="AY24" s="120">
        <f t="shared" si="29"/>
        <v>2.0005000000000002</v>
      </c>
      <c r="AZ24" s="120">
        <f t="shared" si="30"/>
        <v>5.9999999999999995E-4</v>
      </c>
      <c r="BA24" s="120">
        <f t="shared" si="31"/>
        <v>6.9999999999999999E-4</v>
      </c>
      <c r="BB24" s="120">
        <f t="shared" si="32"/>
        <v>8.0000000000000004E-4</v>
      </c>
      <c r="BC24" s="120">
        <f t="shared" si="33"/>
        <v>22.000900000000001</v>
      </c>
      <c r="BD24" s="120">
        <f t="shared" si="34"/>
        <v>12.000999999999999</v>
      </c>
      <c r="BE24" s="1018"/>
      <c r="BI24" s="1018">
        <f t="shared" si="35"/>
        <v>9</v>
      </c>
      <c r="BJ24" s="1018">
        <f t="shared" si="36"/>
        <v>8</v>
      </c>
      <c r="BK24" s="1018">
        <f t="shared" si="37"/>
        <v>6</v>
      </c>
      <c r="BL24" s="1018">
        <f t="shared" si="38"/>
        <v>1</v>
      </c>
      <c r="BM24" s="1018">
        <f t="shared" si="39"/>
        <v>12</v>
      </c>
      <c r="BN24" s="1018" t="e">
        <f t="shared" si="40"/>
        <v>#VALUE!</v>
      </c>
      <c r="BO24" s="1018" t="e">
        <f t="shared" si="41"/>
        <v>#VALUE!</v>
      </c>
      <c r="BP24" s="1018" t="e">
        <f t="shared" si="42"/>
        <v>#VALUE!</v>
      </c>
      <c r="BQ24" s="1018">
        <f t="shared" si="43"/>
        <v>2</v>
      </c>
      <c r="BR24" s="1018">
        <f t="shared" si="44"/>
        <v>8</v>
      </c>
    </row>
    <row r="25" spans="1:70" x14ac:dyDescent="0.2">
      <c r="A25" s="647">
        <f t="shared" si="1"/>
        <v>17</v>
      </c>
      <c r="B25" s="99">
        <f t="shared" si="2"/>
        <v>19</v>
      </c>
      <c r="C25" s="409">
        <f t="shared" si="3"/>
        <v>10</v>
      </c>
      <c r="D25" s="367">
        <f t="shared" si="4"/>
        <v>19</v>
      </c>
      <c r="E25" s="100">
        <f t="shared" si="5"/>
        <v>18</v>
      </c>
      <c r="F25" s="99">
        <f t="shared" si="6"/>
        <v>19</v>
      </c>
      <c r="G25" s="101" t="str">
        <f t="shared" si="7"/>
        <v/>
      </c>
      <c r="H25" s="99">
        <f t="shared" si="8"/>
        <v>-981</v>
      </c>
      <c r="I25" s="102" t="str">
        <f t="shared" si="9"/>
        <v/>
      </c>
      <c r="J25" s="103">
        <f t="shared" si="10"/>
        <v>-981</v>
      </c>
      <c r="K25" s="71">
        <f t="shared" si="11"/>
        <v>19</v>
      </c>
      <c r="L25" s="121" t="s">
        <v>66</v>
      </c>
      <c r="M25" s="105"/>
      <c r="N25" s="106" t="str">
        <f>IF(M25="","m","")</f>
        <v>m</v>
      </c>
      <c r="O25" s="107"/>
      <c r="P25" s="108" t="s">
        <v>317</v>
      </c>
      <c r="Q25" s="109" t="s">
        <v>88</v>
      </c>
      <c r="R25" s="110">
        <f>(IF(COUNT(Z25,AA25,AB25,AC25,AD25,AE25,AF25,AG25,AH25,AI25)&lt;10,SUM(Z25,AA25,AB25,AC25,AD25,AE25,AF25,AG25,AH25,AI25),SUM(LARGE((Z25,AA25,AB25,AC25,AD25,AE25,AF25,AG25,AH25,AI25),{1;2;3;4;5;6;7;8;9}))))</f>
        <v>66</v>
      </c>
      <c r="S25" s="111" t="str">
        <f>INDEX(ETAPP!B$1:B$32,MATCH(COUNTIF(BI25:BR25,1),ETAPP!A$1:A$32,0))&amp;INDEX(ETAPP!B$1:B$32,MATCH(COUNTIF(BI25:BR25,2),ETAPP!A$1:A$32,0))&amp;INDEX(ETAPP!B$1:B$32,MATCH(COUNTIF(BI25:BR25,3),ETAPP!A$1:A$32,0))&amp;INDEX(ETAPP!B$1:B$32,MATCH(COUNTIF(BI25:BR25,4),ETAPP!A$1:A$32,0))&amp;INDEX(ETAPP!B$1:B$32,MATCH(COUNTIF(BI25:BR25,5),ETAPP!A$1:A$32,0))&amp;INDEX(ETAPP!B$1:B$32,MATCH(COUNTIF(BI25:BR25,6),ETAPP!A$1:A$32,0))&amp;INDEX(ETAPP!B$1:B$32,MATCH(COUNTIF(BI25:BR25,7),ETAPP!A$1:A$32,0))&amp;INDEX(ETAPP!B$1:B$32,MATCH(COUNTIF(BI25:BR25,8),ETAPP!A$1:A$32,0))&amp;INDEX(ETAPP!B$1:B$32,MATCH(COUNTIF(BI25:BR25,9),ETAPP!A$1:A$32,0))&amp;INDEX(ETAPP!B$1:B$32,MATCH(COUNTIF(BI25:BR25,10),ETAPP!A$1:A$32,0))&amp;INDEX(ETAPP!B$1:B$32,MATCH(COUNTIF(BI25:BR25,11),ETAPP!A$1:A$32,0))&amp;INDEX(ETAPP!B$1:B$32,MATCH(COUNTIF(BI25:BR25,12),ETAPP!A$1:A$32,0))&amp;INDEX(ETAPP!B$1:B$32,MATCH(COUNTIF(BI25:BR25,13),ETAPP!A$1:A$32,0))&amp;INDEX(ETAPP!B$1:B$32,MATCH(COUNTIF(BI25:BR25,14),ETAPP!A$1:A$32,0))&amp;INDEX(ETAPP!B$1:B$32,MATCH(COUNTIF(BI25:BR25,15),ETAPP!A$1:A$32,0))&amp;INDEX(ETAPP!B$1:B$32,MATCH(COUNTIF(BI25:BR25,16),ETAPP!A$1:A$32,0))&amp;INDEX(ETAPP!B$1:B$32,MATCH(COUNTIF(BI25:BR25,17),ETAPP!A$1:A$32,0))&amp;INDEX(ETAPP!B$1:B$32,MATCH(COUNTIF(BI25:BR25,18),ETAPP!A$1:A$32,0))&amp;INDEX(ETAPP!B$1:B$32,MATCH(COUNTIF(BI25:BR25,19),ETAPP!A$1:A$32,0))&amp;INDEX(ETAPP!B$1:B$32,MATCH(COUNTIF(BI25:BR25,20),ETAPP!A$1:A$32,0))&amp;INDEX(ETAPP!B$1:B$32,MATCH(COUNTIF(BI25:BR25,21),ETAPP!A$1:A$32,0))</f>
        <v>A000000BB0A0000000000</v>
      </c>
      <c r="T25" s="111" t="str">
        <f t="shared" si="12"/>
        <v>066,0-A000000BB0A0000000000</v>
      </c>
      <c r="U25" s="111">
        <f t="shared" si="13"/>
        <v>19</v>
      </c>
      <c r="V25" s="111">
        <f t="shared" si="14"/>
        <v>34</v>
      </c>
      <c r="W25" s="111" t="str">
        <f t="shared" si="15"/>
        <v>066,0-A000000BB0A0000000000-034</v>
      </c>
      <c r="X25" s="111">
        <f t="shared" si="16"/>
        <v>19</v>
      </c>
      <c r="Y25" s="112">
        <f t="shared" si="17"/>
        <v>90</v>
      </c>
      <c r="Z25" s="113" t="str">
        <f>IFERROR(INDEX('V1'!C$300:C$400,MATCH("*"&amp;L25&amp;"*",'V1'!B$300:B$400,0)),"  ")</f>
        <v xml:space="preserve">  </v>
      </c>
      <c r="AA25" s="113" t="str">
        <f>IFERROR(INDEX('V2'!C$300:C$400,MATCH("*"&amp;L25&amp;"*",'V2'!B$300:B$400,0)),"  ")</f>
        <v xml:space="preserve">  </v>
      </c>
      <c r="AB25" s="113" t="str">
        <f>IFERROR(INDEX('V3'!C$300:C$400,MATCH("*"&amp;L25&amp;"*",'V3'!B$300:B$400,0)),"  ")</f>
        <v xml:space="preserve">  </v>
      </c>
      <c r="AC25" s="113" t="str">
        <f>IFERROR(INDEX('V4'!C$300:C$400,MATCH("*"&amp;L25&amp;"*",'V4'!B$300:B$400,0)),"  ")</f>
        <v xml:space="preserve">  </v>
      </c>
      <c r="AD25" s="113">
        <f>IFERROR(INDEX('V5'!C$300:C$400,MATCH("*"&amp;L25&amp;"*",'V5'!B$300:B$400,0)),"  ")</f>
        <v>8</v>
      </c>
      <c r="AE25" s="113">
        <f>IFERROR(INDEX('V6'!C$300:C$400,MATCH("*"&amp;L25&amp;"*",'V6'!B$300:B$400,0)),"  ")</f>
        <v>12</v>
      </c>
      <c r="AF25" s="113">
        <f>IFERROR(INDEX('V7'!C$300:C$400,MATCH("*"&amp;L25&amp;"*",'V7'!B$300:B$400,0)),"  ")</f>
        <v>12</v>
      </c>
      <c r="AG25" s="113">
        <f>IFERROR(INDEX('V8'!C$300:C$400,MATCH("*"&amp;L25&amp;"*",'V8'!B$300:B$400,0)),"  ")</f>
        <v>4</v>
      </c>
      <c r="AH25" s="113">
        <f>IFERROR(INDEX('V9'!C$300:C$399,MATCH("*"&amp;L25&amp;"*",'V9'!B$300:B$399,0)),"  ")</f>
        <v>24</v>
      </c>
      <c r="AI25" s="113">
        <f>IFERROR(INDEX('V10'!C$300:C$399,MATCH("*"&amp;L25&amp;"*",'V10'!B$300:B$399,0)),"  ")</f>
        <v>6</v>
      </c>
      <c r="AJ25" s="114">
        <f t="shared" si="18"/>
        <v>19</v>
      </c>
      <c r="AK25" s="404">
        <f t="shared" si="19"/>
        <v>66</v>
      </c>
      <c r="AL25" s="115" t="str">
        <f t="shared" si="20"/>
        <v>edasi 19</v>
      </c>
      <c r="AM25" s="116" t="str">
        <f>IFERROR(INDEX(#REF!,MATCH("*"&amp;L25&amp;"*",#REF!,0)),"  ")</f>
        <v xml:space="preserve">  </v>
      </c>
      <c r="AN25" s="117">
        <f t="shared" si="21"/>
        <v>6</v>
      </c>
      <c r="AO25" s="118">
        <f t="shared" si="22"/>
        <v>1</v>
      </c>
      <c r="AP25" s="118">
        <f t="shared" si="23"/>
        <v>1</v>
      </c>
      <c r="AQ25" s="49"/>
      <c r="AR25" s="1018"/>
      <c r="AS25" s="1018"/>
      <c r="AT25" s="119">
        <f t="shared" si="24"/>
        <v>1E-4</v>
      </c>
      <c r="AU25" s="120">
        <f t="shared" si="25"/>
        <v>1E-4</v>
      </c>
      <c r="AV25" s="120">
        <f t="shared" si="26"/>
        <v>2.0000000000000001E-4</v>
      </c>
      <c r="AW25" s="120">
        <f t="shared" si="27"/>
        <v>2.9999999999999997E-4</v>
      </c>
      <c r="AX25" s="120">
        <f t="shared" si="28"/>
        <v>4.0000000000000002E-4</v>
      </c>
      <c r="AY25" s="120">
        <f t="shared" si="29"/>
        <v>8.0005000000000006</v>
      </c>
      <c r="AZ25" s="120">
        <f t="shared" si="30"/>
        <v>12.0006</v>
      </c>
      <c r="BA25" s="120">
        <f t="shared" si="31"/>
        <v>12.0007</v>
      </c>
      <c r="BB25" s="120">
        <f t="shared" si="32"/>
        <v>4.0007999999999999</v>
      </c>
      <c r="BC25" s="120">
        <f t="shared" si="33"/>
        <v>24.000900000000001</v>
      </c>
      <c r="BD25" s="120">
        <f t="shared" si="34"/>
        <v>6.0010000000000003</v>
      </c>
      <c r="BE25" s="1018"/>
      <c r="BI25" s="1018" t="e">
        <f t="shared" si="35"/>
        <v>#VALUE!</v>
      </c>
      <c r="BJ25" s="1018" t="e">
        <f t="shared" si="36"/>
        <v>#VALUE!</v>
      </c>
      <c r="BK25" s="1018" t="e">
        <f t="shared" si="37"/>
        <v>#VALUE!</v>
      </c>
      <c r="BL25" s="1018" t="e">
        <f t="shared" si="38"/>
        <v>#VALUE!</v>
      </c>
      <c r="BM25" s="1018">
        <f t="shared" si="39"/>
        <v>9</v>
      </c>
      <c r="BN25" s="1018">
        <f t="shared" si="40"/>
        <v>8</v>
      </c>
      <c r="BO25" s="1018">
        <f t="shared" si="41"/>
        <v>8</v>
      </c>
      <c r="BP25" s="1018">
        <f t="shared" si="42"/>
        <v>9</v>
      </c>
      <c r="BQ25" s="1018">
        <f t="shared" si="43"/>
        <v>1</v>
      </c>
      <c r="BR25" s="1018">
        <f t="shared" si="44"/>
        <v>11</v>
      </c>
    </row>
    <row r="26" spans="1:70" x14ac:dyDescent="0.2">
      <c r="A26" s="647">
        <f t="shared" si="1"/>
        <v>18</v>
      </c>
      <c r="B26" s="99">
        <f t="shared" si="2"/>
        <v>20</v>
      </c>
      <c r="C26" s="409" t="str">
        <f t="shared" si="3"/>
        <v/>
      </c>
      <c r="D26" s="367">
        <f t="shared" si="4"/>
        <v>-980</v>
      </c>
      <c r="E26" s="100">
        <f t="shared" si="5"/>
        <v>19</v>
      </c>
      <c r="F26" s="99">
        <f t="shared" si="6"/>
        <v>20</v>
      </c>
      <c r="G26" s="101" t="str">
        <f t="shared" si="7"/>
        <v/>
      </c>
      <c r="H26" s="99">
        <f t="shared" si="8"/>
        <v>-980</v>
      </c>
      <c r="I26" s="102" t="str">
        <f t="shared" si="9"/>
        <v/>
      </c>
      <c r="J26" s="103">
        <f t="shared" si="10"/>
        <v>-980</v>
      </c>
      <c r="K26" s="71">
        <f t="shared" si="11"/>
        <v>20</v>
      </c>
      <c r="L26" s="104" t="s">
        <v>146</v>
      </c>
      <c r="M26" s="105"/>
      <c r="N26" s="106" t="str">
        <f>IF(M26="","m","")</f>
        <v>m</v>
      </c>
      <c r="O26" s="107"/>
      <c r="P26" s="108"/>
      <c r="Q26" s="109" t="s">
        <v>88</v>
      </c>
      <c r="R26" s="110">
        <f>(IF(COUNT(Z26,AA26,AB26,AC26,AD26,AE26,AF26,AG26,AH26,AI26)&lt;10,SUM(Z26,AA26,AB26,AC26,AD26,AE26,AF26,AG26,AH26,AI26),SUM(LARGE((Z26,AA26,AB26,AC26,AD26,AE26,AF26,AG26,AH26,AI26),{1;2;3;4;5;6;7;8;9}))))</f>
        <v>66</v>
      </c>
      <c r="S26" s="111" t="str">
        <f>INDEX(ETAPP!B$1:B$32,MATCH(COUNTIF(BI26:BR26,1),ETAPP!A$1:A$32,0))&amp;INDEX(ETAPP!B$1:B$32,MATCH(COUNTIF(BI26:BR26,2),ETAPP!A$1:A$32,0))&amp;INDEX(ETAPP!B$1:B$32,MATCH(COUNTIF(BI26:BR26,3),ETAPP!A$1:A$32,0))&amp;INDEX(ETAPP!B$1:B$32,MATCH(COUNTIF(BI26:BR26,4),ETAPP!A$1:A$32,0))&amp;INDEX(ETAPP!B$1:B$32,MATCH(COUNTIF(BI26:BR26,5),ETAPP!A$1:A$32,0))&amp;INDEX(ETAPP!B$1:B$32,MATCH(COUNTIF(BI26:BR26,6),ETAPP!A$1:A$32,0))&amp;INDEX(ETAPP!B$1:B$32,MATCH(COUNTIF(BI26:BR26,7),ETAPP!A$1:A$32,0))&amp;INDEX(ETAPP!B$1:B$32,MATCH(COUNTIF(BI26:BR26,8),ETAPP!A$1:A$32,0))&amp;INDEX(ETAPP!B$1:B$32,MATCH(COUNTIF(BI26:BR26,9),ETAPP!A$1:A$32,0))&amp;INDEX(ETAPP!B$1:B$32,MATCH(COUNTIF(BI26:BR26,10),ETAPP!A$1:A$32,0))&amp;INDEX(ETAPP!B$1:B$32,MATCH(COUNTIF(BI26:BR26,11),ETAPP!A$1:A$32,0))&amp;INDEX(ETAPP!B$1:B$32,MATCH(COUNTIF(BI26:BR26,12),ETAPP!A$1:A$32,0))&amp;INDEX(ETAPP!B$1:B$32,MATCH(COUNTIF(BI26:BR26,13),ETAPP!A$1:A$32,0))&amp;INDEX(ETAPP!B$1:B$32,MATCH(COUNTIF(BI26:BR26,14),ETAPP!A$1:A$32,0))&amp;INDEX(ETAPP!B$1:B$32,MATCH(COUNTIF(BI26:BR26,15),ETAPP!A$1:A$32,0))&amp;INDEX(ETAPP!B$1:B$32,MATCH(COUNTIF(BI26:BR26,16),ETAPP!A$1:A$32,0))&amp;INDEX(ETAPP!B$1:B$32,MATCH(COUNTIF(BI26:BR26,17),ETAPP!A$1:A$32,0))&amp;INDEX(ETAPP!B$1:B$32,MATCH(COUNTIF(BI26:BR26,18),ETAPP!A$1:A$32,0))&amp;INDEX(ETAPP!B$1:B$32,MATCH(COUNTIF(BI26:BR26,19),ETAPP!A$1:A$32,0))&amp;INDEX(ETAPP!B$1:B$32,MATCH(COUNTIF(BI26:BR26,20),ETAPP!A$1:A$32,0))&amp;INDEX(ETAPP!B$1:B$32,MATCH(COUNTIF(BI26:BR26,21),ETAPP!A$1:A$32,0))</f>
        <v>000BAA000000000000000</v>
      </c>
      <c r="T26" s="111" t="str">
        <f t="shared" si="12"/>
        <v>066,0-000BAA000000000000000</v>
      </c>
      <c r="U26" s="111">
        <f t="shared" si="13"/>
        <v>20</v>
      </c>
      <c r="V26" s="111">
        <f t="shared" si="14"/>
        <v>8</v>
      </c>
      <c r="W26" s="111" t="str">
        <f t="shared" si="15"/>
        <v>066,0-000BAA000000000000000-008</v>
      </c>
      <c r="X26" s="111">
        <f t="shared" si="16"/>
        <v>20</v>
      </c>
      <c r="Y26" s="112">
        <f t="shared" si="17"/>
        <v>89</v>
      </c>
      <c r="Z26" s="113" t="str">
        <f>IFERROR(INDEX('V1'!C$300:C$400,MATCH("*"&amp;L26&amp;"*",'V1'!B$300:B$400,0)),"  ")</f>
        <v xml:space="preserve">  </v>
      </c>
      <c r="AA26" s="113">
        <f>IFERROR(INDEX('V2'!C$300:C$400,MATCH("*"&amp;L26&amp;"*",'V2'!B$300:B$400,0)),"  ")</f>
        <v>14</v>
      </c>
      <c r="AB26" s="113" t="str">
        <f>IFERROR(INDEX('V3'!C$300:C$400,MATCH("*"&amp;L26&amp;"*",'V3'!B$300:B$400,0)),"  ")</f>
        <v xml:space="preserve">  </v>
      </c>
      <c r="AC26" s="113" t="str">
        <f>IFERROR(INDEX('V4'!C$300:C$400,MATCH("*"&amp;L26&amp;"*",'V4'!B$300:B$400,0)),"  ")</f>
        <v xml:space="preserve">  </v>
      </c>
      <c r="AD26" s="113">
        <f>IFERROR(INDEX('V5'!C$300:C$400,MATCH("*"&amp;L26&amp;"*",'V5'!B$300:B$400,0)),"  ")</f>
        <v>18</v>
      </c>
      <c r="AE26" s="113">
        <f>IFERROR(INDEX('V6'!C$300:C$400,MATCH("*"&amp;L26&amp;"*",'V6'!B$300:B$400,0)),"  ")</f>
        <v>16</v>
      </c>
      <c r="AF26" s="113">
        <f>IFERROR(INDEX('V7'!C$300:C$400,MATCH("*"&amp;L26&amp;"*",'V7'!B$300:B$400,0)),"  ")</f>
        <v>18</v>
      </c>
      <c r="AG26" s="113" t="str">
        <f>IFERROR(INDEX('V8'!C$300:C$400,MATCH("*"&amp;L26&amp;"*",'V8'!B$300:B$400,0)),"  ")</f>
        <v xml:space="preserve">  </v>
      </c>
      <c r="AH26" s="113" t="str">
        <f>IFERROR(INDEX('V9'!C$300:C$399,MATCH("*"&amp;L26&amp;"*",'V9'!B$300:B$399,0)),"  ")</f>
        <v xml:space="preserve">  </v>
      </c>
      <c r="AI26" s="113" t="str">
        <f>IFERROR(INDEX('V10'!C$300:C$399,MATCH("*"&amp;L26&amp;"*",'V10'!B$300:B$399,0)),"  ")</f>
        <v xml:space="preserve">  </v>
      </c>
      <c r="AJ26" s="114">
        <f t="shared" si="18"/>
        <v>20</v>
      </c>
      <c r="AK26" s="404">
        <f t="shared" si="19"/>
        <v>66</v>
      </c>
      <c r="AL26" s="115" t="str">
        <f t="shared" si="20"/>
        <v>edasi 20</v>
      </c>
      <c r="AM26" s="116" t="str">
        <f>IFERROR(INDEX(#REF!,MATCH("*"&amp;L26&amp;"*",#REF!,0)),"  ")</f>
        <v xml:space="preserve">  </v>
      </c>
      <c r="AN26" s="117">
        <f t="shared" si="21"/>
        <v>4</v>
      </c>
      <c r="AO26" s="118">
        <f t="shared" si="22"/>
        <v>0</v>
      </c>
      <c r="AP26" s="118">
        <f t="shared" si="23"/>
        <v>0</v>
      </c>
      <c r="AQ26" s="49"/>
      <c r="AT26" s="119">
        <f t="shared" si="24"/>
        <v>1E-4</v>
      </c>
      <c r="AU26" s="120">
        <f t="shared" si="25"/>
        <v>1E-4</v>
      </c>
      <c r="AV26" s="120">
        <f t="shared" si="26"/>
        <v>14.0002</v>
      </c>
      <c r="AW26" s="120">
        <f t="shared" si="27"/>
        <v>2.9999999999999997E-4</v>
      </c>
      <c r="AX26" s="120">
        <f t="shared" si="28"/>
        <v>4.0000000000000002E-4</v>
      </c>
      <c r="AY26" s="120">
        <f t="shared" si="29"/>
        <v>18.000499999999999</v>
      </c>
      <c r="AZ26" s="120">
        <f t="shared" si="30"/>
        <v>16.000599999999999</v>
      </c>
      <c r="BA26" s="120">
        <f t="shared" si="31"/>
        <v>18.000699999999998</v>
      </c>
      <c r="BB26" s="120">
        <f t="shared" si="32"/>
        <v>8.0000000000000004E-4</v>
      </c>
      <c r="BC26" s="120">
        <f t="shared" si="33"/>
        <v>8.9999999999999998E-4</v>
      </c>
      <c r="BD26" s="120">
        <f t="shared" si="34"/>
        <v>1E-3</v>
      </c>
      <c r="BI26" s="1018" t="e">
        <f t="shared" si="35"/>
        <v>#VALUE!</v>
      </c>
      <c r="BJ26" s="1018">
        <f t="shared" si="36"/>
        <v>4</v>
      </c>
      <c r="BK26" s="1018" t="e">
        <f t="shared" si="37"/>
        <v>#VALUE!</v>
      </c>
      <c r="BL26" s="1018" t="e">
        <f t="shared" si="38"/>
        <v>#VALUE!</v>
      </c>
      <c r="BM26" s="1018">
        <f t="shared" si="39"/>
        <v>4</v>
      </c>
      <c r="BN26" s="1018">
        <f t="shared" si="40"/>
        <v>6</v>
      </c>
      <c r="BO26" s="1018">
        <f t="shared" si="41"/>
        <v>5</v>
      </c>
      <c r="BP26" s="1018" t="e">
        <f t="shared" si="42"/>
        <v>#VALUE!</v>
      </c>
      <c r="BQ26" s="1018" t="e">
        <f t="shared" si="43"/>
        <v>#VALUE!</v>
      </c>
      <c r="BR26" s="1018" t="e">
        <f t="shared" si="44"/>
        <v>#VALUE!</v>
      </c>
    </row>
    <row r="27" spans="1:70" x14ac:dyDescent="0.2">
      <c r="A27" s="647">
        <f t="shared" si="1"/>
        <v>19</v>
      </c>
      <c r="B27" s="99">
        <f t="shared" si="2"/>
        <v>21</v>
      </c>
      <c r="C27" s="409" t="str">
        <f t="shared" si="3"/>
        <v/>
      </c>
      <c r="D27" s="367">
        <f t="shared" si="4"/>
        <v>-979</v>
      </c>
      <c r="E27" s="100">
        <f t="shared" si="5"/>
        <v>20</v>
      </c>
      <c r="F27" s="99">
        <f t="shared" si="6"/>
        <v>21</v>
      </c>
      <c r="G27" s="101" t="str">
        <f t="shared" si="7"/>
        <v/>
      </c>
      <c r="H27" s="99">
        <f t="shared" si="8"/>
        <v>-979</v>
      </c>
      <c r="I27" s="102" t="str">
        <f t="shared" si="9"/>
        <v/>
      </c>
      <c r="J27" s="103">
        <f t="shared" si="10"/>
        <v>-979</v>
      </c>
      <c r="K27" s="71">
        <f t="shared" si="11"/>
        <v>21</v>
      </c>
      <c r="L27" s="121" t="s">
        <v>120</v>
      </c>
      <c r="M27" s="105"/>
      <c r="N27" s="106" t="str">
        <f>IF(M27="","m","")</f>
        <v>m</v>
      </c>
      <c r="O27" s="107"/>
      <c r="P27" s="108"/>
      <c r="Q27" s="109" t="s">
        <v>88</v>
      </c>
      <c r="R27" s="110">
        <f>(IF(COUNT(Z27,AA27,AB27,AC27,AD27,AE27,AF27,AG27,AH27,AI27)&lt;10,SUM(Z27,AA27,AB27,AC27,AD27,AE27,AF27,AG27,AH27,AI27),SUM(LARGE((Z27,AA27,AB27,AC27,AD27,AE27,AF27,AG27,AH27,AI27),{1;2;3;4;5;6;7;8;9}))))</f>
        <v>64</v>
      </c>
      <c r="S27" s="111" t="str">
        <f>INDEX(ETAPP!B$1:B$32,MATCH(COUNTIF(BI27:BR27,1),ETAPP!A$1:A$32,0))&amp;INDEX(ETAPP!B$1:B$32,MATCH(COUNTIF(BI27:BR27,2),ETAPP!A$1:A$32,0))&amp;INDEX(ETAPP!B$1:B$32,MATCH(COUNTIF(BI27:BR27,3),ETAPP!A$1:A$32,0))&amp;INDEX(ETAPP!B$1:B$32,MATCH(COUNTIF(BI27:BR27,4),ETAPP!A$1:A$32,0))&amp;INDEX(ETAPP!B$1:B$32,MATCH(COUNTIF(BI27:BR27,5),ETAPP!A$1:A$32,0))&amp;INDEX(ETAPP!B$1:B$32,MATCH(COUNTIF(BI27:BR27,6),ETAPP!A$1:A$32,0))&amp;INDEX(ETAPP!B$1:B$32,MATCH(COUNTIF(BI27:BR27,7),ETAPP!A$1:A$32,0))&amp;INDEX(ETAPP!B$1:B$32,MATCH(COUNTIF(BI27:BR27,8),ETAPP!A$1:A$32,0))&amp;INDEX(ETAPP!B$1:B$32,MATCH(COUNTIF(BI27:BR27,9),ETAPP!A$1:A$32,0))&amp;INDEX(ETAPP!B$1:B$32,MATCH(COUNTIF(BI27:BR27,10),ETAPP!A$1:A$32,0))&amp;INDEX(ETAPP!B$1:B$32,MATCH(COUNTIF(BI27:BR27,11),ETAPP!A$1:A$32,0))&amp;INDEX(ETAPP!B$1:B$32,MATCH(COUNTIF(BI27:BR27,12),ETAPP!A$1:A$32,0))&amp;INDEX(ETAPP!B$1:B$32,MATCH(COUNTIF(BI27:BR27,13),ETAPP!A$1:A$32,0))&amp;INDEX(ETAPP!B$1:B$32,MATCH(COUNTIF(BI27:BR27,14),ETAPP!A$1:A$32,0))&amp;INDEX(ETAPP!B$1:B$32,MATCH(COUNTIF(BI27:BR27,15),ETAPP!A$1:A$32,0))&amp;INDEX(ETAPP!B$1:B$32,MATCH(COUNTIF(BI27:BR27,16),ETAPP!A$1:A$32,0))&amp;INDEX(ETAPP!B$1:B$32,MATCH(COUNTIF(BI27:BR27,17),ETAPP!A$1:A$32,0))&amp;INDEX(ETAPP!B$1:B$32,MATCH(COUNTIF(BI27:BR27,18),ETAPP!A$1:A$32,0))&amp;INDEX(ETAPP!B$1:B$32,MATCH(COUNTIF(BI27:BR27,19),ETAPP!A$1:A$32,0))&amp;INDEX(ETAPP!B$1:B$32,MATCH(COUNTIF(BI27:BR27,20),ETAPP!A$1:A$32,0))&amp;INDEX(ETAPP!B$1:B$32,MATCH(COUNTIF(BI27:BR27,21),ETAPP!A$1:A$32,0))</f>
        <v>A000A0AAAA00000000000</v>
      </c>
      <c r="T27" s="111" t="str">
        <f t="shared" si="12"/>
        <v>064,0-A000A0AAAA00000000000</v>
      </c>
      <c r="U27" s="111">
        <f t="shared" si="13"/>
        <v>21</v>
      </c>
      <c r="V27" s="111">
        <f t="shared" si="14"/>
        <v>99</v>
      </c>
      <c r="W27" s="111" t="str">
        <f t="shared" si="15"/>
        <v>064,0-A000A0AAAA00000000000-099</v>
      </c>
      <c r="X27" s="111">
        <f t="shared" si="16"/>
        <v>21</v>
      </c>
      <c r="Y27" s="112">
        <f t="shared" si="17"/>
        <v>88</v>
      </c>
      <c r="Z27" s="113" t="str">
        <f>IFERROR(INDEX('V1'!C$300:C$400,MATCH("*"&amp;L27&amp;"*",'V1'!B$300:B$400,0)),"  ")</f>
        <v xml:space="preserve">  </v>
      </c>
      <c r="AA27" s="113" t="str">
        <f>IFERROR(INDEX('V2'!C$300:C$400,MATCH("*"&amp;L27&amp;"*",'V2'!B$300:B$400,0)),"  ")</f>
        <v xml:space="preserve">  </v>
      </c>
      <c r="AB27" s="113">
        <f>IFERROR(INDEX('V3'!C$300:C$400,MATCH("*"&amp;L27&amp;"*",'V3'!B$300:B$400,0)),"  ")</f>
        <v>2</v>
      </c>
      <c r="AC27" s="113">
        <f>IFERROR(INDEX('V4'!C$300:C$400,MATCH("*"&amp;L27&amp;"*",'V4'!B$300:B$400,0)),"  ")</f>
        <v>4</v>
      </c>
      <c r="AD27" s="113">
        <f>IFERROR(INDEX('V5'!C$300:C$400,MATCH("*"&amp;L27&amp;"*",'V5'!B$300:B$400,0)),"  ")</f>
        <v>16</v>
      </c>
      <c r="AE27" s="113">
        <f>IFERROR(INDEX('V6'!C$300:C$400,MATCH("*"&amp;L27&amp;"*",'V6'!B$300:B$400,0)),"  ")</f>
        <v>26</v>
      </c>
      <c r="AF27" s="113">
        <f>IFERROR(INDEX('V7'!C$300:C$400,MATCH("*"&amp;L27&amp;"*",'V7'!B$300:B$400,0)),"  ")</f>
        <v>8</v>
      </c>
      <c r="AG27" s="113" t="str">
        <f>IFERROR(INDEX('V8'!C$300:C$400,MATCH("*"&amp;L27&amp;"*",'V8'!B$300:B$400,0)),"  ")</f>
        <v xml:space="preserve">  </v>
      </c>
      <c r="AH27" s="113">
        <f>IFERROR(INDEX('V9'!C$300:C$399,MATCH("*"&amp;L27&amp;"*",'V9'!B$300:B$399,0)),"  ")</f>
        <v>8</v>
      </c>
      <c r="AI27" s="113" t="str">
        <f>IFERROR(INDEX('V10'!C$300:C$399,MATCH("*"&amp;L27&amp;"*",'V10'!B$300:B$399,0)),"  ")</f>
        <v xml:space="preserve">  </v>
      </c>
      <c r="AJ27" s="114">
        <f t="shared" si="18"/>
        <v>21</v>
      </c>
      <c r="AK27" s="404">
        <f t="shared" si="19"/>
        <v>64</v>
      </c>
      <c r="AL27" s="115" t="str">
        <f t="shared" si="20"/>
        <v>edasi 21</v>
      </c>
      <c r="AM27" s="116" t="str">
        <f>IFERROR(INDEX(#REF!,MATCH("*"&amp;L27&amp;"*",#REF!,0)),"  ")</f>
        <v xml:space="preserve">  </v>
      </c>
      <c r="AN27" s="117">
        <f t="shared" si="21"/>
        <v>6</v>
      </c>
      <c r="AO27" s="118">
        <f t="shared" si="22"/>
        <v>1</v>
      </c>
      <c r="AP27" s="118">
        <f t="shared" si="23"/>
        <v>1</v>
      </c>
      <c r="AQ27" s="122"/>
      <c r="AR27" s="122"/>
      <c r="AS27" s="122"/>
      <c r="AT27" s="119">
        <f t="shared" si="24"/>
        <v>1E-4</v>
      </c>
      <c r="AU27" s="120">
        <f t="shared" si="25"/>
        <v>1E-4</v>
      </c>
      <c r="AV27" s="120">
        <f t="shared" si="26"/>
        <v>2.0000000000000001E-4</v>
      </c>
      <c r="AW27" s="120">
        <f t="shared" si="27"/>
        <v>2.0003000000000002</v>
      </c>
      <c r="AX27" s="120">
        <f t="shared" si="28"/>
        <v>4.0004</v>
      </c>
      <c r="AY27" s="120">
        <f t="shared" si="29"/>
        <v>16.000499999999999</v>
      </c>
      <c r="AZ27" s="120">
        <f t="shared" si="30"/>
        <v>26.000599999999999</v>
      </c>
      <c r="BA27" s="120">
        <f t="shared" si="31"/>
        <v>8.0007000000000001</v>
      </c>
      <c r="BB27" s="120">
        <f t="shared" si="32"/>
        <v>8.0000000000000004E-4</v>
      </c>
      <c r="BC27" s="120">
        <f t="shared" si="33"/>
        <v>8.0008999999999997</v>
      </c>
      <c r="BD27" s="120">
        <f t="shared" si="34"/>
        <v>1E-3</v>
      </c>
      <c r="BE27" s="122"/>
      <c r="BF27" s="122"/>
      <c r="BG27" s="122"/>
      <c r="BH27" s="122"/>
      <c r="BI27" s="1018" t="e">
        <f t="shared" si="35"/>
        <v>#VALUE!</v>
      </c>
      <c r="BJ27" s="1018" t="e">
        <f t="shared" si="36"/>
        <v>#VALUE!</v>
      </c>
      <c r="BK27" s="1018">
        <f t="shared" si="37"/>
        <v>8</v>
      </c>
      <c r="BL27" s="1018">
        <f t="shared" si="38"/>
        <v>7</v>
      </c>
      <c r="BM27" s="1018">
        <f t="shared" si="39"/>
        <v>5</v>
      </c>
      <c r="BN27" s="1018">
        <f t="shared" si="40"/>
        <v>1</v>
      </c>
      <c r="BO27" s="1018">
        <f t="shared" si="41"/>
        <v>10</v>
      </c>
      <c r="BP27" s="1018" t="e">
        <f t="shared" si="42"/>
        <v>#VALUE!</v>
      </c>
      <c r="BQ27" s="1018">
        <f t="shared" si="43"/>
        <v>9</v>
      </c>
      <c r="BR27" s="1018" t="e">
        <f t="shared" si="44"/>
        <v>#VALUE!</v>
      </c>
    </row>
    <row r="28" spans="1:70" x14ac:dyDescent="0.2">
      <c r="A28" s="647">
        <f t="shared" si="1"/>
        <v>20</v>
      </c>
      <c r="B28" s="99">
        <f t="shared" si="2"/>
        <v>22</v>
      </c>
      <c r="C28" s="409" t="str">
        <f t="shared" si="3"/>
        <v/>
      </c>
      <c r="D28" s="367">
        <f t="shared" si="4"/>
        <v>-978</v>
      </c>
      <c r="E28" s="100">
        <f t="shared" si="5"/>
        <v>21</v>
      </c>
      <c r="F28" s="99">
        <f t="shared" si="6"/>
        <v>22</v>
      </c>
      <c r="G28" s="101" t="str">
        <f t="shared" si="7"/>
        <v/>
      </c>
      <c r="H28" s="99">
        <f t="shared" si="8"/>
        <v>-978</v>
      </c>
      <c r="I28" s="102" t="str">
        <f t="shared" si="9"/>
        <v/>
      </c>
      <c r="J28" s="103">
        <f t="shared" si="10"/>
        <v>-978</v>
      </c>
      <c r="K28" s="71">
        <f t="shared" si="11"/>
        <v>22</v>
      </c>
      <c r="L28" s="121" t="s">
        <v>125</v>
      </c>
      <c r="M28" s="105"/>
      <c r="N28" s="106" t="s">
        <v>105</v>
      </c>
      <c r="O28" s="107"/>
      <c r="P28" s="108"/>
      <c r="Q28" s="109" t="s">
        <v>88</v>
      </c>
      <c r="R28" s="110">
        <f>(IF(COUNT(Z28,AA28,AB28,AC28,AD28,AE28,AF28,AG28,AH28,AI28)&lt;10,SUM(Z28,AA28,AB28,AC28,AD28,AE28,AF28,AG28,AH28,AI28),SUM(LARGE((Z28,AA28,AB28,AC28,AD28,AE28,AF28,AG28,AH28,AI28),{1;2;3;4;5;6;7;8;9}))))</f>
        <v>60</v>
      </c>
      <c r="S28" s="111" t="str">
        <f>INDEX(ETAPP!B$1:B$32,MATCH(COUNTIF(BI28:BR28,1),ETAPP!A$1:A$32,0))&amp;INDEX(ETAPP!B$1:B$32,MATCH(COUNTIF(BI28:BR28,2),ETAPP!A$1:A$32,0))&amp;INDEX(ETAPP!B$1:B$32,MATCH(COUNTIF(BI28:BR28,3),ETAPP!A$1:A$32,0))&amp;INDEX(ETAPP!B$1:B$32,MATCH(COUNTIF(BI28:BR28,4),ETAPP!A$1:A$32,0))&amp;INDEX(ETAPP!B$1:B$32,MATCH(COUNTIF(BI28:BR28,5),ETAPP!A$1:A$32,0))&amp;INDEX(ETAPP!B$1:B$32,MATCH(COUNTIF(BI28:BR28,6),ETAPP!A$1:A$32,0))&amp;INDEX(ETAPP!B$1:B$32,MATCH(COUNTIF(BI28:BR28,7),ETAPP!A$1:A$32,0))&amp;INDEX(ETAPP!B$1:B$32,MATCH(COUNTIF(BI28:BR28,8),ETAPP!A$1:A$32,0))&amp;INDEX(ETAPP!B$1:B$32,MATCH(COUNTIF(BI28:BR28,9),ETAPP!A$1:A$32,0))&amp;INDEX(ETAPP!B$1:B$32,MATCH(COUNTIF(BI28:BR28,10),ETAPP!A$1:A$32,0))&amp;INDEX(ETAPP!B$1:B$32,MATCH(COUNTIF(BI28:BR28,11),ETAPP!A$1:A$32,0))&amp;INDEX(ETAPP!B$1:B$32,MATCH(COUNTIF(BI28:BR28,12),ETAPP!A$1:A$32,0))&amp;INDEX(ETAPP!B$1:B$32,MATCH(COUNTIF(BI28:BR28,13),ETAPP!A$1:A$32,0))&amp;INDEX(ETAPP!B$1:B$32,MATCH(COUNTIF(BI28:BR28,14),ETAPP!A$1:A$32,0))&amp;INDEX(ETAPP!B$1:B$32,MATCH(COUNTIF(BI28:BR28,15),ETAPP!A$1:A$32,0))&amp;INDEX(ETAPP!B$1:B$32,MATCH(COUNTIF(BI28:BR28,16),ETAPP!A$1:A$32,0))&amp;INDEX(ETAPP!B$1:B$32,MATCH(COUNTIF(BI28:BR28,17),ETAPP!A$1:A$32,0))&amp;INDEX(ETAPP!B$1:B$32,MATCH(COUNTIF(BI28:BR28,18),ETAPP!A$1:A$32,0))&amp;INDEX(ETAPP!B$1:B$32,MATCH(COUNTIF(BI28:BR28,19),ETAPP!A$1:A$32,0))&amp;INDEX(ETAPP!B$1:B$32,MATCH(COUNTIF(BI28:BR28,20),ETAPP!A$1:A$32,0))&amp;INDEX(ETAPP!B$1:B$32,MATCH(COUNTIF(BI28:BR28,21),ETAPP!A$1:A$32,0))</f>
        <v>A0A000A00000000000000</v>
      </c>
      <c r="T28" s="111" t="str">
        <f t="shared" si="12"/>
        <v>060,0-A0A000A00000000000000</v>
      </c>
      <c r="U28" s="111">
        <f t="shared" si="13"/>
        <v>22</v>
      </c>
      <c r="V28" s="111">
        <f t="shared" si="14"/>
        <v>14</v>
      </c>
      <c r="W28" s="111" t="str">
        <f t="shared" si="15"/>
        <v>060,0-A0A000A00000000000000-014</v>
      </c>
      <c r="X28" s="111">
        <f t="shared" si="16"/>
        <v>22</v>
      </c>
      <c r="Y28" s="112">
        <f t="shared" si="17"/>
        <v>87</v>
      </c>
      <c r="Z28" s="113" t="str">
        <f>IFERROR(INDEX('V1'!C$300:C$400,MATCH("*"&amp;L28&amp;"*",'V1'!B$300:B$400,0)),"  ")</f>
        <v xml:space="preserve">  </v>
      </c>
      <c r="AA28" s="113" t="str">
        <f>IFERROR(INDEX('V2'!C$300:C$400,MATCH("*"&amp;L28&amp;"*",'V2'!B$300:B$400,0)),"  ")</f>
        <v xml:space="preserve">  </v>
      </c>
      <c r="AB28" s="113" t="str">
        <f>IFERROR(INDEX('V3'!C$300:C$400,MATCH("*"&amp;L28&amp;"*",'V3'!B$300:B$400,0)),"  ")</f>
        <v xml:space="preserve">  </v>
      </c>
      <c r="AC28" s="113" t="str">
        <f>IFERROR(INDEX('V4'!C$300:C$400,MATCH("*"&amp;L28&amp;"*",'V4'!B$300:B$400,0)),"  ")</f>
        <v xml:space="preserve">  </v>
      </c>
      <c r="AD28" s="113">
        <f>IFERROR(INDEX('V5'!C$300:C$400,MATCH("*"&amp;L28&amp;"*",'V5'!B$300:B$400,0)),"  ")</f>
        <v>20</v>
      </c>
      <c r="AE28" s="113" t="str">
        <f>IFERROR(INDEX('V6'!C$300:C$400,MATCH("*"&amp;L28&amp;"*",'V6'!B$300:B$400,0)),"  ")</f>
        <v xml:space="preserve">  </v>
      </c>
      <c r="AF28" s="113">
        <f>IFERROR(INDEX('V7'!C$300:C$400,MATCH("*"&amp;L28&amp;"*",'V7'!B$300:B$400,0)),"  ")</f>
        <v>26</v>
      </c>
      <c r="AG28" s="113" t="str">
        <f>IFERROR(INDEX('V8'!C$300:C$400,MATCH("*"&amp;L28&amp;"*",'V8'!B$300:B$400,0)),"  ")</f>
        <v xml:space="preserve">  </v>
      </c>
      <c r="AH28" s="113" t="str">
        <f>IFERROR(INDEX('V9'!C$300:C$399,MATCH("*"&amp;L28&amp;"*",'V9'!B$300:B$399,0)),"  ")</f>
        <v xml:space="preserve">  </v>
      </c>
      <c r="AI28" s="113">
        <f>IFERROR(INDEX('V10'!C$300:C$399,MATCH("*"&amp;L28&amp;"*",'V10'!B$300:B$399,0)),"  ")</f>
        <v>14</v>
      </c>
      <c r="AJ28" s="114">
        <f t="shared" si="18"/>
        <v>22</v>
      </c>
      <c r="AK28" s="404">
        <f t="shared" si="19"/>
        <v>60</v>
      </c>
      <c r="AL28" s="115" t="str">
        <f t="shared" si="20"/>
        <v>edasi 22</v>
      </c>
      <c r="AM28" s="116" t="str">
        <f>IFERROR(INDEX(#REF!,MATCH("*"&amp;L28&amp;"*",#REF!,0)),"  ")</f>
        <v xml:space="preserve">  </v>
      </c>
      <c r="AN28" s="117">
        <f t="shared" si="21"/>
        <v>3</v>
      </c>
      <c r="AO28" s="118">
        <f t="shared" si="22"/>
        <v>2</v>
      </c>
      <c r="AP28" s="118">
        <f t="shared" si="23"/>
        <v>1</v>
      </c>
      <c r="AQ28" s="49"/>
      <c r="AT28" s="119">
        <f t="shared" si="24"/>
        <v>1E-4</v>
      </c>
      <c r="AU28" s="120">
        <f t="shared" si="25"/>
        <v>1E-4</v>
      </c>
      <c r="AV28" s="120">
        <f t="shared" si="26"/>
        <v>2.0000000000000001E-4</v>
      </c>
      <c r="AW28" s="120">
        <f t="shared" si="27"/>
        <v>2.9999999999999997E-4</v>
      </c>
      <c r="AX28" s="120">
        <f t="shared" si="28"/>
        <v>4.0000000000000002E-4</v>
      </c>
      <c r="AY28" s="120">
        <f t="shared" si="29"/>
        <v>20.000499999999999</v>
      </c>
      <c r="AZ28" s="120">
        <f t="shared" si="30"/>
        <v>5.9999999999999995E-4</v>
      </c>
      <c r="BA28" s="120">
        <f t="shared" si="31"/>
        <v>26.000699999999998</v>
      </c>
      <c r="BB28" s="120">
        <f t="shared" si="32"/>
        <v>8.0000000000000004E-4</v>
      </c>
      <c r="BC28" s="120">
        <f t="shared" si="33"/>
        <v>8.9999999999999998E-4</v>
      </c>
      <c r="BD28" s="120">
        <f t="shared" si="34"/>
        <v>14.000999999999999</v>
      </c>
      <c r="BI28" s="1018" t="e">
        <f t="shared" si="35"/>
        <v>#VALUE!</v>
      </c>
      <c r="BJ28" s="1018" t="e">
        <f t="shared" si="36"/>
        <v>#VALUE!</v>
      </c>
      <c r="BK28" s="1018" t="e">
        <f t="shared" si="37"/>
        <v>#VALUE!</v>
      </c>
      <c r="BL28" s="1018" t="e">
        <f t="shared" si="38"/>
        <v>#VALUE!</v>
      </c>
      <c r="BM28" s="1018">
        <f t="shared" si="39"/>
        <v>3</v>
      </c>
      <c r="BN28" s="1018" t="e">
        <f t="shared" si="40"/>
        <v>#VALUE!</v>
      </c>
      <c r="BO28" s="1018">
        <f t="shared" si="41"/>
        <v>1</v>
      </c>
      <c r="BP28" s="1018" t="e">
        <f t="shared" si="42"/>
        <v>#VALUE!</v>
      </c>
      <c r="BQ28" s="1018" t="e">
        <f t="shared" si="43"/>
        <v>#VALUE!</v>
      </c>
      <c r="BR28" s="1018">
        <f t="shared" si="44"/>
        <v>7</v>
      </c>
    </row>
    <row r="29" spans="1:70" x14ac:dyDescent="0.2">
      <c r="A29" s="647">
        <f t="shared" si="1"/>
        <v>21</v>
      </c>
      <c r="B29" s="99">
        <f t="shared" si="2"/>
        <v>23</v>
      </c>
      <c r="C29" s="409" t="str">
        <f t="shared" si="3"/>
        <v/>
      </c>
      <c r="D29" s="367">
        <f t="shared" si="4"/>
        <v>-977</v>
      </c>
      <c r="E29" s="100" t="str">
        <f t="shared" si="5"/>
        <v/>
      </c>
      <c r="F29" s="99">
        <f t="shared" si="6"/>
        <v>-977</v>
      </c>
      <c r="G29" s="101">
        <f t="shared" si="7"/>
        <v>3</v>
      </c>
      <c r="H29" s="99">
        <f t="shared" si="8"/>
        <v>23</v>
      </c>
      <c r="I29" s="102" t="str">
        <f t="shared" si="9"/>
        <v/>
      </c>
      <c r="J29" s="103">
        <f t="shared" si="10"/>
        <v>-977</v>
      </c>
      <c r="K29" s="132">
        <f t="shared" si="11"/>
        <v>23</v>
      </c>
      <c r="L29" s="1021" t="s">
        <v>123</v>
      </c>
      <c r="M29" s="133" t="s">
        <v>110</v>
      </c>
      <c r="N29" s="134" t="str">
        <f>IF(M29="","m","")</f>
        <v/>
      </c>
      <c r="O29" s="659"/>
      <c r="P29" s="135"/>
      <c r="Q29" s="109" t="s">
        <v>88</v>
      </c>
      <c r="R29" s="110">
        <f>(IF(COUNT(Z29,AA29,AB29,AC29,AD29,AE29,AF29,AG29,AH29,AI29)&lt;10,SUM(Z29,AA29,AB29,AC29,AD29,AE29,AF29,AG29,AH29,AI29),SUM(LARGE((Z29,AA29,AB29,AC29,AD29,AE29,AF29,AG29,AH29,AI29),{1;2;3;4;5;6;7;8;9}))))</f>
        <v>60</v>
      </c>
      <c r="S29" s="111" t="str">
        <f>INDEX(ETAPP!B$1:B$32,MATCH(COUNTIF(BI29:BR29,1),ETAPP!A$1:A$32,0))&amp;INDEX(ETAPP!B$1:B$32,MATCH(COUNTIF(BI29:BR29,2),ETAPP!A$1:A$32,0))&amp;INDEX(ETAPP!B$1:B$32,MATCH(COUNTIF(BI29:BR29,3),ETAPP!A$1:A$32,0))&amp;INDEX(ETAPP!B$1:B$32,MATCH(COUNTIF(BI29:BR29,4),ETAPP!A$1:A$32,0))&amp;INDEX(ETAPP!B$1:B$32,MATCH(COUNTIF(BI29:BR29,5),ETAPP!A$1:A$32,0))&amp;INDEX(ETAPP!B$1:B$32,MATCH(COUNTIF(BI29:BR29,6),ETAPP!A$1:A$32,0))&amp;INDEX(ETAPP!B$1:B$32,MATCH(COUNTIF(BI29:BR29,7),ETAPP!A$1:A$32,0))&amp;INDEX(ETAPP!B$1:B$32,MATCH(COUNTIF(BI29:BR29,8),ETAPP!A$1:A$32,0))&amp;INDEX(ETAPP!B$1:B$32,MATCH(COUNTIF(BI29:BR29,9),ETAPP!A$1:A$32,0))&amp;INDEX(ETAPP!B$1:B$32,MATCH(COUNTIF(BI29:BR29,10),ETAPP!A$1:A$32,0))&amp;INDEX(ETAPP!B$1:B$32,MATCH(COUNTIF(BI29:BR29,11),ETAPP!A$1:A$32,0))&amp;INDEX(ETAPP!B$1:B$32,MATCH(COUNTIF(BI29:BR29,12),ETAPP!A$1:A$32,0))&amp;INDEX(ETAPP!B$1:B$32,MATCH(COUNTIF(BI29:BR29,13),ETAPP!A$1:A$32,0))&amp;INDEX(ETAPP!B$1:B$32,MATCH(COUNTIF(BI29:BR29,14),ETAPP!A$1:A$32,0))&amp;INDEX(ETAPP!B$1:B$32,MATCH(COUNTIF(BI29:BR29,15),ETAPP!A$1:A$32,0))&amp;INDEX(ETAPP!B$1:B$32,MATCH(COUNTIF(BI29:BR29,16),ETAPP!A$1:A$32,0))&amp;INDEX(ETAPP!B$1:B$32,MATCH(COUNTIF(BI29:BR29,17),ETAPP!A$1:A$32,0))&amp;INDEX(ETAPP!B$1:B$32,MATCH(COUNTIF(BI29:BR29,18),ETAPP!A$1:A$32,0))&amp;INDEX(ETAPP!B$1:B$32,MATCH(COUNTIF(BI29:BR29,19),ETAPP!A$1:A$32,0))&amp;INDEX(ETAPP!B$1:B$32,MATCH(COUNTIF(BI29:BR29,20),ETAPP!A$1:A$32,0))&amp;INDEX(ETAPP!B$1:B$32,MATCH(COUNTIF(BI29:BR29,21),ETAPP!A$1:A$32,0))</f>
        <v>A000A00AAA00000000000</v>
      </c>
      <c r="T29" s="136" t="str">
        <f t="shared" si="12"/>
        <v>060,0-A000A00AAA00000000000</v>
      </c>
      <c r="U29" s="136">
        <f t="shared" si="13"/>
        <v>23</v>
      </c>
      <c r="V29" s="136">
        <f t="shared" si="14"/>
        <v>20</v>
      </c>
      <c r="W29" s="136" t="str">
        <f t="shared" si="15"/>
        <v>060,0-A000A00AAA00000000000-020</v>
      </c>
      <c r="X29" s="136">
        <f t="shared" si="16"/>
        <v>23</v>
      </c>
      <c r="Y29" s="137">
        <f t="shared" si="17"/>
        <v>86</v>
      </c>
      <c r="Z29" s="113" t="str">
        <f>IFERROR(INDEX('V1'!C$300:C$400,MATCH("*"&amp;L29&amp;"*",'V1'!B$300:B$400,0)),"  ")</f>
        <v xml:space="preserve">  </v>
      </c>
      <c r="AA29" s="113" t="str">
        <f>IFERROR(INDEX('V2'!C$300:C$400,MATCH("*"&amp;L29&amp;"*",'V2'!B$300:B$400,0)),"  ")</f>
        <v xml:space="preserve">  </v>
      </c>
      <c r="AB29" s="113">
        <f>IFERROR(INDEX('V3'!C$300:C$400,MATCH("*"&amp;L29&amp;"*",'V3'!B$300:B$400,0)),"  ")</f>
        <v>2</v>
      </c>
      <c r="AC29" s="113" t="str">
        <f>IFERROR(INDEX('V4'!C$300:C$400,MATCH("*"&amp;L29&amp;"*",'V4'!B$300:B$400,0)),"  ")</f>
        <v xml:space="preserve">  </v>
      </c>
      <c r="AD29" s="113">
        <f>IFERROR(INDEX('V5'!C$300:C$400,MATCH("*"&amp;L29&amp;"*",'V5'!B$300:B$400,0)),"  ")</f>
        <v>16</v>
      </c>
      <c r="AE29" s="113">
        <f>IFERROR(INDEX('V6'!C$300:C$400,MATCH("*"&amp;L29&amp;"*",'V6'!B$300:B$400,0)),"  ")</f>
        <v>26</v>
      </c>
      <c r="AF29" s="113">
        <f>IFERROR(INDEX('V7'!C$300:C$400,MATCH("*"&amp;L29&amp;"*",'V7'!B$300:B$400,0)),"  ")</f>
        <v>8</v>
      </c>
      <c r="AG29" s="113" t="str">
        <f>IFERROR(INDEX('V8'!C$300:C$400,MATCH("*"&amp;L29&amp;"*",'V8'!B$300:B$400,0)),"  ")</f>
        <v xml:space="preserve">  </v>
      </c>
      <c r="AH29" s="113">
        <f>IFERROR(INDEX('V9'!C$300:C$399,MATCH("*"&amp;L29&amp;"*",'V9'!B$300:B$399,0)),"  ")</f>
        <v>8</v>
      </c>
      <c r="AI29" s="113" t="str">
        <f>IFERROR(INDEX('V10'!C$300:C$399,MATCH("*"&amp;L29&amp;"*",'V10'!B$300:B$399,0)),"  ")</f>
        <v xml:space="preserve">  </v>
      </c>
      <c r="AJ29" s="114">
        <f t="shared" si="18"/>
        <v>23</v>
      </c>
      <c r="AK29" s="404">
        <f t="shared" si="19"/>
        <v>60</v>
      </c>
      <c r="AL29" s="115" t="str">
        <f t="shared" si="20"/>
        <v>edasi 23</v>
      </c>
      <c r="AM29" s="116" t="str">
        <f>IFERROR(INDEX(#REF!,MATCH("*"&amp;L29&amp;"*",#REF!,0)),"  ")</f>
        <v xml:space="preserve">  </v>
      </c>
      <c r="AN29" s="117">
        <f t="shared" si="21"/>
        <v>5</v>
      </c>
      <c r="AO29" s="118">
        <f t="shared" si="22"/>
        <v>1</v>
      </c>
      <c r="AP29" s="118">
        <f t="shared" si="23"/>
        <v>1</v>
      </c>
      <c r="AQ29" s="122"/>
      <c r="AR29" s="122"/>
      <c r="AS29" s="122"/>
      <c r="AT29" s="119">
        <f t="shared" si="24"/>
        <v>1E-4</v>
      </c>
      <c r="AU29" s="120">
        <f t="shared" si="25"/>
        <v>1E-4</v>
      </c>
      <c r="AV29" s="120">
        <f t="shared" si="26"/>
        <v>2.0000000000000001E-4</v>
      </c>
      <c r="AW29" s="120">
        <f t="shared" si="27"/>
        <v>2.0003000000000002</v>
      </c>
      <c r="AX29" s="120">
        <f t="shared" si="28"/>
        <v>4.0000000000000002E-4</v>
      </c>
      <c r="AY29" s="120">
        <f t="shared" si="29"/>
        <v>16.000499999999999</v>
      </c>
      <c r="AZ29" s="120">
        <f t="shared" si="30"/>
        <v>26.000599999999999</v>
      </c>
      <c r="BA29" s="120">
        <f t="shared" si="31"/>
        <v>8.0007000000000001</v>
      </c>
      <c r="BB29" s="120">
        <f t="shared" si="32"/>
        <v>8.0000000000000004E-4</v>
      </c>
      <c r="BC29" s="120">
        <f t="shared" si="33"/>
        <v>8.0008999999999997</v>
      </c>
      <c r="BD29" s="120">
        <f t="shared" si="34"/>
        <v>1E-3</v>
      </c>
      <c r="BE29" s="122"/>
      <c r="BF29" s="122"/>
      <c r="BG29" s="122"/>
      <c r="BH29" s="122"/>
      <c r="BI29" s="1018" t="e">
        <f t="shared" si="35"/>
        <v>#VALUE!</v>
      </c>
      <c r="BJ29" s="1018" t="e">
        <f t="shared" si="36"/>
        <v>#VALUE!</v>
      </c>
      <c r="BK29" s="1018">
        <f t="shared" si="37"/>
        <v>8</v>
      </c>
      <c r="BL29" s="1018" t="e">
        <f t="shared" si="38"/>
        <v>#VALUE!</v>
      </c>
      <c r="BM29" s="1018">
        <f t="shared" si="39"/>
        <v>5</v>
      </c>
      <c r="BN29" s="1018">
        <f t="shared" si="40"/>
        <v>1</v>
      </c>
      <c r="BO29" s="1018">
        <f t="shared" si="41"/>
        <v>10</v>
      </c>
      <c r="BP29" s="1018" t="e">
        <f t="shared" si="42"/>
        <v>#VALUE!</v>
      </c>
      <c r="BQ29" s="1018">
        <f t="shared" si="43"/>
        <v>9</v>
      </c>
      <c r="BR29" s="1018" t="e">
        <f t="shared" si="44"/>
        <v>#VALUE!</v>
      </c>
    </row>
    <row r="30" spans="1:70" x14ac:dyDescent="0.2">
      <c r="A30" s="647" t="str">
        <f t="shared" si="1"/>
        <v/>
      </c>
      <c r="B30" s="99">
        <f t="shared" si="2"/>
        <v>-976</v>
      </c>
      <c r="C30" s="409" t="str">
        <f t="shared" si="3"/>
        <v/>
      </c>
      <c r="D30" s="367">
        <f t="shared" si="4"/>
        <v>-976</v>
      </c>
      <c r="E30" s="100" t="str">
        <f t="shared" si="5"/>
        <v/>
      </c>
      <c r="F30" s="99">
        <f t="shared" si="6"/>
        <v>-976</v>
      </c>
      <c r="G30" s="101">
        <f t="shared" si="7"/>
        <v>4</v>
      </c>
      <c r="H30" s="99">
        <f t="shared" si="8"/>
        <v>24</v>
      </c>
      <c r="I30" s="102" t="str">
        <f t="shared" si="9"/>
        <v/>
      </c>
      <c r="J30" s="103">
        <f t="shared" si="10"/>
        <v>-976</v>
      </c>
      <c r="K30" s="71">
        <f t="shared" si="11"/>
        <v>24</v>
      </c>
      <c r="L30" s="121" t="s">
        <v>364</v>
      </c>
      <c r="M30" s="105" t="s">
        <v>110</v>
      </c>
      <c r="N30" s="106" t="s">
        <v>110</v>
      </c>
      <c r="O30" s="107"/>
      <c r="P30" s="108"/>
      <c r="Q30" s="109"/>
      <c r="R30" s="110">
        <f>(IF(COUNT(Z30,AA30,AB30,AC30,AD30,AE30,AF30,AG30,AH30,AI30)&lt;10,SUM(Z30,AA30,AB30,AC30,AD30,AE30,AF30,AG30,AH30,AI30),SUM(LARGE((Z30,AA30,AB30,AC30,AD30,AE30,AF30,AG30,AH30,AI30),{1;2;3;4;5;6;7;8;9}))))</f>
        <v>58</v>
      </c>
      <c r="S30" s="111" t="str">
        <f>INDEX(ETAPP!B$1:B$32,MATCH(COUNTIF(BI30:BR30,1),ETAPP!A$1:A$32,0))&amp;INDEX(ETAPP!B$1:B$32,MATCH(COUNTIF(BI30:BR30,2),ETAPP!A$1:A$32,0))&amp;INDEX(ETAPP!B$1:B$32,MATCH(COUNTIF(BI30:BR30,3),ETAPP!A$1:A$32,0))&amp;INDEX(ETAPP!B$1:B$32,MATCH(COUNTIF(BI30:BR30,4),ETAPP!A$1:A$32,0))&amp;INDEX(ETAPP!B$1:B$32,MATCH(COUNTIF(BI30:BR30,5),ETAPP!A$1:A$32,0))&amp;INDEX(ETAPP!B$1:B$32,MATCH(COUNTIF(BI30:BR30,6),ETAPP!A$1:A$32,0))&amp;INDEX(ETAPP!B$1:B$32,MATCH(COUNTIF(BI30:BR30,7),ETAPP!A$1:A$32,0))&amp;INDEX(ETAPP!B$1:B$32,MATCH(COUNTIF(BI30:BR30,8),ETAPP!A$1:A$32,0))&amp;INDEX(ETAPP!B$1:B$32,MATCH(COUNTIF(BI30:BR30,9),ETAPP!A$1:A$32,0))&amp;INDEX(ETAPP!B$1:B$32,MATCH(COUNTIF(BI30:BR30,10),ETAPP!A$1:A$32,0))&amp;INDEX(ETAPP!B$1:B$32,MATCH(COUNTIF(BI30:BR30,11),ETAPP!A$1:A$32,0))&amp;INDEX(ETAPP!B$1:B$32,MATCH(COUNTIF(BI30:BR30,12),ETAPP!A$1:A$32,0))&amp;INDEX(ETAPP!B$1:B$32,MATCH(COUNTIF(BI30:BR30,13),ETAPP!A$1:A$32,0))&amp;INDEX(ETAPP!B$1:B$32,MATCH(COUNTIF(BI30:BR30,14),ETAPP!A$1:A$32,0))&amp;INDEX(ETAPP!B$1:B$32,MATCH(COUNTIF(BI30:BR30,15),ETAPP!A$1:A$32,0))&amp;INDEX(ETAPP!B$1:B$32,MATCH(COUNTIF(BI30:BR30,16),ETAPP!A$1:A$32,0))&amp;INDEX(ETAPP!B$1:B$32,MATCH(COUNTIF(BI30:BR30,17),ETAPP!A$1:A$32,0))&amp;INDEX(ETAPP!B$1:B$32,MATCH(COUNTIF(BI30:BR30,18),ETAPP!A$1:A$32,0))&amp;INDEX(ETAPP!B$1:B$32,MATCH(COUNTIF(BI30:BR30,19),ETAPP!A$1:A$32,0))&amp;INDEX(ETAPP!B$1:B$32,MATCH(COUNTIF(BI30:BR30,20),ETAPP!A$1:A$32,0))&amp;INDEX(ETAPP!B$1:B$32,MATCH(COUNTIF(BI30:BR30,21),ETAPP!A$1:A$32,0))</f>
        <v>AA000A0A000A000000000</v>
      </c>
      <c r="T30" s="111" t="str">
        <f t="shared" si="12"/>
        <v>058,0-AA000A0A000A000000000</v>
      </c>
      <c r="U30" s="111">
        <f t="shared" si="13"/>
        <v>24</v>
      </c>
      <c r="V30" s="111">
        <f t="shared" si="14"/>
        <v>58</v>
      </c>
      <c r="W30" s="111" t="str">
        <f t="shared" si="15"/>
        <v>058,0-AA000A0A000A000000000-058</v>
      </c>
      <c r="X30" s="111">
        <f t="shared" si="16"/>
        <v>24</v>
      </c>
      <c r="Y30" s="112">
        <f t="shared" si="17"/>
        <v>85</v>
      </c>
      <c r="Z30" s="113" t="str">
        <f>IFERROR(INDEX('V1'!C$300:C$400,MATCH("*"&amp;L30&amp;"*",'V1'!B$300:B$400,0)),"  ")</f>
        <v xml:space="preserve">  </v>
      </c>
      <c r="AA30" s="113" t="str">
        <f>IFERROR(INDEX('V2'!C$300:C$400,MATCH("*"&amp;L30&amp;"*",'V2'!B$300:B$400,0)),"  ")</f>
        <v xml:space="preserve">  </v>
      </c>
      <c r="AB30" s="113">
        <f>IFERROR(INDEX('V3'!C$300:C$400,MATCH("*"&amp;L30&amp;"*",'V3'!B$300:B$400,0)),"  ")</f>
        <v>6</v>
      </c>
      <c r="AC30" s="113">
        <f>IFERROR(INDEX('V4'!C$300:C$400,MATCH("*"&amp;L30&amp;"*",'V4'!B$300:B$400,0)),"  ")</f>
        <v>16</v>
      </c>
      <c r="AD30" s="113">
        <f>IFERROR(INDEX('V5'!C$300:C$400,MATCH("*"&amp;L30&amp;"*",'V5'!B$300:B$400,0)),"  ")</f>
        <v>2</v>
      </c>
      <c r="AE30" s="113" t="str">
        <f>IFERROR(INDEX('V6'!C$300:C$400,MATCH("*"&amp;L30&amp;"*",'V6'!B$300:B$400,0)),"  ")</f>
        <v xml:space="preserve">  </v>
      </c>
      <c r="AF30" s="113" t="str">
        <f>IFERROR(INDEX('V7'!C$300:C$400,MATCH("*"&amp;L30&amp;"*",'V7'!B$300:B$400,0)),"  ")</f>
        <v xml:space="preserve">  </v>
      </c>
      <c r="AG30" s="113" t="str">
        <f>IFERROR(INDEX('V8'!C$300:C$400,MATCH("*"&amp;L30&amp;"*",'V8'!B$300:B$400,0)),"  ")</f>
        <v xml:space="preserve">  </v>
      </c>
      <c r="AH30" s="113">
        <f>IFERROR(INDEX('V9'!C$300:C$399,MATCH("*"&amp;L30&amp;"*",'V9'!B$300:B$399,0)),"  ")</f>
        <v>22</v>
      </c>
      <c r="AI30" s="113">
        <f>IFERROR(INDEX('V10'!C$300:C$399,MATCH("*"&amp;L30&amp;"*",'V10'!B$300:B$399,0)),"  ")</f>
        <v>12</v>
      </c>
      <c r="AJ30" s="114">
        <f t="shared" si="18"/>
        <v>24</v>
      </c>
      <c r="AK30" s="404">
        <f t="shared" si="19"/>
        <v>58</v>
      </c>
      <c r="AL30" s="115" t="str">
        <f t="shared" si="20"/>
        <v>edasi 24</v>
      </c>
      <c r="AM30" s="116" t="str">
        <f>IFERROR(INDEX(#REF!,MATCH("*"&amp;L30&amp;"*",#REF!,0)),"  ")</f>
        <v xml:space="preserve">  </v>
      </c>
      <c r="AN30" s="117">
        <f t="shared" si="21"/>
        <v>5</v>
      </c>
      <c r="AO30" s="118">
        <f t="shared" si="22"/>
        <v>2</v>
      </c>
      <c r="AP30" s="118">
        <f t="shared" si="23"/>
        <v>1</v>
      </c>
      <c r="AQ30" s="49"/>
      <c r="AR30" s="1"/>
      <c r="AS30" s="1"/>
      <c r="AT30" s="119">
        <f t="shared" si="24"/>
        <v>1E-4</v>
      </c>
      <c r="AU30" s="120">
        <f t="shared" si="25"/>
        <v>1E-4</v>
      </c>
      <c r="AV30" s="120">
        <f t="shared" si="26"/>
        <v>2.0000000000000001E-4</v>
      </c>
      <c r="AW30" s="120">
        <f t="shared" si="27"/>
        <v>6.0003000000000002</v>
      </c>
      <c r="AX30" s="120">
        <f t="shared" si="28"/>
        <v>16.000399999999999</v>
      </c>
      <c r="AY30" s="120">
        <f t="shared" si="29"/>
        <v>2.0005000000000002</v>
      </c>
      <c r="AZ30" s="120">
        <f t="shared" si="30"/>
        <v>5.9999999999999995E-4</v>
      </c>
      <c r="BA30" s="120">
        <f t="shared" si="31"/>
        <v>6.9999999999999999E-4</v>
      </c>
      <c r="BB30" s="120">
        <f t="shared" si="32"/>
        <v>8.0000000000000004E-4</v>
      </c>
      <c r="BC30" s="120">
        <f t="shared" si="33"/>
        <v>22.000900000000001</v>
      </c>
      <c r="BD30" s="120">
        <f t="shared" si="34"/>
        <v>12.000999999999999</v>
      </c>
      <c r="BI30" s="1018" t="e">
        <f t="shared" si="35"/>
        <v>#VALUE!</v>
      </c>
      <c r="BJ30" s="1018" t="e">
        <f t="shared" si="36"/>
        <v>#VALUE!</v>
      </c>
      <c r="BK30" s="1018">
        <f t="shared" si="37"/>
        <v>6</v>
      </c>
      <c r="BL30" s="1018">
        <f t="shared" si="38"/>
        <v>1</v>
      </c>
      <c r="BM30" s="1018">
        <f t="shared" si="39"/>
        <v>12</v>
      </c>
      <c r="BN30" s="1018" t="e">
        <f t="shared" si="40"/>
        <v>#VALUE!</v>
      </c>
      <c r="BO30" s="1018" t="e">
        <f t="shared" si="41"/>
        <v>#VALUE!</v>
      </c>
      <c r="BP30" s="1018" t="e">
        <f t="shared" si="42"/>
        <v>#VALUE!</v>
      </c>
      <c r="BQ30" s="1018">
        <f t="shared" si="43"/>
        <v>2</v>
      </c>
      <c r="BR30" s="1018">
        <f t="shared" si="44"/>
        <v>8</v>
      </c>
    </row>
    <row r="31" spans="1:70" x14ac:dyDescent="0.2">
      <c r="A31" s="647">
        <f t="shared" si="1"/>
        <v>22</v>
      </c>
      <c r="B31" s="99">
        <f t="shared" si="2"/>
        <v>25</v>
      </c>
      <c r="C31" s="409">
        <f t="shared" si="3"/>
        <v>11</v>
      </c>
      <c r="D31" s="367">
        <f t="shared" si="4"/>
        <v>25</v>
      </c>
      <c r="E31" s="100">
        <f t="shared" si="5"/>
        <v>22</v>
      </c>
      <c r="F31" s="99">
        <f t="shared" si="6"/>
        <v>25</v>
      </c>
      <c r="G31" s="101" t="str">
        <f t="shared" si="7"/>
        <v/>
      </c>
      <c r="H31" s="99">
        <f t="shared" si="8"/>
        <v>-975</v>
      </c>
      <c r="I31" s="102" t="str">
        <f t="shared" si="9"/>
        <v/>
      </c>
      <c r="J31" s="103">
        <f t="shared" si="10"/>
        <v>-975</v>
      </c>
      <c r="K31" s="71">
        <f t="shared" si="11"/>
        <v>25</v>
      </c>
      <c r="L31" s="123" t="s">
        <v>109</v>
      </c>
      <c r="M31" s="105"/>
      <c r="N31" s="106" t="str">
        <f>IF(M31="","m","")</f>
        <v>m</v>
      </c>
      <c r="O31" s="107"/>
      <c r="P31" s="108" t="s">
        <v>317</v>
      </c>
      <c r="Q31" s="109" t="s">
        <v>88</v>
      </c>
      <c r="R31" s="110">
        <f>(IF(COUNT(Z31,AA31,AB31,AC31,AD31,AE31,AF31,AG31,AH31,AI31)&lt;10,SUM(Z31,AA31,AB31,AC31,AD31,AE31,AF31,AG31,AH31,AI31),SUM(LARGE((Z31,AA31,AB31,AC31,AD31,AE31,AF31,AG31,AH31,AI31),{1;2;3;4;5;6;7;8;9}))))</f>
        <v>50</v>
      </c>
      <c r="S31" s="111" t="str">
        <f>INDEX(ETAPP!B$1:B$32,MATCH(COUNTIF(BI31:BR31,1),ETAPP!A$1:A$32,0))&amp;INDEX(ETAPP!B$1:B$32,MATCH(COUNTIF(BI31:BR31,2),ETAPP!A$1:A$32,0))&amp;INDEX(ETAPP!B$1:B$32,MATCH(COUNTIF(BI31:BR31,3),ETAPP!A$1:A$32,0))&amp;INDEX(ETAPP!B$1:B$32,MATCH(COUNTIF(BI31:BR31,4),ETAPP!A$1:A$32,0))&amp;INDEX(ETAPP!B$1:B$32,MATCH(COUNTIF(BI31:BR31,5),ETAPP!A$1:A$32,0))&amp;INDEX(ETAPP!B$1:B$32,MATCH(COUNTIF(BI31:BR31,6),ETAPP!A$1:A$32,0))&amp;INDEX(ETAPP!B$1:B$32,MATCH(COUNTIF(BI31:BR31,7),ETAPP!A$1:A$32,0))&amp;INDEX(ETAPP!B$1:B$32,MATCH(COUNTIF(BI31:BR31,8),ETAPP!A$1:A$32,0))&amp;INDEX(ETAPP!B$1:B$32,MATCH(COUNTIF(BI31:BR31,9),ETAPP!A$1:A$32,0))&amp;INDEX(ETAPP!B$1:B$32,MATCH(COUNTIF(BI31:BR31,10),ETAPP!A$1:A$32,0))&amp;INDEX(ETAPP!B$1:B$32,MATCH(COUNTIF(BI31:BR31,11),ETAPP!A$1:A$32,0))&amp;INDEX(ETAPP!B$1:B$32,MATCH(COUNTIF(BI31:BR31,12),ETAPP!A$1:A$32,0))&amp;INDEX(ETAPP!B$1:B$32,MATCH(COUNTIF(BI31:BR31,13),ETAPP!A$1:A$32,0))&amp;INDEX(ETAPP!B$1:B$32,MATCH(COUNTIF(BI31:BR31,14),ETAPP!A$1:A$32,0))&amp;INDEX(ETAPP!B$1:B$32,MATCH(COUNTIF(BI31:BR31,15),ETAPP!A$1:A$32,0))&amp;INDEX(ETAPP!B$1:B$32,MATCH(COUNTIF(BI31:BR31,16),ETAPP!A$1:A$32,0))&amp;INDEX(ETAPP!B$1:B$32,MATCH(COUNTIF(BI31:BR31,17),ETAPP!A$1:A$32,0))&amp;INDEX(ETAPP!B$1:B$32,MATCH(COUNTIF(BI31:BR31,18),ETAPP!A$1:A$32,0))&amp;INDEX(ETAPP!B$1:B$32,MATCH(COUNTIF(BI31:BR31,19),ETAPP!A$1:A$32,0))&amp;INDEX(ETAPP!B$1:B$32,MATCH(COUNTIF(BI31:BR31,20),ETAPP!A$1:A$32,0))&amp;INDEX(ETAPP!B$1:B$32,MATCH(COUNTIF(BI31:BR31,21),ETAPP!A$1:A$32,0))</f>
        <v>00A000AAAAA0A00000000</v>
      </c>
      <c r="T31" s="111" t="str">
        <f t="shared" si="12"/>
        <v>050,0-00A000AAAAA0A00000000</v>
      </c>
      <c r="U31" s="111">
        <f t="shared" si="13"/>
        <v>25</v>
      </c>
      <c r="V31" s="111">
        <f t="shared" si="14"/>
        <v>77</v>
      </c>
      <c r="W31" s="111" t="str">
        <f t="shared" si="15"/>
        <v>050,0-00A000AAAAA0A00000000-077</v>
      </c>
      <c r="X31" s="111">
        <f t="shared" si="16"/>
        <v>25</v>
      </c>
      <c r="Y31" s="112">
        <f t="shared" si="17"/>
        <v>84</v>
      </c>
      <c r="Z31" s="113" t="str">
        <f>IFERROR(INDEX('V1'!C$300:C$400,MATCH("*"&amp;L31&amp;"*",'V1'!B$300:B$400,0)),"  ")</f>
        <v xml:space="preserve">  </v>
      </c>
      <c r="AA31" s="113">
        <f>IFERROR(INDEX('V2'!C$300:C$400,MATCH("*"&amp;L31&amp;"*",'V2'!B$300:B$400,0)),"  ")</f>
        <v>2</v>
      </c>
      <c r="AB31" s="113">
        <f>IFERROR(INDEX('V3'!C$300:C$400,MATCH("*"&amp;L31&amp;"*",'V3'!B$300:B$400,0)),"  ")</f>
        <v>4</v>
      </c>
      <c r="AC31" s="113" t="str">
        <f>IFERROR(INDEX('V4'!C$300:C$400,MATCH("*"&amp;L31&amp;"*",'V4'!B$300:B$400,0)),"  ")</f>
        <v xml:space="preserve">  </v>
      </c>
      <c r="AD31" s="113" t="str">
        <f>IFERROR(INDEX('V5'!C$300:C$400,MATCH("*"&amp;L31&amp;"*",'V5'!B$300:B$400,0)),"  ")</f>
        <v xml:space="preserve">  </v>
      </c>
      <c r="AE31" s="113">
        <f>IFERROR(INDEX('V6'!C$300:C$400,MATCH("*"&amp;L31&amp;"*",'V6'!B$300:B$400,0)),"  ")</f>
        <v>6</v>
      </c>
      <c r="AF31" s="113">
        <f>IFERROR(INDEX('V7'!C$300:C$400,MATCH("*"&amp;L31&amp;"*",'V7'!B$300:B$400,0)),"  ")</f>
        <v>2</v>
      </c>
      <c r="AG31" s="113">
        <f>IFERROR(INDEX('V8'!C$300:C$400,MATCH("*"&amp;L31&amp;"*",'V8'!B$300:B$400,0)),"  ")</f>
        <v>6</v>
      </c>
      <c r="AH31" s="113">
        <f>IFERROR(INDEX('V9'!C$300:C$399,MATCH("*"&amp;L31&amp;"*",'V9'!B$300:B$399,0)),"  ")</f>
        <v>20</v>
      </c>
      <c r="AI31" s="113">
        <f>IFERROR(INDEX('V10'!C$300:C$399,MATCH("*"&amp;L31&amp;"*",'V10'!B$300:B$399,0)),"  ")</f>
        <v>10</v>
      </c>
      <c r="AJ31" s="114">
        <f t="shared" si="18"/>
        <v>25</v>
      </c>
      <c r="AK31" s="404">
        <f t="shared" si="19"/>
        <v>50</v>
      </c>
      <c r="AL31" s="115" t="str">
        <f t="shared" si="20"/>
        <v>edasi 25</v>
      </c>
      <c r="AM31" s="116" t="str">
        <f>IFERROR(INDEX(#REF!,MATCH("*"&amp;L31&amp;"*",#REF!,0)),"  ")</f>
        <v xml:space="preserve">  </v>
      </c>
      <c r="AN31" s="117">
        <f t="shared" si="21"/>
        <v>7</v>
      </c>
      <c r="AO31" s="118">
        <f t="shared" si="22"/>
        <v>1</v>
      </c>
      <c r="AP31" s="118">
        <f t="shared" si="23"/>
        <v>0</v>
      </c>
      <c r="AQ31" s="122"/>
      <c r="AT31" s="119">
        <f t="shared" si="24"/>
        <v>1E-4</v>
      </c>
      <c r="AU31" s="120">
        <f t="shared" si="25"/>
        <v>1E-4</v>
      </c>
      <c r="AV31" s="120">
        <f t="shared" si="26"/>
        <v>2.0002</v>
      </c>
      <c r="AW31" s="120">
        <f t="shared" si="27"/>
        <v>4.0003000000000002</v>
      </c>
      <c r="AX31" s="120">
        <f t="shared" si="28"/>
        <v>4.0000000000000002E-4</v>
      </c>
      <c r="AY31" s="120">
        <f t="shared" si="29"/>
        <v>5.0000000000000001E-4</v>
      </c>
      <c r="AZ31" s="120">
        <f t="shared" si="30"/>
        <v>6.0006000000000004</v>
      </c>
      <c r="BA31" s="120">
        <f t="shared" si="31"/>
        <v>2.0007000000000001</v>
      </c>
      <c r="BB31" s="120">
        <f t="shared" si="32"/>
        <v>6.0007999999999999</v>
      </c>
      <c r="BC31" s="120">
        <f t="shared" si="33"/>
        <v>20.000900000000001</v>
      </c>
      <c r="BD31" s="120">
        <f t="shared" si="34"/>
        <v>10.000999999999999</v>
      </c>
      <c r="BE31" s="122"/>
      <c r="BF31" s="122"/>
      <c r="BG31" s="122"/>
      <c r="BH31" s="122"/>
      <c r="BI31" s="1018" t="e">
        <f t="shared" si="35"/>
        <v>#VALUE!</v>
      </c>
      <c r="BJ31" s="1018">
        <f t="shared" si="36"/>
        <v>10</v>
      </c>
      <c r="BK31" s="1018">
        <f t="shared" si="37"/>
        <v>7</v>
      </c>
      <c r="BL31" s="1018" t="e">
        <f t="shared" si="38"/>
        <v>#VALUE!</v>
      </c>
      <c r="BM31" s="1018" t="e">
        <f t="shared" si="39"/>
        <v>#VALUE!</v>
      </c>
      <c r="BN31" s="1018">
        <f t="shared" si="40"/>
        <v>11</v>
      </c>
      <c r="BO31" s="1018">
        <f t="shared" si="41"/>
        <v>13</v>
      </c>
      <c r="BP31" s="1018">
        <f t="shared" si="42"/>
        <v>8</v>
      </c>
      <c r="BQ31" s="1018">
        <f t="shared" si="43"/>
        <v>3</v>
      </c>
      <c r="BR31" s="1018">
        <f t="shared" si="44"/>
        <v>9</v>
      </c>
    </row>
    <row r="32" spans="1:70" x14ac:dyDescent="0.2">
      <c r="A32" s="647">
        <f t="shared" si="1"/>
        <v>23</v>
      </c>
      <c r="B32" s="99">
        <f t="shared" si="2"/>
        <v>27</v>
      </c>
      <c r="C32" s="409" t="str">
        <f t="shared" si="3"/>
        <v/>
      </c>
      <c r="D32" s="367">
        <f t="shared" si="4"/>
        <v>-973</v>
      </c>
      <c r="E32" s="100" t="str">
        <f t="shared" si="5"/>
        <v/>
      </c>
      <c r="F32" s="99">
        <f t="shared" si="6"/>
        <v>-973</v>
      </c>
      <c r="G32" s="101">
        <f t="shared" si="7"/>
        <v>5</v>
      </c>
      <c r="H32" s="99">
        <f t="shared" si="8"/>
        <v>27</v>
      </c>
      <c r="I32" s="102" t="str">
        <f t="shared" si="9"/>
        <v/>
      </c>
      <c r="J32" s="103">
        <f t="shared" si="10"/>
        <v>-973</v>
      </c>
      <c r="K32" s="71">
        <f t="shared" si="11"/>
        <v>26</v>
      </c>
      <c r="L32" s="121" t="s">
        <v>121</v>
      </c>
      <c r="M32" s="105" t="s">
        <v>110</v>
      </c>
      <c r="N32" s="106" t="str">
        <f>IF(M32="","m","")</f>
        <v/>
      </c>
      <c r="O32" s="107"/>
      <c r="P32" s="108"/>
      <c r="Q32" s="109" t="s">
        <v>88</v>
      </c>
      <c r="R32" s="110">
        <f>(IF(COUNT(Z32,AA32,AB32,AC32,AD32,AE32,AF32,AG32,AH32,AI32)&lt;10,SUM(Z32,AA32,AB32,AC32,AD32,AE32,AF32,AG32,AH32,AI32),SUM(LARGE((Z32,AA32,AB32,AC32,AD32,AE32,AF32,AG32,AH32,AI32),{1;2;3;4;5;6;7;8;9}))))</f>
        <v>48</v>
      </c>
      <c r="S32" s="111" t="str">
        <f>INDEX(ETAPP!B$1:B$32,MATCH(COUNTIF(BI32:BR32,1),ETAPP!A$1:A$32,0))&amp;INDEX(ETAPP!B$1:B$32,MATCH(COUNTIF(BI32:BR32,2),ETAPP!A$1:A$32,0))&amp;INDEX(ETAPP!B$1:B$32,MATCH(COUNTIF(BI32:BR32,3),ETAPP!A$1:A$32,0))&amp;INDEX(ETAPP!B$1:B$32,MATCH(COUNTIF(BI32:BR32,4),ETAPP!A$1:A$32,0))&amp;INDEX(ETAPP!B$1:B$32,MATCH(COUNTIF(BI32:BR32,5),ETAPP!A$1:A$32,0))&amp;INDEX(ETAPP!B$1:B$32,MATCH(COUNTIF(BI32:BR32,6),ETAPP!A$1:A$32,0))&amp;INDEX(ETAPP!B$1:B$32,MATCH(COUNTIF(BI32:BR32,7),ETAPP!A$1:A$32,0))&amp;INDEX(ETAPP!B$1:B$32,MATCH(COUNTIF(BI32:BR32,8),ETAPP!A$1:A$32,0))&amp;INDEX(ETAPP!B$1:B$32,MATCH(COUNTIF(BI32:BR32,9),ETAPP!A$1:A$32,0))&amp;INDEX(ETAPP!B$1:B$32,MATCH(COUNTIF(BI32:BR32,10),ETAPP!A$1:A$32,0))&amp;INDEX(ETAPP!B$1:B$32,MATCH(COUNTIF(BI32:BR32,11),ETAPP!A$1:A$32,0))&amp;INDEX(ETAPP!B$1:B$32,MATCH(COUNTIF(BI32:BR32,12),ETAPP!A$1:A$32,0))&amp;INDEX(ETAPP!B$1:B$32,MATCH(COUNTIF(BI32:BR32,13),ETAPP!A$1:A$32,0))&amp;INDEX(ETAPP!B$1:B$32,MATCH(COUNTIF(BI32:BR32,14),ETAPP!A$1:A$32,0))&amp;INDEX(ETAPP!B$1:B$32,MATCH(COUNTIF(BI32:BR32,15),ETAPP!A$1:A$32,0))&amp;INDEX(ETAPP!B$1:B$32,MATCH(COUNTIF(BI32:BR32,16),ETAPP!A$1:A$32,0))&amp;INDEX(ETAPP!B$1:B$32,MATCH(COUNTIF(BI32:BR32,17),ETAPP!A$1:A$32,0))&amp;INDEX(ETAPP!B$1:B$32,MATCH(COUNTIF(BI32:BR32,18),ETAPP!A$1:A$32,0))&amp;INDEX(ETAPP!B$1:B$32,MATCH(COUNTIF(BI32:BR32,19),ETAPP!A$1:A$32,0))&amp;INDEX(ETAPP!B$1:B$32,MATCH(COUNTIF(BI32:BR32,20),ETAPP!A$1:A$32,0))&amp;INDEX(ETAPP!B$1:B$32,MATCH(COUNTIF(BI32:BR32,21),ETAPP!A$1:A$32,0))</f>
        <v>00A000AA000B000000000</v>
      </c>
      <c r="T32" s="111" t="str">
        <f t="shared" si="12"/>
        <v>048,0-00A000AA000B000000000</v>
      </c>
      <c r="U32" s="111">
        <f t="shared" si="13"/>
        <v>27</v>
      </c>
      <c r="V32" s="111">
        <f t="shared" si="14"/>
        <v>52</v>
      </c>
      <c r="W32" s="111" t="str">
        <f t="shared" si="15"/>
        <v>048,0-00A000AA000B000000000-052</v>
      </c>
      <c r="X32" s="111">
        <f t="shared" si="16"/>
        <v>26</v>
      </c>
      <c r="Y32" s="112">
        <f t="shared" si="17"/>
        <v>83</v>
      </c>
      <c r="Z32" s="113" t="str">
        <f>IFERROR(INDEX('V1'!C$300:C$400,MATCH("*"&amp;L32&amp;"*",'V1'!B$300:B$400,0)),"  ")</f>
        <v xml:space="preserve">  </v>
      </c>
      <c r="AA32" s="113" t="str">
        <f>IFERROR(INDEX('V2'!C$300:C$400,MATCH("*"&amp;L32&amp;"*",'V2'!B$300:B$400,0)),"  ")</f>
        <v xml:space="preserve">  </v>
      </c>
      <c r="AB32" s="113" t="str">
        <f>IFERROR(INDEX('V3'!C$300:C$400,MATCH("*"&amp;L32&amp;"*",'V3'!B$300:B$400,0)),"  ")</f>
        <v xml:space="preserve">  </v>
      </c>
      <c r="AC32" s="113" t="str">
        <f>IFERROR(INDEX('V4'!C$300:C$400,MATCH("*"&amp;L32&amp;"*",'V4'!B$300:B$400,0)),"  ")</f>
        <v xml:space="preserve">  </v>
      </c>
      <c r="AD32" s="113" t="str">
        <f>IFERROR(INDEX('V5'!C$300:C$400,MATCH("*"&amp;L32&amp;"*",'V5'!B$300:B$400,0)),"  ")</f>
        <v xml:space="preserve">  </v>
      </c>
      <c r="AE32" s="113">
        <f>IFERROR(INDEX('V6'!C$300:C$400,MATCH("*"&amp;L32&amp;"*",'V6'!B$300:B$400,0)),"  ")</f>
        <v>14</v>
      </c>
      <c r="AF32" s="113">
        <f>IFERROR(INDEX('V7'!C$300:C$400,MATCH("*"&amp;L32&amp;"*",'V7'!B$300:B$400,0)),"  ")</f>
        <v>4</v>
      </c>
      <c r="AG32" s="113">
        <f>IFERROR(INDEX('V8'!C$300:C$400,MATCH("*"&amp;L32&amp;"*",'V8'!B$300:B$400,0)),"  ")</f>
        <v>16</v>
      </c>
      <c r="AH32" s="113">
        <f>IFERROR(INDEX('V9'!C$300:C$399,MATCH("*"&amp;L32&amp;"*",'V9'!B$300:B$399,0)),"  ")</f>
        <v>10</v>
      </c>
      <c r="AI32" s="113">
        <f>IFERROR(INDEX('V10'!C$300:C$399,MATCH("*"&amp;L32&amp;"*",'V10'!B$300:B$399,0)),"  ")</f>
        <v>4</v>
      </c>
      <c r="AJ32" s="114">
        <f t="shared" si="18"/>
        <v>26</v>
      </c>
      <c r="AK32" s="404">
        <f t="shared" si="19"/>
        <v>48</v>
      </c>
      <c r="AL32" s="115" t="str">
        <f t="shared" si="20"/>
        <v>edasi 26</v>
      </c>
      <c r="AM32" s="116" t="str">
        <f>IFERROR(INDEX(#REF!,MATCH("*"&amp;L32&amp;"*",#REF!,0)),"  ")</f>
        <v xml:space="preserve">  </v>
      </c>
      <c r="AN32" s="117">
        <f t="shared" si="21"/>
        <v>5</v>
      </c>
      <c r="AO32" s="118">
        <f t="shared" si="22"/>
        <v>1</v>
      </c>
      <c r="AP32" s="118">
        <f t="shared" si="23"/>
        <v>0</v>
      </c>
      <c r="AQ32" s="122"/>
      <c r="AT32" s="119">
        <f t="shared" si="24"/>
        <v>1E-4</v>
      </c>
      <c r="AU32" s="120">
        <f t="shared" si="25"/>
        <v>1E-4</v>
      </c>
      <c r="AV32" s="120">
        <f t="shared" si="26"/>
        <v>2.0000000000000001E-4</v>
      </c>
      <c r="AW32" s="120">
        <f t="shared" si="27"/>
        <v>2.9999999999999997E-4</v>
      </c>
      <c r="AX32" s="120">
        <f t="shared" si="28"/>
        <v>4.0000000000000002E-4</v>
      </c>
      <c r="AY32" s="120">
        <f t="shared" si="29"/>
        <v>5.0000000000000001E-4</v>
      </c>
      <c r="AZ32" s="120">
        <f t="shared" si="30"/>
        <v>14.0006</v>
      </c>
      <c r="BA32" s="120">
        <f t="shared" si="31"/>
        <v>4.0007000000000001</v>
      </c>
      <c r="BB32" s="120">
        <f t="shared" si="32"/>
        <v>16.000800000000002</v>
      </c>
      <c r="BC32" s="120">
        <f t="shared" si="33"/>
        <v>10.0009</v>
      </c>
      <c r="BD32" s="120">
        <f t="shared" si="34"/>
        <v>4.0010000000000003</v>
      </c>
      <c r="BI32" s="1018" t="e">
        <f t="shared" si="35"/>
        <v>#VALUE!</v>
      </c>
      <c r="BJ32" s="1018" t="e">
        <f t="shared" si="36"/>
        <v>#VALUE!</v>
      </c>
      <c r="BK32" s="1018" t="e">
        <f t="shared" si="37"/>
        <v>#VALUE!</v>
      </c>
      <c r="BL32" s="1018" t="e">
        <f t="shared" si="38"/>
        <v>#VALUE!</v>
      </c>
      <c r="BM32" s="1018" t="e">
        <f t="shared" si="39"/>
        <v>#VALUE!</v>
      </c>
      <c r="BN32" s="1018">
        <f t="shared" si="40"/>
        <v>7</v>
      </c>
      <c r="BO32" s="1018">
        <f t="shared" si="41"/>
        <v>12</v>
      </c>
      <c r="BP32" s="1018">
        <f t="shared" si="42"/>
        <v>3</v>
      </c>
      <c r="BQ32" s="1018">
        <f t="shared" si="43"/>
        <v>8</v>
      </c>
      <c r="BR32" s="1018">
        <f t="shared" si="44"/>
        <v>12</v>
      </c>
    </row>
    <row r="33" spans="1:70" x14ac:dyDescent="0.2">
      <c r="A33" s="647">
        <f t="shared" si="1"/>
        <v>23</v>
      </c>
      <c r="B33" s="99">
        <f t="shared" si="2"/>
        <v>27</v>
      </c>
      <c r="C33" s="409" t="str">
        <f t="shared" si="3"/>
        <v/>
      </c>
      <c r="D33" s="367">
        <f t="shared" si="4"/>
        <v>-973</v>
      </c>
      <c r="E33" s="100">
        <f t="shared" si="5"/>
        <v>23</v>
      </c>
      <c r="F33" s="99">
        <f t="shared" si="6"/>
        <v>27</v>
      </c>
      <c r="G33" s="101" t="str">
        <f t="shared" si="7"/>
        <v/>
      </c>
      <c r="H33" s="99">
        <f t="shared" si="8"/>
        <v>-973</v>
      </c>
      <c r="I33" s="102" t="str">
        <f t="shared" si="9"/>
        <v/>
      </c>
      <c r="J33" s="103">
        <f t="shared" si="10"/>
        <v>-973</v>
      </c>
      <c r="K33" s="71">
        <f t="shared" si="11"/>
        <v>26</v>
      </c>
      <c r="L33" s="123" t="s">
        <v>122</v>
      </c>
      <c r="M33" s="105"/>
      <c r="N33" s="106" t="str">
        <f>IF(M33="","m","")</f>
        <v>m</v>
      </c>
      <c r="O33" s="107"/>
      <c r="P33" s="108"/>
      <c r="Q33" s="109" t="s">
        <v>88</v>
      </c>
      <c r="R33" s="110">
        <f>(IF(COUNT(Z33,AA33,AB33,AC33,AD33,AE33,AF33,AG33,AH33,AI33)&lt;10,SUM(Z33,AA33,AB33,AC33,AD33,AE33,AF33,AG33,AH33,AI33),SUM(LARGE((Z33,AA33,AB33,AC33,AD33,AE33,AF33,AG33,AH33,AI33),{1;2;3;4;5;6;7;8;9}))))</f>
        <v>48</v>
      </c>
      <c r="S33" s="111" t="str">
        <f>INDEX(ETAPP!B$1:B$32,MATCH(COUNTIF(BI33:BR33,1),ETAPP!A$1:A$32,0))&amp;INDEX(ETAPP!B$1:B$32,MATCH(COUNTIF(BI33:BR33,2),ETAPP!A$1:A$32,0))&amp;INDEX(ETAPP!B$1:B$32,MATCH(COUNTIF(BI33:BR33,3),ETAPP!A$1:A$32,0))&amp;INDEX(ETAPP!B$1:B$32,MATCH(COUNTIF(BI33:BR33,4),ETAPP!A$1:A$32,0))&amp;INDEX(ETAPP!B$1:B$32,MATCH(COUNTIF(BI33:BR33,5),ETAPP!A$1:A$32,0))&amp;INDEX(ETAPP!B$1:B$32,MATCH(COUNTIF(BI33:BR33,6),ETAPP!A$1:A$32,0))&amp;INDEX(ETAPP!B$1:B$32,MATCH(COUNTIF(BI33:BR33,7),ETAPP!A$1:A$32,0))&amp;INDEX(ETAPP!B$1:B$32,MATCH(COUNTIF(BI33:BR33,8),ETAPP!A$1:A$32,0))&amp;INDEX(ETAPP!B$1:B$32,MATCH(COUNTIF(BI33:BR33,9),ETAPP!A$1:A$32,0))&amp;INDEX(ETAPP!B$1:B$32,MATCH(COUNTIF(BI33:BR33,10),ETAPP!A$1:A$32,0))&amp;INDEX(ETAPP!B$1:B$32,MATCH(COUNTIF(BI33:BR33,11),ETAPP!A$1:A$32,0))&amp;INDEX(ETAPP!B$1:B$32,MATCH(COUNTIF(BI33:BR33,12),ETAPP!A$1:A$32,0))&amp;INDEX(ETAPP!B$1:B$32,MATCH(COUNTIF(BI33:BR33,13),ETAPP!A$1:A$32,0))&amp;INDEX(ETAPP!B$1:B$32,MATCH(COUNTIF(BI33:BR33,14),ETAPP!A$1:A$32,0))&amp;INDEX(ETAPP!B$1:B$32,MATCH(COUNTIF(BI33:BR33,15),ETAPP!A$1:A$32,0))&amp;INDEX(ETAPP!B$1:B$32,MATCH(COUNTIF(BI33:BR33,16),ETAPP!A$1:A$32,0))&amp;INDEX(ETAPP!B$1:B$32,MATCH(COUNTIF(BI33:BR33,17),ETAPP!A$1:A$32,0))&amp;INDEX(ETAPP!B$1:B$32,MATCH(COUNTIF(BI33:BR33,18),ETAPP!A$1:A$32,0))&amp;INDEX(ETAPP!B$1:B$32,MATCH(COUNTIF(BI33:BR33,19),ETAPP!A$1:A$32,0))&amp;INDEX(ETAPP!B$1:B$32,MATCH(COUNTIF(BI33:BR33,20),ETAPP!A$1:A$32,0))&amp;INDEX(ETAPP!B$1:B$32,MATCH(COUNTIF(BI33:BR33,21),ETAPP!A$1:A$32,0))</f>
        <v>00A000AA000B000000000</v>
      </c>
      <c r="T33" s="111" t="str">
        <f t="shared" si="12"/>
        <v>048,0-00A000AA000B000000000</v>
      </c>
      <c r="U33" s="111">
        <f t="shared" si="13"/>
        <v>27</v>
      </c>
      <c r="V33" s="111">
        <f t="shared" si="14"/>
        <v>5</v>
      </c>
      <c r="W33" s="111" t="str">
        <f t="shared" si="15"/>
        <v>048,0-00A000AA000B000000000-005</v>
      </c>
      <c r="X33" s="111">
        <f t="shared" si="16"/>
        <v>27</v>
      </c>
      <c r="Y33" s="112">
        <f t="shared" si="17"/>
        <v>82</v>
      </c>
      <c r="Z33" s="113" t="str">
        <f>IFERROR(INDEX('V1'!C$300:C$400,MATCH("*"&amp;L33&amp;"*",'V1'!B$300:B$400,0)),"  ")</f>
        <v xml:space="preserve">  </v>
      </c>
      <c r="AA33" s="113" t="str">
        <f>IFERROR(INDEX('V2'!C$300:C$400,MATCH("*"&amp;L33&amp;"*",'V2'!B$300:B$400,0)),"  ")</f>
        <v xml:space="preserve">  </v>
      </c>
      <c r="AB33" s="113" t="str">
        <f>IFERROR(INDEX('V3'!C$300:C$400,MATCH("*"&amp;L33&amp;"*",'V3'!B$300:B$400,0)),"  ")</f>
        <v xml:space="preserve">  </v>
      </c>
      <c r="AC33" s="113" t="str">
        <f>IFERROR(INDEX('V4'!C$300:C$400,MATCH("*"&amp;L33&amp;"*",'V4'!B$300:B$400,0)),"  ")</f>
        <v xml:space="preserve">  </v>
      </c>
      <c r="AD33" s="113" t="str">
        <f>IFERROR(INDEX('V5'!C$300:C$400,MATCH("*"&amp;L33&amp;"*",'V5'!B$300:B$400,0)),"  ")</f>
        <v xml:space="preserve">  </v>
      </c>
      <c r="AE33" s="113">
        <f>IFERROR(INDEX('V6'!C$300:C$400,MATCH("*"&amp;L33&amp;"*",'V6'!B$300:B$400,0)),"  ")</f>
        <v>14</v>
      </c>
      <c r="AF33" s="113">
        <f>IFERROR(INDEX('V7'!C$300:C$400,MATCH("*"&amp;L33&amp;"*",'V7'!B$300:B$400,0)),"  ")</f>
        <v>4</v>
      </c>
      <c r="AG33" s="113">
        <f>IFERROR(INDEX('V8'!C$300:C$400,MATCH("*"&amp;L33&amp;"*",'V8'!B$300:B$400,0)),"  ")</f>
        <v>16</v>
      </c>
      <c r="AH33" s="113">
        <f>IFERROR(INDEX('V9'!C$300:C$399,MATCH("*"&amp;L33&amp;"*",'V9'!B$300:B$399,0)),"  ")</f>
        <v>10</v>
      </c>
      <c r="AI33" s="113">
        <f>IFERROR(INDEX('V10'!C$300:C$399,MATCH("*"&amp;L33&amp;"*",'V10'!B$300:B$399,0)),"  ")</f>
        <v>4</v>
      </c>
      <c r="AJ33" s="114">
        <f t="shared" si="18"/>
        <v>26</v>
      </c>
      <c r="AK33" s="404">
        <f t="shared" si="19"/>
        <v>48</v>
      </c>
      <c r="AL33" s="115" t="str">
        <f t="shared" si="20"/>
        <v>edasi 26</v>
      </c>
      <c r="AM33" s="116" t="str">
        <f>IFERROR(INDEX(#REF!,MATCH("*"&amp;L33&amp;"*",#REF!,0)),"  ")</f>
        <v xml:space="preserve">  </v>
      </c>
      <c r="AN33" s="117">
        <f t="shared" si="21"/>
        <v>5</v>
      </c>
      <c r="AO33" s="118">
        <f t="shared" si="22"/>
        <v>1</v>
      </c>
      <c r="AP33" s="118">
        <f t="shared" si="23"/>
        <v>0</v>
      </c>
      <c r="AQ33" s="122"/>
      <c r="AT33" s="119">
        <f t="shared" si="24"/>
        <v>1E-4</v>
      </c>
      <c r="AU33" s="120">
        <f t="shared" si="25"/>
        <v>1E-4</v>
      </c>
      <c r="AV33" s="120">
        <f t="shared" si="26"/>
        <v>2.0000000000000001E-4</v>
      </c>
      <c r="AW33" s="120">
        <f t="shared" si="27"/>
        <v>2.9999999999999997E-4</v>
      </c>
      <c r="AX33" s="120">
        <f t="shared" si="28"/>
        <v>4.0000000000000002E-4</v>
      </c>
      <c r="AY33" s="120">
        <f t="shared" si="29"/>
        <v>5.0000000000000001E-4</v>
      </c>
      <c r="AZ33" s="120">
        <f t="shared" si="30"/>
        <v>14.0006</v>
      </c>
      <c r="BA33" s="120">
        <f t="shared" si="31"/>
        <v>4.0007000000000001</v>
      </c>
      <c r="BB33" s="120">
        <f t="shared" si="32"/>
        <v>16.000800000000002</v>
      </c>
      <c r="BC33" s="120">
        <f t="shared" si="33"/>
        <v>10.0009</v>
      </c>
      <c r="BD33" s="120">
        <f t="shared" si="34"/>
        <v>4.0010000000000003</v>
      </c>
      <c r="BE33" s="1018"/>
      <c r="BI33" s="1018" t="e">
        <f t="shared" si="35"/>
        <v>#VALUE!</v>
      </c>
      <c r="BJ33" s="1018" t="e">
        <f t="shared" si="36"/>
        <v>#VALUE!</v>
      </c>
      <c r="BK33" s="1018" t="e">
        <f t="shared" si="37"/>
        <v>#VALUE!</v>
      </c>
      <c r="BL33" s="1018" t="e">
        <f t="shared" si="38"/>
        <v>#VALUE!</v>
      </c>
      <c r="BM33" s="1018" t="e">
        <f t="shared" si="39"/>
        <v>#VALUE!</v>
      </c>
      <c r="BN33" s="1018">
        <f t="shared" si="40"/>
        <v>7</v>
      </c>
      <c r="BO33" s="1018">
        <f t="shared" si="41"/>
        <v>12</v>
      </c>
      <c r="BP33" s="1018">
        <f t="shared" si="42"/>
        <v>3</v>
      </c>
      <c r="BQ33" s="1018">
        <f t="shared" si="43"/>
        <v>8</v>
      </c>
      <c r="BR33" s="1018">
        <f t="shared" si="44"/>
        <v>12</v>
      </c>
    </row>
    <row r="34" spans="1:70" x14ac:dyDescent="0.2">
      <c r="A34" s="647" t="str">
        <f t="shared" si="1"/>
        <v/>
      </c>
      <c r="B34" s="99">
        <f t="shared" si="2"/>
        <v>-972</v>
      </c>
      <c r="C34" s="409" t="str">
        <f t="shared" si="3"/>
        <v/>
      </c>
      <c r="D34" s="367">
        <f t="shared" si="4"/>
        <v>-972</v>
      </c>
      <c r="E34" s="100">
        <f t="shared" si="5"/>
        <v>24</v>
      </c>
      <c r="F34" s="99">
        <f t="shared" si="6"/>
        <v>28</v>
      </c>
      <c r="G34" s="101" t="str">
        <f t="shared" si="7"/>
        <v/>
      </c>
      <c r="H34" s="99">
        <f t="shared" si="8"/>
        <v>-972</v>
      </c>
      <c r="I34" s="102" t="str">
        <f t="shared" si="9"/>
        <v/>
      </c>
      <c r="J34" s="103">
        <f t="shared" si="10"/>
        <v>-972</v>
      </c>
      <c r="K34" s="71">
        <f t="shared" si="11"/>
        <v>28</v>
      </c>
      <c r="L34" s="104" t="s">
        <v>45</v>
      </c>
      <c r="M34" s="105"/>
      <c r="N34" s="106" t="s">
        <v>105</v>
      </c>
      <c r="O34" s="107"/>
      <c r="P34" s="108"/>
      <c r="Q34" s="109" t="s">
        <v>344</v>
      </c>
      <c r="R34" s="110">
        <f>(IF(COUNT(Z34,AA34,AB34,AC34,AD34,AE34,AF34,AG34,AH34,AI34)&lt;10,SUM(Z34,AA34,AB34,AC34,AD34,AE34,AF34,AG34,AH34,AI34),SUM(LARGE((Z34,AA34,AB34,AC34,AD34,AE34,AF34,AG34,AH34,AI34),{1;2;3;4;5;6;7;8;9}))))</f>
        <v>36</v>
      </c>
      <c r="S34" s="111" t="str">
        <f>INDEX(ETAPP!B$1:B$32,MATCH(COUNTIF(BI34:BR34,1),ETAPP!A$1:A$32,0))&amp;INDEX(ETAPP!B$1:B$32,MATCH(COUNTIF(BI34:BR34,2),ETAPP!A$1:A$32,0))&amp;INDEX(ETAPP!B$1:B$32,MATCH(COUNTIF(BI34:BR34,3),ETAPP!A$1:A$32,0))&amp;INDEX(ETAPP!B$1:B$32,MATCH(COUNTIF(BI34:BR34,4),ETAPP!A$1:A$32,0))&amp;INDEX(ETAPP!B$1:B$32,MATCH(COUNTIF(BI34:BR34,5),ETAPP!A$1:A$32,0))&amp;INDEX(ETAPP!B$1:B$32,MATCH(COUNTIF(BI34:BR34,6),ETAPP!A$1:A$32,0))&amp;INDEX(ETAPP!B$1:B$32,MATCH(COUNTIF(BI34:BR34,7),ETAPP!A$1:A$32,0))&amp;INDEX(ETAPP!B$1:B$32,MATCH(COUNTIF(BI34:BR34,8),ETAPP!A$1:A$32,0))&amp;INDEX(ETAPP!B$1:B$32,MATCH(COUNTIF(BI34:BR34,9),ETAPP!A$1:A$32,0))&amp;INDEX(ETAPP!B$1:B$32,MATCH(COUNTIF(BI34:BR34,10),ETAPP!A$1:A$32,0))&amp;INDEX(ETAPP!B$1:B$32,MATCH(COUNTIF(BI34:BR34,11),ETAPP!A$1:A$32,0))&amp;INDEX(ETAPP!B$1:B$32,MATCH(COUNTIF(BI34:BR34,12),ETAPP!A$1:A$32,0))&amp;INDEX(ETAPP!B$1:B$32,MATCH(COUNTIF(BI34:BR34,13),ETAPP!A$1:A$32,0))&amp;INDEX(ETAPP!B$1:B$32,MATCH(COUNTIF(BI34:BR34,14),ETAPP!A$1:A$32,0))&amp;INDEX(ETAPP!B$1:B$32,MATCH(COUNTIF(BI34:BR34,15),ETAPP!A$1:A$32,0))&amp;INDEX(ETAPP!B$1:B$32,MATCH(COUNTIF(BI34:BR34,16),ETAPP!A$1:A$32,0))&amp;INDEX(ETAPP!B$1:B$32,MATCH(COUNTIF(BI34:BR34,17),ETAPP!A$1:A$32,0))&amp;INDEX(ETAPP!B$1:B$32,MATCH(COUNTIF(BI34:BR34,18),ETAPP!A$1:A$32,0))&amp;INDEX(ETAPP!B$1:B$32,MATCH(COUNTIF(BI34:BR34,19),ETAPP!A$1:A$32,0))&amp;INDEX(ETAPP!B$1:B$32,MATCH(COUNTIF(BI34:BR34,20),ETAPP!A$1:A$32,0))&amp;INDEX(ETAPP!B$1:B$32,MATCH(COUNTIF(BI34:BR34,21),ETAPP!A$1:A$32,0))</f>
        <v>000AA0000000000000000</v>
      </c>
      <c r="T34" s="111" t="str">
        <f t="shared" si="12"/>
        <v>036,0-000AA0000000000000000</v>
      </c>
      <c r="U34" s="111">
        <f t="shared" si="13"/>
        <v>28</v>
      </c>
      <c r="V34" s="111">
        <f t="shared" si="14"/>
        <v>75</v>
      </c>
      <c r="W34" s="111" t="str">
        <f t="shared" si="15"/>
        <v>036,0-000AA0000000000000000-075</v>
      </c>
      <c r="X34" s="111">
        <f t="shared" si="16"/>
        <v>28</v>
      </c>
      <c r="Y34" s="112">
        <f t="shared" si="17"/>
        <v>81</v>
      </c>
      <c r="Z34" s="113" t="str">
        <f>IFERROR(INDEX('V1'!C$300:C$400,MATCH("*"&amp;L34&amp;"*",'V1'!B$300:B$400,0)),"  ")</f>
        <v xml:space="preserve">  </v>
      </c>
      <c r="AA34" s="113" t="str">
        <f>IFERROR(INDEX('V2'!C$300:C$400,MATCH("*"&amp;L34&amp;"*",'V2'!B$300:B$400,0)),"  ")</f>
        <v xml:space="preserve">  </v>
      </c>
      <c r="AB34" s="113" t="str">
        <f>IFERROR(INDEX('V3'!C$300:C$400,MATCH("*"&amp;L34&amp;"*",'V3'!B$300:B$400,0)),"  ")</f>
        <v xml:space="preserve">  </v>
      </c>
      <c r="AC34" s="113" t="str">
        <f>IFERROR(INDEX('V4'!C$300:C$400,MATCH("*"&amp;L34&amp;"*",'V4'!B$300:B$400,0)),"  ")</f>
        <v xml:space="preserve">  </v>
      </c>
      <c r="AD34" s="113" t="str">
        <f>IFERROR(INDEX('V5'!C$300:C$400,MATCH("*"&amp;L34&amp;"*",'V5'!B$300:B$400,0)),"  ")</f>
        <v xml:space="preserve">  </v>
      </c>
      <c r="AE34" s="113" t="str">
        <f>IFERROR(INDEX('V6'!C$300:C$400,MATCH("*"&amp;L34&amp;"*",'V6'!B$300:B$400,0)),"  ")</f>
        <v xml:space="preserve">  </v>
      </c>
      <c r="AF34" s="113" t="str">
        <f>IFERROR(INDEX('V7'!C$300:C$400,MATCH("*"&amp;L34&amp;"*",'V7'!B$300:B$400,0)),"  ")</f>
        <v xml:space="preserve">  </v>
      </c>
      <c r="AG34" s="113" t="str">
        <f>IFERROR(INDEX('V8'!C$300:C$400,MATCH("*"&amp;L34&amp;"*",'V8'!B$300:B$400,0)),"  ")</f>
        <v xml:space="preserve">  </v>
      </c>
      <c r="AH34" s="113">
        <f>IFERROR(INDEX('V9'!C$300:C$399,MATCH("*"&amp;L34&amp;"*",'V9'!B$300:B$399,0)),"  ")</f>
        <v>16</v>
      </c>
      <c r="AI34" s="113">
        <f>IFERROR(INDEX('V10'!C$300:C$399,MATCH("*"&amp;L34&amp;"*",'V10'!B$300:B$399,0)),"  ")</f>
        <v>20</v>
      </c>
      <c r="AJ34" s="114" t="str">
        <f t="shared" si="18"/>
        <v/>
      </c>
      <c r="AK34" s="404">
        <f t="shared" si="19"/>
        <v>36</v>
      </c>
      <c r="AL34" s="115">
        <f t="shared" si="20"/>
        <v>28</v>
      </c>
      <c r="AM34" s="116" t="str">
        <f>IFERROR(INDEX(#REF!,MATCH("*"&amp;L34&amp;"*",#REF!,0)),"  ")</f>
        <v xml:space="preserve">  </v>
      </c>
      <c r="AN34" s="117">
        <f t="shared" si="21"/>
        <v>2</v>
      </c>
      <c r="AO34" s="118">
        <f t="shared" si="22"/>
        <v>0</v>
      </c>
      <c r="AP34" s="118">
        <f t="shared" si="23"/>
        <v>0</v>
      </c>
      <c r="AQ34" s="49"/>
      <c r="AT34" s="119">
        <f t="shared" si="24"/>
        <v>1E-4</v>
      </c>
      <c r="AU34" s="120">
        <f t="shared" si="25"/>
        <v>1E-4</v>
      </c>
      <c r="AV34" s="120">
        <f t="shared" si="26"/>
        <v>2.0000000000000001E-4</v>
      </c>
      <c r="AW34" s="120">
        <f t="shared" si="27"/>
        <v>2.9999999999999997E-4</v>
      </c>
      <c r="AX34" s="120">
        <f t="shared" si="28"/>
        <v>4.0000000000000002E-4</v>
      </c>
      <c r="AY34" s="120">
        <f t="shared" si="29"/>
        <v>5.0000000000000001E-4</v>
      </c>
      <c r="AZ34" s="120">
        <f t="shared" si="30"/>
        <v>5.9999999999999995E-4</v>
      </c>
      <c r="BA34" s="120">
        <f t="shared" si="31"/>
        <v>6.9999999999999999E-4</v>
      </c>
      <c r="BB34" s="120">
        <f t="shared" si="32"/>
        <v>8.0000000000000004E-4</v>
      </c>
      <c r="BC34" s="120">
        <f t="shared" si="33"/>
        <v>16.000900000000001</v>
      </c>
      <c r="BD34" s="120">
        <f t="shared" si="34"/>
        <v>20.001000000000001</v>
      </c>
      <c r="BE34" s="1018"/>
      <c r="BI34" s="1018" t="e">
        <f t="shared" si="35"/>
        <v>#VALUE!</v>
      </c>
      <c r="BJ34" s="1018" t="e">
        <f t="shared" si="36"/>
        <v>#VALUE!</v>
      </c>
      <c r="BK34" s="1018" t="e">
        <f t="shared" si="37"/>
        <v>#VALUE!</v>
      </c>
      <c r="BL34" s="1018" t="e">
        <f t="shared" si="38"/>
        <v>#VALUE!</v>
      </c>
      <c r="BM34" s="1018" t="e">
        <f t="shared" si="39"/>
        <v>#VALUE!</v>
      </c>
      <c r="BN34" s="1018" t="e">
        <f t="shared" si="40"/>
        <v>#VALUE!</v>
      </c>
      <c r="BO34" s="1018" t="e">
        <f t="shared" si="41"/>
        <v>#VALUE!</v>
      </c>
      <c r="BP34" s="1018" t="e">
        <f t="shared" si="42"/>
        <v>#VALUE!</v>
      </c>
      <c r="BQ34" s="1018">
        <f t="shared" si="43"/>
        <v>5</v>
      </c>
      <c r="BR34" s="1018">
        <f t="shared" si="44"/>
        <v>4</v>
      </c>
    </row>
    <row r="35" spans="1:70" x14ac:dyDescent="0.2">
      <c r="A35" s="647">
        <f t="shared" si="1"/>
        <v>25</v>
      </c>
      <c r="B35" s="99">
        <f t="shared" si="2"/>
        <v>29</v>
      </c>
      <c r="C35" s="409">
        <f t="shared" si="3"/>
        <v>12</v>
      </c>
      <c r="D35" s="367">
        <f t="shared" si="4"/>
        <v>29</v>
      </c>
      <c r="E35" s="100">
        <f t="shared" si="5"/>
        <v>25</v>
      </c>
      <c r="F35" s="99">
        <f t="shared" si="6"/>
        <v>29</v>
      </c>
      <c r="G35" s="101" t="str">
        <f t="shared" si="7"/>
        <v/>
      </c>
      <c r="H35" s="99">
        <f t="shared" si="8"/>
        <v>-971</v>
      </c>
      <c r="I35" s="102" t="str">
        <f t="shared" si="9"/>
        <v/>
      </c>
      <c r="J35" s="103">
        <f t="shared" si="10"/>
        <v>-971</v>
      </c>
      <c r="K35" s="71">
        <f t="shared" si="11"/>
        <v>29</v>
      </c>
      <c r="L35" s="123" t="s">
        <v>43</v>
      </c>
      <c r="M35" s="105"/>
      <c r="N35" s="106" t="str">
        <f>IF(M35="","m","")</f>
        <v>m</v>
      </c>
      <c r="O35" s="107"/>
      <c r="P35" s="108" t="s">
        <v>317</v>
      </c>
      <c r="Q35" s="109" t="s">
        <v>88</v>
      </c>
      <c r="R35" s="110">
        <f>(IF(COUNT(Z35,AA35,AB35,AC35,AD35,AE35,AF35,AG35,AH35,AI35)&lt;10,SUM(Z35,AA35,AB35,AC35,AD35,AE35,AF35,AG35,AH35,AI35),SUM(LARGE((Z35,AA35,AB35,AC35,AD35,AE35,AF35,AG35,AH35,AI35),{1;2;3;4;5;6;7;8;9}))))</f>
        <v>26</v>
      </c>
      <c r="S35" s="111" t="str">
        <f>INDEX(ETAPP!B$1:B$32,MATCH(COUNTIF(BI35:BR35,1),ETAPP!A$1:A$32,0))&amp;INDEX(ETAPP!B$1:B$32,MATCH(COUNTIF(BI35:BR35,2),ETAPP!A$1:A$32,0))&amp;INDEX(ETAPP!B$1:B$32,MATCH(COUNTIF(BI35:BR35,3),ETAPP!A$1:A$32,0))&amp;INDEX(ETAPP!B$1:B$32,MATCH(COUNTIF(BI35:BR35,4),ETAPP!A$1:A$32,0))&amp;INDEX(ETAPP!B$1:B$32,MATCH(COUNTIF(BI35:BR35,5),ETAPP!A$1:A$32,0))&amp;INDEX(ETAPP!B$1:B$32,MATCH(COUNTIF(BI35:BR35,6),ETAPP!A$1:A$32,0))&amp;INDEX(ETAPP!B$1:B$32,MATCH(COUNTIF(BI35:BR35,7),ETAPP!A$1:A$32,0))&amp;INDEX(ETAPP!B$1:B$32,MATCH(COUNTIF(BI35:BR35,8),ETAPP!A$1:A$32,0))&amp;INDEX(ETAPP!B$1:B$32,MATCH(COUNTIF(BI35:BR35,9),ETAPP!A$1:A$32,0))&amp;INDEX(ETAPP!B$1:B$32,MATCH(COUNTIF(BI35:BR35,10),ETAPP!A$1:A$32,0))&amp;INDEX(ETAPP!B$1:B$32,MATCH(COUNTIF(BI35:BR35,11),ETAPP!A$1:A$32,0))&amp;INDEX(ETAPP!B$1:B$32,MATCH(COUNTIF(BI35:BR35,12),ETAPP!A$1:A$32,0))&amp;INDEX(ETAPP!B$1:B$32,MATCH(COUNTIF(BI35:BR35,13),ETAPP!A$1:A$32,0))&amp;INDEX(ETAPP!B$1:B$32,MATCH(COUNTIF(BI35:BR35,14),ETAPP!A$1:A$32,0))&amp;INDEX(ETAPP!B$1:B$32,MATCH(COUNTIF(BI35:BR35,15),ETAPP!A$1:A$32,0))&amp;INDEX(ETAPP!B$1:B$32,MATCH(COUNTIF(BI35:BR35,16),ETAPP!A$1:A$32,0))&amp;INDEX(ETAPP!B$1:B$32,MATCH(COUNTIF(BI35:BR35,17),ETAPP!A$1:A$32,0))&amp;INDEX(ETAPP!B$1:B$32,MATCH(COUNTIF(BI35:BR35,18),ETAPP!A$1:A$32,0))&amp;INDEX(ETAPP!B$1:B$32,MATCH(COUNTIF(BI35:BR35,19),ETAPP!A$1:A$32,0))&amp;INDEX(ETAPP!B$1:B$32,MATCH(COUNTIF(BI35:BR35,20),ETAPP!A$1:A$32,0))&amp;INDEX(ETAPP!B$1:B$32,MATCH(COUNTIF(BI35:BR35,21),ETAPP!A$1:A$32,0))</f>
        <v>000000BB0000000000000</v>
      </c>
      <c r="T35" s="111" t="str">
        <f t="shared" si="12"/>
        <v>026,0-000000BB0000000000000</v>
      </c>
      <c r="U35" s="111">
        <f t="shared" si="13"/>
        <v>29</v>
      </c>
      <c r="V35" s="111">
        <f t="shared" si="14"/>
        <v>68</v>
      </c>
      <c r="W35" s="111" t="str">
        <f t="shared" si="15"/>
        <v>026,0-000000BB0000000000000-068</v>
      </c>
      <c r="X35" s="111">
        <f t="shared" si="16"/>
        <v>29</v>
      </c>
      <c r="Y35" s="112">
        <f t="shared" si="17"/>
        <v>80</v>
      </c>
      <c r="Z35" s="113" t="str">
        <f>IFERROR(INDEX('V1'!C$300:C$400,MATCH("*"&amp;L35&amp;"*",'V1'!B$300:B$400,0)),"  ")</f>
        <v xml:space="preserve">  </v>
      </c>
      <c r="AA35" s="113" t="str">
        <f>IFERROR(INDEX('V2'!C$300:C$400,MATCH("*"&amp;L35&amp;"*",'V2'!B$300:B$400,0)),"  ")</f>
        <v xml:space="preserve">  </v>
      </c>
      <c r="AB35" s="113">
        <f>IFERROR(INDEX('V3'!C$300:C$400,MATCH("*"&amp;L35&amp;"*",'V3'!B$300:B$400,0)),"  ")</f>
        <v>4</v>
      </c>
      <c r="AC35" s="113">
        <f>IFERROR(INDEX('V4'!C$300:C$400,MATCH("*"&amp;L35&amp;"*",'V4'!B$300:B$400,0)),"  ")</f>
        <v>2</v>
      </c>
      <c r="AD35" s="113" t="str">
        <f>IFERROR(INDEX('V5'!C$300:C$400,MATCH("*"&amp;L35&amp;"*",'V5'!B$300:B$400,0)),"  ")</f>
        <v xml:space="preserve">  </v>
      </c>
      <c r="AE35" s="113" t="str">
        <f>IFERROR(INDEX('V6'!C$300:C$400,MATCH("*"&amp;L35&amp;"*",'V6'!B$300:B$400,0)),"  ")</f>
        <v xml:space="preserve">  </v>
      </c>
      <c r="AF35" s="113" t="str">
        <f>IFERROR(INDEX('V7'!C$300:C$400,MATCH("*"&amp;L35&amp;"*",'V7'!B$300:B$400,0)),"  ")</f>
        <v xml:space="preserve">  </v>
      </c>
      <c r="AG35" s="113">
        <f>IFERROR(INDEX('V8'!C$300:C$400,MATCH("*"&amp;L35&amp;"*",'V8'!B$300:B$400,0)),"  ")</f>
        <v>6</v>
      </c>
      <c r="AH35" s="113" t="str">
        <f>IFERROR(INDEX('V9'!C$300:C$399,MATCH("*"&amp;L35&amp;"*",'V9'!B$300:B$399,0)),"  ")</f>
        <v xml:space="preserve">  </v>
      </c>
      <c r="AI35" s="113">
        <f>IFERROR(INDEX('V10'!C$300:C$399,MATCH("*"&amp;L35&amp;"*",'V10'!B$300:B$399,0)),"  ")</f>
        <v>14</v>
      </c>
      <c r="AJ35" s="114">
        <f t="shared" si="18"/>
        <v>29</v>
      </c>
      <c r="AK35" s="404">
        <f t="shared" si="19"/>
        <v>26</v>
      </c>
      <c r="AL35" s="115" t="str">
        <f t="shared" si="20"/>
        <v>edasi 28</v>
      </c>
      <c r="AM35" s="116" t="str">
        <f>IFERROR(INDEX(#REF!,MATCH("*"&amp;L35&amp;"*",#REF!,0)),"  ")</f>
        <v xml:space="preserve">  </v>
      </c>
      <c r="AN35" s="117">
        <f t="shared" si="21"/>
        <v>4</v>
      </c>
      <c r="AO35" s="118">
        <f t="shared" si="22"/>
        <v>0</v>
      </c>
      <c r="AP35" s="118">
        <f t="shared" si="23"/>
        <v>0</v>
      </c>
      <c r="AQ35" s="122"/>
      <c r="AT35" s="119">
        <f t="shared" si="24"/>
        <v>1E-4</v>
      </c>
      <c r="AU35" s="120">
        <f t="shared" si="25"/>
        <v>1E-4</v>
      </c>
      <c r="AV35" s="120">
        <f t="shared" si="26"/>
        <v>2.0000000000000001E-4</v>
      </c>
      <c r="AW35" s="120">
        <f t="shared" si="27"/>
        <v>4.0003000000000002</v>
      </c>
      <c r="AX35" s="120">
        <f t="shared" si="28"/>
        <v>2.0004</v>
      </c>
      <c r="AY35" s="120">
        <f t="shared" si="29"/>
        <v>5.0000000000000001E-4</v>
      </c>
      <c r="AZ35" s="120">
        <f t="shared" si="30"/>
        <v>5.9999999999999995E-4</v>
      </c>
      <c r="BA35" s="120">
        <f t="shared" si="31"/>
        <v>6.9999999999999999E-4</v>
      </c>
      <c r="BB35" s="120">
        <f t="shared" si="32"/>
        <v>6.0007999999999999</v>
      </c>
      <c r="BC35" s="120">
        <f t="shared" si="33"/>
        <v>8.9999999999999998E-4</v>
      </c>
      <c r="BD35" s="120">
        <f t="shared" si="34"/>
        <v>14.000999999999999</v>
      </c>
      <c r="BI35" s="1018" t="e">
        <f t="shared" si="35"/>
        <v>#VALUE!</v>
      </c>
      <c r="BJ35" s="1018" t="e">
        <f t="shared" si="36"/>
        <v>#VALUE!</v>
      </c>
      <c r="BK35" s="1018">
        <f t="shared" si="37"/>
        <v>7</v>
      </c>
      <c r="BL35" s="1018">
        <f t="shared" si="38"/>
        <v>8</v>
      </c>
      <c r="BM35" s="1018" t="e">
        <f t="shared" si="39"/>
        <v>#VALUE!</v>
      </c>
      <c r="BN35" s="1018" t="e">
        <f t="shared" si="40"/>
        <v>#VALUE!</v>
      </c>
      <c r="BO35" s="1018" t="e">
        <f t="shared" si="41"/>
        <v>#VALUE!</v>
      </c>
      <c r="BP35" s="1018">
        <f t="shared" si="42"/>
        <v>8</v>
      </c>
      <c r="BQ35" s="1018" t="e">
        <f t="shared" si="43"/>
        <v>#VALUE!</v>
      </c>
      <c r="BR35" s="1018">
        <f t="shared" si="44"/>
        <v>7</v>
      </c>
    </row>
    <row r="36" spans="1:70" x14ac:dyDescent="0.2">
      <c r="A36" s="647" t="str">
        <f t="shared" si="1"/>
        <v/>
      </c>
      <c r="B36" s="99">
        <f t="shared" si="2"/>
        <v>-970</v>
      </c>
      <c r="C36" s="409" t="str">
        <f t="shared" si="3"/>
        <v/>
      </c>
      <c r="D36" s="367">
        <f t="shared" si="4"/>
        <v>-970</v>
      </c>
      <c r="E36" s="100">
        <f t="shared" si="5"/>
        <v>26</v>
      </c>
      <c r="F36" s="99">
        <f t="shared" si="6"/>
        <v>30</v>
      </c>
      <c r="G36" s="101" t="str">
        <f t="shared" si="7"/>
        <v/>
      </c>
      <c r="H36" s="99">
        <f t="shared" si="8"/>
        <v>-970</v>
      </c>
      <c r="I36" s="102" t="str">
        <f t="shared" si="9"/>
        <v/>
      </c>
      <c r="J36" s="103">
        <f t="shared" si="10"/>
        <v>-970</v>
      </c>
      <c r="K36" s="71">
        <f t="shared" si="11"/>
        <v>30</v>
      </c>
      <c r="L36" s="123" t="s">
        <v>113</v>
      </c>
      <c r="M36" s="105"/>
      <c r="N36" s="106" t="str">
        <f>IF(M36="","m","")</f>
        <v>m</v>
      </c>
      <c r="O36" s="107"/>
      <c r="P36" s="108"/>
      <c r="Q36" s="109" t="s">
        <v>344</v>
      </c>
      <c r="R36" s="110">
        <f>(IF(COUNT(Z36,AA36,AB36,AC36,AD36,AE36,AF36,AG36,AH36,AI36)&lt;10,SUM(Z36,AA36,AB36,AC36,AD36,AE36,AF36,AG36,AH36,AI36),SUM(LARGE((Z36,AA36,AB36,AC36,AD36,AE36,AF36,AG36,AH36,AI36),{1;2;3;4;5;6;7;8;9}))))</f>
        <v>24</v>
      </c>
      <c r="S36" s="111" t="str">
        <f>INDEX(ETAPP!B$1:B$32,MATCH(COUNTIF(BI36:BR36,1),ETAPP!A$1:A$32,0))&amp;INDEX(ETAPP!B$1:B$32,MATCH(COUNTIF(BI36:BR36,2),ETAPP!A$1:A$32,0))&amp;INDEX(ETAPP!B$1:B$32,MATCH(COUNTIF(BI36:BR36,3),ETAPP!A$1:A$32,0))&amp;INDEX(ETAPP!B$1:B$32,MATCH(COUNTIF(BI36:BR36,4),ETAPP!A$1:A$32,0))&amp;INDEX(ETAPP!B$1:B$32,MATCH(COUNTIF(BI36:BR36,5),ETAPP!A$1:A$32,0))&amp;INDEX(ETAPP!B$1:B$32,MATCH(COUNTIF(BI36:BR36,6),ETAPP!A$1:A$32,0))&amp;INDEX(ETAPP!B$1:B$32,MATCH(COUNTIF(BI36:BR36,7),ETAPP!A$1:A$32,0))&amp;INDEX(ETAPP!B$1:B$32,MATCH(COUNTIF(BI36:BR36,8),ETAPP!A$1:A$32,0))&amp;INDEX(ETAPP!B$1:B$32,MATCH(COUNTIF(BI36:BR36,9),ETAPP!A$1:A$32,0))&amp;INDEX(ETAPP!B$1:B$32,MATCH(COUNTIF(BI36:BR36,10),ETAPP!A$1:A$32,0))&amp;INDEX(ETAPP!B$1:B$32,MATCH(COUNTIF(BI36:BR36,11),ETAPP!A$1:A$32,0))&amp;INDEX(ETAPP!B$1:B$32,MATCH(COUNTIF(BI36:BR36,12),ETAPP!A$1:A$32,0))&amp;INDEX(ETAPP!B$1:B$32,MATCH(COUNTIF(BI36:BR36,13),ETAPP!A$1:A$32,0))&amp;INDEX(ETAPP!B$1:B$32,MATCH(COUNTIF(BI36:BR36,14),ETAPP!A$1:A$32,0))&amp;INDEX(ETAPP!B$1:B$32,MATCH(COUNTIF(BI36:BR36,15),ETAPP!A$1:A$32,0))&amp;INDEX(ETAPP!B$1:B$32,MATCH(COUNTIF(BI36:BR36,16),ETAPP!A$1:A$32,0))&amp;INDEX(ETAPP!B$1:B$32,MATCH(COUNTIF(BI36:BR36,17),ETAPP!A$1:A$32,0))&amp;INDEX(ETAPP!B$1:B$32,MATCH(COUNTIF(BI36:BR36,18),ETAPP!A$1:A$32,0))&amp;INDEX(ETAPP!B$1:B$32,MATCH(COUNTIF(BI36:BR36,19),ETAPP!A$1:A$32,0))&amp;INDEX(ETAPP!B$1:B$32,MATCH(COUNTIF(BI36:BR36,20),ETAPP!A$1:A$32,0))&amp;INDEX(ETAPP!B$1:B$32,MATCH(COUNTIF(BI36:BR36,21),ETAPP!A$1:A$32,0))</f>
        <v>0A0000000000A00000000</v>
      </c>
      <c r="T36" s="111" t="str">
        <f t="shared" si="12"/>
        <v>024,0-0A0000000000A00000000</v>
      </c>
      <c r="U36" s="111">
        <f t="shared" si="13"/>
        <v>30</v>
      </c>
      <c r="V36" s="111">
        <f t="shared" si="14"/>
        <v>54</v>
      </c>
      <c r="W36" s="111" t="str">
        <f t="shared" si="15"/>
        <v>024,0-0A0000000000A00000000-054</v>
      </c>
      <c r="X36" s="111">
        <f t="shared" si="16"/>
        <v>30</v>
      </c>
      <c r="Y36" s="112">
        <f t="shared" si="17"/>
        <v>79</v>
      </c>
      <c r="Z36" s="113" t="str">
        <f>IFERROR(INDEX('V1'!C$300:C$400,MATCH("*"&amp;L36&amp;"*",'V1'!B$300:B$400,0)),"  ")</f>
        <v xml:space="preserve">  </v>
      </c>
      <c r="AA36" s="113" t="str">
        <f>IFERROR(INDEX('V2'!C$300:C$400,MATCH("*"&amp;L36&amp;"*",'V2'!B$300:B$400,0)),"  ")</f>
        <v xml:space="preserve">  </v>
      </c>
      <c r="AB36" s="113" t="str">
        <f>IFERROR(INDEX('V3'!C$300:C$400,MATCH("*"&amp;L36&amp;"*",'V3'!B$300:B$400,0)),"  ")</f>
        <v xml:space="preserve">  </v>
      </c>
      <c r="AC36" s="113" t="str">
        <f>IFERROR(INDEX('V4'!C$300:C$400,MATCH("*"&amp;L36&amp;"*",'V4'!B$300:B$400,0)),"  ")</f>
        <v xml:space="preserve">  </v>
      </c>
      <c r="AD36" s="113">
        <f>IFERROR(INDEX('V5'!C$300:C$400,MATCH("*"&amp;L36&amp;"*",'V5'!B$300:B$400,0)),"  ")</f>
        <v>22</v>
      </c>
      <c r="AE36" s="113">
        <f>IFERROR(INDEX('V6'!C$300:C$400,MATCH("*"&amp;L36&amp;"*",'V6'!B$300:B$400,0)),"  ")</f>
        <v>2</v>
      </c>
      <c r="AF36" s="113" t="str">
        <f>IFERROR(INDEX('V7'!C$300:C$400,MATCH("*"&amp;L36&amp;"*",'V7'!B$300:B$400,0)),"  ")</f>
        <v xml:space="preserve">  </v>
      </c>
      <c r="AG36" s="113" t="str">
        <f>IFERROR(INDEX('V8'!C$300:C$400,MATCH("*"&amp;L36&amp;"*",'V8'!B$300:B$400,0)),"  ")</f>
        <v xml:space="preserve">  </v>
      </c>
      <c r="AH36" s="113" t="str">
        <f>IFERROR(INDEX('V9'!C$300:C$399,MATCH("*"&amp;L36&amp;"*",'V9'!B$300:B$399,0)),"  ")</f>
        <v xml:space="preserve">  </v>
      </c>
      <c r="AI36" s="113" t="str">
        <f>IFERROR(INDEX('V10'!C$300:C$399,MATCH("*"&amp;L36&amp;"*",'V10'!B$300:B$399,0)),"  ")</f>
        <v xml:space="preserve">  </v>
      </c>
      <c r="AJ36" s="114" t="str">
        <f t="shared" si="18"/>
        <v/>
      </c>
      <c r="AK36" s="404">
        <f t="shared" si="19"/>
        <v>24</v>
      </c>
      <c r="AL36" s="115">
        <f t="shared" si="20"/>
        <v>30</v>
      </c>
      <c r="AM36" s="116" t="str">
        <f>IFERROR(INDEX(#REF!,MATCH("*"&amp;L36&amp;"*",#REF!,0)),"  ")</f>
        <v xml:space="preserve">  </v>
      </c>
      <c r="AN36" s="117">
        <f t="shared" si="21"/>
        <v>2</v>
      </c>
      <c r="AO36" s="118">
        <f t="shared" si="22"/>
        <v>1</v>
      </c>
      <c r="AP36" s="118">
        <f t="shared" si="23"/>
        <v>0</v>
      </c>
      <c r="AQ36" s="49"/>
      <c r="AT36" s="119">
        <f t="shared" si="24"/>
        <v>1E-4</v>
      </c>
      <c r="AU36" s="120">
        <f t="shared" si="25"/>
        <v>1E-4</v>
      </c>
      <c r="AV36" s="120">
        <f t="shared" si="26"/>
        <v>2.0000000000000001E-4</v>
      </c>
      <c r="AW36" s="120">
        <f t="shared" si="27"/>
        <v>2.9999999999999997E-4</v>
      </c>
      <c r="AX36" s="120">
        <f t="shared" si="28"/>
        <v>4.0000000000000002E-4</v>
      </c>
      <c r="AY36" s="120">
        <f t="shared" si="29"/>
        <v>22.000499999999999</v>
      </c>
      <c r="AZ36" s="120">
        <f t="shared" si="30"/>
        <v>2.0005999999999999</v>
      </c>
      <c r="BA36" s="120">
        <f t="shared" si="31"/>
        <v>6.9999999999999999E-4</v>
      </c>
      <c r="BB36" s="120">
        <f t="shared" si="32"/>
        <v>8.0000000000000004E-4</v>
      </c>
      <c r="BC36" s="120">
        <f t="shared" si="33"/>
        <v>8.9999999999999998E-4</v>
      </c>
      <c r="BD36" s="120">
        <f t="shared" si="34"/>
        <v>1E-3</v>
      </c>
      <c r="BE36" s="122"/>
      <c r="BF36" s="122"/>
      <c r="BG36" s="122"/>
      <c r="BH36" s="122"/>
      <c r="BI36" s="1018" t="e">
        <f t="shared" si="35"/>
        <v>#VALUE!</v>
      </c>
      <c r="BJ36" s="1018" t="e">
        <f t="shared" si="36"/>
        <v>#VALUE!</v>
      </c>
      <c r="BK36" s="1018" t="e">
        <f t="shared" si="37"/>
        <v>#VALUE!</v>
      </c>
      <c r="BL36" s="1018" t="e">
        <f t="shared" si="38"/>
        <v>#VALUE!</v>
      </c>
      <c r="BM36" s="1018">
        <f t="shared" si="39"/>
        <v>2</v>
      </c>
      <c r="BN36" s="1018">
        <f t="shared" si="40"/>
        <v>13</v>
      </c>
      <c r="BO36" s="1018" t="e">
        <f t="shared" si="41"/>
        <v>#VALUE!</v>
      </c>
      <c r="BP36" s="1018" t="e">
        <f t="shared" si="42"/>
        <v>#VALUE!</v>
      </c>
      <c r="BQ36" s="1018" t="e">
        <f t="shared" si="43"/>
        <v>#VALUE!</v>
      </c>
      <c r="BR36" s="1018" t="e">
        <f t="shared" si="44"/>
        <v>#VALUE!</v>
      </c>
    </row>
    <row r="37" spans="1:70" x14ac:dyDescent="0.2">
      <c r="A37" s="647" t="str">
        <f t="shared" si="1"/>
        <v/>
      </c>
      <c r="B37" s="99">
        <f t="shared" si="2"/>
        <v>-969</v>
      </c>
      <c r="C37" s="409" t="str">
        <f t="shared" si="3"/>
        <v/>
      </c>
      <c r="D37" s="367">
        <f t="shared" si="4"/>
        <v>-969</v>
      </c>
      <c r="E37" s="100" t="str">
        <f t="shared" si="5"/>
        <v/>
      </c>
      <c r="F37" s="99">
        <f t="shared" si="6"/>
        <v>-969</v>
      </c>
      <c r="G37" s="101">
        <f t="shared" si="7"/>
        <v>6</v>
      </c>
      <c r="H37" s="99">
        <f t="shared" si="8"/>
        <v>31</v>
      </c>
      <c r="I37" s="102" t="str">
        <f t="shared" si="9"/>
        <v/>
      </c>
      <c r="J37" s="103">
        <f t="shared" si="10"/>
        <v>-969</v>
      </c>
      <c r="K37" s="71">
        <f t="shared" si="11"/>
        <v>31</v>
      </c>
      <c r="L37" s="121" t="s">
        <v>449</v>
      </c>
      <c r="M37" s="105" t="s">
        <v>110</v>
      </c>
      <c r="N37" s="106"/>
      <c r="O37" s="107"/>
      <c r="P37" s="108"/>
      <c r="Q37" s="109"/>
      <c r="R37" s="110">
        <f>(IF(COUNT(Z37,AA37,AB37,AC37,AD37,AE37,AF37,AG37,AH37,AI37)&lt;10,SUM(Z37,AA37,AB37,AC37,AD37,AE37,AF37,AG37,AH37,AI37),SUM(LARGE((Z37,AA37,AB37,AC37,AD37,AE37,AF37,AG37,AH37,AI37),{1;2;3;4;5;6;7;8;9}))))</f>
        <v>24</v>
      </c>
      <c r="S37" s="111" t="str">
        <f>INDEX(ETAPP!B$1:B$32,MATCH(COUNTIF(BI37:BR37,1),ETAPP!A$1:A$32,0))&amp;INDEX(ETAPP!B$1:B$32,MATCH(COUNTIF(BI37:BR37,2),ETAPP!A$1:A$32,0))&amp;INDEX(ETAPP!B$1:B$32,MATCH(COUNTIF(BI37:BR37,3),ETAPP!A$1:A$32,0))&amp;INDEX(ETAPP!B$1:B$32,MATCH(COUNTIF(BI37:BR37,4),ETAPP!A$1:A$32,0))&amp;INDEX(ETAPP!B$1:B$32,MATCH(COUNTIF(BI37:BR37,5),ETAPP!A$1:A$32,0))&amp;INDEX(ETAPP!B$1:B$32,MATCH(COUNTIF(BI37:BR37,6),ETAPP!A$1:A$32,0))&amp;INDEX(ETAPP!B$1:B$32,MATCH(COUNTIF(BI37:BR37,7),ETAPP!A$1:A$32,0))&amp;INDEX(ETAPP!B$1:B$32,MATCH(COUNTIF(BI37:BR37,8),ETAPP!A$1:A$32,0))&amp;INDEX(ETAPP!B$1:B$32,MATCH(COUNTIF(BI37:BR37,9),ETAPP!A$1:A$32,0))&amp;INDEX(ETAPP!B$1:B$32,MATCH(COUNTIF(BI37:BR37,10),ETAPP!A$1:A$32,0))&amp;INDEX(ETAPP!B$1:B$32,MATCH(COUNTIF(BI37:BR37,11),ETAPP!A$1:A$32,0))&amp;INDEX(ETAPP!B$1:B$32,MATCH(COUNTIF(BI37:BR37,12),ETAPP!A$1:A$32,0))&amp;INDEX(ETAPP!B$1:B$32,MATCH(COUNTIF(BI37:BR37,13),ETAPP!A$1:A$32,0))&amp;INDEX(ETAPP!B$1:B$32,MATCH(COUNTIF(BI37:BR37,14),ETAPP!A$1:A$32,0))&amp;INDEX(ETAPP!B$1:B$32,MATCH(COUNTIF(BI37:BR37,15),ETAPP!A$1:A$32,0))&amp;INDEX(ETAPP!B$1:B$32,MATCH(COUNTIF(BI37:BR37,16),ETAPP!A$1:A$32,0))&amp;INDEX(ETAPP!B$1:B$32,MATCH(COUNTIF(BI37:BR37,17),ETAPP!A$1:A$32,0))&amp;INDEX(ETAPP!B$1:B$32,MATCH(COUNTIF(BI37:BR37,18),ETAPP!A$1:A$32,0))&amp;INDEX(ETAPP!B$1:B$32,MATCH(COUNTIF(BI37:BR37,19),ETAPP!A$1:A$32,0))&amp;INDEX(ETAPP!B$1:B$32,MATCH(COUNTIF(BI37:BR37,20),ETAPP!A$1:A$32,0))&amp;INDEX(ETAPP!B$1:B$32,MATCH(COUNTIF(BI37:BR37,21),ETAPP!A$1:A$32,0))</f>
        <v>0A0000000000000000000</v>
      </c>
      <c r="T37" s="111" t="str">
        <f t="shared" si="12"/>
        <v>024,0-0A0000000000000000000</v>
      </c>
      <c r="U37" s="111">
        <f t="shared" si="13"/>
        <v>31</v>
      </c>
      <c r="V37" s="111">
        <f t="shared" si="14"/>
        <v>4</v>
      </c>
      <c r="W37" s="111" t="str">
        <f t="shared" si="15"/>
        <v>024,0-0A0000000000000000000-004</v>
      </c>
      <c r="X37" s="111">
        <f t="shared" si="16"/>
        <v>31</v>
      </c>
      <c r="Y37" s="112">
        <f t="shared" si="17"/>
        <v>78</v>
      </c>
      <c r="Z37" s="113" t="str">
        <f>IFERROR(INDEX('V1'!C$300:C$400,MATCH("*"&amp;L37&amp;"*",'V1'!B$300:B$400,0)),"  ")</f>
        <v xml:space="preserve">  </v>
      </c>
      <c r="AA37" s="113" t="str">
        <f>IFERROR(INDEX('V2'!C$300:C$400,MATCH("*"&amp;L37&amp;"*",'V2'!B$300:B$400,0)),"  ")</f>
        <v xml:space="preserve">  </v>
      </c>
      <c r="AB37" s="113" t="str">
        <f>IFERROR(INDEX('V3'!C$300:C$400,MATCH("*"&amp;L37&amp;"*",'V3'!B$300:B$400,0)),"  ")</f>
        <v xml:space="preserve">  </v>
      </c>
      <c r="AC37" s="113" t="str">
        <f>IFERROR(INDEX('V4'!C$300:C$400,MATCH("*"&amp;L37&amp;"*",'V4'!B$300:B$400,0)),"  ")</f>
        <v xml:space="preserve">  </v>
      </c>
      <c r="AD37" s="113" t="str">
        <f>IFERROR(INDEX('V5'!C$300:C$400,MATCH("*"&amp;L37&amp;"*",'V5'!B$300:B$400,0)),"  ")</f>
        <v xml:space="preserve">  </v>
      </c>
      <c r="AE37" s="113" t="str">
        <f>IFERROR(INDEX('V6'!C$300:C$400,MATCH("*"&amp;L37&amp;"*",'V6'!B$300:B$400,0)),"  ")</f>
        <v xml:space="preserve">  </v>
      </c>
      <c r="AF37" s="113" t="str">
        <f>IFERROR(INDEX('V7'!C$300:C$400,MATCH("*"&amp;L37&amp;"*",'V7'!B$300:B$400,0)),"  ")</f>
        <v xml:space="preserve">  </v>
      </c>
      <c r="AG37" s="113" t="str">
        <f>IFERROR(INDEX('V8'!C$300:C$400,MATCH("*"&amp;L37&amp;"*",'V8'!B$300:B$400,0)),"  ")</f>
        <v xml:space="preserve">  </v>
      </c>
      <c r="AH37" s="113" t="str">
        <f>IFERROR(INDEX('V9'!C$300:C$399,MATCH("*"&amp;L37&amp;"*",'V9'!B$300:B$399,0)),"  ")</f>
        <v xml:space="preserve">  </v>
      </c>
      <c r="AI37" s="113">
        <f>IFERROR(INDEX('V10'!C$300:C$399,MATCH("*"&amp;L37&amp;"*",'V10'!B$300:B$399,0)),"  ")</f>
        <v>24</v>
      </c>
      <c r="AJ37" s="114" t="str">
        <f t="shared" si="18"/>
        <v/>
      </c>
      <c r="AK37" s="404">
        <f t="shared" si="19"/>
        <v>24</v>
      </c>
      <c r="AL37" s="115">
        <f t="shared" si="20"/>
        <v>31</v>
      </c>
      <c r="AM37" s="116" t="str">
        <f>IFERROR(INDEX(#REF!,MATCH("*"&amp;L37&amp;"*",#REF!,0)),"  ")</f>
        <v xml:space="preserve">  </v>
      </c>
      <c r="AN37" s="117">
        <f t="shared" si="21"/>
        <v>1</v>
      </c>
      <c r="AO37" s="118">
        <f t="shared" si="22"/>
        <v>1</v>
      </c>
      <c r="AP37" s="118">
        <f t="shared" si="23"/>
        <v>0</v>
      </c>
      <c r="AQ37" s="49"/>
      <c r="AT37" s="119">
        <f t="shared" si="24"/>
        <v>1E-4</v>
      </c>
      <c r="AU37" s="120">
        <f t="shared" si="25"/>
        <v>1E-4</v>
      </c>
      <c r="AV37" s="120">
        <f t="shared" si="26"/>
        <v>2.0000000000000001E-4</v>
      </c>
      <c r="AW37" s="120">
        <f t="shared" si="27"/>
        <v>2.9999999999999997E-4</v>
      </c>
      <c r="AX37" s="120">
        <f t="shared" si="28"/>
        <v>4.0000000000000002E-4</v>
      </c>
      <c r="AY37" s="120">
        <f t="shared" si="29"/>
        <v>5.0000000000000001E-4</v>
      </c>
      <c r="AZ37" s="120">
        <f t="shared" si="30"/>
        <v>5.9999999999999995E-4</v>
      </c>
      <c r="BA37" s="120">
        <f t="shared" si="31"/>
        <v>6.9999999999999999E-4</v>
      </c>
      <c r="BB37" s="120">
        <f t="shared" si="32"/>
        <v>8.0000000000000004E-4</v>
      </c>
      <c r="BC37" s="120">
        <f t="shared" si="33"/>
        <v>8.9999999999999998E-4</v>
      </c>
      <c r="BD37" s="120">
        <f t="shared" si="34"/>
        <v>24.001000000000001</v>
      </c>
      <c r="BI37" s="1018" t="e">
        <f t="shared" si="35"/>
        <v>#VALUE!</v>
      </c>
      <c r="BJ37" s="1018" t="e">
        <f t="shared" si="36"/>
        <v>#VALUE!</v>
      </c>
      <c r="BK37" s="1018" t="e">
        <f t="shared" si="37"/>
        <v>#VALUE!</v>
      </c>
      <c r="BL37" s="1018" t="e">
        <f t="shared" si="38"/>
        <v>#VALUE!</v>
      </c>
      <c r="BM37" s="1018" t="e">
        <f t="shared" si="39"/>
        <v>#VALUE!</v>
      </c>
      <c r="BN37" s="1018" t="e">
        <f t="shared" si="40"/>
        <v>#VALUE!</v>
      </c>
      <c r="BO37" s="1018" t="e">
        <f t="shared" si="41"/>
        <v>#VALUE!</v>
      </c>
      <c r="BP37" s="1018" t="e">
        <f t="shared" si="42"/>
        <v>#VALUE!</v>
      </c>
      <c r="BQ37" s="1018" t="e">
        <f t="shared" si="43"/>
        <v>#VALUE!</v>
      </c>
      <c r="BR37" s="1018">
        <f t="shared" si="44"/>
        <v>2</v>
      </c>
    </row>
    <row r="38" spans="1:70" ht="12.75" customHeight="1" x14ac:dyDescent="0.2">
      <c r="A38" s="647" t="str">
        <f t="shared" si="1"/>
        <v/>
      </c>
      <c r="B38" s="99">
        <f t="shared" si="2"/>
        <v>-968</v>
      </c>
      <c r="C38" s="409" t="str">
        <f t="shared" si="3"/>
        <v/>
      </c>
      <c r="D38" s="367">
        <f t="shared" si="4"/>
        <v>-968</v>
      </c>
      <c r="E38" s="100">
        <f t="shared" si="5"/>
        <v>27</v>
      </c>
      <c r="F38" s="99">
        <f t="shared" si="6"/>
        <v>32</v>
      </c>
      <c r="G38" s="101" t="str">
        <f t="shared" si="7"/>
        <v/>
      </c>
      <c r="H38" s="99">
        <f t="shared" si="8"/>
        <v>-968</v>
      </c>
      <c r="I38" s="102" t="str">
        <f t="shared" si="9"/>
        <v/>
      </c>
      <c r="J38" s="103">
        <f t="shared" si="10"/>
        <v>-968</v>
      </c>
      <c r="K38" s="71">
        <f t="shared" si="11"/>
        <v>32</v>
      </c>
      <c r="L38" s="375" t="s">
        <v>365</v>
      </c>
      <c r="M38" s="345"/>
      <c r="N38" s="346" t="s">
        <v>105</v>
      </c>
      <c r="O38" s="347"/>
      <c r="P38" s="348"/>
      <c r="Q38" s="109" t="s">
        <v>450</v>
      </c>
      <c r="R38" s="110">
        <f>(IF(COUNT(Z38,AA38,AB38,AC38,AD38,AE38,AF38,AG38,AH38,AI38)&lt;10,SUM(Z38,AA38,AB38,AC38,AD38,AE38,AF38,AG38,AH38,AI38),SUM(LARGE((Z38,AA38,AB38,AC38,AD38,AE38,AF38,AG38,AH38,AI38),{1;2;3;4;5;6;7;8;9}))))</f>
        <v>22</v>
      </c>
      <c r="S38" s="111" t="str">
        <f>INDEX(ETAPP!B$1:B$32,MATCH(COUNTIF(BI38:BR38,1),ETAPP!A$1:A$32,0))&amp;INDEX(ETAPP!B$1:B$32,MATCH(COUNTIF(BI38:BR38,2),ETAPP!A$1:A$32,0))&amp;INDEX(ETAPP!B$1:B$32,MATCH(COUNTIF(BI38:BR38,3),ETAPP!A$1:A$32,0))&amp;INDEX(ETAPP!B$1:B$32,MATCH(COUNTIF(BI38:BR38,4),ETAPP!A$1:A$32,0))&amp;INDEX(ETAPP!B$1:B$32,MATCH(COUNTIF(BI38:BR38,5),ETAPP!A$1:A$32,0))&amp;INDEX(ETAPP!B$1:B$32,MATCH(COUNTIF(BI38:BR38,6),ETAPP!A$1:A$32,0))&amp;INDEX(ETAPP!B$1:B$32,MATCH(COUNTIF(BI38:BR38,7),ETAPP!A$1:A$32,0))&amp;INDEX(ETAPP!B$1:B$32,MATCH(COUNTIF(BI38:BR38,8),ETAPP!A$1:A$32,0))&amp;INDEX(ETAPP!B$1:B$32,MATCH(COUNTIF(BI38:BR38,9),ETAPP!A$1:A$32,0))&amp;INDEX(ETAPP!B$1:B$32,MATCH(COUNTIF(BI38:BR38,10),ETAPP!A$1:A$32,0))&amp;INDEX(ETAPP!B$1:B$32,MATCH(COUNTIF(BI38:BR38,11),ETAPP!A$1:A$32,0))&amp;INDEX(ETAPP!B$1:B$32,MATCH(COUNTIF(BI38:BR38,12),ETAPP!A$1:A$32,0))&amp;INDEX(ETAPP!B$1:B$32,MATCH(COUNTIF(BI38:BR38,13),ETAPP!A$1:A$32,0))&amp;INDEX(ETAPP!B$1:B$32,MATCH(COUNTIF(BI38:BR38,14),ETAPP!A$1:A$32,0))&amp;INDEX(ETAPP!B$1:B$32,MATCH(COUNTIF(BI38:BR38,15),ETAPP!A$1:A$32,0))&amp;INDEX(ETAPP!B$1:B$32,MATCH(COUNTIF(BI38:BR38,16),ETAPP!A$1:A$32,0))&amp;INDEX(ETAPP!B$1:B$32,MATCH(COUNTIF(BI38:BR38,17),ETAPP!A$1:A$32,0))&amp;INDEX(ETAPP!B$1:B$32,MATCH(COUNTIF(BI38:BR38,18),ETAPP!A$1:A$32,0))&amp;INDEX(ETAPP!B$1:B$32,MATCH(COUNTIF(BI38:BR38,19),ETAPP!A$1:A$32,0))&amp;INDEX(ETAPP!B$1:B$32,MATCH(COUNTIF(BI38:BR38,20),ETAPP!A$1:A$32,0))&amp;INDEX(ETAPP!B$1:B$32,MATCH(COUNTIF(BI38:BR38,21),ETAPP!A$1:A$32,0))</f>
        <v>0A0000000000000000000</v>
      </c>
      <c r="T38" s="111" t="str">
        <f t="shared" si="12"/>
        <v>022,0-0A0000000000000000000</v>
      </c>
      <c r="U38" s="111">
        <f t="shared" si="13"/>
        <v>32</v>
      </c>
      <c r="V38" s="111">
        <f t="shared" si="14"/>
        <v>33</v>
      </c>
      <c r="W38" s="111" t="str">
        <f t="shared" si="15"/>
        <v>022,0-0A0000000000000000000-033</v>
      </c>
      <c r="X38" s="111">
        <f t="shared" si="16"/>
        <v>32</v>
      </c>
      <c r="Y38" s="112">
        <f t="shared" si="17"/>
        <v>77</v>
      </c>
      <c r="Z38" s="113" t="str">
        <f>IFERROR(INDEX('V1'!C$300:C$400,MATCH("*"&amp;L38&amp;"*",'V1'!B$300:B$400,0)),"  ")</f>
        <v xml:space="preserve">  </v>
      </c>
      <c r="AA38" s="113" t="str">
        <f>IFERROR(INDEX('V2'!C$300:C$400,MATCH("*"&amp;L38&amp;"*",'V2'!B$300:B$400,0)),"  ")</f>
        <v xml:space="preserve">  </v>
      </c>
      <c r="AB38" s="113" t="str">
        <f>IFERROR(INDEX('V3'!C$300:C$400,MATCH("*"&amp;L38&amp;"*",'V3'!B$300:B$400,0)),"  ")</f>
        <v xml:space="preserve">  </v>
      </c>
      <c r="AC38" s="113" t="str">
        <f>IFERROR(INDEX('V4'!C$300:C$400,MATCH("*"&amp;L38&amp;"*",'V4'!B$300:B$400,0)),"  ")</f>
        <v xml:space="preserve">  </v>
      </c>
      <c r="AD38" s="113">
        <f>IFERROR(INDEX('V5'!C$300:C$400,MATCH("*"&amp;L38&amp;"*",'V5'!B$300:B$400,0)),"  ")</f>
        <v>22</v>
      </c>
      <c r="AE38" s="113" t="str">
        <f>IFERROR(INDEX('V6'!C$300:C$400,MATCH("*"&amp;L38&amp;"*",'V6'!B$300:B$400,0)),"  ")</f>
        <v xml:space="preserve">  </v>
      </c>
      <c r="AF38" s="113" t="str">
        <f>IFERROR(INDEX('V7'!C$300:C$400,MATCH("*"&amp;L38&amp;"*",'V7'!B$300:B$400,0)),"  ")</f>
        <v xml:space="preserve">  </v>
      </c>
      <c r="AG38" s="113" t="str">
        <f>IFERROR(INDEX('V8'!C$300:C$400,MATCH("*"&amp;L38&amp;"*",'V8'!B$300:B$400,0)),"  ")</f>
        <v xml:space="preserve">  </v>
      </c>
      <c r="AH38" s="113" t="str">
        <f>IFERROR(INDEX('V9'!C$300:C$399,MATCH("*"&amp;L38&amp;"*",'V9'!B$300:B$399,0)),"  ")</f>
        <v xml:space="preserve">  </v>
      </c>
      <c r="AI38" s="113" t="str">
        <f>IFERROR(INDEX('V10'!C$300:C$399,MATCH("*"&amp;L38&amp;"*",'V10'!B$300:B$399,0)),"  ")</f>
        <v xml:space="preserve">  </v>
      </c>
      <c r="AJ38" s="114" t="str">
        <f t="shared" si="18"/>
        <v/>
      </c>
      <c r="AK38" s="404">
        <f t="shared" si="19"/>
        <v>22</v>
      </c>
      <c r="AL38" s="115">
        <f t="shared" si="20"/>
        <v>32</v>
      </c>
      <c r="AM38" s="116" t="str">
        <f>IFERROR(INDEX(#REF!,MATCH("*"&amp;L38&amp;"*",#REF!,0)),"  ")</f>
        <v xml:space="preserve">  </v>
      </c>
      <c r="AN38" s="117">
        <f t="shared" si="21"/>
        <v>1</v>
      </c>
      <c r="AO38" s="118">
        <f t="shared" si="22"/>
        <v>1</v>
      </c>
      <c r="AP38" s="118">
        <f t="shared" si="23"/>
        <v>0</v>
      </c>
      <c r="AQ38" s="49"/>
      <c r="AR38" s="1018"/>
      <c r="AS38" s="1018"/>
      <c r="AT38" s="119">
        <f t="shared" si="24"/>
        <v>1E-4</v>
      </c>
      <c r="AU38" s="120">
        <f t="shared" si="25"/>
        <v>1E-4</v>
      </c>
      <c r="AV38" s="120">
        <f t="shared" si="26"/>
        <v>2.0000000000000001E-4</v>
      </c>
      <c r="AW38" s="120">
        <f t="shared" si="27"/>
        <v>2.9999999999999997E-4</v>
      </c>
      <c r="AX38" s="120">
        <f t="shared" si="28"/>
        <v>4.0000000000000002E-4</v>
      </c>
      <c r="AY38" s="120">
        <f t="shared" si="29"/>
        <v>22.000499999999999</v>
      </c>
      <c r="AZ38" s="120">
        <f t="shared" si="30"/>
        <v>5.9999999999999995E-4</v>
      </c>
      <c r="BA38" s="120">
        <f t="shared" si="31"/>
        <v>6.9999999999999999E-4</v>
      </c>
      <c r="BB38" s="120">
        <f t="shared" si="32"/>
        <v>8.0000000000000004E-4</v>
      </c>
      <c r="BC38" s="120">
        <f t="shared" si="33"/>
        <v>8.9999999999999998E-4</v>
      </c>
      <c r="BD38" s="120">
        <f t="shared" si="34"/>
        <v>1E-3</v>
      </c>
      <c r="BE38" s="1018"/>
      <c r="BI38" s="1018" t="e">
        <f t="shared" si="35"/>
        <v>#VALUE!</v>
      </c>
      <c r="BJ38" s="1018" t="e">
        <f t="shared" si="36"/>
        <v>#VALUE!</v>
      </c>
      <c r="BK38" s="1018" t="e">
        <f t="shared" si="37"/>
        <v>#VALUE!</v>
      </c>
      <c r="BL38" s="1018" t="e">
        <f t="shared" si="38"/>
        <v>#VALUE!</v>
      </c>
      <c r="BM38" s="1018">
        <f t="shared" si="39"/>
        <v>2</v>
      </c>
      <c r="BN38" s="1018" t="e">
        <f t="shared" si="40"/>
        <v>#VALUE!</v>
      </c>
      <c r="BO38" s="1018" t="e">
        <f t="shared" si="41"/>
        <v>#VALUE!</v>
      </c>
      <c r="BP38" s="1018" t="e">
        <f t="shared" si="42"/>
        <v>#VALUE!</v>
      </c>
      <c r="BQ38" s="1018" t="e">
        <f t="shared" si="43"/>
        <v>#VALUE!</v>
      </c>
      <c r="BR38" s="1018" t="e">
        <f t="shared" si="44"/>
        <v>#VALUE!</v>
      </c>
    </row>
    <row r="39" spans="1:70" ht="12.75" customHeight="1" x14ac:dyDescent="0.2">
      <c r="A39" s="647">
        <f t="shared" ref="A39:A70" si="46">IF(R39&gt;0,IF(Q39="Viru SK",RANK(B39,B$7:B$114,1)-COUNTIF((Q$7:Q$114),"&lt;&gt;Viru SK"),""),"")</f>
        <v>26</v>
      </c>
      <c r="B39" s="99">
        <f t="shared" ref="B39:B70" si="47">IF((Q39="Viru SK"),U39,U39-1000)</f>
        <v>33</v>
      </c>
      <c r="C39" s="409">
        <f t="shared" ref="C39:C70" si="48">IF(R39&gt;0,IF(P39="t",RANK(D39,D$7:D$114,1)-COUNTBLANK(P$7:P$114),""),"")</f>
        <v>13</v>
      </c>
      <c r="D39" s="367">
        <f t="shared" ref="D39:D70" si="49">IF((P39="t"),U39,U39-1000)</f>
        <v>33</v>
      </c>
      <c r="E39" s="100">
        <f t="shared" ref="E39:E70" si="50">IF(R39&gt;0,IF(N39="m",RANK(F39,F$7:F$114,1)-COUNTBLANK(N$7:N$114),""),"")</f>
        <v>28</v>
      </c>
      <c r="F39" s="99">
        <f t="shared" ref="F39:F70" si="51">IF((N39="m"),U39,U39-1000)</f>
        <v>33</v>
      </c>
      <c r="G39" s="101" t="str">
        <f t="shared" ref="G39:G70" si="52">IF(R39&gt;0,IF(M39="n",RANK(H39,H$7:H$114,1)-COUNTBLANK(M$7:M$114),""),"")</f>
        <v/>
      </c>
      <c r="H39" s="99">
        <f t="shared" ref="H39:H70" si="53">IF((M39="n"),U39,U39-1000)</f>
        <v>-967</v>
      </c>
      <c r="I39" s="102" t="str">
        <f t="shared" ref="I39:I70" si="54">IF(R39&gt;0,IF(O39="j",RANK(J39,J$7:J$114,1)-COUNTBLANK(O$7:O$114),""),"")</f>
        <v/>
      </c>
      <c r="J39" s="103">
        <f t="shared" ref="J39:J70" si="55">IF((O39="j"),U39,U39-1000)</f>
        <v>-967</v>
      </c>
      <c r="K39" s="71">
        <f t="shared" ref="K39:K70" si="56">IF(R39&gt;0,RANK(U39,U$7:U$114,1),"")</f>
        <v>33</v>
      </c>
      <c r="L39" s="445" t="s">
        <v>135</v>
      </c>
      <c r="M39" s="446"/>
      <c r="N39" s="447" t="s">
        <v>105</v>
      </c>
      <c r="O39" s="450"/>
      <c r="P39" s="448" t="s">
        <v>317</v>
      </c>
      <c r="Q39" s="449" t="s">
        <v>88</v>
      </c>
      <c r="R39" s="110">
        <f>(IF(COUNT(Z39,AA39,AB39,AC39,AD39,AE39,AF39,AG39,AH39,AI39)&lt;10,SUM(Z39,AA39,AB39,AC39,AD39,AE39,AF39,AG39,AH39,AI39),SUM(LARGE((Z39,AA39,AB39,AC39,AD39,AE39,AF39,AG39,AH39,AI39),{1;2;3;4;5;6;7;8;9}))))</f>
        <v>22</v>
      </c>
      <c r="S39" s="111" t="str">
        <f>INDEX(ETAPP!B$1:B$32,MATCH(COUNTIF(BI39:BR39,1),ETAPP!A$1:A$32,0))&amp;INDEX(ETAPP!B$1:B$32,MATCH(COUNTIF(BI39:BR39,2),ETAPP!A$1:A$32,0))&amp;INDEX(ETAPP!B$1:B$32,MATCH(COUNTIF(BI39:BR39,3),ETAPP!A$1:A$32,0))&amp;INDEX(ETAPP!B$1:B$32,MATCH(COUNTIF(BI39:BR39,4),ETAPP!A$1:A$32,0))&amp;INDEX(ETAPP!B$1:B$32,MATCH(COUNTIF(BI39:BR39,5),ETAPP!A$1:A$32,0))&amp;INDEX(ETAPP!B$1:B$32,MATCH(COUNTIF(BI39:BR39,6),ETAPP!A$1:A$32,0))&amp;INDEX(ETAPP!B$1:B$32,MATCH(COUNTIF(BI39:BR39,7),ETAPP!A$1:A$32,0))&amp;INDEX(ETAPP!B$1:B$32,MATCH(COUNTIF(BI39:BR39,8),ETAPP!A$1:A$32,0))&amp;INDEX(ETAPP!B$1:B$32,MATCH(COUNTIF(BI39:BR39,9),ETAPP!A$1:A$32,0))&amp;INDEX(ETAPP!B$1:B$32,MATCH(COUNTIF(BI39:BR39,10),ETAPP!A$1:A$32,0))&amp;INDEX(ETAPP!B$1:B$32,MATCH(COUNTIF(BI39:BR39,11),ETAPP!A$1:A$32,0))&amp;INDEX(ETAPP!B$1:B$32,MATCH(COUNTIF(BI39:BR39,12),ETAPP!A$1:A$32,0))&amp;INDEX(ETAPP!B$1:B$32,MATCH(COUNTIF(BI39:BR39,13),ETAPP!A$1:A$32,0))&amp;INDEX(ETAPP!B$1:B$32,MATCH(COUNTIF(BI39:BR39,14),ETAPP!A$1:A$32,0))&amp;INDEX(ETAPP!B$1:B$32,MATCH(COUNTIF(BI39:BR39,15),ETAPP!A$1:A$32,0))&amp;INDEX(ETAPP!B$1:B$32,MATCH(COUNTIF(BI39:BR39,16),ETAPP!A$1:A$32,0))&amp;INDEX(ETAPP!B$1:B$32,MATCH(COUNTIF(BI39:BR39,17),ETAPP!A$1:A$32,0))&amp;INDEX(ETAPP!B$1:B$32,MATCH(COUNTIF(BI39:BR39,18),ETAPP!A$1:A$32,0))&amp;INDEX(ETAPP!B$1:B$32,MATCH(COUNTIF(BI39:BR39,19),ETAPP!A$1:A$32,0))&amp;INDEX(ETAPP!B$1:B$32,MATCH(COUNTIF(BI39:BR39,20),ETAPP!A$1:A$32,0))&amp;INDEX(ETAPP!B$1:B$32,MATCH(COUNTIF(BI39:BR39,21),ETAPP!A$1:A$32,0))</f>
        <v>00000A000A00000000000</v>
      </c>
      <c r="T39" s="111" t="str">
        <f t="shared" ref="T39:T70" si="57">TEXT(R39,"000,0")&amp;"-"&amp;S39</f>
        <v>022,0-00000A000A00000000000</v>
      </c>
      <c r="U39" s="111">
        <f t="shared" ref="U39:U70" si="58">COUNTIF(T$7:T$114,"&gt;="&amp;T39)</f>
        <v>33</v>
      </c>
      <c r="V39" s="111">
        <f t="shared" ref="V39:V70" si="59">COUNTIF(L$7:L$114,"&gt;="&amp;L39)</f>
        <v>10</v>
      </c>
      <c r="W39" s="111" t="str">
        <f t="shared" ref="W39:W70" si="60">TEXT(R39,"000,0")&amp;"-"&amp;S39&amp;"-"&amp;TEXT(V39,"000")</f>
        <v>022,0-00000A000A00000000000-010</v>
      </c>
      <c r="X39" s="111">
        <f t="shared" ref="X39:X70" si="61">COUNTIF(W$7:W$114,"&gt;="&amp;W39)</f>
        <v>33</v>
      </c>
      <c r="Y39" s="112">
        <f t="shared" ref="Y39:Y70" si="62">RANK(X39,X$7:X$114,0)</f>
        <v>76</v>
      </c>
      <c r="Z39" s="113" t="str">
        <f>IFERROR(INDEX('V1'!C$300:C$400,MATCH("*"&amp;L39&amp;"*",'V1'!B$300:B$400,0)),"  ")</f>
        <v xml:space="preserve">  </v>
      </c>
      <c r="AA39" s="113" t="str">
        <f>IFERROR(INDEX('V2'!C$300:C$400,MATCH("*"&amp;L39&amp;"*",'V2'!B$300:B$400,0)),"  ")</f>
        <v xml:space="preserve">  </v>
      </c>
      <c r="AB39" s="113" t="str">
        <f>IFERROR(INDEX('V3'!C$300:C$400,MATCH("*"&amp;L39&amp;"*",'V3'!B$300:B$400,0)),"  ")</f>
        <v xml:space="preserve">  </v>
      </c>
      <c r="AC39" s="113" t="str">
        <f>IFERROR(INDEX('V4'!C$300:C$400,MATCH("*"&amp;L39&amp;"*",'V4'!B$300:B$400,0)),"  ")</f>
        <v xml:space="preserve">  </v>
      </c>
      <c r="AD39" s="113" t="str">
        <f>IFERROR(INDEX('V5'!C$300:C$400,MATCH("*"&amp;L39&amp;"*",'V5'!B$300:B$400,0)),"  ")</f>
        <v xml:space="preserve">  </v>
      </c>
      <c r="AE39" s="113" t="str">
        <f>IFERROR(INDEX('V6'!C$300:C$400,MATCH("*"&amp;L39&amp;"*",'V6'!B$300:B$400,0)),"  ")</f>
        <v xml:space="preserve">  </v>
      </c>
      <c r="AF39" s="113" t="str">
        <f>IFERROR(INDEX('V7'!C$300:C$400,MATCH("*"&amp;L39&amp;"*",'V7'!B$300:B$400,0)),"  ")</f>
        <v xml:space="preserve">  </v>
      </c>
      <c r="AG39" s="113" t="str">
        <f>IFERROR(INDEX('V8'!C$300:C$400,MATCH("*"&amp;L39&amp;"*",'V8'!B$300:B$400,0)),"  ")</f>
        <v xml:space="preserve">  </v>
      </c>
      <c r="AH39" s="113">
        <f>IFERROR(INDEX('V9'!C$300:C$399,MATCH("*"&amp;L39&amp;"*",'V9'!B$300:B$399,0)),"  ")</f>
        <v>6</v>
      </c>
      <c r="AI39" s="113">
        <f>IFERROR(INDEX('V10'!C$300:C$399,MATCH("*"&amp;L39&amp;"*",'V10'!B$300:B$399,0)),"  ")</f>
        <v>16</v>
      </c>
      <c r="AJ39" s="114" t="str">
        <f t="shared" ref="AJ39:AJ70" si="63">IF(AN39&gt;(AT$2-1),K39,"")</f>
        <v/>
      </c>
      <c r="AK39" s="404">
        <f t="shared" ref="AK39:AK70" si="64">SUM(Z39:AI39)</f>
        <v>22</v>
      </c>
      <c r="AL39" s="115">
        <f t="shared" ref="AL39:AL70" si="65">IFERROR("edasi "&amp;RANK(AJ39,AJ$7:AJ$114,1),K39)</f>
        <v>33</v>
      </c>
      <c r="AM39" s="116" t="str">
        <f>IFERROR(INDEX(#REF!,MATCH("*"&amp;L39&amp;"*",#REF!,0)),"  ")</f>
        <v xml:space="preserve">  </v>
      </c>
      <c r="AN39" s="117">
        <f t="shared" ref="AN39:AN70" si="66">COUNTIF(Z39:AI39,"&gt;=0")</f>
        <v>2</v>
      </c>
      <c r="AO39" s="118">
        <f t="shared" ref="AO39:AO70" si="67">IFERROR(IF(Z39+1&gt;LARGE(Z$7:Z$114,1)-2*LEN(Z$5),1),0)+IFERROR(IF(AA39+1&gt;LARGE(AA$7:AA$114,1)-2*LEN(AA$5),1),0)+IFERROR(IF(AB39+1&gt;LARGE(AB$7:AB$114,1)-2*LEN(AB$5),1),0)+IFERROR(IF(AC39+1&gt;LARGE(AC$7:AC$114,1)-2*LEN(AC$5),1),0)+IFERROR(IF(AD39+1&gt;LARGE(AD$7:AD$114,1)-2*LEN(AD$5),1),0)+IFERROR(IF(AE39+1&gt;LARGE(AE$7:AE$114,1)-2*LEN(AE$5),1),0)+IFERROR(IF(AF39+1&gt;LARGE(AF$7:AF$114,1)-2*LEN(AF$5),1),0)+IFERROR(IF(AG39+1&gt;LARGE(AG$7:AG$114,1)-2*LEN(AG$5),1),0)+IFERROR(IF(AH39+1&gt;LARGE(AH$7:AH$114,1)-2*LEN(AH$5),1),0)+IFERROR(IF(AI39+1&gt;LARGE(AI$7:AI$114,1)-2*LEN(AI$5),1),0)</f>
        <v>0</v>
      </c>
      <c r="AP39" s="118">
        <f t="shared" ref="AP39:AP70" si="68">IF(Z39=0,0,IF(Z39=IFERROR(LARGE(Z$7:Z$114,1),0),1,0))+IF(AA39=0,0,IF(AA39=IFERROR(LARGE(AA$7:AA$114,1),0),1,0))+IF(AB39=0,0,IF(AB39=IFERROR(LARGE(AB$7:AB$114,1),0),1,0))+IF(AC39=0,0,IF(AC39=IFERROR(LARGE(AC$7:AC$114,1),0),1,0))+IF(AD39=0,0,IF(AD39=IFERROR(LARGE(AD$7:AD$114,1),0),1,0))+IF(AE39=0,0,IF(AE39=IFERROR(LARGE(AE$7:AE$114,1),0),1,0))+IF(AF39=0,0,IF(AF39=IFERROR(LARGE(AF$7:AF$114,1),0),1,0))+IF(AG39=0,0,IF(AG39=IFERROR(LARGE(AG$7:AG$114,1),0),1,0))+IF(AH39=0,0,IF(AH39=IFERROR(LARGE(AH$7:AH$114,1),0),1,0))+IF(AI39=0,0,IF(AI39=IFERROR(LARGE(AI$7:AI$114,1),0),1,0))</f>
        <v>0</v>
      </c>
      <c r="AQ39" s="122"/>
      <c r="AR39" s="122"/>
      <c r="AS39" s="122"/>
      <c r="AT39" s="119">
        <f t="shared" ref="AT39:AT70" si="69">SMALL(AU39:BD39,AT$3)</f>
        <v>1E-4</v>
      </c>
      <c r="AU39" s="120">
        <f t="shared" ref="AU39:AU70" si="70">IF(Z39="  ",0+MID(Z$6,FIND("V",Z$6)+1,256)/10000,Z39+MID(Z$6,FIND("V",Z$6)+1,256)/10000)</f>
        <v>1E-4</v>
      </c>
      <c r="AV39" s="120">
        <f t="shared" ref="AV39:AV70" si="71">IF(AA39="  ",0+MID(AA$6,FIND("V",AA$6)+1,256)/10000,AA39+MID(AA$6,FIND("V",AA$6)+1,256)/10000)</f>
        <v>2.0000000000000001E-4</v>
      </c>
      <c r="AW39" s="120">
        <f t="shared" ref="AW39:AW70" si="72">IF(AB39="  ",0+MID(AB$6,FIND("V",AB$6)+1,256)/10000,AB39+MID(AB$6,FIND("V",AB$6)+1,256)/10000)</f>
        <v>2.9999999999999997E-4</v>
      </c>
      <c r="AX39" s="120">
        <f t="shared" ref="AX39:AX70" si="73">IF(AC39="  ",0+MID(AC$6,FIND("V",AC$6)+1,256)/10000,AC39+MID(AC$6,FIND("V",AC$6)+1,256)/10000)</f>
        <v>4.0000000000000002E-4</v>
      </c>
      <c r="AY39" s="120">
        <f t="shared" ref="AY39:AY70" si="74">IF(AD39="  ",0+MID(AD$6,FIND("V",AD$6)+1,256)/10000,AD39+MID(AD$6,FIND("V",AD$6)+1,256)/10000)</f>
        <v>5.0000000000000001E-4</v>
      </c>
      <c r="AZ39" s="120">
        <f t="shared" ref="AZ39:AZ70" si="75">IF(AE39="  ",0+MID(AE$6,FIND("V",AE$6)+1,256)/10000,AE39+MID(AE$6,FIND("V",AE$6)+1,256)/10000)</f>
        <v>5.9999999999999995E-4</v>
      </c>
      <c r="BA39" s="120">
        <f t="shared" ref="BA39:BA70" si="76">IF(AF39="  ",0+MID(AF$6,FIND("V",AF$6)+1,256)/10000,AF39+MID(AF$6,FIND("V",AF$6)+1,256)/10000)</f>
        <v>6.9999999999999999E-4</v>
      </c>
      <c r="BB39" s="120">
        <f t="shared" ref="BB39:BB70" si="77">IF(AG39="  ",0+MID(AG$6,FIND("V",AG$6)+1,256)/10000,AG39+MID(AG$6,FIND("V",AG$6)+1,256)/10000)</f>
        <v>8.0000000000000004E-4</v>
      </c>
      <c r="BC39" s="120">
        <f t="shared" ref="BC39:BC70" si="78">IF(AH39="  ",0+MID(AH$6,FIND("V",AH$6)+1,256)/10000,AH39+MID(AH$6,FIND("V",AH$6)+1,256)/10000)</f>
        <v>6.0008999999999997</v>
      </c>
      <c r="BD39" s="120">
        <f t="shared" ref="BD39:BD70" si="79">IF(AI39="  ",0+MID(AI$6,FIND("V",AI$6)+1,256)/10000,AI39+MID(AI$6,FIND("V",AI$6)+1,256)/10000)</f>
        <v>16.001000000000001</v>
      </c>
      <c r="BE39" s="122"/>
      <c r="BF39" s="122"/>
      <c r="BG39" s="122"/>
      <c r="BH39" s="122"/>
      <c r="BI39" s="1018" t="e">
        <f t="shared" ref="BI39:BI70" si="80">(LARGE(Z$7:Z$114,1)-Z39)/2+1</f>
        <v>#VALUE!</v>
      </c>
      <c r="BJ39" s="1018" t="e">
        <f t="shared" ref="BJ39:BJ70" si="81">(LARGE(AA$7:AA$114,1)-AA39)/2+1</f>
        <v>#VALUE!</v>
      </c>
      <c r="BK39" s="1018" t="e">
        <f t="shared" ref="BK39:BK70" si="82">(LARGE(AB$7:AB$114,1)-AB39)/2+1</f>
        <v>#VALUE!</v>
      </c>
      <c r="BL39" s="1018" t="e">
        <f t="shared" ref="BL39:BL70" si="83">(LARGE(AC$7:AC$114,1)-AC39)/2+1</f>
        <v>#VALUE!</v>
      </c>
      <c r="BM39" s="1018" t="e">
        <f t="shared" ref="BM39:BM70" si="84">(LARGE(AD$7:AD$114,1)-AD39)/2+1</f>
        <v>#VALUE!</v>
      </c>
      <c r="BN39" s="1018" t="e">
        <f t="shared" ref="BN39:BN70" si="85">(LARGE(AE$7:AE$114,1)-AE39)/2+1</f>
        <v>#VALUE!</v>
      </c>
      <c r="BO39" s="1018" t="e">
        <f t="shared" ref="BO39:BO70" si="86">(LARGE(AF$7:AF$114,1)-AF39)/2+1</f>
        <v>#VALUE!</v>
      </c>
      <c r="BP39" s="1018" t="e">
        <f t="shared" ref="BP39:BP70" si="87">(LARGE(AG$7:AG$114,1)-AG39)/2+1</f>
        <v>#VALUE!</v>
      </c>
      <c r="BQ39" s="1018">
        <f t="shared" ref="BQ39:BQ70" si="88">(LARGE(AH$7:AH$114,1)-AH39)/2+1</f>
        <v>10</v>
      </c>
      <c r="BR39" s="1018">
        <f t="shared" ref="BR39:BR70" si="89">(LARGE(AI$7:AI$114,1)-AI39)/2+1</f>
        <v>6</v>
      </c>
    </row>
    <row r="40" spans="1:70" ht="12.75" customHeight="1" x14ac:dyDescent="0.2">
      <c r="A40" s="647">
        <f t="shared" si="46"/>
        <v>27</v>
      </c>
      <c r="B40" s="99">
        <f t="shared" si="47"/>
        <v>34</v>
      </c>
      <c r="C40" s="409" t="str">
        <f t="shared" si="48"/>
        <v/>
      </c>
      <c r="D40" s="367">
        <f t="shared" si="49"/>
        <v>-966</v>
      </c>
      <c r="E40" s="100" t="str">
        <f t="shared" si="50"/>
        <v/>
      </c>
      <c r="F40" s="99">
        <f t="shared" si="51"/>
        <v>-966</v>
      </c>
      <c r="G40" s="101">
        <f t="shared" si="52"/>
        <v>7</v>
      </c>
      <c r="H40" s="99">
        <f t="shared" si="53"/>
        <v>34</v>
      </c>
      <c r="I40" s="102" t="str">
        <f t="shared" si="54"/>
        <v/>
      </c>
      <c r="J40" s="103">
        <f t="shared" si="55"/>
        <v>-966</v>
      </c>
      <c r="K40" s="71">
        <f t="shared" si="56"/>
        <v>34</v>
      </c>
      <c r="L40" s="407" t="s">
        <v>248</v>
      </c>
      <c r="M40" s="345" t="s">
        <v>110</v>
      </c>
      <c r="N40" s="346"/>
      <c r="O40" s="347"/>
      <c r="P40" s="348"/>
      <c r="Q40" s="349" t="s">
        <v>88</v>
      </c>
      <c r="R40" s="110">
        <f>(IF(COUNT(Z40,AA40,AB40,AC40,AD40,AE40,AF40,AG40,AH40,AI40)&lt;10,SUM(Z40,AA40,AB40,AC40,AD40,AE40,AF40,AG40,AH40,AI40),SUM(LARGE((Z40,AA40,AB40,AC40,AD40,AE40,AF40,AG40,AH40,AI40),{1;2;3;4;5;6;7;8;9}))))</f>
        <v>20</v>
      </c>
      <c r="S40" s="111" t="str">
        <f>INDEX(ETAPP!B$1:B$32,MATCH(COUNTIF(BI40:BR40,1),ETAPP!A$1:A$32,0))&amp;INDEX(ETAPP!B$1:B$32,MATCH(COUNTIF(BI40:BR40,2),ETAPP!A$1:A$32,0))&amp;INDEX(ETAPP!B$1:B$32,MATCH(COUNTIF(BI40:BR40,3),ETAPP!A$1:A$32,0))&amp;INDEX(ETAPP!B$1:B$32,MATCH(COUNTIF(BI40:BR40,4),ETAPP!A$1:A$32,0))&amp;INDEX(ETAPP!B$1:B$32,MATCH(COUNTIF(BI40:BR40,5),ETAPP!A$1:A$32,0))&amp;INDEX(ETAPP!B$1:B$32,MATCH(COUNTIF(BI40:BR40,6),ETAPP!A$1:A$32,0))&amp;INDEX(ETAPP!B$1:B$32,MATCH(COUNTIF(BI40:BR40,7),ETAPP!A$1:A$32,0))&amp;INDEX(ETAPP!B$1:B$32,MATCH(COUNTIF(BI40:BR40,8),ETAPP!A$1:A$32,0))&amp;INDEX(ETAPP!B$1:B$32,MATCH(COUNTIF(BI40:BR40,9),ETAPP!A$1:A$32,0))&amp;INDEX(ETAPP!B$1:B$32,MATCH(COUNTIF(BI40:BR40,10),ETAPP!A$1:A$32,0))&amp;INDEX(ETAPP!B$1:B$32,MATCH(COUNTIF(BI40:BR40,11),ETAPP!A$1:A$32,0))&amp;INDEX(ETAPP!B$1:B$32,MATCH(COUNTIF(BI40:BR40,12),ETAPP!A$1:A$32,0))&amp;INDEX(ETAPP!B$1:B$32,MATCH(COUNTIF(BI40:BR40,13),ETAPP!A$1:A$32,0))&amp;INDEX(ETAPP!B$1:B$32,MATCH(COUNTIF(BI40:BR40,14),ETAPP!A$1:A$32,0))&amp;INDEX(ETAPP!B$1:B$32,MATCH(COUNTIF(BI40:BR40,15),ETAPP!A$1:A$32,0))&amp;INDEX(ETAPP!B$1:B$32,MATCH(COUNTIF(BI40:BR40,16),ETAPP!A$1:A$32,0))&amp;INDEX(ETAPP!B$1:B$32,MATCH(COUNTIF(BI40:BR40,17),ETAPP!A$1:A$32,0))&amp;INDEX(ETAPP!B$1:B$32,MATCH(COUNTIF(BI40:BR40,18),ETAPP!A$1:A$32,0))&amp;INDEX(ETAPP!B$1:B$32,MATCH(COUNTIF(BI40:BR40,19),ETAPP!A$1:A$32,0))&amp;INDEX(ETAPP!B$1:B$32,MATCH(COUNTIF(BI40:BR40,20),ETAPP!A$1:A$32,0))&amp;INDEX(ETAPP!B$1:B$32,MATCH(COUNTIF(BI40:BR40,21),ETAPP!A$1:A$32,0))</f>
        <v>0000000ABA00000000000</v>
      </c>
      <c r="T40" s="111" t="str">
        <f t="shared" si="57"/>
        <v>020,0-0000000ABA00000000000</v>
      </c>
      <c r="U40" s="111">
        <f t="shared" si="58"/>
        <v>34</v>
      </c>
      <c r="V40" s="111">
        <f t="shared" si="59"/>
        <v>53</v>
      </c>
      <c r="W40" s="111" t="str">
        <f t="shared" si="60"/>
        <v>020,0-0000000ABA00000000000-053</v>
      </c>
      <c r="X40" s="111">
        <f t="shared" si="61"/>
        <v>34</v>
      </c>
      <c r="Y40" s="112">
        <f t="shared" si="62"/>
        <v>75</v>
      </c>
      <c r="Z40" s="113">
        <f>IFERROR(INDEX('V1'!C$300:C$400,MATCH("*"&amp;L40&amp;"*",'V1'!B$300:B$400,0)),"  ")</f>
        <v>4</v>
      </c>
      <c r="AA40" s="113">
        <f>IFERROR(INDEX('V2'!C$300:C$400,MATCH("*"&amp;L40&amp;"*",'V2'!B$300:B$400,0)),"  ")</f>
        <v>4</v>
      </c>
      <c r="AB40" s="113" t="str">
        <f>IFERROR(INDEX('V3'!C$300:C$400,MATCH("*"&amp;L40&amp;"*",'V3'!B$300:B$400,0)),"  ")</f>
        <v xml:space="preserve">  </v>
      </c>
      <c r="AC40" s="113" t="str">
        <f>IFERROR(INDEX('V4'!C$300:C$400,MATCH("*"&amp;L40&amp;"*",'V4'!B$300:B$400,0)),"  ")</f>
        <v xml:space="preserve">  </v>
      </c>
      <c r="AD40" s="113" t="str">
        <f>IFERROR(INDEX('V5'!C$300:C$400,MATCH("*"&amp;L40&amp;"*",'V5'!B$300:B$400,0)),"  ")</f>
        <v xml:space="preserve">  </v>
      </c>
      <c r="AE40" s="113">
        <f>IFERROR(INDEX('V6'!C$300:C$400,MATCH("*"&amp;L40&amp;"*",'V6'!B$300:B$400,0)),"  ")</f>
        <v>10</v>
      </c>
      <c r="AF40" s="113" t="str">
        <f>IFERROR(INDEX('V7'!C$300:C$400,MATCH("*"&amp;L40&amp;"*",'V7'!B$300:B$400,0)),"  ")</f>
        <v xml:space="preserve">  </v>
      </c>
      <c r="AG40" s="113">
        <f>IFERROR(INDEX('V8'!C$300:C$400,MATCH("*"&amp;L40&amp;"*",'V8'!B$300:B$400,0)),"  ")</f>
        <v>2</v>
      </c>
      <c r="AH40" s="113" t="str">
        <f>IFERROR(INDEX('V9'!C$300:C$399,MATCH("*"&amp;L40&amp;"*",'V9'!B$300:B$399,0)),"  ")</f>
        <v xml:space="preserve">  </v>
      </c>
      <c r="AI40" s="113" t="str">
        <f>IFERROR(INDEX('V10'!C$300:C$399,MATCH("*"&amp;L40&amp;"*",'V10'!B$300:B$399,0)),"  ")</f>
        <v xml:space="preserve">  </v>
      </c>
      <c r="AJ40" s="114">
        <f t="shared" si="63"/>
        <v>34</v>
      </c>
      <c r="AK40" s="404">
        <f t="shared" si="64"/>
        <v>20</v>
      </c>
      <c r="AL40" s="115" t="str">
        <f t="shared" si="65"/>
        <v>edasi 29</v>
      </c>
      <c r="AM40" s="116" t="str">
        <f>IFERROR(INDEX(#REF!,MATCH("*"&amp;L40&amp;"*",#REF!,0)),"  ")</f>
        <v xml:space="preserve">  </v>
      </c>
      <c r="AN40" s="117">
        <f t="shared" si="66"/>
        <v>4</v>
      </c>
      <c r="AO40" s="118">
        <f t="shared" si="67"/>
        <v>0</v>
      </c>
      <c r="AP40" s="118">
        <f t="shared" si="68"/>
        <v>0</v>
      </c>
      <c r="AQ40" s="49"/>
      <c r="AT40" s="119">
        <f t="shared" si="69"/>
        <v>2.9999999999999997E-4</v>
      </c>
      <c r="AU40" s="120">
        <f t="shared" si="70"/>
        <v>4.0000999999999998</v>
      </c>
      <c r="AV40" s="120">
        <f t="shared" si="71"/>
        <v>4.0002000000000004</v>
      </c>
      <c r="AW40" s="120">
        <f t="shared" si="72"/>
        <v>2.9999999999999997E-4</v>
      </c>
      <c r="AX40" s="120">
        <f t="shared" si="73"/>
        <v>4.0000000000000002E-4</v>
      </c>
      <c r="AY40" s="120">
        <f t="shared" si="74"/>
        <v>5.0000000000000001E-4</v>
      </c>
      <c r="AZ40" s="120">
        <f t="shared" si="75"/>
        <v>10.0006</v>
      </c>
      <c r="BA40" s="120">
        <f t="shared" si="76"/>
        <v>6.9999999999999999E-4</v>
      </c>
      <c r="BB40" s="120">
        <f t="shared" si="77"/>
        <v>2.0007999999999999</v>
      </c>
      <c r="BC40" s="120">
        <f t="shared" si="78"/>
        <v>8.9999999999999998E-4</v>
      </c>
      <c r="BD40" s="120">
        <f t="shared" si="79"/>
        <v>1E-3</v>
      </c>
      <c r="BI40" s="1018">
        <f t="shared" si="80"/>
        <v>8</v>
      </c>
      <c r="BJ40" s="1018">
        <f t="shared" si="81"/>
        <v>9</v>
      </c>
      <c r="BK40" s="1018" t="e">
        <f t="shared" si="82"/>
        <v>#VALUE!</v>
      </c>
      <c r="BL40" s="1018" t="e">
        <f t="shared" si="83"/>
        <v>#VALUE!</v>
      </c>
      <c r="BM40" s="1018" t="e">
        <f t="shared" si="84"/>
        <v>#VALUE!</v>
      </c>
      <c r="BN40" s="1018">
        <f t="shared" si="85"/>
        <v>9</v>
      </c>
      <c r="BO40" s="1018" t="e">
        <f t="shared" si="86"/>
        <v>#VALUE!</v>
      </c>
      <c r="BP40" s="1018">
        <f t="shared" si="87"/>
        <v>10</v>
      </c>
      <c r="BQ40" s="1018" t="e">
        <f t="shared" si="88"/>
        <v>#VALUE!</v>
      </c>
      <c r="BR40" s="1018" t="e">
        <f t="shared" si="89"/>
        <v>#VALUE!</v>
      </c>
    </row>
    <row r="41" spans="1:70" ht="12.75" customHeight="1" x14ac:dyDescent="0.2">
      <c r="A41" s="647">
        <f t="shared" si="46"/>
        <v>28</v>
      </c>
      <c r="B41" s="99">
        <f t="shared" si="47"/>
        <v>35</v>
      </c>
      <c r="C41" s="409">
        <f t="shared" si="48"/>
        <v>14</v>
      </c>
      <c r="D41" s="367">
        <f t="shared" si="49"/>
        <v>35</v>
      </c>
      <c r="E41" s="100">
        <f t="shared" si="50"/>
        <v>29</v>
      </c>
      <c r="F41" s="99">
        <f t="shared" si="51"/>
        <v>35</v>
      </c>
      <c r="G41" s="101" t="str">
        <f t="shared" si="52"/>
        <v/>
      </c>
      <c r="H41" s="99">
        <f t="shared" si="53"/>
        <v>-965</v>
      </c>
      <c r="I41" s="102" t="str">
        <f t="shared" si="54"/>
        <v/>
      </c>
      <c r="J41" s="103">
        <f t="shared" si="55"/>
        <v>-965</v>
      </c>
      <c r="K41" s="71">
        <f t="shared" si="56"/>
        <v>35</v>
      </c>
      <c r="L41" s="376" t="s">
        <v>114</v>
      </c>
      <c r="M41" s="345"/>
      <c r="N41" s="346" t="str">
        <f>IF(M41="","m","")</f>
        <v>m</v>
      </c>
      <c r="O41" s="347"/>
      <c r="P41" s="348" t="s">
        <v>317</v>
      </c>
      <c r="Q41" s="349" t="s">
        <v>88</v>
      </c>
      <c r="R41" s="110">
        <f>(IF(COUNT(Z41,AA41,AB41,AC41,AD41,AE41,AF41,AG41,AH41,AI41)&lt;10,SUM(Z41,AA41,AB41,AC41,AD41,AE41,AF41,AG41,AH41,AI41),SUM(LARGE((Z41,AA41,AB41,AC41,AD41,AE41,AF41,AG41,AH41,AI41),{1;2;3;4;5;6;7;8;9}))))</f>
        <v>18</v>
      </c>
      <c r="S41" s="111" t="str">
        <f>INDEX(ETAPP!B$1:B$32,MATCH(COUNTIF(BI41:BR41,1),ETAPP!A$1:A$32,0))&amp;INDEX(ETAPP!B$1:B$32,MATCH(COUNTIF(BI41:BR41,2),ETAPP!A$1:A$32,0))&amp;INDEX(ETAPP!B$1:B$32,MATCH(COUNTIF(BI41:BR41,3),ETAPP!A$1:A$32,0))&amp;INDEX(ETAPP!B$1:B$32,MATCH(COUNTIF(BI41:BR41,4),ETAPP!A$1:A$32,0))&amp;INDEX(ETAPP!B$1:B$32,MATCH(COUNTIF(BI41:BR41,5),ETAPP!A$1:A$32,0))&amp;INDEX(ETAPP!B$1:B$32,MATCH(COUNTIF(BI41:BR41,6),ETAPP!A$1:A$32,0))&amp;INDEX(ETAPP!B$1:B$32,MATCH(COUNTIF(BI41:BR41,7),ETAPP!A$1:A$32,0))&amp;INDEX(ETAPP!B$1:B$32,MATCH(COUNTIF(BI41:BR41,8),ETAPP!A$1:A$32,0))&amp;INDEX(ETAPP!B$1:B$32,MATCH(COUNTIF(BI41:BR41,9),ETAPP!A$1:A$32,0))&amp;INDEX(ETAPP!B$1:B$32,MATCH(COUNTIF(BI41:BR41,10),ETAPP!A$1:A$32,0))&amp;INDEX(ETAPP!B$1:B$32,MATCH(COUNTIF(BI41:BR41,11),ETAPP!A$1:A$32,0))&amp;INDEX(ETAPP!B$1:B$32,MATCH(COUNTIF(BI41:BR41,12),ETAPP!A$1:A$32,0))&amp;INDEX(ETAPP!B$1:B$32,MATCH(COUNTIF(BI41:BR41,13),ETAPP!A$1:A$32,0))&amp;INDEX(ETAPP!B$1:B$32,MATCH(COUNTIF(BI41:BR41,14),ETAPP!A$1:A$32,0))&amp;INDEX(ETAPP!B$1:B$32,MATCH(COUNTIF(BI41:BR41,15),ETAPP!A$1:A$32,0))&amp;INDEX(ETAPP!B$1:B$32,MATCH(COUNTIF(BI41:BR41,16),ETAPP!A$1:A$32,0))&amp;INDEX(ETAPP!B$1:B$32,MATCH(COUNTIF(BI41:BR41,17),ETAPP!A$1:A$32,0))&amp;INDEX(ETAPP!B$1:B$32,MATCH(COUNTIF(BI41:BR41,18),ETAPP!A$1:A$32,0))&amp;INDEX(ETAPP!B$1:B$32,MATCH(COUNTIF(BI41:BR41,19),ETAPP!A$1:A$32,0))&amp;INDEX(ETAPP!B$1:B$32,MATCH(COUNTIF(BI41:BR41,20),ETAPP!A$1:A$32,0))&amp;INDEX(ETAPP!B$1:B$32,MATCH(COUNTIF(BI41:BR41,21),ETAPP!A$1:A$32,0))</f>
        <v>00000000AAA0A00000000</v>
      </c>
      <c r="T41" s="111" t="str">
        <f t="shared" si="57"/>
        <v>018,0-00000000AAA0A00000000</v>
      </c>
      <c r="U41" s="111">
        <f t="shared" si="58"/>
        <v>35</v>
      </c>
      <c r="V41" s="111">
        <f t="shared" si="59"/>
        <v>18</v>
      </c>
      <c r="W41" s="111" t="str">
        <f t="shared" si="60"/>
        <v>018,0-00000000AAA0A00000000-018</v>
      </c>
      <c r="X41" s="111">
        <f t="shared" si="61"/>
        <v>35</v>
      </c>
      <c r="Y41" s="112">
        <f t="shared" si="62"/>
        <v>74</v>
      </c>
      <c r="Z41" s="113" t="str">
        <f>IFERROR(INDEX('V1'!C$300:C$400,MATCH("*"&amp;L41&amp;"*",'V1'!B$300:B$400,0)),"  ")</f>
        <v xml:space="preserve">  </v>
      </c>
      <c r="AA41" s="113">
        <f>IFERROR(INDEX('V2'!C$300:C$400,MATCH("*"&amp;L41&amp;"*",'V2'!B$300:B$400,0)),"  ")</f>
        <v>2</v>
      </c>
      <c r="AB41" s="113" t="str">
        <f>IFERROR(INDEX('V3'!C$300:C$400,MATCH("*"&amp;L41&amp;"*",'V3'!B$300:B$400,0)),"  ")</f>
        <v xml:space="preserve">  </v>
      </c>
      <c r="AC41" s="113" t="str">
        <f>IFERROR(INDEX('V4'!C$300:C$400,MATCH("*"&amp;L41&amp;"*",'V4'!B$300:B$400,0)),"  ")</f>
        <v xml:space="preserve">  </v>
      </c>
      <c r="AD41" s="113">
        <f>IFERROR(INDEX('V5'!C$300:C$400,MATCH("*"&amp;L41&amp;"*",'V5'!B$300:B$400,0)),"  ")</f>
        <v>8</v>
      </c>
      <c r="AE41" s="113">
        <f>IFERROR(INDEX('V6'!C$300:C$400,MATCH("*"&amp;L41&amp;"*",'V6'!B$300:B$400,0)),"  ")</f>
        <v>6</v>
      </c>
      <c r="AF41" s="113">
        <f>IFERROR(INDEX('V7'!C$300:C$400,MATCH("*"&amp;L41&amp;"*",'V7'!B$300:B$400,0)),"  ")</f>
        <v>2</v>
      </c>
      <c r="AG41" s="113" t="str">
        <f>IFERROR(INDEX('V8'!C$300:C$400,MATCH("*"&amp;L41&amp;"*",'V8'!B$300:B$400,0)),"  ")</f>
        <v xml:space="preserve">  </v>
      </c>
      <c r="AH41" s="113" t="str">
        <f>IFERROR(INDEX('V9'!C$300:C$399,MATCH("*"&amp;L41&amp;"*",'V9'!B$300:B$399,0)),"  ")</f>
        <v xml:space="preserve">  </v>
      </c>
      <c r="AI41" s="113" t="str">
        <f>IFERROR(INDEX('V10'!C$300:C$399,MATCH("*"&amp;L41&amp;"*",'V10'!B$300:B$399,0)),"  ")</f>
        <v xml:space="preserve">  </v>
      </c>
      <c r="AJ41" s="114">
        <f t="shared" si="63"/>
        <v>35</v>
      </c>
      <c r="AK41" s="404">
        <f t="shared" si="64"/>
        <v>18</v>
      </c>
      <c r="AL41" s="115" t="str">
        <f t="shared" si="65"/>
        <v>edasi 30</v>
      </c>
      <c r="AM41" s="116" t="str">
        <f>IFERROR(INDEX(#REF!,MATCH("*"&amp;L41&amp;"*",#REF!,0)),"  ")</f>
        <v xml:space="preserve">  </v>
      </c>
      <c r="AN41" s="117">
        <f t="shared" si="66"/>
        <v>4</v>
      </c>
      <c r="AO41" s="118">
        <f t="shared" si="67"/>
        <v>0</v>
      </c>
      <c r="AP41" s="118">
        <f t="shared" si="68"/>
        <v>0</v>
      </c>
      <c r="AQ41" s="49"/>
      <c r="AT41" s="119">
        <f t="shared" si="69"/>
        <v>1E-4</v>
      </c>
      <c r="AU41" s="120">
        <f t="shared" si="70"/>
        <v>1E-4</v>
      </c>
      <c r="AV41" s="120">
        <f t="shared" si="71"/>
        <v>2.0002</v>
      </c>
      <c r="AW41" s="120">
        <f t="shared" si="72"/>
        <v>2.9999999999999997E-4</v>
      </c>
      <c r="AX41" s="120">
        <f t="shared" si="73"/>
        <v>4.0000000000000002E-4</v>
      </c>
      <c r="AY41" s="120">
        <f t="shared" si="74"/>
        <v>8.0005000000000006</v>
      </c>
      <c r="AZ41" s="120">
        <f t="shared" si="75"/>
        <v>6.0006000000000004</v>
      </c>
      <c r="BA41" s="120">
        <f t="shared" si="76"/>
        <v>2.0007000000000001</v>
      </c>
      <c r="BB41" s="120">
        <f t="shared" si="77"/>
        <v>8.0000000000000004E-4</v>
      </c>
      <c r="BC41" s="120">
        <f t="shared" si="78"/>
        <v>8.9999999999999998E-4</v>
      </c>
      <c r="BD41" s="120">
        <f t="shared" si="79"/>
        <v>1E-3</v>
      </c>
      <c r="BI41" s="1018" t="e">
        <f t="shared" si="80"/>
        <v>#VALUE!</v>
      </c>
      <c r="BJ41" s="1018">
        <f t="shared" si="81"/>
        <v>10</v>
      </c>
      <c r="BK41" s="1018" t="e">
        <f t="shared" si="82"/>
        <v>#VALUE!</v>
      </c>
      <c r="BL41" s="1018" t="e">
        <f t="shared" si="83"/>
        <v>#VALUE!</v>
      </c>
      <c r="BM41" s="1018">
        <f t="shared" si="84"/>
        <v>9</v>
      </c>
      <c r="BN41" s="1018">
        <f t="shared" si="85"/>
        <v>11</v>
      </c>
      <c r="BO41" s="1018">
        <f t="shared" si="86"/>
        <v>13</v>
      </c>
      <c r="BP41" s="1018" t="e">
        <f t="shared" si="87"/>
        <v>#VALUE!</v>
      </c>
      <c r="BQ41" s="1018" t="e">
        <f t="shared" si="88"/>
        <v>#VALUE!</v>
      </c>
      <c r="BR41" s="1018" t="e">
        <f t="shared" si="89"/>
        <v>#VALUE!</v>
      </c>
    </row>
    <row r="42" spans="1:70" ht="12.75" customHeight="1" x14ac:dyDescent="0.2">
      <c r="A42" s="647" t="str">
        <f t="shared" si="46"/>
        <v/>
      </c>
      <c r="B42" s="99">
        <f t="shared" si="47"/>
        <v>-964</v>
      </c>
      <c r="C42" s="409" t="str">
        <f t="shared" si="48"/>
        <v/>
      </c>
      <c r="D42" s="367">
        <f t="shared" si="49"/>
        <v>-964</v>
      </c>
      <c r="E42" s="100">
        <f t="shared" si="50"/>
        <v>30</v>
      </c>
      <c r="F42" s="99">
        <f t="shared" si="51"/>
        <v>36</v>
      </c>
      <c r="G42" s="101" t="str">
        <f t="shared" si="52"/>
        <v/>
      </c>
      <c r="H42" s="99">
        <f t="shared" si="53"/>
        <v>-964</v>
      </c>
      <c r="I42" s="102" t="str">
        <f t="shared" si="54"/>
        <v/>
      </c>
      <c r="J42" s="103">
        <f t="shared" si="55"/>
        <v>-964</v>
      </c>
      <c r="K42" s="71">
        <f t="shared" si="56"/>
        <v>36</v>
      </c>
      <c r="L42" s="376" t="s">
        <v>118</v>
      </c>
      <c r="M42" s="345"/>
      <c r="N42" s="346" t="str">
        <f>IF(M42="","m","")</f>
        <v>m</v>
      </c>
      <c r="O42" s="347"/>
      <c r="P42" s="348"/>
      <c r="Q42" s="349" t="s">
        <v>344</v>
      </c>
      <c r="R42" s="110">
        <f>(IF(COUNT(Z42,AA42,AB42,AC42,AD42,AE42,AF42,AG42,AH42,AI42)&lt;10,SUM(Z42,AA42,AB42,AC42,AD42,AE42,AF42,AG42,AH42,AI42),SUM(LARGE((Z42,AA42,AB42,AC42,AD42,AE42,AF42,AG42,AH42,AI42),{1;2;3;4;5;6;7;8;9}))))</f>
        <v>14</v>
      </c>
      <c r="S42" s="111" t="str">
        <f>INDEX(ETAPP!B$1:B$32,MATCH(COUNTIF(BI42:BR42,1),ETAPP!A$1:A$32,0))&amp;INDEX(ETAPP!B$1:B$32,MATCH(COUNTIF(BI42:BR42,2),ETAPP!A$1:A$32,0))&amp;INDEX(ETAPP!B$1:B$32,MATCH(COUNTIF(BI42:BR42,3),ETAPP!A$1:A$32,0))&amp;INDEX(ETAPP!B$1:B$32,MATCH(COUNTIF(BI42:BR42,4),ETAPP!A$1:A$32,0))&amp;INDEX(ETAPP!B$1:B$32,MATCH(COUNTIF(BI42:BR42,5),ETAPP!A$1:A$32,0))&amp;INDEX(ETAPP!B$1:B$32,MATCH(COUNTIF(BI42:BR42,6),ETAPP!A$1:A$32,0))&amp;INDEX(ETAPP!B$1:B$32,MATCH(COUNTIF(BI42:BR42,7),ETAPP!A$1:A$32,0))&amp;INDEX(ETAPP!B$1:B$32,MATCH(COUNTIF(BI42:BR42,8),ETAPP!A$1:A$32,0))&amp;INDEX(ETAPP!B$1:B$32,MATCH(COUNTIF(BI42:BR42,9),ETAPP!A$1:A$32,0))&amp;INDEX(ETAPP!B$1:B$32,MATCH(COUNTIF(BI42:BR42,10),ETAPP!A$1:A$32,0))&amp;INDEX(ETAPP!B$1:B$32,MATCH(COUNTIF(BI42:BR42,11),ETAPP!A$1:A$32,0))&amp;INDEX(ETAPP!B$1:B$32,MATCH(COUNTIF(BI42:BR42,12),ETAPP!A$1:A$32,0))&amp;INDEX(ETAPP!B$1:B$32,MATCH(COUNTIF(BI42:BR42,13),ETAPP!A$1:A$32,0))&amp;INDEX(ETAPP!B$1:B$32,MATCH(COUNTIF(BI42:BR42,14),ETAPP!A$1:A$32,0))&amp;INDEX(ETAPP!B$1:B$32,MATCH(COUNTIF(BI42:BR42,15),ETAPP!A$1:A$32,0))&amp;INDEX(ETAPP!B$1:B$32,MATCH(COUNTIF(BI42:BR42,16),ETAPP!A$1:A$32,0))&amp;INDEX(ETAPP!B$1:B$32,MATCH(COUNTIF(BI42:BR42,17),ETAPP!A$1:A$32,0))&amp;INDEX(ETAPP!B$1:B$32,MATCH(COUNTIF(BI42:BR42,18),ETAPP!A$1:A$32,0))&amp;INDEX(ETAPP!B$1:B$32,MATCH(COUNTIF(BI42:BR42,19),ETAPP!A$1:A$32,0))&amp;INDEX(ETAPP!B$1:B$32,MATCH(COUNTIF(BI42:BR42,20),ETAPP!A$1:A$32,0))&amp;INDEX(ETAPP!B$1:B$32,MATCH(COUNTIF(BI42:BR42,21),ETAPP!A$1:A$32,0))</f>
        <v>000A00000000A00000000</v>
      </c>
      <c r="T42" s="111" t="str">
        <f t="shared" si="57"/>
        <v>014,0-000A00000000A00000000</v>
      </c>
      <c r="U42" s="111">
        <f t="shared" si="58"/>
        <v>36</v>
      </c>
      <c r="V42" s="111">
        <f t="shared" si="59"/>
        <v>13</v>
      </c>
      <c r="W42" s="111" t="str">
        <f t="shared" si="60"/>
        <v>014,0-000A00000000A00000000-013</v>
      </c>
      <c r="X42" s="111">
        <f t="shared" si="61"/>
        <v>36</v>
      </c>
      <c r="Y42" s="112">
        <f t="shared" si="62"/>
        <v>73</v>
      </c>
      <c r="Z42" s="113">
        <f>IFERROR(INDEX('V1'!C$300:C$400,MATCH("*"&amp;L42&amp;"*",'V1'!B$300:B$400,0)),"  ")</f>
        <v>12</v>
      </c>
      <c r="AA42" s="113" t="str">
        <f>IFERROR(INDEX('V2'!C$300:C$400,MATCH("*"&amp;L42&amp;"*",'V2'!B$300:B$400,0)),"  ")</f>
        <v xml:space="preserve">  </v>
      </c>
      <c r="AB42" s="113" t="str">
        <f>IFERROR(INDEX('V3'!C$300:C$400,MATCH("*"&amp;L42&amp;"*",'V3'!B$300:B$400,0)),"  ")</f>
        <v xml:space="preserve">  </v>
      </c>
      <c r="AC42" s="113" t="str">
        <f>IFERROR(INDEX('V4'!C$300:C$400,MATCH("*"&amp;L42&amp;"*",'V4'!B$300:B$400,0)),"  ")</f>
        <v xml:space="preserve">  </v>
      </c>
      <c r="AD42" s="113" t="str">
        <f>IFERROR(INDEX('V5'!C$300:C$400,MATCH("*"&amp;L42&amp;"*",'V5'!B$300:B$400,0)),"  ")</f>
        <v xml:space="preserve">  </v>
      </c>
      <c r="AE42" s="113">
        <f>IFERROR(INDEX('V6'!C$300:C$400,MATCH("*"&amp;L42&amp;"*",'V6'!B$300:B$400,0)),"  ")</f>
        <v>2</v>
      </c>
      <c r="AF42" s="113" t="str">
        <f>IFERROR(INDEX('V7'!C$300:C$400,MATCH("*"&amp;L42&amp;"*",'V7'!B$300:B$400,0)),"  ")</f>
        <v xml:space="preserve">  </v>
      </c>
      <c r="AG42" s="113" t="str">
        <f>IFERROR(INDEX('V8'!C$300:C$400,MATCH("*"&amp;L42&amp;"*",'V8'!B$300:B$400,0)),"  ")</f>
        <v xml:space="preserve">  </v>
      </c>
      <c r="AH42" s="113" t="str">
        <f>IFERROR(INDEX('V9'!C$300:C$399,MATCH("*"&amp;L42&amp;"*",'V9'!B$300:B$399,0)),"  ")</f>
        <v xml:space="preserve">  </v>
      </c>
      <c r="AI42" s="113" t="str">
        <f>IFERROR(INDEX('V10'!C$300:C$399,MATCH("*"&amp;L42&amp;"*",'V10'!B$300:B$399,0)),"  ")</f>
        <v xml:space="preserve">  </v>
      </c>
      <c r="AJ42" s="114" t="str">
        <f t="shared" si="63"/>
        <v/>
      </c>
      <c r="AK42" s="404">
        <f t="shared" si="64"/>
        <v>14</v>
      </c>
      <c r="AL42" s="115">
        <f t="shared" si="65"/>
        <v>36</v>
      </c>
      <c r="AM42" s="116" t="str">
        <f>IFERROR(INDEX(#REF!,MATCH("*"&amp;L42&amp;"*",#REF!,0)),"  ")</f>
        <v xml:space="preserve">  </v>
      </c>
      <c r="AN42" s="117">
        <f t="shared" si="66"/>
        <v>2</v>
      </c>
      <c r="AO42" s="118">
        <f t="shared" si="67"/>
        <v>0</v>
      </c>
      <c r="AP42" s="118">
        <f t="shared" si="68"/>
        <v>0</v>
      </c>
      <c r="AQ42" s="49"/>
      <c r="AT42" s="119">
        <f t="shared" si="69"/>
        <v>2.0000000000000001E-4</v>
      </c>
      <c r="AU42" s="120">
        <f t="shared" si="70"/>
        <v>12.0001</v>
      </c>
      <c r="AV42" s="120">
        <f t="shared" si="71"/>
        <v>2.0000000000000001E-4</v>
      </c>
      <c r="AW42" s="120">
        <f t="shared" si="72"/>
        <v>2.9999999999999997E-4</v>
      </c>
      <c r="AX42" s="120">
        <f t="shared" si="73"/>
        <v>4.0000000000000002E-4</v>
      </c>
      <c r="AY42" s="120">
        <f t="shared" si="74"/>
        <v>5.0000000000000001E-4</v>
      </c>
      <c r="AZ42" s="120">
        <f t="shared" si="75"/>
        <v>2.0005999999999999</v>
      </c>
      <c r="BA42" s="120">
        <f t="shared" si="76"/>
        <v>6.9999999999999999E-4</v>
      </c>
      <c r="BB42" s="120">
        <f t="shared" si="77"/>
        <v>8.0000000000000004E-4</v>
      </c>
      <c r="BC42" s="120">
        <f t="shared" si="78"/>
        <v>8.9999999999999998E-4</v>
      </c>
      <c r="BD42" s="120">
        <f t="shared" si="79"/>
        <v>1E-3</v>
      </c>
      <c r="BE42" s="122"/>
      <c r="BF42" s="122"/>
      <c r="BG42" s="122"/>
      <c r="BH42" s="122"/>
      <c r="BI42" s="1018">
        <f t="shared" si="80"/>
        <v>4</v>
      </c>
      <c r="BJ42" s="1018" t="e">
        <f t="shared" si="81"/>
        <v>#VALUE!</v>
      </c>
      <c r="BK42" s="1018" t="e">
        <f t="shared" si="82"/>
        <v>#VALUE!</v>
      </c>
      <c r="BL42" s="1018" t="e">
        <f t="shared" si="83"/>
        <v>#VALUE!</v>
      </c>
      <c r="BM42" s="1018" t="e">
        <f t="shared" si="84"/>
        <v>#VALUE!</v>
      </c>
      <c r="BN42" s="1018">
        <f t="shared" si="85"/>
        <v>13</v>
      </c>
      <c r="BO42" s="1018" t="e">
        <f t="shared" si="86"/>
        <v>#VALUE!</v>
      </c>
      <c r="BP42" s="1018" t="e">
        <f t="shared" si="87"/>
        <v>#VALUE!</v>
      </c>
      <c r="BQ42" s="1018" t="e">
        <f t="shared" si="88"/>
        <v>#VALUE!</v>
      </c>
      <c r="BR42" s="1018" t="e">
        <f t="shared" si="89"/>
        <v>#VALUE!</v>
      </c>
    </row>
    <row r="43" spans="1:70" ht="12.75" customHeight="1" x14ac:dyDescent="0.2">
      <c r="A43" s="647" t="str">
        <f t="shared" si="46"/>
        <v/>
      </c>
      <c r="B43" s="99">
        <f t="shared" si="47"/>
        <v>-963</v>
      </c>
      <c r="C43" s="409" t="str">
        <f t="shared" si="48"/>
        <v/>
      </c>
      <c r="D43" s="367">
        <f t="shared" si="49"/>
        <v>-963</v>
      </c>
      <c r="E43" s="100" t="str">
        <f t="shared" si="50"/>
        <v/>
      </c>
      <c r="F43" s="99">
        <f t="shared" si="51"/>
        <v>-963</v>
      </c>
      <c r="G43" s="101">
        <f t="shared" si="52"/>
        <v>8</v>
      </c>
      <c r="H43" s="99">
        <f t="shared" si="53"/>
        <v>37</v>
      </c>
      <c r="I43" s="102" t="str">
        <f t="shared" si="54"/>
        <v/>
      </c>
      <c r="J43" s="103">
        <f t="shared" si="55"/>
        <v>-963</v>
      </c>
      <c r="K43" s="71">
        <f t="shared" si="56"/>
        <v>37</v>
      </c>
      <c r="L43" s="407" t="s">
        <v>163</v>
      </c>
      <c r="M43" s="345" t="s">
        <v>110</v>
      </c>
      <c r="N43" s="346" t="str">
        <f>IF(M43="","m","")</f>
        <v/>
      </c>
      <c r="O43" s="347"/>
      <c r="P43" s="348"/>
      <c r="Q43" s="349"/>
      <c r="R43" s="110">
        <f>(IF(COUNT(Z43,AA43,AB43,AC43,AD43,AE43,AF43,AG43,AH43,AI43)&lt;10,SUM(Z43,AA43,AB43,AC43,AD43,AE43,AF43,AG43,AH43,AI43),SUM(LARGE((Z43,AA43,AB43,AC43,AD43,AE43,AF43,AG43,AH43,AI43),{1;2;3;4;5;6;7;8;9}))))</f>
        <v>12</v>
      </c>
      <c r="S43" s="111" t="str">
        <f>INDEX(ETAPP!B$1:B$32,MATCH(COUNTIF(BI43:BR43,1),ETAPP!A$1:A$32,0))&amp;INDEX(ETAPP!B$1:B$32,MATCH(COUNTIF(BI43:BR43,2),ETAPP!A$1:A$32,0))&amp;INDEX(ETAPP!B$1:B$32,MATCH(COUNTIF(BI43:BR43,3),ETAPP!A$1:A$32,0))&amp;INDEX(ETAPP!B$1:B$32,MATCH(COUNTIF(BI43:BR43,4),ETAPP!A$1:A$32,0))&amp;INDEX(ETAPP!B$1:B$32,MATCH(COUNTIF(BI43:BR43,5),ETAPP!A$1:A$32,0))&amp;INDEX(ETAPP!B$1:B$32,MATCH(COUNTIF(BI43:BR43,6),ETAPP!A$1:A$32,0))&amp;INDEX(ETAPP!B$1:B$32,MATCH(COUNTIF(BI43:BR43,7),ETAPP!A$1:A$32,0))&amp;INDEX(ETAPP!B$1:B$32,MATCH(COUNTIF(BI43:BR43,8),ETAPP!A$1:A$32,0))&amp;INDEX(ETAPP!B$1:B$32,MATCH(COUNTIF(BI43:BR43,9),ETAPP!A$1:A$32,0))&amp;INDEX(ETAPP!B$1:B$32,MATCH(COUNTIF(BI43:BR43,10),ETAPP!A$1:A$32,0))&amp;INDEX(ETAPP!B$1:B$32,MATCH(COUNTIF(BI43:BR43,11),ETAPP!A$1:A$32,0))&amp;INDEX(ETAPP!B$1:B$32,MATCH(COUNTIF(BI43:BR43,12),ETAPP!A$1:A$32,0))&amp;INDEX(ETAPP!B$1:B$32,MATCH(COUNTIF(BI43:BR43,13),ETAPP!A$1:A$32,0))&amp;INDEX(ETAPP!B$1:B$32,MATCH(COUNTIF(BI43:BR43,14),ETAPP!A$1:A$32,0))&amp;INDEX(ETAPP!B$1:B$32,MATCH(COUNTIF(BI43:BR43,15),ETAPP!A$1:A$32,0))&amp;INDEX(ETAPP!B$1:B$32,MATCH(COUNTIF(BI43:BR43,16),ETAPP!A$1:A$32,0))&amp;INDEX(ETAPP!B$1:B$32,MATCH(COUNTIF(BI43:BR43,17),ETAPP!A$1:A$32,0))&amp;INDEX(ETAPP!B$1:B$32,MATCH(COUNTIF(BI43:BR43,18),ETAPP!A$1:A$32,0))&amp;INDEX(ETAPP!B$1:B$32,MATCH(COUNTIF(BI43:BR43,19),ETAPP!A$1:A$32,0))&amp;INDEX(ETAPP!B$1:B$32,MATCH(COUNTIF(BI43:BR43,20),ETAPP!A$1:A$32,0))&amp;INDEX(ETAPP!B$1:B$32,MATCH(COUNTIF(BI43:BR43,21),ETAPP!A$1:A$32,0))</f>
        <v>00A000000000000000000</v>
      </c>
      <c r="T43" s="111" t="str">
        <f t="shared" si="57"/>
        <v>012,0-00A000000000000000000</v>
      </c>
      <c r="U43" s="111">
        <f t="shared" si="58"/>
        <v>37</v>
      </c>
      <c r="V43" s="111">
        <f t="shared" si="59"/>
        <v>47</v>
      </c>
      <c r="W43" s="111" t="str">
        <f t="shared" si="60"/>
        <v>012,0-00A000000000000000000-047</v>
      </c>
      <c r="X43" s="111">
        <f t="shared" si="61"/>
        <v>37</v>
      </c>
      <c r="Y43" s="112">
        <f t="shared" si="62"/>
        <v>72</v>
      </c>
      <c r="Z43" s="113" t="str">
        <f>IFERROR(INDEX('V1'!C$300:C$400,MATCH("*"&amp;L43&amp;"*",'V1'!B$300:B$400,0)),"  ")</f>
        <v xml:space="preserve">  </v>
      </c>
      <c r="AA43" s="113" t="str">
        <f>IFERROR(INDEX('V2'!C$300:C$400,MATCH("*"&amp;L43&amp;"*",'V2'!B$300:B$400,0)),"  ")</f>
        <v xml:space="preserve">  </v>
      </c>
      <c r="AB43" s="113">
        <f>IFERROR(INDEX('V3'!C$300:C$400,MATCH("*"&amp;L43&amp;"*",'V3'!B$300:B$400,0)),"  ")</f>
        <v>12</v>
      </c>
      <c r="AC43" s="113" t="str">
        <f>IFERROR(INDEX('V4'!C$300:C$400,MATCH("*"&amp;L43&amp;"*",'V4'!B$300:B$400,0)),"  ")</f>
        <v xml:space="preserve">  </v>
      </c>
      <c r="AD43" s="113" t="str">
        <f>IFERROR(INDEX('V5'!C$300:C$400,MATCH("*"&amp;L43&amp;"*",'V5'!B$300:B$400,0)),"  ")</f>
        <v xml:space="preserve">  </v>
      </c>
      <c r="AE43" s="113" t="str">
        <f>IFERROR(INDEX('V6'!C$300:C$400,MATCH("*"&amp;L43&amp;"*",'V6'!B$300:B$400,0)),"  ")</f>
        <v xml:space="preserve">  </v>
      </c>
      <c r="AF43" s="113" t="str">
        <f>IFERROR(INDEX('V7'!C$300:C$400,MATCH("*"&amp;L43&amp;"*",'V7'!B$300:B$400,0)),"  ")</f>
        <v xml:space="preserve">  </v>
      </c>
      <c r="AG43" s="113" t="str">
        <f>IFERROR(INDEX('V8'!C$300:C$400,MATCH("*"&amp;L43&amp;"*",'V8'!B$300:B$400,0)),"  ")</f>
        <v xml:space="preserve">  </v>
      </c>
      <c r="AH43" s="113" t="str">
        <f>IFERROR(INDEX('V9'!C$300:C$399,MATCH("*"&amp;L43&amp;"*",'V9'!B$300:B$399,0)),"  ")</f>
        <v xml:space="preserve">  </v>
      </c>
      <c r="AI43" s="113" t="str">
        <f>IFERROR(INDEX('V10'!C$300:C$399,MATCH("*"&amp;L43&amp;"*",'V10'!B$300:B$399,0)),"  ")</f>
        <v xml:space="preserve">  </v>
      </c>
      <c r="AJ43" s="114" t="str">
        <f t="shared" si="63"/>
        <v/>
      </c>
      <c r="AK43" s="404">
        <f t="shared" si="64"/>
        <v>12</v>
      </c>
      <c r="AL43" s="115">
        <f t="shared" si="65"/>
        <v>37</v>
      </c>
      <c r="AM43" s="116" t="str">
        <f>IFERROR(INDEX(#REF!,MATCH("*"&amp;L43&amp;"*",#REF!,0)),"  ")</f>
        <v xml:space="preserve">  </v>
      </c>
      <c r="AN43" s="117">
        <f t="shared" si="66"/>
        <v>1</v>
      </c>
      <c r="AO43" s="118">
        <f t="shared" si="67"/>
        <v>1</v>
      </c>
      <c r="AP43" s="118">
        <f t="shared" si="68"/>
        <v>0</v>
      </c>
      <c r="AQ43" s="49"/>
      <c r="AT43" s="119">
        <f t="shared" si="69"/>
        <v>1E-4</v>
      </c>
      <c r="AU43" s="120">
        <f t="shared" si="70"/>
        <v>1E-4</v>
      </c>
      <c r="AV43" s="120">
        <f t="shared" si="71"/>
        <v>2.0000000000000001E-4</v>
      </c>
      <c r="AW43" s="120">
        <f t="shared" si="72"/>
        <v>12.000299999999999</v>
      </c>
      <c r="AX43" s="120">
        <f t="shared" si="73"/>
        <v>4.0000000000000002E-4</v>
      </c>
      <c r="AY43" s="120">
        <f t="shared" si="74"/>
        <v>5.0000000000000001E-4</v>
      </c>
      <c r="AZ43" s="120">
        <f t="shared" si="75"/>
        <v>5.9999999999999995E-4</v>
      </c>
      <c r="BA43" s="120">
        <f t="shared" si="76"/>
        <v>6.9999999999999999E-4</v>
      </c>
      <c r="BB43" s="120">
        <f t="shared" si="77"/>
        <v>8.0000000000000004E-4</v>
      </c>
      <c r="BC43" s="120">
        <f t="shared" si="78"/>
        <v>8.9999999999999998E-4</v>
      </c>
      <c r="BD43" s="120">
        <f t="shared" si="79"/>
        <v>1E-3</v>
      </c>
      <c r="BI43" s="1018" t="e">
        <f t="shared" si="80"/>
        <v>#VALUE!</v>
      </c>
      <c r="BJ43" s="1018" t="e">
        <f t="shared" si="81"/>
        <v>#VALUE!</v>
      </c>
      <c r="BK43" s="1018">
        <f t="shared" si="82"/>
        <v>3</v>
      </c>
      <c r="BL43" s="1018" t="e">
        <f t="shared" si="83"/>
        <v>#VALUE!</v>
      </c>
      <c r="BM43" s="1018" t="e">
        <f t="shared" si="84"/>
        <v>#VALUE!</v>
      </c>
      <c r="BN43" s="1018" t="e">
        <f t="shared" si="85"/>
        <v>#VALUE!</v>
      </c>
      <c r="BO43" s="1018" t="e">
        <f t="shared" si="86"/>
        <v>#VALUE!</v>
      </c>
      <c r="BP43" s="1018" t="e">
        <f t="shared" si="87"/>
        <v>#VALUE!</v>
      </c>
      <c r="BQ43" s="1018" t="e">
        <f t="shared" si="88"/>
        <v>#VALUE!</v>
      </c>
      <c r="BR43" s="1018" t="e">
        <f t="shared" si="89"/>
        <v>#VALUE!</v>
      </c>
    </row>
    <row r="44" spans="1:70" ht="12.75" customHeight="1" x14ac:dyDescent="0.2">
      <c r="A44" s="647" t="str">
        <f t="shared" si="46"/>
        <v/>
      </c>
      <c r="B44" s="99">
        <f t="shared" si="47"/>
        <v>-962</v>
      </c>
      <c r="C44" s="409" t="str">
        <f t="shared" si="48"/>
        <v/>
      </c>
      <c r="D44" s="367">
        <f t="shared" si="49"/>
        <v>-962</v>
      </c>
      <c r="E44" s="100">
        <f t="shared" si="50"/>
        <v>31</v>
      </c>
      <c r="F44" s="99">
        <f t="shared" si="51"/>
        <v>38</v>
      </c>
      <c r="G44" s="101" t="str">
        <f t="shared" si="52"/>
        <v/>
      </c>
      <c r="H44" s="99">
        <f t="shared" si="53"/>
        <v>-962</v>
      </c>
      <c r="I44" s="102" t="str">
        <f t="shared" si="54"/>
        <v/>
      </c>
      <c r="J44" s="103">
        <f t="shared" si="55"/>
        <v>-962</v>
      </c>
      <c r="K44" s="71">
        <f t="shared" si="56"/>
        <v>38</v>
      </c>
      <c r="L44" s="104" t="s">
        <v>107</v>
      </c>
      <c r="M44" s="105"/>
      <c r="N44" s="106" t="str">
        <f>IF(M44="","m","")</f>
        <v>m</v>
      </c>
      <c r="O44" s="107"/>
      <c r="P44" s="108"/>
      <c r="Q44" s="109" t="s">
        <v>344</v>
      </c>
      <c r="R44" s="110">
        <f>(IF(COUNT(Z44,AA44,AB44,AC44,AD44,AE44,AF44,AG44,AH44,AI44)&lt;10,SUM(Z44,AA44,AB44,AC44,AD44,AE44,AF44,AG44,AH44,AI44),SUM(LARGE((Z44,AA44,AB44,AC44,AD44,AE44,AF44,AG44,AH44,AI44),{1;2;3;4;5;6;7;8;9}))))</f>
        <v>12</v>
      </c>
      <c r="S44" s="111" t="str">
        <f>INDEX(ETAPP!B$1:B$32,MATCH(COUNTIF(BI44:BR44,1),ETAPP!A$1:A$32,0))&amp;INDEX(ETAPP!B$1:B$32,MATCH(COUNTIF(BI44:BR44,2),ETAPP!A$1:A$32,0))&amp;INDEX(ETAPP!B$1:B$32,MATCH(COUNTIF(BI44:BR44,3),ETAPP!A$1:A$32,0))&amp;INDEX(ETAPP!B$1:B$32,MATCH(COUNTIF(BI44:BR44,4),ETAPP!A$1:A$32,0))&amp;INDEX(ETAPP!B$1:B$32,MATCH(COUNTIF(BI44:BR44,5),ETAPP!A$1:A$32,0))&amp;INDEX(ETAPP!B$1:B$32,MATCH(COUNTIF(BI44:BR44,6),ETAPP!A$1:A$32,0))&amp;INDEX(ETAPP!B$1:B$32,MATCH(COUNTIF(BI44:BR44,7),ETAPP!A$1:A$32,0))&amp;INDEX(ETAPP!B$1:B$32,MATCH(COUNTIF(BI44:BR44,8),ETAPP!A$1:A$32,0))&amp;INDEX(ETAPP!B$1:B$32,MATCH(COUNTIF(BI44:BR44,9),ETAPP!A$1:A$32,0))&amp;INDEX(ETAPP!B$1:B$32,MATCH(COUNTIF(BI44:BR44,10),ETAPP!A$1:A$32,0))&amp;INDEX(ETAPP!B$1:B$32,MATCH(COUNTIF(BI44:BR44,11),ETAPP!A$1:A$32,0))&amp;INDEX(ETAPP!B$1:B$32,MATCH(COUNTIF(BI44:BR44,12),ETAPP!A$1:A$32,0))&amp;INDEX(ETAPP!B$1:B$32,MATCH(COUNTIF(BI44:BR44,13),ETAPP!A$1:A$32,0))&amp;INDEX(ETAPP!B$1:B$32,MATCH(COUNTIF(BI44:BR44,14),ETAPP!A$1:A$32,0))&amp;INDEX(ETAPP!B$1:B$32,MATCH(COUNTIF(BI44:BR44,15),ETAPP!A$1:A$32,0))&amp;INDEX(ETAPP!B$1:B$32,MATCH(COUNTIF(BI44:BR44,16),ETAPP!A$1:A$32,0))&amp;INDEX(ETAPP!B$1:B$32,MATCH(COUNTIF(BI44:BR44,17),ETAPP!A$1:A$32,0))&amp;INDEX(ETAPP!B$1:B$32,MATCH(COUNTIF(BI44:BR44,18),ETAPP!A$1:A$32,0))&amp;INDEX(ETAPP!B$1:B$32,MATCH(COUNTIF(BI44:BR44,19),ETAPP!A$1:A$32,0))&amp;INDEX(ETAPP!B$1:B$32,MATCH(COUNTIF(BI44:BR44,20),ETAPP!A$1:A$32,0))&amp;INDEX(ETAPP!B$1:B$32,MATCH(COUNTIF(BI44:BR44,21),ETAPP!A$1:A$32,0))</f>
        <v>000A00000000000000000</v>
      </c>
      <c r="T44" s="111" t="str">
        <f t="shared" si="57"/>
        <v>012,0-000A00000000000000000</v>
      </c>
      <c r="U44" s="111">
        <f t="shared" si="58"/>
        <v>38</v>
      </c>
      <c r="V44" s="111">
        <f t="shared" si="59"/>
        <v>2</v>
      </c>
      <c r="W44" s="111" t="str">
        <f t="shared" si="60"/>
        <v>012,0-000A00000000000000000-002</v>
      </c>
      <c r="X44" s="111">
        <f t="shared" si="61"/>
        <v>38</v>
      </c>
      <c r="Y44" s="112">
        <f t="shared" si="62"/>
        <v>71</v>
      </c>
      <c r="Z44" s="113">
        <f>IFERROR(INDEX('V1'!C$300:C$400,MATCH("*"&amp;L44&amp;"*",'V1'!B$300:B$400,0)),"  ")</f>
        <v>12</v>
      </c>
      <c r="AA44" s="113" t="str">
        <f>IFERROR(INDEX('V2'!C$300:C$400,MATCH("*"&amp;L44&amp;"*",'V2'!B$300:B$400,0)),"  ")</f>
        <v xml:space="preserve">  </v>
      </c>
      <c r="AB44" s="113" t="str">
        <f>IFERROR(INDEX('V3'!C$300:C$400,MATCH("*"&amp;L44&amp;"*",'V3'!B$300:B$400,0)),"  ")</f>
        <v xml:space="preserve">  </v>
      </c>
      <c r="AC44" s="113" t="str">
        <f>IFERROR(INDEX('V4'!C$300:C$400,MATCH("*"&amp;L44&amp;"*",'V4'!B$300:B$400,0)),"  ")</f>
        <v xml:space="preserve">  </v>
      </c>
      <c r="AD44" s="113" t="str">
        <f>IFERROR(INDEX('V5'!C$300:C$400,MATCH("*"&amp;L44&amp;"*",'V5'!B$300:B$400,0)),"  ")</f>
        <v xml:space="preserve">  </v>
      </c>
      <c r="AE44" s="113" t="str">
        <f>IFERROR(INDEX('V6'!C$300:C$400,MATCH("*"&amp;L44&amp;"*",'V6'!B$300:B$400,0)),"  ")</f>
        <v xml:space="preserve">  </v>
      </c>
      <c r="AF44" s="113" t="str">
        <f>IFERROR(INDEX('V7'!C$300:C$400,MATCH("*"&amp;L44&amp;"*",'V7'!B$300:B$400,0)),"  ")</f>
        <v xml:space="preserve">  </v>
      </c>
      <c r="AG44" s="113" t="str">
        <f>IFERROR(INDEX('V8'!C$300:C$400,MATCH("*"&amp;L44&amp;"*",'V8'!B$300:B$400,0)),"  ")</f>
        <v xml:space="preserve">  </v>
      </c>
      <c r="AH44" s="113" t="str">
        <f>IFERROR(INDEX('V9'!C$300:C$399,MATCH("*"&amp;L44&amp;"*",'V9'!B$300:B$399,0)),"  ")</f>
        <v xml:space="preserve">  </v>
      </c>
      <c r="AI44" s="113" t="str">
        <f>IFERROR(INDEX('V10'!C$300:C$399,MATCH("*"&amp;L44&amp;"*",'V10'!B$300:B$399,0)),"  ")</f>
        <v xml:space="preserve">  </v>
      </c>
      <c r="AJ44" s="114" t="str">
        <f t="shared" si="63"/>
        <v/>
      </c>
      <c r="AK44" s="404">
        <f t="shared" si="64"/>
        <v>12</v>
      </c>
      <c r="AL44" s="115">
        <f t="shared" si="65"/>
        <v>38</v>
      </c>
      <c r="AM44" s="116" t="str">
        <f>IFERROR(INDEX(#REF!,MATCH("*"&amp;L44&amp;"*",#REF!,0)),"  ")</f>
        <v xml:space="preserve">  </v>
      </c>
      <c r="AN44" s="117">
        <f t="shared" si="66"/>
        <v>1</v>
      </c>
      <c r="AO44" s="118">
        <f t="shared" si="67"/>
        <v>0</v>
      </c>
      <c r="AP44" s="118">
        <f t="shared" si="68"/>
        <v>0</v>
      </c>
      <c r="AQ44" s="49"/>
      <c r="AT44" s="119">
        <f t="shared" si="69"/>
        <v>2.0000000000000001E-4</v>
      </c>
      <c r="AU44" s="120">
        <f t="shared" si="70"/>
        <v>12.0001</v>
      </c>
      <c r="AV44" s="120">
        <f t="shared" si="71"/>
        <v>2.0000000000000001E-4</v>
      </c>
      <c r="AW44" s="120">
        <f t="shared" si="72"/>
        <v>2.9999999999999997E-4</v>
      </c>
      <c r="AX44" s="120">
        <f t="shared" si="73"/>
        <v>4.0000000000000002E-4</v>
      </c>
      <c r="AY44" s="120">
        <f t="shared" si="74"/>
        <v>5.0000000000000001E-4</v>
      </c>
      <c r="AZ44" s="120">
        <f t="shared" si="75"/>
        <v>5.9999999999999995E-4</v>
      </c>
      <c r="BA44" s="120">
        <f t="shared" si="76"/>
        <v>6.9999999999999999E-4</v>
      </c>
      <c r="BB44" s="120">
        <f t="shared" si="77"/>
        <v>8.0000000000000004E-4</v>
      </c>
      <c r="BC44" s="120">
        <f t="shared" si="78"/>
        <v>8.9999999999999998E-4</v>
      </c>
      <c r="BD44" s="120">
        <f t="shared" si="79"/>
        <v>1E-3</v>
      </c>
      <c r="BI44" s="1018">
        <f t="shared" si="80"/>
        <v>4</v>
      </c>
      <c r="BJ44" s="1018" t="e">
        <f t="shared" si="81"/>
        <v>#VALUE!</v>
      </c>
      <c r="BK44" s="1018" t="e">
        <f t="shared" si="82"/>
        <v>#VALUE!</v>
      </c>
      <c r="BL44" s="1018" t="e">
        <f t="shared" si="83"/>
        <v>#VALUE!</v>
      </c>
      <c r="BM44" s="1018" t="e">
        <f t="shared" si="84"/>
        <v>#VALUE!</v>
      </c>
      <c r="BN44" s="1018" t="e">
        <f t="shared" si="85"/>
        <v>#VALUE!</v>
      </c>
      <c r="BO44" s="1018" t="e">
        <f t="shared" si="86"/>
        <v>#VALUE!</v>
      </c>
      <c r="BP44" s="1018" t="e">
        <f t="shared" si="87"/>
        <v>#VALUE!</v>
      </c>
      <c r="BQ44" s="1018" t="e">
        <f t="shared" si="88"/>
        <v>#VALUE!</v>
      </c>
      <c r="BR44" s="1018" t="e">
        <f t="shared" si="89"/>
        <v>#VALUE!</v>
      </c>
    </row>
    <row r="45" spans="1:70" ht="12.75" customHeight="1" x14ac:dyDescent="0.2">
      <c r="A45" s="647">
        <f t="shared" si="46"/>
        <v>29</v>
      </c>
      <c r="B45" s="99">
        <f t="shared" si="47"/>
        <v>39</v>
      </c>
      <c r="C45" s="409" t="str">
        <f t="shared" si="48"/>
        <v/>
      </c>
      <c r="D45" s="367">
        <f t="shared" si="49"/>
        <v>-961</v>
      </c>
      <c r="E45" s="100" t="str">
        <f t="shared" si="50"/>
        <v/>
      </c>
      <c r="F45" s="99">
        <f t="shared" si="51"/>
        <v>-961</v>
      </c>
      <c r="G45" s="101">
        <f t="shared" si="52"/>
        <v>9</v>
      </c>
      <c r="H45" s="99">
        <f t="shared" si="53"/>
        <v>39</v>
      </c>
      <c r="I45" s="102" t="str">
        <f t="shared" si="54"/>
        <v/>
      </c>
      <c r="J45" s="103">
        <f t="shared" si="55"/>
        <v>-961</v>
      </c>
      <c r="K45" s="71">
        <f t="shared" si="56"/>
        <v>39</v>
      </c>
      <c r="L45" s="121" t="s">
        <v>266</v>
      </c>
      <c r="M45" s="105" t="s">
        <v>110</v>
      </c>
      <c r="N45" s="106"/>
      <c r="O45" s="138"/>
      <c r="P45" s="108"/>
      <c r="Q45" s="109" t="s">
        <v>88</v>
      </c>
      <c r="R45" s="110">
        <f>(IF(COUNT(Z45,AA45,AB45,AC45,AD45,AE45,AF45,AG45,AH45,AI45)&lt;10,SUM(Z45,AA45,AB45,AC45,AD45,AE45,AF45,AG45,AH45,AI45),SUM(LARGE((Z45,AA45,AB45,AC45,AD45,AE45,AF45,AG45,AH45,AI45),{1;2;3;4;5;6;7;8;9}))))</f>
        <v>10</v>
      </c>
      <c r="S45" s="111" t="str">
        <f>INDEX(ETAPP!B$1:B$32,MATCH(COUNTIF(BI45:BR45,1),ETAPP!A$1:A$32,0))&amp;INDEX(ETAPP!B$1:B$32,MATCH(COUNTIF(BI45:BR45,2),ETAPP!A$1:A$32,0))&amp;INDEX(ETAPP!B$1:B$32,MATCH(COUNTIF(BI45:BR45,3),ETAPP!A$1:A$32,0))&amp;INDEX(ETAPP!B$1:B$32,MATCH(COUNTIF(BI45:BR45,4),ETAPP!A$1:A$32,0))&amp;INDEX(ETAPP!B$1:B$32,MATCH(COUNTIF(BI45:BR45,5),ETAPP!A$1:A$32,0))&amp;INDEX(ETAPP!B$1:B$32,MATCH(COUNTIF(BI45:BR45,6),ETAPP!A$1:A$32,0))&amp;INDEX(ETAPP!B$1:B$32,MATCH(COUNTIF(BI45:BR45,7),ETAPP!A$1:A$32,0))&amp;INDEX(ETAPP!B$1:B$32,MATCH(COUNTIF(BI45:BR45,8),ETAPP!A$1:A$32,0))&amp;INDEX(ETAPP!B$1:B$32,MATCH(COUNTIF(BI45:BR45,9),ETAPP!A$1:A$32,0))&amp;INDEX(ETAPP!B$1:B$32,MATCH(COUNTIF(BI45:BR45,10),ETAPP!A$1:A$32,0))&amp;INDEX(ETAPP!B$1:B$32,MATCH(COUNTIF(BI45:BR45,11),ETAPP!A$1:A$32,0))&amp;INDEX(ETAPP!B$1:B$32,MATCH(COUNTIF(BI45:BR45,12),ETAPP!A$1:A$32,0))&amp;INDEX(ETAPP!B$1:B$32,MATCH(COUNTIF(BI45:BR45,13),ETAPP!A$1:A$32,0))&amp;INDEX(ETAPP!B$1:B$32,MATCH(COUNTIF(BI45:BR45,14),ETAPP!A$1:A$32,0))&amp;INDEX(ETAPP!B$1:B$32,MATCH(COUNTIF(BI45:BR45,15),ETAPP!A$1:A$32,0))&amp;INDEX(ETAPP!B$1:B$32,MATCH(COUNTIF(BI45:BR45,16),ETAPP!A$1:A$32,0))&amp;INDEX(ETAPP!B$1:B$32,MATCH(COUNTIF(BI45:BR45,17),ETAPP!A$1:A$32,0))&amp;INDEX(ETAPP!B$1:B$32,MATCH(COUNTIF(BI45:BR45,18),ETAPP!A$1:A$32,0))&amp;INDEX(ETAPP!B$1:B$32,MATCH(COUNTIF(BI45:BR45,19),ETAPP!A$1:A$32,0))&amp;INDEX(ETAPP!B$1:B$32,MATCH(COUNTIF(BI45:BR45,20),ETAPP!A$1:A$32,0))&amp;INDEX(ETAPP!B$1:B$32,MATCH(COUNTIF(BI45:BR45,21),ETAPP!A$1:A$32,0))</f>
        <v>0000000AAA00000000000</v>
      </c>
      <c r="T45" s="111" t="str">
        <f t="shared" si="57"/>
        <v>010,0-0000000AAA00000000000</v>
      </c>
      <c r="U45" s="111">
        <f t="shared" si="58"/>
        <v>39</v>
      </c>
      <c r="V45" s="111">
        <f t="shared" si="59"/>
        <v>7</v>
      </c>
      <c r="W45" s="111" t="str">
        <f t="shared" si="60"/>
        <v>010,0-0000000AAA00000000000-007</v>
      </c>
      <c r="X45" s="111">
        <f t="shared" si="61"/>
        <v>39</v>
      </c>
      <c r="Y45" s="112">
        <f t="shared" si="62"/>
        <v>70</v>
      </c>
      <c r="Z45" s="113">
        <f>IFERROR(INDEX('V1'!C$300:C$400,MATCH("*"&amp;L45&amp;"*",'V1'!B$300:B$400,0)),"  ")</f>
        <v>4</v>
      </c>
      <c r="AA45" s="113">
        <f>IFERROR(INDEX('V2'!C$300:C$400,MATCH("*"&amp;L45&amp;"*",'V2'!B$300:B$400,0)),"  ")</f>
        <v>4</v>
      </c>
      <c r="AB45" s="113" t="str">
        <f>IFERROR(INDEX('V3'!C$300:C$400,MATCH("*"&amp;L45&amp;"*",'V3'!B$300:B$400,0)),"  ")</f>
        <v xml:space="preserve">  </v>
      </c>
      <c r="AC45" s="113" t="str">
        <f>IFERROR(INDEX('V4'!C$300:C$400,MATCH("*"&amp;L45&amp;"*",'V4'!B$300:B$400,0)),"  ")</f>
        <v xml:space="preserve">  </v>
      </c>
      <c r="AD45" s="113" t="str">
        <f>IFERROR(INDEX('V5'!C$300:C$400,MATCH("*"&amp;L45&amp;"*",'V5'!B$300:B$400,0)),"  ")</f>
        <v xml:space="preserve">  </v>
      </c>
      <c r="AE45" s="113" t="str">
        <f>IFERROR(INDEX('V6'!C$300:C$400,MATCH("*"&amp;L45&amp;"*",'V6'!B$300:B$400,0)),"  ")</f>
        <v xml:space="preserve">  </v>
      </c>
      <c r="AF45" s="113" t="str">
        <f>IFERROR(INDEX('V7'!C$300:C$400,MATCH("*"&amp;L45&amp;"*",'V7'!B$300:B$400,0)),"  ")</f>
        <v xml:space="preserve">  </v>
      </c>
      <c r="AG45" s="113">
        <f>IFERROR(INDEX('V8'!C$300:C$400,MATCH("*"&amp;L45&amp;"*",'V8'!B$300:B$400,0)),"  ")</f>
        <v>2</v>
      </c>
      <c r="AH45" s="113" t="str">
        <f>IFERROR(INDEX('V9'!C$300:C$399,MATCH("*"&amp;L45&amp;"*",'V9'!B$300:B$399,0)),"  ")</f>
        <v xml:space="preserve">  </v>
      </c>
      <c r="AI45" s="113" t="str">
        <f>IFERROR(INDEX('V10'!C$300:C$399,MATCH("*"&amp;L45&amp;"*",'V10'!B$300:B$399,0)),"  ")</f>
        <v xml:space="preserve">  </v>
      </c>
      <c r="AJ45" s="114">
        <f t="shared" si="63"/>
        <v>39</v>
      </c>
      <c r="AK45" s="404">
        <f t="shared" si="64"/>
        <v>10</v>
      </c>
      <c r="AL45" s="115" t="str">
        <f t="shared" si="65"/>
        <v>edasi 31</v>
      </c>
      <c r="AM45" s="116" t="str">
        <f>IFERROR(INDEX(#REF!,MATCH("*"&amp;L45&amp;"*",#REF!,0)),"  ")</f>
        <v xml:space="preserve">  </v>
      </c>
      <c r="AN45" s="117">
        <f t="shared" si="66"/>
        <v>3</v>
      </c>
      <c r="AO45" s="118">
        <f t="shared" si="67"/>
        <v>0</v>
      </c>
      <c r="AP45" s="118">
        <f t="shared" si="68"/>
        <v>0</v>
      </c>
      <c r="AQ45" s="49"/>
      <c r="AT45" s="119">
        <f t="shared" si="69"/>
        <v>2.9999999999999997E-4</v>
      </c>
      <c r="AU45" s="120">
        <f t="shared" si="70"/>
        <v>4.0000999999999998</v>
      </c>
      <c r="AV45" s="120">
        <f t="shared" si="71"/>
        <v>4.0002000000000004</v>
      </c>
      <c r="AW45" s="120">
        <f t="shared" si="72"/>
        <v>2.9999999999999997E-4</v>
      </c>
      <c r="AX45" s="120">
        <f t="shared" si="73"/>
        <v>4.0000000000000002E-4</v>
      </c>
      <c r="AY45" s="120">
        <f t="shared" si="74"/>
        <v>5.0000000000000001E-4</v>
      </c>
      <c r="AZ45" s="120">
        <f t="shared" si="75"/>
        <v>5.9999999999999995E-4</v>
      </c>
      <c r="BA45" s="120">
        <f t="shared" si="76"/>
        <v>6.9999999999999999E-4</v>
      </c>
      <c r="BB45" s="120">
        <f t="shared" si="77"/>
        <v>2.0007999999999999</v>
      </c>
      <c r="BC45" s="120">
        <f t="shared" si="78"/>
        <v>8.9999999999999998E-4</v>
      </c>
      <c r="BD45" s="120">
        <f t="shared" si="79"/>
        <v>1E-3</v>
      </c>
      <c r="BE45" s="1018"/>
      <c r="BI45" s="1018">
        <f t="shared" si="80"/>
        <v>8</v>
      </c>
      <c r="BJ45" s="1018">
        <f t="shared" si="81"/>
        <v>9</v>
      </c>
      <c r="BK45" s="1018" t="e">
        <f t="shared" si="82"/>
        <v>#VALUE!</v>
      </c>
      <c r="BL45" s="1018" t="e">
        <f t="shared" si="83"/>
        <v>#VALUE!</v>
      </c>
      <c r="BM45" s="1018" t="e">
        <f t="shared" si="84"/>
        <v>#VALUE!</v>
      </c>
      <c r="BN45" s="1018" t="e">
        <f t="shared" si="85"/>
        <v>#VALUE!</v>
      </c>
      <c r="BO45" s="1018" t="e">
        <f t="shared" si="86"/>
        <v>#VALUE!</v>
      </c>
      <c r="BP45" s="1018">
        <f t="shared" si="87"/>
        <v>10</v>
      </c>
      <c r="BQ45" s="1018" t="e">
        <f t="shared" si="88"/>
        <v>#VALUE!</v>
      </c>
      <c r="BR45" s="1018" t="e">
        <f t="shared" si="89"/>
        <v>#VALUE!</v>
      </c>
    </row>
    <row r="46" spans="1:70" ht="12.75" customHeight="1" x14ac:dyDescent="0.2">
      <c r="A46" s="647">
        <f t="shared" si="46"/>
        <v>30</v>
      </c>
      <c r="B46" s="99">
        <f t="shared" si="47"/>
        <v>40</v>
      </c>
      <c r="C46" s="409" t="str">
        <f t="shared" si="48"/>
        <v/>
      </c>
      <c r="D46" s="367">
        <f t="shared" si="49"/>
        <v>-960</v>
      </c>
      <c r="E46" s="100" t="str">
        <f t="shared" si="50"/>
        <v/>
      </c>
      <c r="F46" s="99">
        <f t="shared" si="51"/>
        <v>-960</v>
      </c>
      <c r="G46" s="101">
        <f t="shared" si="52"/>
        <v>10</v>
      </c>
      <c r="H46" s="99">
        <f t="shared" si="53"/>
        <v>40</v>
      </c>
      <c r="I46" s="102">
        <f t="shared" si="54"/>
        <v>1</v>
      </c>
      <c r="J46" s="103">
        <f t="shared" si="55"/>
        <v>40</v>
      </c>
      <c r="K46" s="71">
        <f t="shared" si="56"/>
        <v>40</v>
      </c>
      <c r="L46" s="104" t="s">
        <v>337</v>
      </c>
      <c r="M46" s="105" t="s">
        <v>110</v>
      </c>
      <c r="N46" s="106"/>
      <c r="O46" s="138" t="s">
        <v>117</v>
      </c>
      <c r="P46" s="108"/>
      <c r="Q46" s="109" t="s">
        <v>88</v>
      </c>
      <c r="R46" s="110">
        <f>(IF(COUNT(Z46,AA46,AB46,AC46,AD46,AE46,AF46,AG46,AH46,AI46)&lt;10,SUM(Z46,AA46,AB46,AC46,AD46,AE46,AF46,AG46,AH46,AI46),SUM(LARGE((Z46,AA46,AB46,AC46,AD46,AE46,AF46,AG46,AH46,AI46),{1;2;3;4;5;6;7;8;9}))))</f>
        <v>8</v>
      </c>
      <c r="S46" s="111" t="str">
        <f>INDEX(ETAPP!B$1:B$32,MATCH(COUNTIF(BI46:BR46,1),ETAPP!A$1:A$32,0))&amp;INDEX(ETAPP!B$1:B$32,MATCH(COUNTIF(BI46:BR46,2),ETAPP!A$1:A$32,0))&amp;INDEX(ETAPP!B$1:B$32,MATCH(COUNTIF(BI46:BR46,3),ETAPP!A$1:A$32,0))&amp;INDEX(ETAPP!B$1:B$32,MATCH(COUNTIF(BI46:BR46,4),ETAPP!A$1:A$32,0))&amp;INDEX(ETAPP!B$1:B$32,MATCH(COUNTIF(BI46:BR46,5),ETAPP!A$1:A$32,0))&amp;INDEX(ETAPP!B$1:B$32,MATCH(COUNTIF(BI46:BR46,6),ETAPP!A$1:A$32,0))&amp;INDEX(ETAPP!B$1:B$32,MATCH(COUNTIF(BI46:BR46,7),ETAPP!A$1:A$32,0))&amp;INDEX(ETAPP!B$1:B$32,MATCH(COUNTIF(BI46:BR46,8),ETAPP!A$1:A$32,0))&amp;INDEX(ETAPP!B$1:B$32,MATCH(COUNTIF(BI46:BR46,9),ETAPP!A$1:A$32,0))&amp;INDEX(ETAPP!B$1:B$32,MATCH(COUNTIF(BI46:BR46,10),ETAPP!A$1:A$32,0))&amp;INDEX(ETAPP!B$1:B$32,MATCH(COUNTIF(BI46:BR46,11),ETAPP!A$1:A$32,0))&amp;INDEX(ETAPP!B$1:B$32,MATCH(COUNTIF(BI46:BR46,12),ETAPP!A$1:A$32,0))&amp;INDEX(ETAPP!B$1:B$32,MATCH(COUNTIF(BI46:BR46,13),ETAPP!A$1:A$32,0))&amp;INDEX(ETAPP!B$1:B$32,MATCH(COUNTIF(BI46:BR46,14),ETAPP!A$1:A$32,0))&amp;INDEX(ETAPP!B$1:B$32,MATCH(COUNTIF(BI46:BR46,15),ETAPP!A$1:A$32,0))&amp;INDEX(ETAPP!B$1:B$32,MATCH(COUNTIF(BI46:BR46,16),ETAPP!A$1:A$32,0))&amp;INDEX(ETAPP!B$1:B$32,MATCH(COUNTIF(BI46:BR46,17),ETAPP!A$1:A$32,0))&amp;INDEX(ETAPP!B$1:B$32,MATCH(COUNTIF(BI46:BR46,18),ETAPP!A$1:A$32,0))&amp;INDEX(ETAPP!B$1:B$32,MATCH(COUNTIF(BI46:BR46,19),ETAPP!A$1:A$32,0))&amp;INDEX(ETAPP!B$1:B$32,MATCH(COUNTIF(BI46:BR46,20),ETAPP!A$1:A$32,0))&amp;INDEX(ETAPP!B$1:B$32,MATCH(COUNTIF(BI46:BR46,21),ETAPP!A$1:A$32,0))</f>
        <v>00000000A000000000000</v>
      </c>
      <c r="T46" s="111" t="str">
        <f t="shared" si="57"/>
        <v>008,0-00000000A000000000000</v>
      </c>
      <c r="U46" s="111">
        <f t="shared" si="58"/>
        <v>40</v>
      </c>
      <c r="V46" s="111">
        <f t="shared" si="59"/>
        <v>105</v>
      </c>
      <c r="W46" s="111" t="str">
        <f t="shared" si="60"/>
        <v>008,0-00000000A000000000000-105</v>
      </c>
      <c r="X46" s="111">
        <f t="shared" si="61"/>
        <v>40</v>
      </c>
      <c r="Y46" s="112">
        <f t="shared" si="62"/>
        <v>69</v>
      </c>
      <c r="Z46" s="113" t="str">
        <f>IFERROR(INDEX('V1'!C$300:C$400,MATCH("*"&amp;L46&amp;"*",'V1'!B$300:B$400,0)),"  ")</f>
        <v xml:space="preserve">  </v>
      </c>
      <c r="AA46" s="113" t="str">
        <f>IFERROR(INDEX('V2'!C$300:C$400,MATCH("*"&amp;L46&amp;"*",'V2'!B$300:B$400,0)),"  ")</f>
        <v xml:space="preserve">  </v>
      </c>
      <c r="AB46" s="113" t="str">
        <f>IFERROR(INDEX('V3'!C$300:C$400,MATCH("*"&amp;L46&amp;"*",'V3'!B$300:B$400,0)),"  ")</f>
        <v xml:space="preserve">  </v>
      </c>
      <c r="AC46" s="113" t="str">
        <f>IFERROR(INDEX('V4'!C$300:C$400,MATCH("*"&amp;L46&amp;"*",'V4'!B$300:B$400,0)),"  ")</f>
        <v xml:space="preserve">  </v>
      </c>
      <c r="AD46" s="113" t="str">
        <f>IFERROR(INDEX('V5'!C$300:C$400,MATCH("*"&amp;L46&amp;"*",'V5'!B$300:B$400,0)),"  ")</f>
        <v xml:space="preserve">  </v>
      </c>
      <c r="AE46" s="113" t="str">
        <f>IFERROR(INDEX('V6'!C$300:C$400,MATCH("*"&amp;L46&amp;"*",'V6'!B$300:B$400,0)),"  ")</f>
        <v xml:space="preserve">  </v>
      </c>
      <c r="AF46" s="113" t="str">
        <f>IFERROR(INDEX('V7'!C$300:C$400,MATCH("*"&amp;L46&amp;"*",'V7'!B$300:B$400,0)),"  ")</f>
        <v xml:space="preserve">  </v>
      </c>
      <c r="AG46" s="113" t="str">
        <f>IFERROR(INDEX('V8'!C$300:C$400,MATCH("*"&amp;L46&amp;"*",'V8'!B$300:B$400,0)),"  ")</f>
        <v xml:space="preserve">  </v>
      </c>
      <c r="AH46" s="113">
        <f>IFERROR(INDEX('V9'!C$300:C$399,MATCH("*"&amp;L46&amp;"*",'V9'!B$300:B$399,0)),"  ")</f>
        <v>8</v>
      </c>
      <c r="AI46" s="113" t="str">
        <f>IFERROR(INDEX('V10'!C$300:C$399,MATCH("*"&amp;L46&amp;"*",'V10'!B$300:B$399,0)),"  ")</f>
        <v xml:space="preserve">  </v>
      </c>
      <c r="AJ46" s="114" t="str">
        <f t="shared" si="63"/>
        <v/>
      </c>
      <c r="AK46" s="404">
        <f t="shared" si="64"/>
        <v>8</v>
      </c>
      <c r="AL46" s="115">
        <f t="shared" si="65"/>
        <v>40</v>
      </c>
      <c r="AM46" s="116" t="str">
        <f>IFERROR(INDEX(#REF!,MATCH("*"&amp;L46&amp;"*",#REF!,0)),"  ")</f>
        <v xml:space="preserve">  </v>
      </c>
      <c r="AN46" s="117">
        <f t="shared" si="66"/>
        <v>1</v>
      </c>
      <c r="AO46" s="118">
        <f t="shared" si="67"/>
        <v>0</v>
      </c>
      <c r="AP46" s="118">
        <f t="shared" si="68"/>
        <v>0</v>
      </c>
      <c r="AQ46" s="49"/>
      <c r="AT46" s="119">
        <f t="shared" si="69"/>
        <v>1E-4</v>
      </c>
      <c r="AU46" s="120">
        <f t="shared" si="70"/>
        <v>1E-4</v>
      </c>
      <c r="AV46" s="120">
        <f t="shared" si="71"/>
        <v>2.0000000000000001E-4</v>
      </c>
      <c r="AW46" s="120">
        <f t="shared" si="72"/>
        <v>2.9999999999999997E-4</v>
      </c>
      <c r="AX46" s="120">
        <f t="shared" si="73"/>
        <v>4.0000000000000002E-4</v>
      </c>
      <c r="AY46" s="120">
        <f t="shared" si="74"/>
        <v>5.0000000000000001E-4</v>
      </c>
      <c r="AZ46" s="120">
        <f t="shared" si="75"/>
        <v>5.9999999999999995E-4</v>
      </c>
      <c r="BA46" s="120">
        <f t="shared" si="76"/>
        <v>6.9999999999999999E-4</v>
      </c>
      <c r="BB46" s="120">
        <f t="shared" si="77"/>
        <v>8.0000000000000004E-4</v>
      </c>
      <c r="BC46" s="120">
        <f t="shared" si="78"/>
        <v>8.0008999999999997</v>
      </c>
      <c r="BD46" s="120">
        <f t="shared" si="79"/>
        <v>1E-3</v>
      </c>
      <c r="BI46" s="1018" t="e">
        <f t="shared" si="80"/>
        <v>#VALUE!</v>
      </c>
      <c r="BJ46" s="1018" t="e">
        <f t="shared" si="81"/>
        <v>#VALUE!</v>
      </c>
      <c r="BK46" s="1018" t="e">
        <f t="shared" si="82"/>
        <v>#VALUE!</v>
      </c>
      <c r="BL46" s="1018" t="e">
        <f t="shared" si="83"/>
        <v>#VALUE!</v>
      </c>
      <c r="BM46" s="1018" t="e">
        <f t="shared" si="84"/>
        <v>#VALUE!</v>
      </c>
      <c r="BN46" s="1018" t="e">
        <f t="shared" si="85"/>
        <v>#VALUE!</v>
      </c>
      <c r="BO46" s="1018" t="e">
        <f t="shared" si="86"/>
        <v>#VALUE!</v>
      </c>
      <c r="BP46" s="1018" t="e">
        <f t="shared" si="87"/>
        <v>#VALUE!</v>
      </c>
      <c r="BQ46" s="1018">
        <f t="shared" si="88"/>
        <v>9</v>
      </c>
      <c r="BR46" s="1018" t="e">
        <f t="shared" si="89"/>
        <v>#VALUE!</v>
      </c>
    </row>
    <row r="47" spans="1:70" ht="12.75" customHeight="1" x14ac:dyDescent="0.2">
      <c r="A47" s="647">
        <f t="shared" si="46"/>
        <v>31</v>
      </c>
      <c r="B47" s="99">
        <f t="shared" si="47"/>
        <v>41</v>
      </c>
      <c r="C47" s="409">
        <f t="shared" si="48"/>
        <v>15</v>
      </c>
      <c r="D47" s="367">
        <f t="shared" si="49"/>
        <v>41</v>
      </c>
      <c r="E47" s="100">
        <f t="shared" si="50"/>
        <v>32</v>
      </c>
      <c r="F47" s="99">
        <f t="shared" si="51"/>
        <v>41</v>
      </c>
      <c r="G47" s="101" t="str">
        <f t="shared" si="52"/>
        <v/>
      </c>
      <c r="H47" s="99">
        <f t="shared" si="53"/>
        <v>-959</v>
      </c>
      <c r="I47" s="102">
        <f t="shared" si="54"/>
        <v>2</v>
      </c>
      <c r="J47" s="103">
        <f t="shared" si="55"/>
        <v>41</v>
      </c>
      <c r="K47" s="71">
        <f t="shared" si="56"/>
        <v>41</v>
      </c>
      <c r="L47" s="121" t="s">
        <v>332</v>
      </c>
      <c r="M47" s="105"/>
      <c r="N47" s="106" t="s">
        <v>105</v>
      </c>
      <c r="O47" s="138" t="s">
        <v>117</v>
      </c>
      <c r="P47" s="108" t="s">
        <v>317</v>
      </c>
      <c r="Q47" s="109" t="s">
        <v>88</v>
      </c>
      <c r="R47" s="110">
        <f>(IF(COUNT(Z47,AA47,AB47,AC47,AD47,AE47,AF47,AG47,AH47,AI47)&lt;10,SUM(Z47,AA47,AB47,AC47,AD47,AE47,AF47,AG47,AH47,AI47),SUM(LARGE((Z47,AA47,AB47,AC47,AD47,AE47,AF47,AG47,AH47,AI47),{1;2;3;4;5;6;7;8;9}))))</f>
        <v>6</v>
      </c>
      <c r="S47" s="111" t="str">
        <f>INDEX(ETAPP!B$1:B$32,MATCH(COUNTIF(BI47:BR47,1),ETAPP!A$1:A$32,0))&amp;INDEX(ETAPP!B$1:B$32,MATCH(COUNTIF(BI47:BR47,2),ETAPP!A$1:A$32,0))&amp;INDEX(ETAPP!B$1:B$32,MATCH(COUNTIF(BI47:BR47,3),ETAPP!A$1:A$32,0))&amp;INDEX(ETAPP!B$1:B$32,MATCH(COUNTIF(BI47:BR47,4),ETAPP!A$1:A$32,0))&amp;INDEX(ETAPP!B$1:B$32,MATCH(COUNTIF(BI47:BR47,5),ETAPP!A$1:A$32,0))&amp;INDEX(ETAPP!B$1:B$32,MATCH(COUNTIF(BI47:BR47,6),ETAPP!A$1:A$32,0))&amp;INDEX(ETAPP!B$1:B$32,MATCH(COUNTIF(BI47:BR47,7),ETAPP!A$1:A$32,0))&amp;INDEX(ETAPP!B$1:B$32,MATCH(COUNTIF(BI47:BR47,8),ETAPP!A$1:A$32,0))&amp;INDEX(ETAPP!B$1:B$32,MATCH(COUNTIF(BI47:BR47,9),ETAPP!A$1:A$32,0))&amp;INDEX(ETAPP!B$1:B$32,MATCH(COUNTIF(BI47:BR47,10),ETAPP!A$1:A$32,0))&amp;INDEX(ETAPP!B$1:B$32,MATCH(COUNTIF(BI47:BR47,11),ETAPP!A$1:A$32,0))&amp;INDEX(ETAPP!B$1:B$32,MATCH(COUNTIF(BI47:BR47,12),ETAPP!A$1:A$32,0))&amp;INDEX(ETAPP!B$1:B$32,MATCH(COUNTIF(BI47:BR47,13),ETAPP!A$1:A$32,0))&amp;INDEX(ETAPP!B$1:B$32,MATCH(COUNTIF(BI47:BR47,14),ETAPP!A$1:A$32,0))&amp;INDEX(ETAPP!B$1:B$32,MATCH(COUNTIF(BI47:BR47,15),ETAPP!A$1:A$32,0))&amp;INDEX(ETAPP!B$1:B$32,MATCH(COUNTIF(BI47:BR47,16),ETAPP!A$1:A$32,0))&amp;INDEX(ETAPP!B$1:B$32,MATCH(COUNTIF(BI47:BR47,17),ETAPP!A$1:A$32,0))&amp;INDEX(ETAPP!B$1:B$32,MATCH(COUNTIF(BI47:BR47,18),ETAPP!A$1:A$32,0))&amp;INDEX(ETAPP!B$1:B$32,MATCH(COUNTIF(BI47:BR47,19),ETAPP!A$1:A$32,0))&amp;INDEX(ETAPP!B$1:B$32,MATCH(COUNTIF(BI47:BR47,20),ETAPP!A$1:A$32,0))&amp;INDEX(ETAPP!B$1:B$32,MATCH(COUNTIF(BI47:BR47,21),ETAPP!A$1:A$32,0))</f>
        <v>000000A00000000000000</v>
      </c>
      <c r="T47" s="111" t="str">
        <f t="shared" si="57"/>
        <v>006,0-000000A00000000000000</v>
      </c>
      <c r="U47" s="111">
        <f t="shared" si="58"/>
        <v>41</v>
      </c>
      <c r="V47" s="111">
        <f t="shared" si="59"/>
        <v>37</v>
      </c>
      <c r="W47" s="111" t="str">
        <f t="shared" si="60"/>
        <v>006,0-000000A00000000000000-037</v>
      </c>
      <c r="X47" s="111">
        <f t="shared" si="61"/>
        <v>41</v>
      </c>
      <c r="Y47" s="112">
        <f t="shared" si="62"/>
        <v>68</v>
      </c>
      <c r="Z47" s="113">
        <f>IFERROR(INDEX('V1'!C$300:C$400,MATCH("*"&amp;L47&amp;"*",'V1'!B$300:B$400,0)),"  ")</f>
        <v>6</v>
      </c>
      <c r="AA47" s="113" t="str">
        <f>IFERROR(INDEX('V2'!C$300:C$400,MATCH("*"&amp;L47&amp;"*",'V2'!B$300:B$400,0)),"  ")</f>
        <v xml:space="preserve">  </v>
      </c>
      <c r="AB47" s="113" t="str">
        <f>IFERROR(INDEX('V3'!C$300:C$400,MATCH("*"&amp;L47&amp;"*",'V3'!B$300:B$400,0)),"  ")</f>
        <v xml:space="preserve">  </v>
      </c>
      <c r="AC47" s="113" t="str">
        <f>IFERROR(INDEX('V4'!C$300:C$400,MATCH("*"&amp;L47&amp;"*",'V4'!B$300:B$400,0)),"  ")</f>
        <v xml:space="preserve">  </v>
      </c>
      <c r="AD47" s="113" t="str">
        <f>IFERROR(INDEX('V5'!C$300:C$400,MATCH("*"&amp;L47&amp;"*",'V5'!B$300:B$400,0)),"  ")</f>
        <v xml:space="preserve">  </v>
      </c>
      <c r="AE47" s="113" t="str">
        <f>IFERROR(INDEX('V6'!C$300:C$400,MATCH("*"&amp;L47&amp;"*",'V6'!B$300:B$400,0)),"  ")</f>
        <v xml:space="preserve">  </v>
      </c>
      <c r="AF47" s="113" t="str">
        <f>IFERROR(INDEX('V7'!C$300:C$400,MATCH("*"&amp;L47&amp;"*",'V7'!B$300:B$400,0)),"  ")</f>
        <v xml:space="preserve">  </v>
      </c>
      <c r="AG47" s="113" t="str">
        <f>IFERROR(INDEX('V8'!C$300:C$400,MATCH("*"&amp;L47&amp;"*",'V8'!B$300:B$400,0)),"  ")</f>
        <v xml:space="preserve">  </v>
      </c>
      <c r="AH47" s="113" t="str">
        <f>IFERROR(INDEX('V9'!C$300:C$399,MATCH("*"&amp;L47&amp;"*",'V9'!B$300:B$399,0)),"  ")</f>
        <v xml:space="preserve">  </v>
      </c>
      <c r="AI47" s="113" t="str">
        <f>IFERROR(INDEX('V10'!C$300:C$399,MATCH("*"&amp;L47&amp;"*",'V10'!B$300:B$399,0)),"  ")</f>
        <v xml:space="preserve">  </v>
      </c>
      <c r="AJ47" s="114" t="str">
        <f t="shared" si="63"/>
        <v/>
      </c>
      <c r="AK47" s="404">
        <f t="shared" si="64"/>
        <v>6</v>
      </c>
      <c r="AL47" s="115">
        <f t="shared" si="65"/>
        <v>41</v>
      </c>
      <c r="AM47" s="116" t="str">
        <f>IFERROR(INDEX(#REF!,MATCH("*"&amp;L47&amp;"*",#REF!,0)),"  ")</f>
        <v xml:space="preserve">  </v>
      </c>
      <c r="AN47" s="117">
        <f t="shared" si="66"/>
        <v>1</v>
      </c>
      <c r="AO47" s="118">
        <f t="shared" si="67"/>
        <v>0</v>
      </c>
      <c r="AP47" s="118">
        <f t="shared" si="68"/>
        <v>0</v>
      </c>
      <c r="AQ47" s="49"/>
      <c r="AR47" s="1"/>
      <c r="AS47" s="1"/>
      <c r="AT47" s="119">
        <f t="shared" si="69"/>
        <v>2.0000000000000001E-4</v>
      </c>
      <c r="AU47" s="120">
        <f t="shared" si="70"/>
        <v>6.0000999999999998</v>
      </c>
      <c r="AV47" s="120">
        <f t="shared" si="71"/>
        <v>2.0000000000000001E-4</v>
      </c>
      <c r="AW47" s="120">
        <f t="shared" si="72"/>
        <v>2.9999999999999997E-4</v>
      </c>
      <c r="AX47" s="120">
        <f t="shared" si="73"/>
        <v>4.0000000000000002E-4</v>
      </c>
      <c r="AY47" s="120">
        <f t="shared" si="74"/>
        <v>5.0000000000000001E-4</v>
      </c>
      <c r="AZ47" s="120">
        <f t="shared" si="75"/>
        <v>5.9999999999999995E-4</v>
      </c>
      <c r="BA47" s="120">
        <f t="shared" si="76"/>
        <v>6.9999999999999999E-4</v>
      </c>
      <c r="BB47" s="120">
        <f t="shared" si="77"/>
        <v>8.0000000000000004E-4</v>
      </c>
      <c r="BC47" s="120">
        <f t="shared" si="78"/>
        <v>8.9999999999999998E-4</v>
      </c>
      <c r="BD47" s="120">
        <f t="shared" si="79"/>
        <v>1E-3</v>
      </c>
      <c r="BE47" s="1018"/>
      <c r="BI47" s="1018">
        <f t="shared" si="80"/>
        <v>7</v>
      </c>
      <c r="BJ47" s="1018" t="e">
        <f t="shared" si="81"/>
        <v>#VALUE!</v>
      </c>
      <c r="BK47" s="1018" t="e">
        <f t="shared" si="82"/>
        <v>#VALUE!</v>
      </c>
      <c r="BL47" s="1018" t="e">
        <f t="shared" si="83"/>
        <v>#VALUE!</v>
      </c>
      <c r="BM47" s="1018" t="e">
        <f t="shared" si="84"/>
        <v>#VALUE!</v>
      </c>
      <c r="BN47" s="1018" t="e">
        <f t="shared" si="85"/>
        <v>#VALUE!</v>
      </c>
      <c r="BO47" s="1018" t="e">
        <f t="shared" si="86"/>
        <v>#VALUE!</v>
      </c>
      <c r="BP47" s="1018" t="e">
        <f t="shared" si="87"/>
        <v>#VALUE!</v>
      </c>
      <c r="BQ47" s="1018" t="e">
        <f t="shared" si="88"/>
        <v>#VALUE!</v>
      </c>
      <c r="BR47" s="1018" t="e">
        <f t="shared" si="89"/>
        <v>#VALUE!</v>
      </c>
    </row>
    <row r="48" spans="1:70" ht="12.75" customHeight="1" x14ac:dyDescent="0.2">
      <c r="A48" s="647" t="str">
        <f t="shared" si="46"/>
        <v/>
      </c>
      <c r="B48" s="99">
        <f t="shared" si="47"/>
        <v>-957</v>
      </c>
      <c r="C48" s="409" t="str">
        <f t="shared" si="48"/>
        <v/>
      </c>
      <c r="D48" s="367">
        <f t="shared" si="49"/>
        <v>-957</v>
      </c>
      <c r="E48" s="100">
        <f t="shared" si="50"/>
        <v>33</v>
      </c>
      <c r="F48" s="99">
        <f t="shared" si="51"/>
        <v>43</v>
      </c>
      <c r="G48" s="101" t="str">
        <f t="shared" si="52"/>
        <v/>
      </c>
      <c r="H48" s="99">
        <f t="shared" si="53"/>
        <v>-957</v>
      </c>
      <c r="I48" s="102" t="str">
        <f t="shared" si="54"/>
        <v/>
      </c>
      <c r="J48" s="103">
        <f t="shared" si="55"/>
        <v>-957</v>
      </c>
      <c r="K48" s="71">
        <f t="shared" si="56"/>
        <v>42</v>
      </c>
      <c r="L48" s="1026" t="s">
        <v>101</v>
      </c>
      <c r="M48" s="105"/>
      <c r="N48" s="106" t="str">
        <f>IF(M48="","m","")</f>
        <v>m</v>
      </c>
      <c r="O48" s="107"/>
      <c r="P48" s="108"/>
      <c r="Q48" s="109" t="s">
        <v>344</v>
      </c>
      <c r="R48" s="110">
        <f>(IF(COUNT(Z48,AA48,AB48,AC48,AD48,AE48,AF48,AG48,AH48,AI48)&lt;10,SUM(Z48,AA48,AB48,AC48,AD48,AE48,AF48,AG48,AH48,AI48),SUM(LARGE((Z48,AA48,AB48,AC48,AD48,AE48,AF48,AG48,AH48,AI48),{1;2;3;4;5;6;7;8;9}))))</f>
        <v>6</v>
      </c>
      <c r="S48" s="111" t="str">
        <f>INDEX(ETAPP!B$1:B$32,MATCH(COUNTIF(BI48:BR48,1),ETAPP!A$1:A$32,0))&amp;INDEX(ETAPP!B$1:B$32,MATCH(COUNTIF(BI48:BR48,2),ETAPP!A$1:A$32,0))&amp;INDEX(ETAPP!B$1:B$32,MATCH(COUNTIF(BI48:BR48,3),ETAPP!A$1:A$32,0))&amp;INDEX(ETAPP!B$1:B$32,MATCH(COUNTIF(BI48:BR48,4),ETAPP!A$1:A$32,0))&amp;INDEX(ETAPP!B$1:B$32,MATCH(COUNTIF(BI48:BR48,5),ETAPP!A$1:A$32,0))&amp;INDEX(ETAPP!B$1:B$32,MATCH(COUNTIF(BI48:BR48,6),ETAPP!A$1:A$32,0))&amp;INDEX(ETAPP!B$1:B$32,MATCH(COUNTIF(BI48:BR48,7),ETAPP!A$1:A$32,0))&amp;INDEX(ETAPP!B$1:B$32,MATCH(COUNTIF(BI48:BR48,8),ETAPP!A$1:A$32,0))&amp;INDEX(ETAPP!B$1:B$32,MATCH(COUNTIF(BI48:BR48,9),ETAPP!A$1:A$32,0))&amp;INDEX(ETAPP!B$1:B$32,MATCH(COUNTIF(BI48:BR48,10),ETAPP!A$1:A$32,0))&amp;INDEX(ETAPP!B$1:B$32,MATCH(COUNTIF(BI48:BR48,11),ETAPP!A$1:A$32,0))&amp;INDEX(ETAPP!B$1:B$32,MATCH(COUNTIF(BI48:BR48,12),ETAPP!A$1:A$32,0))&amp;INDEX(ETAPP!B$1:B$32,MATCH(COUNTIF(BI48:BR48,13),ETAPP!A$1:A$32,0))&amp;INDEX(ETAPP!B$1:B$32,MATCH(COUNTIF(BI48:BR48,14),ETAPP!A$1:A$32,0))&amp;INDEX(ETAPP!B$1:B$32,MATCH(COUNTIF(BI48:BR48,15),ETAPP!A$1:A$32,0))&amp;INDEX(ETAPP!B$1:B$32,MATCH(COUNTIF(BI48:BR48,16),ETAPP!A$1:A$32,0))&amp;INDEX(ETAPP!B$1:B$32,MATCH(COUNTIF(BI48:BR48,17),ETAPP!A$1:A$32,0))&amp;INDEX(ETAPP!B$1:B$32,MATCH(COUNTIF(BI48:BR48,18),ETAPP!A$1:A$32,0))&amp;INDEX(ETAPP!B$1:B$32,MATCH(COUNTIF(BI48:BR48,19),ETAPP!A$1:A$32,0))&amp;INDEX(ETAPP!B$1:B$32,MATCH(COUNTIF(BI48:BR48,20),ETAPP!A$1:A$32,0))&amp;INDEX(ETAPP!B$1:B$32,MATCH(COUNTIF(BI48:BR48,21),ETAPP!A$1:A$32,0))</f>
        <v>0000000000A0000000000</v>
      </c>
      <c r="T48" s="111" t="str">
        <f t="shared" si="57"/>
        <v>006,0-0000000000A0000000000</v>
      </c>
      <c r="U48" s="111">
        <f t="shared" si="58"/>
        <v>43</v>
      </c>
      <c r="V48" s="111">
        <f t="shared" si="59"/>
        <v>73</v>
      </c>
      <c r="W48" s="111" t="str">
        <f t="shared" si="60"/>
        <v>006,0-0000000000A0000000000-073</v>
      </c>
      <c r="X48" s="111">
        <f t="shared" si="61"/>
        <v>42</v>
      </c>
      <c r="Y48" s="112">
        <f t="shared" si="62"/>
        <v>67</v>
      </c>
      <c r="Z48" s="113" t="str">
        <f>IFERROR(INDEX('V1'!C$300:C$400,MATCH("*"&amp;L48&amp;"*",'V1'!B$300:B$400,0)),"  ")</f>
        <v xml:space="preserve">  </v>
      </c>
      <c r="AA48" s="113" t="str">
        <f>IFERROR(INDEX('V2'!C$300:C$400,MATCH("*"&amp;L48&amp;"*",'V2'!B$300:B$400,0)),"  ")</f>
        <v xml:space="preserve">  </v>
      </c>
      <c r="AB48" s="113" t="str">
        <f>IFERROR(INDEX('V3'!C$300:C$400,MATCH("*"&amp;L48&amp;"*",'V3'!B$300:B$400,0)),"  ")</f>
        <v xml:space="preserve">  </v>
      </c>
      <c r="AC48" s="113" t="str">
        <f>IFERROR(INDEX('V4'!C$300:C$400,MATCH("*"&amp;L48&amp;"*",'V4'!B$300:B$400,0)),"  ")</f>
        <v xml:space="preserve">  </v>
      </c>
      <c r="AD48" s="113" t="str">
        <f>IFERROR(INDEX('V5'!C$300:C$400,MATCH("*"&amp;L48&amp;"*",'V5'!B$300:B$400,0)),"  ")</f>
        <v xml:space="preserve">  </v>
      </c>
      <c r="AE48" s="113" t="str">
        <f>IFERROR(INDEX('V6'!C$300:C$400,MATCH("*"&amp;L48&amp;"*",'V6'!B$300:B$400,0)),"  ")</f>
        <v xml:space="preserve">  </v>
      </c>
      <c r="AF48" s="113">
        <f>IFERROR(INDEX('V7'!C$300:C$400,MATCH("*"&amp;L48&amp;"*",'V7'!B$300:B$400,0)),"  ")</f>
        <v>6</v>
      </c>
      <c r="AG48" s="113" t="str">
        <f>IFERROR(INDEX('V8'!C$300:C$400,MATCH("*"&amp;L48&amp;"*",'V8'!B$300:B$400,0)),"  ")</f>
        <v xml:space="preserve">  </v>
      </c>
      <c r="AH48" s="113" t="str">
        <f>IFERROR(INDEX('V9'!C$300:C$399,MATCH("*"&amp;L48&amp;"*",'V9'!B$300:B$399,0)),"  ")</f>
        <v xml:space="preserve">  </v>
      </c>
      <c r="AI48" s="113" t="str">
        <f>IFERROR(INDEX('V10'!C$300:C$399,MATCH("*"&amp;L48&amp;"*",'V10'!B$300:B$399,0)),"  ")</f>
        <v xml:space="preserve">  </v>
      </c>
      <c r="AJ48" s="114" t="str">
        <f t="shared" si="63"/>
        <v/>
      </c>
      <c r="AK48" s="404">
        <f t="shared" si="64"/>
        <v>6</v>
      </c>
      <c r="AL48" s="115">
        <f t="shared" si="65"/>
        <v>42</v>
      </c>
      <c r="AM48" s="116" t="str">
        <f>IFERROR(INDEX(#REF!,MATCH("*"&amp;L48&amp;"*",#REF!,0)),"  ")</f>
        <v xml:space="preserve">  </v>
      </c>
      <c r="AN48" s="117">
        <f t="shared" si="66"/>
        <v>1</v>
      </c>
      <c r="AO48" s="118">
        <f t="shared" si="67"/>
        <v>0</v>
      </c>
      <c r="AP48" s="118">
        <f t="shared" si="68"/>
        <v>0</v>
      </c>
      <c r="AQ48" s="49"/>
      <c r="AR48" s="1018"/>
      <c r="AS48" s="1018"/>
      <c r="AT48" s="119">
        <f t="shared" si="69"/>
        <v>1E-4</v>
      </c>
      <c r="AU48" s="120">
        <f t="shared" si="70"/>
        <v>1E-4</v>
      </c>
      <c r="AV48" s="120">
        <f t="shared" si="71"/>
        <v>2.0000000000000001E-4</v>
      </c>
      <c r="AW48" s="120">
        <f t="shared" si="72"/>
        <v>2.9999999999999997E-4</v>
      </c>
      <c r="AX48" s="120">
        <f t="shared" si="73"/>
        <v>4.0000000000000002E-4</v>
      </c>
      <c r="AY48" s="120">
        <f t="shared" si="74"/>
        <v>5.0000000000000001E-4</v>
      </c>
      <c r="AZ48" s="120">
        <f t="shared" si="75"/>
        <v>5.9999999999999995E-4</v>
      </c>
      <c r="BA48" s="120">
        <f t="shared" si="76"/>
        <v>6.0007000000000001</v>
      </c>
      <c r="BB48" s="120">
        <f t="shared" si="77"/>
        <v>8.0000000000000004E-4</v>
      </c>
      <c r="BC48" s="120">
        <f t="shared" si="78"/>
        <v>8.9999999999999998E-4</v>
      </c>
      <c r="BD48" s="120">
        <f t="shared" si="79"/>
        <v>1E-3</v>
      </c>
      <c r="BE48" s="122"/>
      <c r="BF48" s="122"/>
      <c r="BG48" s="122"/>
      <c r="BH48" s="122"/>
      <c r="BI48" s="1018" t="e">
        <f t="shared" si="80"/>
        <v>#VALUE!</v>
      </c>
      <c r="BJ48" s="1018" t="e">
        <f t="shared" si="81"/>
        <v>#VALUE!</v>
      </c>
      <c r="BK48" s="1018" t="e">
        <f t="shared" si="82"/>
        <v>#VALUE!</v>
      </c>
      <c r="BL48" s="1018" t="e">
        <f t="shared" si="83"/>
        <v>#VALUE!</v>
      </c>
      <c r="BM48" s="1018" t="e">
        <f t="shared" si="84"/>
        <v>#VALUE!</v>
      </c>
      <c r="BN48" s="1018" t="e">
        <f t="shared" si="85"/>
        <v>#VALUE!</v>
      </c>
      <c r="BO48" s="1018">
        <f t="shared" si="86"/>
        <v>11</v>
      </c>
      <c r="BP48" s="1018" t="e">
        <f t="shared" si="87"/>
        <v>#VALUE!</v>
      </c>
      <c r="BQ48" s="1018" t="e">
        <f t="shared" si="88"/>
        <v>#VALUE!</v>
      </c>
      <c r="BR48" s="1018" t="e">
        <f t="shared" si="89"/>
        <v>#VALUE!</v>
      </c>
    </row>
    <row r="49" spans="1:70" ht="12.75" customHeight="1" x14ac:dyDescent="0.2">
      <c r="A49" s="647" t="str">
        <f t="shared" si="46"/>
        <v/>
      </c>
      <c r="B49" s="99">
        <f t="shared" si="47"/>
        <v>-957</v>
      </c>
      <c r="C49" s="409" t="str">
        <f t="shared" si="48"/>
        <v/>
      </c>
      <c r="D49" s="367">
        <f t="shared" si="49"/>
        <v>-957</v>
      </c>
      <c r="E49" s="100">
        <f t="shared" si="50"/>
        <v>33</v>
      </c>
      <c r="F49" s="99">
        <f t="shared" si="51"/>
        <v>43</v>
      </c>
      <c r="G49" s="101" t="str">
        <f t="shared" si="52"/>
        <v/>
      </c>
      <c r="H49" s="99">
        <f t="shared" si="53"/>
        <v>-957</v>
      </c>
      <c r="I49" s="102" t="str">
        <f t="shared" si="54"/>
        <v/>
      </c>
      <c r="J49" s="103">
        <f t="shared" si="55"/>
        <v>-957</v>
      </c>
      <c r="K49" s="71">
        <f t="shared" si="56"/>
        <v>42</v>
      </c>
      <c r="L49" s="121" t="s">
        <v>102</v>
      </c>
      <c r="M49" s="105"/>
      <c r="N49" s="106" t="str">
        <f>IF(M49="","m","")</f>
        <v>m</v>
      </c>
      <c r="O49" s="107"/>
      <c r="P49" s="108"/>
      <c r="Q49" s="109" t="s">
        <v>344</v>
      </c>
      <c r="R49" s="110">
        <f>(IF(COUNT(Z49,AA49,AB49,AC49,AD49,AE49,AF49,AG49,AH49,AI49)&lt;10,SUM(Z49,AA49,AB49,AC49,AD49,AE49,AF49,AG49,AH49,AI49),SUM(LARGE((Z49,AA49,AB49,AC49,AD49,AE49,AF49,AG49,AH49,AI49),{1;2;3;4;5;6;7;8;9}))))</f>
        <v>6</v>
      </c>
      <c r="S49" s="111" t="str">
        <f>INDEX(ETAPP!B$1:B$32,MATCH(COUNTIF(BI49:BR49,1),ETAPP!A$1:A$32,0))&amp;INDEX(ETAPP!B$1:B$32,MATCH(COUNTIF(BI49:BR49,2),ETAPP!A$1:A$32,0))&amp;INDEX(ETAPP!B$1:B$32,MATCH(COUNTIF(BI49:BR49,3),ETAPP!A$1:A$32,0))&amp;INDEX(ETAPP!B$1:B$32,MATCH(COUNTIF(BI49:BR49,4),ETAPP!A$1:A$32,0))&amp;INDEX(ETAPP!B$1:B$32,MATCH(COUNTIF(BI49:BR49,5),ETAPP!A$1:A$32,0))&amp;INDEX(ETAPP!B$1:B$32,MATCH(COUNTIF(BI49:BR49,6),ETAPP!A$1:A$32,0))&amp;INDEX(ETAPP!B$1:B$32,MATCH(COUNTIF(BI49:BR49,7),ETAPP!A$1:A$32,0))&amp;INDEX(ETAPP!B$1:B$32,MATCH(COUNTIF(BI49:BR49,8),ETAPP!A$1:A$32,0))&amp;INDEX(ETAPP!B$1:B$32,MATCH(COUNTIF(BI49:BR49,9),ETAPP!A$1:A$32,0))&amp;INDEX(ETAPP!B$1:B$32,MATCH(COUNTIF(BI49:BR49,10),ETAPP!A$1:A$32,0))&amp;INDEX(ETAPP!B$1:B$32,MATCH(COUNTIF(BI49:BR49,11),ETAPP!A$1:A$32,0))&amp;INDEX(ETAPP!B$1:B$32,MATCH(COUNTIF(BI49:BR49,12),ETAPP!A$1:A$32,0))&amp;INDEX(ETAPP!B$1:B$32,MATCH(COUNTIF(BI49:BR49,13),ETAPP!A$1:A$32,0))&amp;INDEX(ETAPP!B$1:B$32,MATCH(COUNTIF(BI49:BR49,14),ETAPP!A$1:A$32,0))&amp;INDEX(ETAPP!B$1:B$32,MATCH(COUNTIF(BI49:BR49,15),ETAPP!A$1:A$32,0))&amp;INDEX(ETAPP!B$1:B$32,MATCH(COUNTIF(BI49:BR49,16),ETAPP!A$1:A$32,0))&amp;INDEX(ETAPP!B$1:B$32,MATCH(COUNTIF(BI49:BR49,17),ETAPP!A$1:A$32,0))&amp;INDEX(ETAPP!B$1:B$32,MATCH(COUNTIF(BI49:BR49,18),ETAPP!A$1:A$32,0))&amp;INDEX(ETAPP!B$1:B$32,MATCH(COUNTIF(BI49:BR49,19),ETAPP!A$1:A$32,0))&amp;INDEX(ETAPP!B$1:B$32,MATCH(COUNTIF(BI49:BR49,20),ETAPP!A$1:A$32,0))&amp;INDEX(ETAPP!B$1:B$32,MATCH(COUNTIF(BI49:BR49,21),ETAPP!A$1:A$32,0))</f>
        <v>0000000000A0000000000</v>
      </c>
      <c r="T49" s="111" t="str">
        <f t="shared" si="57"/>
        <v>006,0-0000000000A0000000000</v>
      </c>
      <c r="U49" s="111">
        <f t="shared" si="58"/>
        <v>43</v>
      </c>
      <c r="V49" s="111">
        <f t="shared" si="59"/>
        <v>36</v>
      </c>
      <c r="W49" s="111" t="str">
        <f t="shared" si="60"/>
        <v>006,0-0000000000A0000000000-036</v>
      </c>
      <c r="X49" s="111">
        <f t="shared" si="61"/>
        <v>43</v>
      </c>
      <c r="Y49" s="112">
        <f t="shared" si="62"/>
        <v>66</v>
      </c>
      <c r="Z49" s="113" t="str">
        <f>IFERROR(INDEX('V1'!C$300:C$400,MATCH("*"&amp;L49&amp;"*",'V1'!B$300:B$400,0)),"  ")</f>
        <v xml:space="preserve">  </v>
      </c>
      <c r="AA49" s="113" t="str">
        <f>IFERROR(INDEX('V2'!C$300:C$400,MATCH("*"&amp;L49&amp;"*",'V2'!B$300:B$400,0)),"  ")</f>
        <v xml:space="preserve">  </v>
      </c>
      <c r="AB49" s="113" t="str">
        <f>IFERROR(INDEX('V3'!C$300:C$400,MATCH("*"&amp;L49&amp;"*",'V3'!B$300:B$400,0)),"  ")</f>
        <v xml:space="preserve">  </v>
      </c>
      <c r="AC49" s="113" t="str">
        <f>IFERROR(INDEX('V4'!C$300:C$400,MATCH("*"&amp;L49&amp;"*",'V4'!B$300:B$400,0)),"  ")</f>
        <v xml:space="preserve">  </v>
      </c>
      <c r="AD49" s="113" t="str">
        <f>IFERROR(INDEX('V5'!C$300:C$400,MATCH("*"&amp;L49&amp;"*",'V5'!B$300:B$400,0)),"  ")</f>
        <v xml:space="preserve">  </v>
      </c>
      <c r="AE49" s="113" t="str">
        <f>IFERROR(INDEX('V6'!C$300:C$400,MATCH("*"&amp;L49&amp;"*",'V6'!B$300:B$400,0)),"  ")</f>
        <v xml:space="preserve">  </v>
      </c>
      <c r="AF49" s="113">
        <f>IFERROR(INDEX('V7'!C$300:C$400,MATCH("*"&amp;L49&amp;"*",'V7'!B$300:B$400,0)),"  ")</f>
        <v>6</v>
      </c>
      <c r="AG49" s="113" t="str">
        <f>IFERROR(INDEX('V8'!C$300:C$400,MATCH("*"&amp;L49&amp;"*",'V8'!B$300:B$400,0)),"  ")</f>
        <v xml:space="preserve">  </v>
      </c>
      <c r="AH49" s="113" t="str">
        <f>IFERROR(INDEX('V9'!C$300:C$399,MATCH("*"&amp;L49&amp;"*",'V9'!B$300:B$399,0)),"  ")</f>
        <v xml:space="preserve">  </v>
      </c>
      <c r="AI49" s="113" t="str">
        <f>IFERROR(INDEX('V10'!C$300:C$399,MATCH("*"&amp;L49&amp;"*",'V10'!B$300:B$399,0)),"  ")</f>
        <v xml:space="preserve">  </v>
      </c>
      <c r="AJ49" s="114" t="str">
        <f t="shared" si="63"/>
        <v/>
      </c>
      <c r="AK49" s="404">
        <f t="shared" si="64"/>
        <v>6</v>
      </c>
      <c r="AL49" s="115">
        <f t="shared" si="65"/>
        <v>42</v>
      </c>
      <c r="AM49" s="116" t="str">
        <f>IFERROR(INDEX(#REF!,MATCH("*"&amp;L49&amp;"*",#REF!,0)),"  ")</f>
        <v xml:space="preserve">  </v>
      </c>
      <c r="AN49" s="117">
        <f t="shared" si="66"/>
        <v>1</v>
      </c>
      <c r="AO49" s="118">
        <f t="shared" si="67"/>
        <v>0</v>
      </c>
      <c r="AP49" s="118">
        <f t="shared" si="68"/>
        <v>0</v>
      </c>
      <c r="AQ49" s="122"/>
      <c r="AR49" s="1"/>
      <c r="AS49" s="1"/>
      <c r="AT49" s="119">
        <f t="shared" si="69"/>
        <v>1E-4</v>
      </c>
      <c r="AU49" s="120">
        <f t="shared" si="70"/>
        <v>1E-4</v>
      </c>
      <c r="AV49" s="120">
        <f t="shared" si="71"/>
        <v>2.0000000000000001E-4</v>
      </c>
      <c r="AW49" s="120">
        <f t="shared" si="72"/>
        <v>2.9999999999999997E-4</v>
      </c>
      <c r="AX49" s="120">
        <f t="shared" si="73"/>
        <v>4.0000000000000002E-4</v>
      </c>
      <c r="AY49" s="120">
        <f t="shared" si="74"/>
        <v>5.0000000000000001E-4</v>
      </c>
      <c r="AZ49" s="120">
        <f t="shared" si="75"/>
        <v>5.9999999999999995E-4</v>
      </c>
      <c r="BA49" s="120">
        <f t="shared" si="76"/>
        <v>6.0007000000000001</v>
      </c>
      <c r="BB49" s="120">
        <f t="shared" si="77"/>
        <v>8.0000000000000004E-4</v>
      </c>
      <c r="BC49" s="120">
        <f t="shared" si="78"/>
        <v>8.9999999999999998E-4</v>
      </c>
      <c r="BD49" s="120">
        <f t="shared" si="79"/>
        <v>1E-3</v>
      </c>
      <c r="BE49" s="122"/>
      <c r="BF49" s="122"/>
      <c r="BG49" s="122"/>
      <c r="BH49" s="122"/>
      <c r="BI49" s="1018" t="e">
        <f t="shared" si="80"/>
        <v>#VALUE!</v>
      </c>
      <c r="BJ49" s="1018" t="e">
        <f t="shared" si="81"/>
        <v>#VALUE!</v>
      </c>
      <c r="BK49" s="1018" t="e">
        <f t="shared" si="82"/>
        <v>#VALUE!</v>
      </c>
      <c r="BL49" s="1018" t="e">
        <f t="shared" si="83"/>
        <v>#VALUE!</v>
      </c>
      <c r="BM49" s="1018" t="e">
        <f t="shared" si="84"/>
        <v>#VALUE!</v>
      </c>
      <c r="BN49" s="1018" t="e">
        <f t="shared" si="85"/>
        <v>#VALUE!</v>
      </c>
      <c r="BO49" s="1018">
        <f t="shared" si="86"/>
        <v>11</v>
      </c>
      <c r="BP49" s="1018" t="e">
        <f t="shared" si="87"/>
        <v>#VALUE!</v>
      </c>
      <c r="BQ49" s="1018" t="e">
        <f t="shared" si="88"/>
        <v>#VALUE!</v>
      </c>
      <c r="BR49" s="1018" t="e">
        <f t="shared" si="89"/>
        <v>#VALUE!</v>
      </c>
    </row>
    <row r="50" spans="1:70" ht="12.75" customHeight="1" x14ac:dyDescent="0.2">
      <c r="A50" s="647" t="str">
        <f t="shared" si="46"/>
        <v/>
      </c>
      <c r="B50" s="99">
        <f t="shared" si="47"/>
        <v>-956</v>
      </c>
      <c r="C50" s="409" t="str">
        <f t="shared" si="48"/>
        <v/>
      </c>
      <c r="D50" s="367">
        <f t="shared" si="49"/>
        <v>-956</v>
      </c>
      <c r="E50" s="100" t="str">
        <f t="shared" si="50"/>
        <v/>
      </c>
      <c r="F50" s="99">
        <f t="shared" si="51"/>
        <v>-956</v>
      </c>
      <c r="G50" s="101" t="str">
        <f t="shared" si="52"/>
        <v/>
      </c>
      <c r="H50" s="99">
        <f t="shared" si="53"/>
        <v>-956</v>
      </c>
      <c r="I50" s="102" t="str">
        <f t="shared" si="54"/>
        <v/>
      </c>
      <c r="J50" s="103">
        <f t="shared" si="55"/>
        <v>-956</v>
      </c>
      <c r="K50" s="71">
        <f t="shared" si="56"/>
        <v>44</v>
      </c>
      <c r="L50" s="121" t="s">
        <v>263</v>
      </c>
      <c r="M50" s="105"/>
      <c r="N50" s="106"/>
      <c r="O50" s="138"/>
      <c r="P50" s="108"/>
      <c r="Q50" s="109"/>
      <c r="R50" s="110">
        <f>(IF(COUNT(Z50,AA50,AB50,AC50,AD50,AE50,AF50,AG50,AH50,AI50)&lt;10,SUM(Z50,AA50,AB50,AC50,AD50,AE50,AF50,AG50,AH50,AI50),SUM(LARGE((Z50,AA50,AB50,AC50,AD50,AE50,AF50,AG50,AH50,AI50),{1;2;3;4;5;6;7;8;9}))))</f>
        <v>4</v>
      </c>
      <c r="S50" s="111" t="str">
        <f>INDEX(ETAPP!B$1:B$32,MATCH(COUNTIF(BI50:BR50,1),ETAPP!A$1:A$32,0))&amp;INDEX(ETAPP!B$1:B$32,MATCH(COUNTIF(BI50:BR50,2),ETAPP!A$1:A$32,0))&amp;INDEX(ETAPP!B$1:B$32,MATCH(COUNTIF(BI50:BR50,3),ETAPP!A$1:A$32,0))&amp;INDEX(ETAPP!B$1:B$32,MATCH(COUNTIF(BI50:BR50,4),ETAPP!A$1:A$32,0))&amp;INDEX(ETAPP!B$1:B$32,MATCH(COUNTIF(BI50:BR50,5),ETAPP!A$1:A$32,0))&amp;INDEX(ETAPP!B$1:B$32,MATCH(COUNTIF(BI50:BR50,6),ETAPP!A$1:A$32,0))&amp;INDEX(ETAPP!B$1:B$32,MATCH(COUNTIF(BI50:BR50,7),ETAPP!A$1:A$32,0))&amp;INDEX(ETAPP!B$1:B$32,MATCH(COUNTIF(BI50:BR50,8),ETAPP!A$1:A$32,0))&amp;INDEX(ETAPP!B$1:B$32,MATCH(COUNTIF(BI50:BR50,9),ETAPP!A$1:A$32,0))&amp;INDEX(ETAPP!B$1:B$32,MATCH(COUNTIF(BI50:BR50,10),ETAPP!A$1:A$32,0))&amp;INDEX(ETAPP!B$1:B$32,MATCH(COUNTIF(BI50:BR50,11),ETAPP!A$1:A$32,0))&amp;INDEX(ETAPP!B$1:B$32,MATCH(COUNTIF(BI50:BR50,12),ETAPP!A$1:A$32,0))&amp;INDEX(ETAPP!B$1:B$32,MATCH(COUNTIF(BI50:BR50,13),ETAPP!A$1:A$32,0))&amp;INDEX(ETAPP!B$1:B$32,MATCH(COUNTIF(BI50:BR50,14),ETAPP!A$1:A$32,0))&amp;INDEX(ETAPP!B$1:B$32,MATCH(COUNTIF(BI50:BR50,15),ETAPP!A$1:A$32,0))&amp;INDEX(ETAPP!B$1:B$32,MATCH(COUNTIF(BI50:BR50,16),ETAPP!A$1:A$32,0))&amp;INDEX(ETAPP!B$1:B$32,MATCH(COUNTIF(BI50:BR50,17),ETAPP!A$1:A$32,0))&amp;INDEX(ETAPP!B$1:B$32,MATCH(COUNTIF(BI50:BR50,18),ETAPP!A$1:A$32,0))&amp;INDEX(ETAPP!B$1:B$32,MATCH(COUNTIF(BI50:BR50,19),ETAPP!A$1:A$32,0))&amp;INDEX(ETAPP!B$1:B$32,MATCH(COUNTIF(BI50:BR50,20),ETAPP!A$1:A$32,0))&amp;INDEX(ETAPP!B$1:B$32,MATCH(COUNTIF(BI50:BR50,21),ETAPP!A$1:A$32,0))</f>
        <v>00000000A000000000000</v>
      </c>
      <c r="T50" s="111" t="str">
        <f t="shared" si="57"/>
        <v>004,0-00000000A000000000000</v>
      </c>
      <c r="U50" s="111">
        <f t="shared" si="58"/>
        <v>44</v>
      </c>
      <c r="V50" s="111">
        <f t="shared" si="59"/>
        <v>25</v>
      </c>
      <c r="W50" s="111" t="str">
        <f t="shared" si="60"/>
        <v>004,0-00000000A000000000000-025</v>
      </c>
      <c r="X50" s="111">
        <f t="shared" si="61"/>
        <v>44</v>
      </c>
      <c r="Y50" s="112">
        <f t="shared" si="62"/>
        <v>65</v>
      </c>
      <c r="Z50" s="113" t="str">
        <f>IFERROR(INDEX('V1'!C$300:C$400,MATCH("*"&amp;L50&amp;"*",'V1'!B$300:B$400,0)),"  ")</f>
        <v xml:space="preserve">  </v>
      </c>
      <c r="AA50" s="113">
        <f>IFERROR(INDEX('V2'!C$300:C$400,MATCH("*"&amp;L50&amp;"*",'V2'!B$300:B$400,0)),"  ")</f>
        <v>4</v>
      </c>
      <c r="AB50" s="113" t="str">
        <f>IFERROR(INDEX('V3'!C$300:C$400,MATCH("*"&amp;L50&amp;"*",'V3'!B$300:B$400,0)),"  ")</f>
        <v xml:space="preserve">  </v>
      </c>
      <c r="AC50" s="113" t="str">
        <f>IFERROR(INDEX('V4'!C$300:C$400,MATCH("*"&amp;L50&amp;"*",'V4'!B$300:B$400,0)),"  ")</f>
        <v xml:space="preserve">  </v>
      </c>
      <c r="AD50" s="113" t="str">
        <f>IFERROR(INDEX('V5'!C$300:C$400,MATCH("*"&amp;L50&amp;"*",'V5'!B$300:B$400,0)),"  ")</f>
        <v xml:space="preserve">  </v>
      </c>
      <c r="AE50" s="113" t="str">
        <f>IFERROR(INDEX('V6'!C$300:C$400,MATCH("*"&amp;L50&amp;"*",'V6'!B$300:B$400,0)),"  ")</f>
        <v xml:space="preserve">  </v>
      </c>
      <c r="AF50" s="113" t="str">
        <f>IFERROR(INDEX('V7'!C$300:C$400,MATCH("*"&amp;L50&amp;"*",'V7'!B$300:B$400,0)),"  ")</f>
        <v xml:space="preserve">  </v>
      </c>
      <c r="AG50" s="113" t="str">
        <f>IFERROR(INDEX('V8'!C$300:C$400,MATCH("*"&amp;L50&amp;"*",'V8'!B$300:B$400,0)),"  ")</f>
        <v xml:space="preserve">  </v>
      </c>
      <c r="AH50" s="113" t="str">
        <f>IFERROR(INDEX('V9'!C$300:C$399,MATCH("*"&amp;L50&amp;"*",'V9'!B$300:B$399,0)),"  ")</f>
        <v xml:space="preserve">  </v>
      </c>
      <c r="AI50" s="113" t="str">
        <f>IFERROR(INDEX('V10'!C$300:C$399,MATCH("*"&amp;L50&amp;"*",'V10'!B$300:B$399,0)),"  ")</f>
        <v xml:space="preserve">  </v>
      </c>
      <c r="AJ50" s="114" t="str">
        <f t="shared" si="63"/>
        <v/>
      </c>
      <c r="AK50" s="404">
        <f t="shared" si="64"/>
        <v>4</v>
      </c>
      <c r="AL50" s="115">
        <f t="shared" si="65"/>
        <v>44</v>
      </c>
      <c r="AM50" s="116" t="str">
        <f>IFERROR(INDEX(#REF!,MATCH("*"&amp;L50&amp;"*",#REF!,0)),"  ")</f>
        <v xml:space="preserve">  </v>
      </c>
      <c r="AN50" s="117">
        <f t="shared" si="66"/>
        <v>1</v>
      </c>
      <c r="AO50" s="118">
        <f t="shared" si="67"/>
        <v>0</v>
      </c>
      <c r="AP50" s="118">
        <f t="shared" si="68"/>
        <v>0</v>
      </c>
      <c r="AQ50" s="49"/>
      <c r="AR50" s="1"/>
      <c r="AS50" s="1"/>
      <c r="AT50" s="119">
        <f t="shared" si="69"/>
        <v>1E-4</v>
      </c>
      <c r="AU50" s="120">
        <f t="shared" si="70"/>
        <v>1E-4</v>
      </c>
      <c r="AV50" s="120">
        <f t="shared" si="71"/>
        <v>4.0002000000000004</v>
      </c>
      <c r="AW50" s="120">
        <f t="shared" si="72"/>
        <v>2.9999999999999997E-4</v>
      </c>
      <c r="AX50" s="120">
        <f t="shared" si="73"/>
        <v>4.0000000000000002E-4</v>
      </c>
      <c r="AY50" s="120">
        <f t="shared" si="74"/>
        <v>5.0000000000000001E-4</v>
      </c>
      <c r="AZ50" s="120">
        <f t="shared" si="75"/>
        <v>5.9999999999999995E-4</v>
      </c>
      <c r="BA50" s="120">
        <f t="shared" si="76"/>
        <v>6.9999999999999999E-4</v>
      </c>
      <c r="BB50" s="120">
        <f t="shared" si="77"/>
        <v>8.0000000000000004E-4</v>
      </c>
      <c r="BC50" s="120">
        <f t="shared" si="78"/>
        <v>8.9999999999999998E-4</v>
      </c>
      <c r="BD50" s="120">
        <f t="shared" si="79"/>
        <v>1E-3</v>
      </c>
      <c r="BI50" s="1018" t="e">
        <f t="shared" si="80"/>
        <v>#VALUE!</v>
      </c>
      <c r="BJ50" s="1018">
        <f t="shared" si="81"/>
        <v>9</v>
      </c>
      <c r="BK50" s="1018" t="e">
        <f t="shared" si="82"/>
        <v>#VALUE!</v>
      </c>
      <c r="BL50" s="1018" t="e">
        <f t="shared" si="83"/>
        <v>#VALUE!</v>
      </c>
      <c r="BM50" s="1018" t="e">
        <f t="shared" si="84"/>
        <v>#VALUE!</v>
      </c>
      <c r="BN50" s="1018" t="e">
        <f t="shared" si="85"/>
        <v>#VALUE!</v>
      </c>
      <c r="BO50" s="1018" t="e">
        <f t="shared" si="86"/>
        <v>#VALUE!</v>
      </c>
      <c r="BP50" s="1018" t="e">
        <f t="shared" si="87"/>
        <v>#VALUE!</v>
      </c>
      <c r="BQ50" s="1018" t="e">
        <f t="shared" si="88"/>
        <v>#VALUE!</v>
      </c>
      <c r="BR50" s="1018" t="e">
        <f t="shared" si="89"/>
        <v>#VALUE!</v>
      </c>
    </row>
    <row r="51" spans="1:70" ht="12.75" hidden="1" customHeight="1" x14ac:dyDescent="0.2">
      <c r="A51" s="647" t="str">
        <f t="shared" si="46"/>
        <v/>
      </c>
      <c r="B51" s="99">
        <f t="shared" si="47"/>
        <v>-892</v>
      </c>
      <c r="C51" s="409" t="str">
        <f t="shared" si="48"/>
        <v/>
      </c>
      <c r="D51" s="367">
        <f t="shared" si="49"/>
        <v>-892</v>
      </c>
      <c r="E51" s="100" t="str">
        <f t="shared" si="50"/>
        <v/>
      </c>
      <c r="F51" s="99">
        <f t="shared" si="51"/>
        <v>108</v>
      </c>
      <c r="G51" s="101" t="str">
        <f t="shared" si="52"/>
        <v/>
      </c>
      <c r="H51" s="99">
        <f t="shared" si="53"/>
        <v>-892</v>
      </c>
      <c r="I51" s="102" t="str">
        <f t="shared" si="54"/>
        <v/>
      </c>
      <c r="J51" s="103">
        <f t="shared" si="55"/>
        <v>-892</v>
      </c>
      <c r="K51" s="71" t="str">
        <f t="shared" si="56"/>
        <v/>
      </c>
      <c r="L51" s="131" t="s">
        <v>152</v>
      </c>
      <c r="M51" s="105"/>
      <c r="N51" s="106" t="str">
        <f>IF(M51="","m","")</f>
        <v>m</v>
      </c>
      <c r="O51" s="107"/>
      <c r="P51" s="108"/>
      <c r="Q51" s="109" t="s">
        <v>344</v>
      </c>
      <c r="R51" s="110">
        <f>(IF(COUNT(Z51,AA51,AB51,AC51,AD51,AE51,AF51,AG51,AH51,AI51)&lt;10,SUM(Z51,AA51,AB51,AC51,AD51,AE51,AF51,AG51,AH51,AI51),SUM(LARGE((Z51,AA51,AB51,AC51,AD51,AE51,AF51,AG51,AH51,AI51),{1;2;3;4;5;6;7;8;9}))))</f>
        <v>0</v>
      </c>
      <c r="S51" s="111" t="str">
        <f>INDEX(ETAPP!B$1:B$32,MATCH(COUNTIF(BI51:BR51,1),ETAPP!A$1:A$32,0))&amp;INDEX(ETAPP!B$1:B$32,MATCH(COUNTIF(BI51:BR51,2),ETAPP!A$1:A$32,0))&amp;INDEX(ETAPP!B$1:B$32,MATCH(COUNTIF(BI51:BR51,3),ETAPP!A$1:A$32,0))&amp;INDEX(ETAPP!B$1:B$32,MATCH(COUNTIF(BI51:BR51,4),ETAPP!A$1:A$32,0))&amp;INDEX(ETAPP!B$1:B$32,MATCH(COUNTIF(BI51:BR51,5),ETAPP!A$1:A$32,0))&amp;INDEX(ETAPP!B$1:B$32,MATCH(COUNTIF(BI51:BR51,6),ETAPP!A$1:A$32,0))&amp;INDEX(ETAPP!B$1:B$32,MATCH(COUNTIF(BI51:BR51,7),ETAPP!A$1:A$32,0))&amp;INDEX(ETAPP!B$1:B$32,MATCH(COUNTIF(BI51:BR51,8),ETAPP!A$1:A$32,0))&amp;INDEX(ETAPP!B$1:B$32,MATCH(COUNTIF(BI51:BR51,9),ETAPP!A$1:A$32,0))&amp;INDEX(ETAPP!B$1:B$32,MATCH(COUNTIF(BI51:BR51,10),ETAPP!A$1:A$32,0))&amp;INDEX(ETAPP!B$1:B$32,MATCH(COUNTIF(BI51:BR51,11),ETAPP!A$1:A$32,0))&amp;INDEX(ETAPP!B$1:B$32,MATCH(COUNTIF(BI51:BR51,12),ETAPP!A$1:A$32,0))&amp;INDEX(ETAPP!B$1:B$32,MATCH(COUNTIF(BI51:BR51,13),ETAPP!A$1:A$32,0))&amp;INDEX(ETAPP!B$1:B$32,MATCH(COUNTIF(BI51:BR51,14),ETAPP!A$1:A$32,0))&amp;INDEX(ETAPP!B$1:B$32,MATCH(COUNTIF(BI51:BR51,15),ETAPP!A$1:A$32,0))&amp;INDEX(ETAPP!B$1:B$32,MATCH(COUNTIF(BI51:BR51,16),ETAPP!A$1:A$32,0))&amp;INDEX(ETAPP!B$1:B$32,MATCH(COUNTIF(BI51:BR51,17),ETAPP!A$1:A$32,0))&amp;INDEX(ETAPP!B$1:B$32,MATCH(COUNTIF(BI51:BR51,18),ETAPP!A$1:A$32,0))&amp;INDEX(ETAPP!B$1:B$32,MATCH(COUNTIF(BI51:BR51,19),ETAPP!A$1:A$32,0))&amp;INDEX(ETAPP!B$1:B$32,MATCH(COUNTIF(BI51:BR51,20),ETAPP!A$1:A$32,0))&amp;INDEX(ETAPP!B$1:B$32,MATCH(COUNTIF(BI51:BR51,21),ETAPP!A$1:A$32,0))</f>
        <v>000000000000000000000</v>
      </c>
      <c r="T51" s="111" t="str">
        <f t="shared" si="57"/>
        <v>000,0-000000000000000000000</v>
      </c>
      <c r="U51" s="111">
        <f t="shared" si="58"/>
        <v>108</v>
      </c>
      <c r="V51" s="111">
        <f t="shared" si="59"/>
        <v>108</v>
      </c>
      <c r="W51" s="111" t="str">
        <f t="shared" si="60"/>
        <v>000,0-000000000000000000000-108</v>
      </c>
      <c r="X51" s="111">
        <f t="shared" si="61"/>
        <v>45</v>
      </c>
      <c r="Y51" s="112">
        <f t="shared" si="62"/>
        <v>64</v>
      </c>
      <c r="Z51" s="113" t="str">
        <f>IFERROR(INDEX('V1'!C$300:C$400,MATCH("*"&amp;L51&amp;"*",'V1'!B$300:B$400,0)),"  ")</f>
        <v xml:space="preserve">  </v>
      </c>
      <c r="AA51" s="113" t="str">
        <f>IFERROR(INDEX('V2'!C$300:C$400,MATCH("*"&amp;L51&amp;"*",'V2'!B$300:B$400,0)),"  ")</f>
        <v xml:space="preserve">  </v>
      </c>
      <c r="AB51" s="113" t="str">
        <f>IFERROR(INDEX('V3'!C$300:C$400,MATCH("*"&amp;L51&amp;"*",'V3'!B$300:B$400,0)),"  ")</f>
        <v xml:space="preserve">  </v>
      </c>
      <c r="AC51" s="113" t="str">
        <f>IFERROR(INDEX('V4'!C$300:C$400,MATCH("*"&amp;L51&amp;"*",'V4'!B$300:B$400,0)),"  ")</f>
        <v xml:space="preserve">  </v>
      </c>
      <c r="AD51" s="113" t="str">
        <f>IFERROR(INDEX('V5'!C$300:C$400,MATCH("*"&amp;L51&amp;"*",'V5'!B$300:B$400,0)),"  ")</f>
        <v xml:space="preserve">  </v>
      </c>
      <c r="AE51" s="113" t="str">
        <f>IFERROR(INDEX('V6'!C$300:C$400,MATCH("*"&amp;L51&amp;"*",'V6'!B$300:B$400,0)),"  ")</f>
        <v xml:space="preserve">  </v>
      </c>
      <c r="AF51" s="113" t="str">
        <f>IFERROR(INDEX('V7'!C$300:C$400,MATCH("*"&amp;L51&amp;"*",'V7'!B$300:B$400,0)),"  ")</f>
        <v xml:space="preserve">  </v>
      </c>
      <c r="AG51" s="113" t="str">
        <f>IFERROR(INDEX('V8'!C$300:C$400,MATCH("*"&amp;L51&amp;"*",'V8'!B$300:B$400,0)),"  ")</f>
        <v xml:space="preserve">  </v>
      </c>
      <c r="AH51" s="113" t="str">
        <f>IFERROR(INDEX('V9'!C$300:C$399,MATCH("*"&amp;L51&amp;"*",'V9'!B$300:B$399,0)),"  ")</f>
        <v xml:space="preserve">  </v>
      </c>
      <c r="AI51" s="113" t="str">
        <f>IFERROR(INDEX('V10'!C$300:C$399,MATCH("*"&amp;L51&amp;"*",'V10'!B$300:B$399,0)),"  ")</f>
        <v xml:space="preserve">  </v>
      </c>
      <c r="AJ51" s="114" t="str">
        <f t="shared" si="63"/>
        <v/>
      </c>
      <c r="AK51" s="404">
        <f t="shared" si="64"/>
        <v>0</v>
      </c>
      <c r="AL51" s="115" t="str">
        <f t="shared" si="65"/>
        <v/>
      </c>
      <c r="AM51" s="116" t="str">
        <f>IFERROR(INDEX(#REF!,MATCH("*"&amp;L51&amp;"*",#REF!,0)),"  ")</f>
        <v xml:space="preserve">  </v>
      </c>
      <c r="AN51" s="117">
        <f t="shared" si="66"/>
        <v>0</v>
      </c>
      <c r="AO51" s="118">
        <f t="shared" si="67"/>
        <v>0</v>
      </c>
      <c r="AP51" s="118">
        <f t="shared" si="68"/>
        <v>0</v>
      </c>
      <c r="AQ51" s="49"/>
      <c r="AR51" s="1"/>
      <c r="AS51" s="1"/>
      <c r="AT51" s="119">
        <f t="shared" si="69"/>
        <v>1E-4</v>
      </c>
      <c r="AU51" s="120">
        <f t="shared" si="70"/>
        <v>1E-4</v>
      </c>
      <c r="AV51" s="120">
        <f t="shared" si="71"/>
        <v>2.0000000000000001E-4</v>
      </c>
      <c r="AW51" s="120">
        <f t="shared" si="72"/>
        <v>2.9999999999999997E-4</v>
      </c>
      <c r="AX51" s="120">
        <f t="shared" si="73"/>
        <v>4.0000000000000002E-4</v>
      </c>
      <c r="AY51" s="120">
        <f t="shared" si="74"/>
        <v>5.0000000000000001E-4</v>
      </c>
      <c r="AZ51" s="120">
        <f t="shared" si="75"/>
        <v>5.9999999999999995E-4</v>
      </c>
      <c r="BA51" s="120">
        <f t="shared" si="76"/>
        <v>6.9999999999999999E-4</v>
      </c>
      <c r="BB51" s="120">
        <f t="shared" si="77"/>
        <v>8.0000000000000004E-4</v>
      </c>
      <c r="BC51" s="120">
        <f t="shared" si="78"/>
        <v>8.9999999999999998E-4</v>
      </c>
      <c r="BD51" s="120">
        <f t="shared" si="79"/>
        <v>1E-3</v>
      </c>
      <c r="BI51" s="1018" t="e">
        <f t="shared" si="80"/>
        <v>#VALUE!</v>
      </c>
      <c r="BJ51" s="1018" t="e">
        <f t="shared" si="81"/>
        <v>#VALUE!</v>
      </c>
      <c r="BK51" s="1018" t="e">
        <f t="shared" si="82"/>
        <v>#VALUE!</v>
      </c>
      <c r="BL51" s="1018" t="e">
        <f t="shared" si="83"/>
        <v>#VALUE!</v>
      </c>
      <c r="BM51" s="1018" t="e">
        <f t="shared" si="84"/>
        <v>#VALUE!</v>
      </c>
      <c r="BN51" s="1018" t="e">
        <f t="shared" si="85"/>
        <v>#VALUE!</v>
      </c>
      <c r="BO51" s="1018" t="e">
        <f t="shared" si="86"/>
        <v>#VALUE!</v>
      </c>
      <c r="BP51" s="1018" t="e">
        <f t="shared" si="87"/>
        <v>#VALUE!</v>
      </c>
      <c r="BQ51" s="1018" t="e">
        <f t="shared" si="88"/>
        <v>#VALUE!</v>
      </c>
      <c r="BR51" s="1018" t="e">
        <f t="shared" si="89"/>
        <v>#VALUE!</v>
      </c>
    </row>
    <row r="52" spans="1:70" ht="12.75" hidden="1" customHeight="1" x14ac:dyDescent="0.2">
      <c r="A52" s="647" t="str">
        <f t="shared" si="46"/>
        <v/>
      </c>
      <c r="B52" s="99">
        <f t="shared" si="47"/>
        <v>-892</v>
      </c>
      <c r="C52" s="409" t="str">
        <f t="shared" si="48"/>
        <v/>
      </c>
      <c r="D52" s="367">
        <f t="shared" si="49"/>
        <v>-892</v>
      </c>
      <c r="E52" s="100" t="str">
        <f t="shared" si="50"/>
        <v/>
      </c>
      <c r="F52" s="99">
        <f t="shared" si="51"/>
        <v>-892</v>
      </c>
      <c r="G52" s="101" t="str">
        <f t="shared" si="52"/>
        <v/>
      </c>
      <c r="H52" s="99">
        <f t="shared" si="53"/>
        <v>108</v>
      </c>
      <c r="I52" s="102" t="str">
        <f t="shared" si="54"/>
        <v/>
      </c>
      <c r="J52" s="103">
        <f t="shared" si="55"/>
        <v>-892</v>
      </c>
      <c r="K52" s="71" t="str">
        <f t="shared" si="56"/>
        <v/>
      </c>
      <c r="L52" s="104" t="s">
        <v>150</v>
      </c>
      <c r="M52" s="105" t="s">
        <v>110</v>
      </c>
      <c r="N52" s="106"/>
      <c r="O52" s="107"/>
      <c r="P52" s="108"/>
      <c r="Q52" s="109"/>
      <c r="R52" s="110">
        <f>(IF(COUNT(Z52,AA52,AB52,AC52,AD52,AE52,AF52,AG52,AH52,AI52)&lt;10,SUM(Z52,AA52,AB52,AC52,AD52,AE52,AF52,AG52,AH52,AI52),SUM(LARGE((Z52,AA52,AB52,AC52,AD52,AE52,AF52,AG52,AH52,AI52),{1;2;3;4;5;6;7;8;9}))))</f>
        <v>0</v>
      </c>
      <c r="S52" s="111" t="str">
        <f>INDEX(ETAPP!B$1:B$32,MATCH(COUNTIF(BI52:BR52,1),ETAPP!A$1:A$32,0))&amp;INDEX(ETAPP!B$1:B$32,MATCH(COUNTIF(BI52:BR52,2),ETAPP!A$1:A$32,0))&amp;INDEX(ETAPP!B$1:B$32,MATCH(COUNTIF(BI52:BR52,3),ETAPP!A$1:A$32,0))&amp;INDEX(ETAPP!B$1:B$32,MATCH(COUNTIF(BI52:BR52,4),ETAPP!A$1:A$32,0))&amp;INDEX(ETAPP!B$1:B$32,MATCH(COUNTIF(BI52:BR52,5),ETAPP!A$1:A$32,0))&amp;INDEX(ETAPP!B$1:B$32,MATCH(COUNTIF(BI52:BR52,6),ETAPP!A$1:A$32,0))&amp;INDEX(ETAPP!B$1:B$32,MATCH(COUNTIF(BI52:BR52,7),ETAPP!A$1:A$32,0))&amp;INDEX(ETAPP!B$1:B$32,MATCH(COUNTIF(BI52:BR52,8),ETAPP!A$1:A$32,0))&amp;INDEX(ETAPP!B$1:B$32,MATCH(COUNTIF(BI52:BR52,9),ETAPP!A$1:A$32,0))&amp;INDEX(ETAPP!B$1:B$32,MATCH(COUNTIF(BI52:BR52,10),ETAPP!A$1:A$32,0))&amp;INDEX(ETAPP!B$1:B$32,MATCH(COUNTIF(BI52:BR52,11),ETAPP!A$1:A$32,0))&amp;INDEX(ETAPP!B$1:B$32,MATCH(COUNTIF(BI52:BR52,12),ETAPP!A$1:A$32,0))&amp;INDEX(ETAPP!B$1:B$32,MATCH(COUNTIF(BI52:BR52,13),ETAPP!A$1:A$32,0))&amp;INDEX(ETAPP!B$1:B$32,MATCH(COUNTIF(BI52:BR52,14),ETAPP!A$1:A$32,0))&amp;INDEX(ETAPP!B$1:B$32,MATCH(COUNTIF(BI52:BR52,15),ETAPP!A$1:A$32,0))&amp;INDEX(ETAPP!B$1:B$32,MATCH(COUNTIF(BI52:BR52,16),ETAPP!A$1:A$32,0))&amp;INDEX(ETAPP!B$1:B$32,MATCH(COUNTIF(BI52:BR52,17),ETAPP!A$1:A$32,0))&amp;INDEX(ETAPP!B$1:B$32,MATCH(COUNTIF(BI52:BR52,18),ETAPP!A$1:A$32,0))&amp;INDEX(ETAPP!B$1:B$32,MATCH(COUNTIF(BI52:BR52,19),ETAPP!A$1:A$32,0))&amp;INDEX(ETAPP!B$1:B$32,MATCH(COUNTIF(BI52:BR52,20),ETAPP!A$1:A$32,0))&amp;INDEX(ETAPP!B$1:B$32,MATCH(COUNTIF(BI52:BR52,21),ETAPP!A$1:A$32,0))</f>
        <v>000000000000000000000</v>
      </c>
      <c r="T52" s="111" t="str">
        <f t="shared" si="57"/>
        <v>000,0-000000000000000000000</v>
      </c>
      <c r="U52" s="111">
        <f t="shared" si="58"/>
        <v>108</v>
      </c>
      <c r="V52" s="111">
        <f t="shared" si="59"/>
        <v>106</v>
      </c>
      <c r="W52" s="111" t="str">
        <f t="shared" si="60"/>
        <v>000,0-000000000000000000000-106</v>
      </c>
      <c r="X52" s="111">
        <f t="shared" si="61"/>
        <v>46</v>
      </c>
      <c r="Y52" s="112">
        <f t="shared" si="62"/>
        <v>63</v>
      </c>
      <c r="Z52" s="113" t="str">
        <f>IFERROR(INDEX('V1'!C$300:C$400,MATCH("*"&amp;L52&amp;"*",'V1'!B$300:B$400,0)),"  ")</f>
        <v xml:space="preserve">  </v>
      </c>
      <c r="AA52" s="113" t="str">
        <f>IFERROR(INDEX('V2'!C$300:C$400,MATCH("*"&amp;L52&amp;"*",'V2'!B$300:B$400,0)),"  ")</f>
        <v xml:space="preserve">  </v>
      </c>
      <c r="AB52" s="113" t="str">
        <f>IFERROR(INDEX('V3'!C$300:C$400,MATCH("*"&amp;L52&amp;"*",'V3'!B$300:B$400,0)),"  ")</f>
        <v xml:space="preserve">  </v>
      </c>
      <c r="AC52" s="113" t="str">
        <f>IFERROR(INDEX('V4'!C$300:C$400,MATCH("*"&amp;L52&amp;"*",'V4'!B$300:B$400,0)),"  ")</f>
        <v xml:space="preserve">  </v>
      </c>
      <c r="AD52" s="113" t="str">
        <f>IFERROR(INDEX('V5'!C$300:C$400,MATCH("*"&amp;L52&amp;"*",'V5'!B$300:B$400,0)),"  ")</f>
        <v xml:space="preserve">  </v>
      </c>
      <c r="AE52" s="113" t="str">
        <f>IFERROR(INDEX('V6'!C$300:C$400,MATCH("*"&amp;L52&amp;"*",'V6'!B$300:B$400,0)),"  ")</f>
        <v xml:space="preserve">  </v>
      </c>
      <c r="AF52" s="113" t="str">
        <f>IFERROR(INDEX('V7'!C$300:C$400,MATCH("*"&amp;L52&amp;"*",'V7'!B$300:B$400,0)),"  ")</f>
        <v xml:space="preserve">  </v>
      </c>
      <c r="AG52" s="113" t="str">
        <f>IFERROR(INDEX('V8'!C$300:C$400,MATCH("*"&amp;L52&amp;"*",'V8'!B$300:B$400,0)),"  ")</f>
        <v xml:space="preserve">  </v>
      </c>
      <c r="AH52" s="113" t="str">
        <f>IFERROR(INDEX('V9'!C$300:C$399,MATCH("*"&amp;L52&amp;"*",'V9'!B$300:B$399,0)),"  ")</f>
        <v xml:space="preserve">  </v>
      </c>
      <c r="AI52" s="113" t="str">
        <f>IFERROR(INDEX('V10'!C$300:C$399,MATCH("*"&amp;L52&amp;"*",'V10'!B$300:B$399,0)),"  ")</f>
        <v xml:space="preserve">  </v>
      </c>
      <c r="AJ52" s="114" t="str">
        <f t="shared" si="63"/>
        <v/>
      </c>
      <c r="AK52" s="404">
        <f t="shared" si="64"/>
        <v>0</v>
      </c>
      <c r="AL52" s="115" t="str">
        <f t="shared" si="65"/>
        <v/>
      </c>
      <c r="AM52" s="116" t="str">
        <f>IFERROR(INDEX(#REF!,MATCH("*"&amp;L52&amp;"*",#REF!,0)),"  ")</f>
        <v xml:space="preserve">  </v>
      </c>
      <c r="AN52" s="117">
        <f t="shared" si="66"/>
        <v>0</v>
      </c>
      <c r="AO52" s="118">
        <f t="shared" si="67"/>
        <v>0</v>
      </c>
      <c r="AP52" s="118">
        <f t="shared" si="68"/>
        <v>0</v>
      </c>
      <c r="AQ52" s="49"/>
      <c r="AR52" s="1"/>
      <c r="AS52" s="1"/>
      <c r="AT52" s="119">
        <f t="shared" si="69"/>
        <v>1E-4</v>
      </c>
      <c r="AU52" s="120">
        <f t="shared" si="70"/>
        <v>1E-4</v>
      </c>
      <c r="AV52" s="120">
        <f t="shared" si="71"/>
        <v>2.0000000000000001E-4</v>
      </c>
      <c r="AW52" s="120">
        <f t="shared" si="72"/>
        <v>2.9999999999999997E-4</v>
      </c>
      <c r="AX52" s="120">
        <f t="shared" si="73"/>
        <v>4.0000000000000002E-4</v>
      </c>
      <c r="AY52" s="120">
        <f t="shared" si="74"/>
        <v>5.0000000000000001E-4</v>
      </c>
      <c r="AZ52" s="120">
        <f t="shared" si="75"/>
        <v>5.9999999999999995E-4</v>
      </c>
      <c r="BA52" s="120">
        <f t="shared" si="76"/>
        <v>6.9999999999999999E-4</v>
      </c>
      <c r="BB52" s="120">
        <f t="shared" si="77"/>
        <v>8.0000000000000004E-4</v>
      </c>
      <c r="BC52" s="120">
        <f t="shared" si="78"/>
        <v>8.9999999999999998E-4</v>
      </c>
      <c r="BD52" s="120">
        <f t="shared" si="79"/>
        <v>1E-3</v>
      </c>
      <c r="BI52" s="1018" t="e">
        <f t="shared" si="80"/>
        <v>#VALUE!</v>
      </c>
      <c r="BJ52" s="1018" t="e">
        <f t="shared" si="81"/>
        <v>#VALUE!</v>
      </c>
      <c r="BK52" s="1018" t="e">
        <f t="shared" si="82"/>
        <v>#VALUE!</v>
      </c>
      <c r="BL52" s="1018" t="e">
        <f t="shared" si="83"/>
        <v>#VALUE!</v>
      </c>
      <c r="BM52" s="1018" t="e">
        <f t="shared" si="84"/>
        <v>#VALUE!</v>
      </c>
      <c r="BN52" s="1018" t="e">
        <f t="shared" si="85"/>
        <v>#VALUE!</v>
      </c>
      <c r="BO52" s="1018" t="e">
        <f t="shared" si="86"/>
        <v>#VALUE!</v>
      </c>
      <c r="BP52" s="1018" t="e">
        <f t="shared" si="87"/>
        <v>#VALUE!</v>
      </c>
      <c r="BQ52" s="1018" t="e">
        <f t="shared" si="88"/>
        <v>#VALUE!</v>
      </c>
      <c r="BR52" s="1018" t="e">
        <f t="shared" si="89"/>
        <v>#VALUE!</v>
      </c>
    </row>
    <row r="53" spans="1:70" ht="12.75" hidden="1" customHeight="1" x14ac:dyDescent="0.2">
      <c r="A53" s="647" t="str">
        <f t="shared" si="46"/>
        <v/>
      </c>
      <c r="B53" s="99">
        <f t="shared" si="47"/>
        <v>-892</v>
      </c>
      <c r="C53" s="409" t="str">
        <f t="shared" si="48"/>
        <v/>
      </c>
      <c r="D53" s="367">
        <f t="shared" si="49"/>
        <v>-892</v>
      </c>
      <c r="E53" s="100" t="str">
        <f t="shared" si="50"/>
        <v/>
      </c>
      <c r="F53" s="99">
        <f t="shared" si="51"/>
        <v>-892</v>
      </c>
      <c r="G53" s="101" t="str">
        <f t="shared" si="52"/>
        <v/>
      </c>
      <c r="H53" s="99">
        <f t="shared" si="53"/>
        <v>-892</v>
      </c>
      <c r="I53" s="102" t="str">
        <f t="shared" si="54"/>
        <v/>
      </c>
      <c r="J53" s="103">
        <f t="shared" si="55"/>
        <v>-892</v>
      </c>
      <c r="K53" s="71" t="str">
        <f t="shared" si="56"/>
        <v/>
      </c>
      <c r="L53" s="121" t="s">
        <v>262</v>
      </c>
      <c r="M53" s="105"/>
      <c r="N53" s="106"/>
      <c r="O53" s="138"/>
      <c r="P53" s="108"/>
      <c r="Q53" s="109"/>
      <c r="R53" s="110">
        <f>(IF(COUNT(Z53,AA53,AB53,AC53,AD53,AE53,AF53,AG53,AH53,AI53)&lt;10,SUM(Z53,AA53,AB53,AC53,AD53,AE53,AF53,AG53,AH53,AI53),SUM(LARGE((Z53,AA53,AB53,AC53,AD53,AE53,AF53,AG53,AH53,AI53),{1;2;3;4;5;6;7;8;9}))))</f>
        <v>0</v>
      </c>
      <c r="S53" s="111" t="str">
        <f>INDEX(ETAPP!B$1:B$32,MATCH(COUNTIF(BI53:BR53,1),ETAPP!A$1:A$32,0))&amp;INDEX(ETAPP!B$1:B$32,MATCH(COUNTIF(BI53:BR53,2),ETAPP!A$1:A$32,0))&amp;INDEX(ETAPP!B$1:B$32,MATCH(COUNTIF(BI53:BR53,3),ETAPP!A$1:A$32,0))&amp;INDEX(ETAPP!B$1:B$32,MATCH(COUNTIF(BI53:BR53,4),ETAPP!A$1:A$32,0))&amp;INDEX(ETAPP!B$1:B$32,MATCH(COUNTIF(BI53:BR53,5),ETAPP!A$1:A$32,0))&amp;INDEX(ETAPP!B$1:B$32,MATCH(COUNTIF(BI53:BR53,6),ETAPP!A$1:A$32,0))&amp;INDEX(ETAPP!B$1:B$32,MATCH(COUNTIF(BI53:BR53,7),ETAPP!A$1:A$32,0))&amp;INDEX(ETAPP!B$1:B$32,MATCH(COUNTIF(BI53:BR53,8),ETAPP!A$1:A$32,0))&amp;INDEX(ETAPP!B$1:B$32,MATCH(COUNTIF(BI53:BR53,9),ETAPP!A$1:A$32,0))&amp;INDEX(ETAPP!B$1:B$32,MATCH(COUNTIF(BI53:BR53,10),ETAPP!A$1:A$32,0))&amp;INDEX(ETAPP!B$1:B$32,MATCH(COUNTIF(BI53:BR53,11),ETAPP!A$1:A$32,0))&amp;INDEX(ETAPP!B$1:B$32,MATCH(COUNTIF(BI53:BR53,12),ETAPP!A$1:A$32,0))&amp;INDEX(ETAPP!B$1:B$32,MATCH(COUNTIF(BI53:BR53,13),ETAPP!A$1:A$32,0))&amp;INDEX(ETAPP!B$1:B$32,MATCH(COUNTIF(BI53:BR53,14),ETAPP!A$1:A$32,0))&amp;INDEX(ETAPP!B$1:B$32,MATCH(COUNTIF(BI53:BR53,15),ETAPP!A$1:A$32,0))&amp;INDEX(ETAPP!B$1:B$32,MATCH(COUNTIF(BI53:BR53,16),ETAPP!A$1:A$32,0))&amp;INDEX(ETAPP!B$1:B$32,MATCH(COUNTIF(BI53:BR53,17),ETAPP!A$1:A$32,0))&amp;INDEX(ETAPP!B$1:B$32,MATCH(COUNTIF(BI53:BR53,18),ETAPP!A$1:A$32,0))&amp;INDEX(ETAPP!B$1:B$32,MATCH(COUNTIF(BI53:BR53,19),ETAPP!A$1:A$32,0))&amp;INDEX(ETAPP!B$1:B$32,MATCH(COUNTIF(BI53:BR53,20),ETAPP!A$1:A$32,0))&amp;INDEX(ETAPP!B$1:B$32,MATCH(COUNTIF(BI53:BR53,21),ETAPP!A$1:A$32,0))</f>
        <v>000000000000000000000</v>
      </c>
      <c r="T53" s="111" t="str">
        <f t="shared" si="57"/>
        <v>000,0-000000000000000000000</v>
      </c>
      <c r="U53" s="111">
        <f t="shared" si="58"/>
        <v>108</v>
      </c>
      <c r="V53" s="111">
        <f t="shared" si="59"/>
        <v>104</v>
      </c>
      <c r="W53" s="111" t="str">
        <f t="shared" si="60"/>
        <v>000,0-000000000000000000000-104</v>
      </c>
      <c r="X53" s="111">
        <f t="shared" si="61"/>
        <v>47</v>
      </c>
      <c r="Y53" s="112">
        <f t="shared" si="62"/>
        <v>62</v>
      </c>
      <c r="Z53" s="113" t="str">
        <f>IFERROR(INDEX('V1'!C$300:C$400,MATCH("*"&amp;L53&amp;"*",'V1'!B$300:B$400,0)),"  ")</f>
        <v xml:space="preserve">  </v>
      </c>
      <c r="AA53" s="113" t="str">
        <f>IFERROR(INDEX('V2'!C$300:C$400,MATCH("*"&amp;L53&amp;"*",'V2'!B$300:B$400,0)),"  ")</f>
        <v xml:space="preserve">  </v>
      </c>
      <c r="AB53" s="113" t="str">
        <f>IFERROR(INDEX('V3'!C$300:C$400,MATCH("*"&amp;L53&amp;"*",'V3'!B$300:B$400,0)),"  ")</f>
        <v xml:space="preserve">  </v>
      </c>
      <c r="AC53" s="113" t="str">
        <f>IFERROR(INDEX('V4'!C$300:C$400,MATCH("*"&amp;L53&amp;"*",'V4'!B$300:B$400,0)),"  ")</f>
        <v xml:space="preserve">  </v>
      </c>
      <c r="AD53" s="113" t="str">
        <f>IFERROR(INDEX('V5'!C$300:C$400,MATCH("*"&amp;L53&amp;"*",'V5'!B$300:B$400,0)),"  ")</f>
        <v xml:space="preserve">  </v>
      </c>
      <c r="AE53" s="113" t="str">
        <f>IFERROR(INDEX('V6'!C$300:C$400,MATCH("*"&amp;L53&amp;"*",'V6'!B$300:B$400,0)),"  ")</f>
        <v xml:space="preserve">  </v>
      </c>
      <c r="AF53" s="113" t="str">
        <f>IFERROR(INDEX('V7'!C$300:C$400,MATCH("*"&amp;L53&amp;"*",'V7'!B$300:B$400,0)),"  ")</f>
        <v xml:space="preserve">  </v>
      </c>
      <c r="AG53" s="113" t="str">
        <f>IFERROR(INDEX('V8'!C$300:C$400,MATCH("*"&amp;L53&amp;"*",'V8'!B$300:B$400,0)),"  ")</f>
        <v xml:space="preserve">  </v>
      </c>
      <c r="AH53" s="113" t="str">
        <f>IFERROR(INDEX('V9'!C$300:C$399,MATCH("*"&amp;L53&amp;"*",'V9'!B$300:B$399,0)),"  ")</f>
        <v xml:space="preserve">  </v>
      </c>
      <c r="AI53" s="113" t="str">
        <f>IFERROR(INDEX('V10'!C$300:C$399,MATCH("*"&amp;L53&amp;"*",'V10'!B$300:B$399,0)),"  ")</f>
        <v xml:space="preserve">  </v>
      </c>
      <c r="AJ53" s="114" t="str">
        <f t="shared" si="63"/>
        <v/>
      </c>
      <c r="AK53" s="404">
        <f t="shared" si="64"/>
        <v>0</v>
      </c>
      <c r="AL53" s="115" t="str">
        <f t="shared" si="65"/>
        <v/>
      </c>
      <c r="AM53" s="116" t="str">
        <f>IFERROR(INDEX(#REF!,MATCH("*"&amp;L53&amp;"*",#REF!,0)),"  ")</f>
        <v xml:space="preserve">  </v>
      </c>
      <c r="AN53" s="117">
        <f t="shared" si="66"/>
        <v>0</v>
      </c>
      <c r="AO53" s="118">
        <f t="shared" si="67"/>
        <v>0</v>
      </c>
      <c r="AP53" s="118">
        <f t="shared" si="68"/>
        <v>0</v>
      </c>
      <c r="AQ53" s="49"/>
      <c r="AR53" s="1"/>
      <c r="AS53" s="1"/>
      <c r="AT53" s="119">
        <f t="shared" si="69"/>
        <v>1E-4</v>
      </c>
      <c r="AU53" s="120">
        <f t="shared" si="70"/>
        <v>1E-4</v>
      </c>
      <c r="AV53" s="120">
        <f t="shared" si="71"/>
        <v>2.0000000000000001E-4</v>
      </c>
      <c r="AW53" s="120">
        <f t="shared" si="72"/>
        <v>2.9999999999999997E-4</v>
      </c>
      <c r="AX53" s="120">
        <f t="shared" si="73"/>
        <v>4.0000000000000002E-4</v>
      </c>
      <c r="AY53" s="120">
        <f t="shared" si="74"/>
        <v>5.0000000000000001E-4</v>
      </c>
      <c r="AZ53" s="120">
        <f t="shared" si="75"/>
        <v>5.9999999999999995E-4</v>
      </c>
      <c r="BA53" s="120">
        <f t="shared" si="76"/>
        <v>6.9999999999999999E-4</v>
      </c>
      <c r="BB53" s="120">
        <f t="shared" si="77"/>
        <v>8.0000000000000004E-4</v>
      </c>
      <c r="BC53" s="120">
        <f t="shared" si="78"/>
        <v>8.9999999999999998E-4</v>
      </c>
      <c r="BD53" s="120">
        <f t="shared" si="79"/>
        <v>1E-3</v>
      </c>
      <c r="BI53" s="1018" t="e">
        <f t="shared" si="80"/>
        <v>#VALUE!</v>
      </c>
      <c r="BJ53" s="1018" t="e">
        <f t="shared" si="81"/>
        <v>#VALUE!</v>
      </c>
      <c r="BK53" s="1018" t="e">
        <f t="shared" si="82"/>
        <v>#VALUE!</v>
      </c>
      <c r="BL53" s="1018" t="e">
        <f t="shared" si="83"/>
        <v>#VALUE!</v>
      </c>
      <c r="BM53" s="1018" t="e">
        <f t="shared" si="84"/>
        <v>#VALUE!</v>
      </c>
      <c r="BN53" s="1018" t="e">
        <f t="shared" si="85"/>
        <v>#VALUE!</v>
      </c>
      <c r="BO53" s="1018" t="e">
        <f t="shared" si="86"/>
        <v>#VALUE!</v>
      </c>
      <c r="BP53" s="1018" t="e">
        <f t="shared" si="87"/>
        <v>#VALUE!</v>
      </c>
      <c r="BQ53" s="1018" t="e">
        <f t="shared" si="88"/>
        <v>#VALUE!</v>
      </c>
      <c r="BR53" s="1018" t="e">
        <f t="shared" si="89"/>
        <v>#VALUE!</v>
      </c>
    </row>
    <row r="54" spans="1:70" ht="12.75" hidden="1" customHeight="1" x14ac:dyDescent="0.2">
      <c r="A54" s="647" t="str">
        <f t="shared" si="46"/>
        <v/>
      </c>
      <c r="B54" s="99">
        <f t="shared" si="47"/>
        <v>-892</v>
      </c>
      <c r="C54" s="409" t="str">
        <f t="shared" si="48"/>
        <v/>
      </c>
      <c r="D54" s="367">
        <f t="shared" si="49"/>
        <v>-892</v>
      </c>
      <c r="E54" s="100" t="str">
        <f t="shared" si="50"/>
        <v/>
      </c>
      <c r="F54" s="99">
        <f t="shared" si="51"/>
        <v>108</v>
      </c>
      <c r="G54" s="101" t="str">
        <f t="shared" si="52"/>
        <v/>
      </c>
      <c r="H54" s="99">
        <f t="shared" si="53"/>
        <v>-892</v>
      </c>
      <c r="I54" s="102" t="str">
        <f t="shared" si="54"/>
        <v/>
      </c>
      <c r="J54" s="103">
        <f t="shared" si="55"/>
        <v>-892</v>
      </c>
      <c r="K54" s="71" t="str">
        <f t="shared" si="56"/>
        <v/>
      </c>
      <c r="L54" s="104" t="s">
        <v>304</v>
      </c>
      <c r="M54" s="105"/>
      <c r="N54" s="106" t="s">
        <v>105</v>
      </c>
      <c r="O54" s="107"/>
      <c r="P54" s="108"/>
      <c r="Q54" s="109" t="s">
        <v>345</v>
      </c>
      <c r="R54" s="110">
        <f>(IF(COUNT(Z54,AA54,AB54,AC54,AD54,AE54,AF54,AG54,AH54,AI54)&lt;10,SUM(Z54,AA54,AB54,AC54,AD54,AE54,AF54,AG54,AH54,AI54),SUM(LARGE((Z54,AA54,AB54,AC54,AD54,AE54,AF54,AG54,AH54,AI54),{1;2;3;4;5;6;7;8;9}))))</f>
        <v>0</v>
      </c>
      <c r="S54" s="111" t="str">
        <f>INDEX(ETAPP!B$1:B$32,MATCH(COUNTIF(BI54:BR54,1),ETAPP!A$1:A$32,0))&amp;INDEX(ETAPP!B$1:B$32,MATCH(COUNTIF(BI54:BR54,2),ETAPP!A$1:A$32,0))&amp;INDEX(ETAPP!B$1:B$32,MATCH(COUNTIF(BI54:BR54,3),ETAPP!A$1:A$32,0))&amp;INDEX(ETAPP!B$1:B$32,MATCH(COUNTIF(BI54:BR54,4),ETAPP!A$1:A$32,0))&amp;INDEX(ETAPP!B$1:B$32,MATCH(COUNTIF(BI54:BR54,5),ETAPP!A$1:A$32,0))&amp;INDEX(ETAPP!B$1:B$32,MATCH(COUNTIF(BI54:BR54,6),ETAPP!A$1:A$32,0))&amp;INDEX(ETAPP!B$1:B$32,MATCH(COUNTIF(BI54:BR54,7),ETAPP!A$1:A$32,0))&amp;INDEX(ETAPP!B$1:B$32,MATCH(COUNTIF(BI54:BR54,8),ETAPP!A$1:A$32,0))&amp;INDEX(ETAPP!B$1:B$32,MATCH(COUNTIF(BI54:BR54,9),ETAPP!A$1:A$32,0))&amp;INDEX(ETAPP!B$1:B$32,MATCH(COUNTIF(BI54:BR54,10),ETAPP!A$1:A$32,0))&amp;INDEX(ETAPP!B$1:B$32,MATCH(COUNTIF(BI54:BR54,11),ETAPP!A$1:A$32,0))&amp;INDEX(ETAPP!B$1:B$32,MATCH(COUNTIF(BI54:BR54,12),ETAPP!A$1:A$32,0))&amp;INDEX(ETAPP!B$1:B$32,MATCH(COUNTIF(BI54:BR54,13),ETAPP!A$1:A$32,0))&amp;INDEX(ETAPP!B$1:B$32,MATCH(COUNTIF(BI54:BR54,14),ETAPP!A$1:A$32,0))&amp;INDEX(ETAPP!B$1:B$32,MATCH(COUNTIF(BI54:BR54,15),ETAPP!A$1:A$32,0))&amp;INDEX(ETAPP!B$1:B$32,MATCH(COUNTIF(BI54:BR54,16),ETAPP!A$1:A$32,0))&amp;INDEX(ETAPP!B$1:B$32,MATCH(COUNTIF(BI54:BR54,17),ETAPP!A$1:A$32,0))&amp;INDEX(ETAPP!B$1:B$32,MATCH(COUNTIF(BI54:BR54,18),ETAPP!A$1:A$32,0))&amp;INDEX(ETAPP!B$1:B$32,MATCH(COUNTIF(BI54:BR54,19),ETAPP!A$1:A$32,0))&amp;INDEX(ETAPP!B$1:B$32,MATCH(COUNTIF(BI54:BR54,20),ETAPP!A$1:A$32,0))&amp;INDEX(ETAPP!B$1:B$32,MATCH(COUNTIF(BI54:BR54,21),ETAPP!A$1:A$32,0))</f>
        <v>000000000000000000000</v>
      </c>
      <c r="T54" s="111" t="str">
        <f t="shared" si="57"/>
        <v>000,0-000000000000000000000</v>
      </c>
      <c r="U54" s="111">
        <f t="shared" si="58"/>
        <v>108</v>
      </c>
      <c r="V54" s="111">
        <f t="shared" si="59"/>
        <v>103</v>
      </c>
      <c r="W54" s="111" t="str">
        <f t="shared" si="60"/>
        <v>000,0-000000000000000000000-103</v>
      </c>
      <c r="X54" s="111">
        <f t="shared" si="61"/>
        <v>48</v>
      </c>
      <c r="Y54" s="112">
        <f t="shared" si="62"/>
        <v>61</v>
      </c>
      <c r="Z54" s="113" t="str">
        <f>IFERROR(INDEX('V1'!C$300:C$400,MATCH("*"&amp;L54&amp;"*",'V1'!B$300:B$400,0)),"  ")</f>
        <v xml:space="preserve">  </v>
      </c>
      <c r="AA54" s="113" t="str">
        <f>IFERROR(INDEX('V2'!C$300:C$400,MATCH("*"&amp;L54&amp;"*",'V2'!B$300:B$400,0)),"  ")</f>
        <v xml:space="preserve">  </v>
      </c>
      <c r="AB54" s="113" t="str">
        <f>IFERROR(INDEX('V3'!C$300:C$400,MATCH("*"&amp;L54&amp;"*",'V3'!B$300:B$400,0)),"  ")</f>
        <v xml:space="preserve">  </v>
      </c>
      <c r="AC54" s="113" t="str">
        <f>IFERROR(INDEX('V4'!C$300:C$400,MATCH("*"&amp;L54&amp;"*",'V4'!B$300:B$400,0)),"  ")</f>
        <v xml:space="preserve">  </v>
      </c>
      <c r="AD54" s="113" t="str">
        <f>IFERROR(INDEX('V5'!C$300:C$400,MATCH("*"&amp;L54&amp;"*",'V5'!B$300:B$400,0)),"  ")</f>
        <v xml:space="preserve">  </v>
      </c>
      <c r="AE54" s="113" t="str">
        <f>IFERROR(INDEX('V6'!C$300:C$400,MATCH("*"&amp;L54&amp;"*",'V6'!B$300:B$400,0)),"  ")</f>
        <v xml:space="preserve">  </v>
      </c>
      <c r="AF54" s="113" t="str">
        <f>IFERROR(INDEX('V7'!C$300:C$400,MATCH("*"&amp;L54&amp;"*",'V7'!B$300:B$400,0)),"  ")</f>
        <v xml:space="preserve">  </v>
      </c>
      <c r="AG54" s="113" t="str">
        <f>IFERROR(INDEX('V8'!C$300:C$400,MATCH("*"&amp;L54&amp;"*",'V8'!B$300:B$400,0)),"  ")</f>
        <v xml:space="preserve">  </v>
      </c>
      <c r="AH54" s="113" t="str">
        <f>IFERROR(INDEX('V9'!C$300:C$399,MATCH("*"&amp;L54&amp;"*",'V9'!B$300:B$399,0)),"  ")</f>
        <v xml:space="preserve">  </v>
      </c>
      <c r="AI54" s="113" t="str">
        <f>IFERROR(INDEX('V10'!C$300:C$399,MATCH("*"&amp;L54&amp;"*",'V10'!B$300:B$399,0)),"  ")</f>
        <v xml:space="preserve">  </v>
      </c>
      <c r="AJ54" s="114" t="str">
        <f t="shared" si="63"/>
        <v/>
      </c>
      <c r="AK54" s="404">
        <f t="shared" si="64"/>
        <v>0</v>
      </c>
      <c r="AL54" s="115" t="str">
        <f t="shared" si="65"/>
        <v/>
      </c>
      <c r="AM54" s="116" t="str">
        <f>IFERROR(INDEX(#REF!,MATCH("*"&amp;L54&amp;"*",#REF!,0)),"  ")</f>
        <v xml:space="preserve">  </v>
      </c>
      <c r="AN54" s="117">
        <f t="shared" si="66"/>
        <v>0</v>
      </c>
      <c r="AO54" s="118">
        <f t="shared" si="67"/>
        <v>0</v>
      </c>
      <c r="AP54" s="118">
        <f t="shared" si="68"/>
        <v>0</v>
      </c>
      <c r="AQ54" s="49"/>
      <c r="AR54" s="1"/>
      <c r="AS54" s="1"/>
      <c r="AT54" s="119">
        <f t="shared" si="69"/>
        <v>1E-4</v>
      </c>
      <c r="AU54" s="120">
        <f t="shared" si="70"/>
        <v>1E-4</v>
      </c>
      <c r="AV54" s="120">
        <f t="shared" si="71"/>
        <v>2.0000000000000001E-4</v>
      </c>
      <c r="AW54" s="120">
        <f t="shared" si="72"/>
        <v>2.9999999999999997E-4</v>
      </c>
      <c r="AX54" s="120">
        <f t="shared" si="73"/>
        <v>4.0000000000000002E-4</v>
      </c>
      <c r="AY54" s="120">
        <f t="shared" si="74"/>
        <v>5.0000000000000001E-4</v>
      </c>
      <c r="AZ54" s="120">
        <f t="shared" si="75"/>
        <v>5.9999999999999995E-4</v>
      </c>
      <c r="BA54" s="120">
        <f t="shared" si="76"/>
        <v>6.9999999999999999E-4</v>
      </c>
      <c r="BB54" s="120">
        <f t="shared" si="77"/>
        <v>8.0000000000000004E-4</v>
      </c>
      <c r="BC54" s="120">
        <f t="shared" si="78"/>
        <v>8.9999999999999998E-4</v>
      </c>
      <c r="BD54" s="120">
        <f t="shared" si="79"/>
        <v>1E-3</v>
      </c>
      <c r="BI54" s="1018" t="e">
        <f t="shared" si="80"/>
        <v>#VALUE!</v>
      </c>
      <c r="BJ54" s="1018" t="e">
        <f t="shared" si="81"/>
        <v>#VALUE!</v>
      </c>
      <c r="BK54" s="1018" t="e">
        <f t="shared" si="82"/>
        <v>#VALUE!</v>
      </c>
      <c r="BL54" s="1018" t="e">
        <f t="shared" si="83"/>
        <v>#VALUE!</v>
      </c>
      <c r="BM54" s="1018" t="e">
        <f t="shared" si="84"/>
        <v>#VALUE!</v>
      </c>
      <c r="BN54" s="1018" t="e">
        <f t="shared" si="85"/>
        <v>#VALUE!</v>
      </c>
      <c r="BO54" s="1018" t="e">
        <f t="shared" si="86"/>
        <v>#VALUE!</v>
      </c>
      <c r="BP54" s="1018" t="e">
        <f t="shared" si="87"/>
        <v>#VALUE!</v>
      </c>
      <c r="BQ54" s="1018" t="e">
        <f t="shared" si="88"/>
        <v>#VALUE!</v>
      </c>
      <c r="BR54" s="1018" t="e">
        <f t="shared" si="89"/>
        <v>#VALUE!</v>
      </c>
    </row>
    <row r="55" spans="1:70" ht="12.75" hidden="1" customHeight="1" x14ac:dyDescent="0.2">
      <c r="A55" s="647" t="str">
        <f t="shared" si="46"/>
        <v/>
      </c>
      <c r="B55" s="99">
        <f t="shared" si="47"/>
        <v>108</v>
      </c>
      <c r="C55" s="409" t="str">
        <f t="shared" si="48"/>
        <v/>
      </c>
      <c r="D55" s="367">
        <f t="shared" si="49"/>
        <v>108</v>
      </c>
      <c r="E55" s="100" t="str">
        <f t="shared" si="50"/>
        <v/>
      </c>
      <c r="F55" s="99">
        <f t="shared" si="51"/>
        <v>108</v>
      </c>
      <c r="G55" s="101" t="str">
        <f t="shared" si="52"/>
        <v/>
      </c>
      <c r="H55" s="99">
        <f t="shared" si="53"/>
        <v>-892</v>
      </c>
      <c r="I55" s="102" t="str">
        <f t="shared" si="54"/>
        <v/>
      </c>
      <c r="J55" s="103">
        <f t="shared" si="55"/>
        <v>-892</v>
      </c>
      <c r="K55" s="71" t="str">
        <f t="shared" si="56"/>
        <v/>
      </c>
      <c r="L55" s="376" t="s">
        <v>151</v>
      </c>
      <c r="M55" s="345"/>
      <c r="N55" s="346" t="str">
        <f>IF(M55="","m","")</f>
        <v>m</v>
      </c>
      <c r="O55" s="347"/>
      <c r="P55" s="348" t="s">
        <v>317</v>
      </c>
      <c r="Q55" s="349" t="s">
        <v>88</v>
      </c>
      <c r="R55" s="110">
        <f>(IF(COUNT(Z55,AA55,AB55,AC55,AD55,AE55,AF55,AG55,AH55,AI55)&lt;10,SUM(Z55,AA55,AB55,AC55,AD55,AE55,AF55,AG55,AH55,AI55),SUM(LARGE((Z55,AA55,AB55,AC55,AD55,AE55,AF55,AG55,AH55,AI55),{1;2;3;4;5;6;7;8;9}))))</f>
        <v>0</v>
      </c>
      <c r="S55" s="111" t="str">
        <f>INDEX(ETAPP!B$1:B$32,MATCH(COUNTIF(BI55:BR55,1),ETAPP!A$1:A$32,0))&amp;INDEX(ETAPP!B$1:B$32,MATCH(COUNTIF(BI55:BR55,2),ETAPP!A$1:A$32,0))&amp;INDEX(ETAPP!B$1:B$32,MATCH(COUNTIF(BI55:BR55,3),ETAPP!A$1:A$32,0))&amp;INDEX(ETAPP!B$1:B$32,MATCH(COUNTIF(BI55:BR55,4),ETAPP!A$1:A$32,0))&amp;INDEX(ETAPP!B$1:B$32,MATCH(COUNTIF(BI55:BR55,5),ETAPP!A$1:A$32,0))&amp;INDEX(ETAPP!B$1:B$32,MATCH(COUNTIF(BI55:BR55,6),ETAPP!A$1:A$32,0))&amp;INDEX(ETAPP!B$1:B$32,MATCH(COUNTIF(BI55:BR55,7),ETAPP!A$1:A$32,0))&amp;INDEX(ETAPP!B$1:B$32,MATCH(COUNTIF(BI55:BR55,8),ETAPP!A$1:A$32,0))&amp;INDEX(ETAPP!B$1:B$32,MATCH(COUNTIF(BI55:BR55,9),ETAPP!A$1:A$32,0))&amp;INDEX(ETAPP!B$1:B$32,MATCH(COUNTIF(BI55:BR55,10),ETAPP!A$1:A$32,0))&amp;INDEX(ETAPP!B$1:B$32,MATCH(COUNTIF(BI55:BR55,11),ETAPP!A$1:A$32,0))&amp;INDEX(ETAPP!B$1:B$32,MATCH(COUNTIF(BI55:BR55,12),ETAPP!A$1:A$32,0))&amp;INDEX(ETAPP!B$1:B$32,MATCH(COUNTIF(BI55:BR55,13),ETAPP!A$1:A$32,0))&amp;INDEX(ETAPP!B$1:B$32,MATCH(COUNTIF(BI55:BR55,14),ETAPP!A$1:A$32,0))&amp;INDEX(ETAPP!B$1:B$32,MATCH(COUNTIF(BI55:BR55,15),ETAPP!A$1:A$32,0))&amp;INDEX(ETAPP!B$1:B$32,MATCH(COUNTIF(BI55:BR55,16),ETAPP!A$1:A$32,0))&amp;INDEX(ETAPP!B$1:B$32,MATCH(COUNTIF(BI55:BR55,17),ETAPP!A$1:A$32,0))&amp;INDEX(ETAPP!B$1:B$32,MATCH(COUNTIF(BI55:BR55,18),ETAPP!A$1:A$32,0))&amp;INDEX(ETAPP!B$1:B$32,MATCH(COUNTIF(BI55:BR55,19),ETAPP!A$1:A$32,0))&amp;INDEX(ETAPP!B$1:B$32,MATCH(COUNTIF(BI55:BR55,20),ETAPP!A$1:A$32,0))&amp;INDEX(ETAPP!B$1:B$32,MATCH(COUNTIF(BI55:BR55,21),ETAPP!A$1:A$32,0))</f>
        <v>000000000000000000000</v>
      </c>
      <c r="T55" s="111" t="str">
        <f t="shared" si="57"/>
        <v>000,0-000000000000000000000</v>
      </c>
      <c r="U55" s="111">
        <f t="shared" si="58"/>
        <v>108</v>
      </c>
      <c r="V55" s="111">
        <f t="shared" si="59"/>
        <v>102</v>
      </c>
      <c r="W55" s="111" t="str">
        <f t="shared" si="60"/>
        <v>000,0-000000000000000000000-102</v>
      </c>
      <c r="X55" s="111">
        <f t="shared" si="61"/>
        <v>49</v>
      </c>
      <c r="Y55" s="112">
        <f t="shared" si="62"/>
        <v>60</v>
      </c>
      <c r="Z55" s="113" t="str">
        <f>IFERROR(INDEX('V1'!C$300:C$400,MATCH("*"&amp;L55&amp;"*",'V1'!B$300:B$400,0)),"  ")</f>
        <v xml:space="preserve">  </v>
      </c>
      <c r="AA55" s="113" t="str">
        <f>IFERROR(INDEX('V2'!C$300:C$400,MATCH("*"&amp;L55&amp;"*",'V2'!B$300:B$400,0)),"  ")</f>
        <v xml:space="preserve">  </v>
      </c>
      <c r="AB55" s="113" t="str">
        <f>IFERROR(INDEX('V3'!C$300:C$400,MATCH("*"&amp;L55&amp;"*",'V3'!B$300:B$400,0)),"  ")</f>
        <v xml:space="preserve">  </v>
      </c>
      <c r="AC55" s="113" t="str">
        <f>IFERROR(INDEX('V4'!C$300:C$400,MATCH("*"&amp;L55&amp;"*",'V4'!B$300:B$400,0)),"  ")</f>
        <v xml:space="preserve">  </v>
      </c>
      <c r="AD55" s="113" t="str">
        <f>IFERROR(INDEX('V5'!C$300:C$400,MATCH("*"&amp;L55&amp;"*",'V5'!B$300:B$400,0)),"  ")</f>
        <v xml:space="preserve">  </v>
      </c>
      <c r="AE55" s="113" t="str">
        <f>IFERROR(INDEX('V6'!C$300:C$400,MATCH("*"&amp;L55&amp;"*",'V6'!B$300:B$400,0)),"  ")</f>
        <v xml:space="preserve">  </v>
      </c>
      <c r="AF55" s="113" t="str">
        <f>IFERROR(INDEX('V7'!C$300:C$400,MATCH("*"&amp;L55&amp;"*",'V7'!B$300:B$400,0)),"  ")</f>
        <v xml:space="preserve">  </v>
      </c>
      <c r="AG55" s="113" t="str">
        <f>IFERROR(INDEX('V8'!C$300:C$400,MATCH("*"&amp;L55&amp;"*",'V8'!B$300:B$400,0)),"  ")</f>
        <v xml:space="preserve">  </v>
      </c>
      <c r="AH55" s="113" t="str">
        <f>IFERROR(INDEX('V9'!C$300:C$399,MATCH("*"&amp;L55&amp;"*",'V9'!B$300:B$399,0)),"  ")</f>
        <v xml:space="preserve">  </v>
      </c>
      <c r="AI55" s="113" t="str">
        <f>IFERROR(INDEX('V10'!C$300:C$399,MATCH("*"&amp;L55&amp;"*",'V10'!B$300:B$399,0)),"  ")</f>
        <v xml:space="preserve">  </v>
      </c>
      <c r="AJ55" s="114" t="str">
        <f t="shared" si="63"/>
        <v/>
      </c>
      <c r="AK55" s="404">
        <f t="shared" si="64"/>
        <v>0</v>
      </c>
      <c r="AL55" s="115" t="str">
        <f t="shared" si="65"/>
        <v/>
      </c>
      <c r="AM55" s="116" t="str">
        <f>IFERROR(INDEX(#REF!,MATCH("*"&amp;L55&amp;"*",#REF!,0)),"  ")</f>
        <v xml:space="preserve">  </v>
      </c>
      <c r="AN55" s="117">
        <f t="shared" si="66"/>
        <v>0</v>
      </c>
      <c r="AO55" s="118">
        <f t="shared" si="67"/>
        <v>0</v>
      </c>
      <c r="AP55" s="118">
        <f t="shared" si="68"/>
        <v>0</v>
      </c>
      <c r="AQ55" s="49"/>
      <c r="AR55" s="1"/>
      <c r="AS55" s="1"/>
      <c r="AT55" s="119">
        <f t="shared" si="69"/>
        <v>1E-4</v>
      </c>
      <c r="AU55" s="120">
        <f t="shared" si="70"/>
        <v>1E-4</v>
      </c>
      <c r="AV55" s="120">
        <f t="shared" si="71"/>
        <v>2.0000000000000001E-4</v>
      </c>
      <c r="AW55" s="120">
        <f t="shared" si="72"/>
        <v>2.9999999999999997E-4</v>
      </c>
      <c r="AX55" s="120">
        <f t="shared" si="73"/>
        <v>4.0000000000000002E-4</v>
      </c>
      <c r="AY55" s="120">
        <f t="shared" si="74"/>
        <v>5.0000000000000001E-4</v>
      </c>
      <c r="AZ55" s="120">
        <f t="shared" si="75"/>
        <v>5.9999999999999995E-4</v>
      </c>
      <c r="BA55" s="120">
        <f t="shared" si="76"/>
        <v>6.9999999999999999E-4</v>
      </c>
      <c r="BB55" s="120">
        <f t="shared" si="77"/>
        <v>8.0000000000000004E-4</v>
      </c>
      <c r="BC55" s="120">
        <f t="shared" si="78"/>
        <v>8.9999999999999998E-4</v>
      </c>
      <c r="BD55" s="120">
        <f t="shared" si="79"/>
        <v>1E-3</v>
      </c>
      <c r="BI55" s="1018" t="e">
        <f t="shared" si="80"/>
        <v>#VALUE!</v>
      </c>
      <c r="BJ55" s="1018" t="e">
        <f t="shared" si="81"/>
        <v>#VALUE!</v>
      </c>
      <c r="BK55" s="1018" t="e">
        <f t="shared" si="82"/>
        <v>#VALUE!</v>
      </c>
      <c r="BL55" s="1018" t="e">
        <f t="shared" si="83"/>
        <v>#VALUE!</v>
      </c>
      <c r="BM55" s="1018" t="e">
        <f t="shared" si="84"/>
        <v>#VALUE!</v>
      </c>
      <c r="BN55" s="1018" t="e">
        <f t="shared" si="85"/>
        <v>#VALUE!</v>
      </c>
      <c r="BO55" s="1018" t="e">
        <f t="shared" si="86"/>
        <v>#VALUE!</v>
      </c>
      <c r="BP55" s="1018" t="e">
        <f t="shared" si="87"/>
        <v>#VALUE!</v>
      </c>
      <c r="BQ55" s="1018" t="e">
        <f t="shared" si="88"/>
        <v>#VALUE!</v>
      </c>
      <c r="BR55" s="1018" t="e">
        <f t="shared" si="89"/>
        <v>#VALUE!</v>
      </c>
    </row>
    <row r="56" spans="1:70" ht="12.75" hidden="1" customHeight="1" x14ac:dyDescent="0.2">
      <c r="A56" s="647" t="str">
        <f t="shared" si="46"/>
        <v/>
      </c>
      <c r="B56" s="99">
        <f t="shared" si="47"/>
        <v>-892</v>
      </c>
      <c r="C56" s="409" t="str">
        <f t="shared" si="48"/>
        <v/>
      </c>
      <c r="D56" s="367">
        <f t="shared" si="49"/>
        <v>-892</v>
      </c>
      <c r="E56" s="100" t="str">
        <f t="shared" si="50"/>
        <v/>
      </c>
      <c r="F56" s="99">
        <f t="shared" si="51"/>
        <v>108</v>
      </c>
      <c r="G56" s="101" t="str">
        <f t="shared" si="52"/>
        <v/>
      </c>
      <c r="H56" s="99">
        <f t="shared" si="53"/>
        <v>-892</v>
      </c>
      <c r="I56" s="102" t="str">
        <f t="shared" si="54"/>
        <v/>
      </c>
      <c r="J56" s="103">
        <f t="shared" si="55"/>
        <v>-892</v>
      </c>
      <c r="K56" s="71" t="str">
        <f t="shared" si="56"/>
        <v/>
      </c>
      <c r="L56" s="104" t="s">
        <v>153</v>
      </c>
      <c r="M56" s="105"/>
      <c r="N56" s="106" t="str">
        <f>IF(M56="","m","")</f>
        <v>m</v>
      </c>
      <c r="O56" s="107"/>
      <c r="P56" s="108"/>
      <c r="Q56" s="109"/>
      <c r="R56" s="110">
        <f>(IF(COUNT(Z56,AA56,AB56,AC56,AD56,AE56,AF56,AG56,AH56,AI56)&lt;10,SUM(Z56,AA56,AB56,AC56,AD56,AE56,AF56,AG56,AH56,AI56),SUM(LARGE((Z56,AA56,AB56,AC56,AD56,AE56,AF56,AG56,AH56,AI56),{1;2;3;4;5;6;7;8;9}))))</f>
        <v>0</v>
      </c>
      <c r="S56" s="111" t="str">
        <f>INDEX(ETAPP!B$1:B$32,MATCH(COUNTIF(BI56:BR56,1),ETAPP!A$1:A$32,0))&amp;INDEX(ETAPP!B$1:B$32,MATCH(COUNTIF(BI56:BR56,2),ETAPP!A$1:A$32,0))&amp;INDEX(ETAPP!B$1:B$32,MATCH(COUNTIF(BI56:BR56,3),ETAPP!A$1:A$32,0))&amp;INDEX(ETAPP!B$1:B$32,MATCH(COUNTIF(BI56:BR56,4),ETAPP!A$1:A$32,0))&amp;INDEX(ETAPP!B$1:B$32,MATCH(COUNTIF(BI56:BR56,5),ETAPP!A$1:A$32,0))&amp;INDEX(ETAPP!B$1:B$32,MATCH(COUNTIF(BI56:BR56,6),ETAPP!A$1:A$32,0))&amp;INDEX(ETAPP!B$1:B$32,MATCH(COUNTIF(BI56:BR56,7),ETAPP!A$1:A$32,0))&amp;INDEX(ETAPP!B$1:B$32,MATCH(COUNTIF(BI56:BR56,8),ETAPP!A$1:A$32,0))&amp;INDEX(ETAPP!B$1:B$32,MATCH(COUNTIF(BI56:BR56,9),ETAPP!A$1:A$32,0))&amp;INDEX(ETAPP!B$1:B$32,MATCH(COUNTIF(BI56:BR56,10),ETAPP!A$1:A$32,0))&amp;INDEX(ETAPP!B$1:B$32,MATCH(COUNTIF(BI56:BR56,11),ETAPP!A$1:A$32,0))&amp;INDEX(ETAPP!B$1:B$32,MATCH(COUNTIF(BI56:BR56,12),ETAPP!A$1:A$32,0))&amp;INDEX(ETAPP!B$1:B$32,MATCH(COUNTIF(BI56:BR56,13),ETAPP!A$1:A$32,0))&amp;INDEX(ETAPP!B$1:B$32,MATCH(COUNTIF(BI56:BR56,14),ETAPP!A$1:A$32,0))&amp;INDEX(ETAPP!B$1:B$32,MATCH(COUNTIF(BI56:BR56,15),ETAPP!A$1:A$32,0))&amp;INDEX(ETAPP!B$1:B$32,MATCH(COUNTIF(BI56:BR56,16),ETAPP!A$1:A$32,0))&amp;INDEX(ETAPP!B$1:B$32,MATCH(COUNTIF(BI56:BR56,17),ETAPP!A$1:A$32,0))&amp;INDEX(ETAPP!B$1:B$32,MATCH(COUNTIF(BI56:BR56,18),ETAPP!A$1:A$32,0))&amp;INDEX(ETAPP!B$1:B$32,MATCH(COUNTIF(BI56:BR56,19),ETAPP!A$1:A$32,0))&amp;INDEX(ETAPP!B$1:B$32,MATCH(COUNTIF(BI56:BR56,20),ETAPP!A$1:A$32,0))&amp;INDEX(ETAPP!B$1:B$32,MATCH(COUNTIF(BI56:BR56,21),ETAPP!A$1:A$32,0))</f>
        <v>000000000000000000000</v>
      </c>
      <c r="T56" s="111" t="str">
        <f t="shared" si="57"/>
        <v>000,0-000000000000000000000</v>
      </c>
      <c r="U56" s="111">
        <f t="shared" si="58"/>
        <v>108</v>
      </c>
      <c r="V56" s="111">
        <f t="shared" si="59"/>
        <v>101</v>
      </c>
      <c r="W56" s="111" t="str">
        <f t="shared" si="60"/>
        <v>000,0-000000000000000000000-101</v>
      </c>
      <c r="X56" s="111">
        <f t="shared" si="61"/>
        <v>50</v>
      </c>
      <c r="Y56" s="112">
        <f t="shared" si="62"/>
        <v>59</v>
      </c>
      <c r="Z56" s="113" t="str">
        <f>IFERROR(INDEX('V1'!C$300:C$400,MATCH("*"&amp;L56&amp;"*",'V1'!B$300:B$400,0)),"  ")</f>
        <v xml:space="preserve">  </v>
      </c>
      <c r="AA56" s="113" t="str">
        <f>IFERROR(INDEX('V2'!C$300:C$400,MATCH("*"&amp;L56&amp;"*",'V2'!B$300:B$400,0)),"  ")</f>
        <v xml:space="preserve">  </v>
      </c>
      <c r="AB56" s="113" t="str">
        <f>IFERROR(INDEX('V3'!C$300:C$400,MATCH("*"&amp;L56&amp;"*",'V3'!B$300:B$400,0)),"  ")</f>
        <v xml:space="preserve">  </v>
      </c>
      <c r="AC56" s="113" t="str">
        <f>IFERROR(INDEX('V4'!C$300:C$400,MATCH("*"&amp;L56&amp;"*",'V4'!B$300:B$400,0)),"  ")</f>
        <v xml:space="preserve">  </v>
      </c>
      <c r="AD56" s="113" t="str">
        <f>IFERROR(INDEX('V5'!C$300:C$400,MATCH("*"&amp;L56&amp;"*",'V5'!B$300:B$400,0)),"  ")</f>
        <v xml:space="preserve">  </v>
      </c>
      <c r="AE56" s="113" t="str">
        <f>IFERROR(INDEX('V6'!C$300:C$400,MATCH("*"&amp;L56&amp;"*",'V6'!B$300:B$400,0)),"  ")</f>
        <v xml:space="preserve">  </v>
      </c>
      <c r="AF56" s="113" t="str">
        <f>IFERROR(INDEX('V7'!C$300:C$400,MATCH("*"&amp;L56&amp;"*",'V7'!B$300:B$400,0)),"  ")</f>
        <v xml:space="preserve">  </v>
      </c>
      <c r="AG56" s="113" t="str">
        <f>IFERROR(INDEX('V8'!C$300:C$400,MATCH("*"&amp;L56&amp;"*",'V8'!B$300:B$400,0)),"  ")</f>
        <v xml:space="preserve">  </v>
      </c>
      <c r="AH56" s="113" t="str">
        <f>IFERROR(INDEX('V9'!C$300:C$399,MATCH("*"&amp;L56&amp;"*",'V9'!B$300:B$399,0)),"  ")</f>
        <v xml:space="preserve">  </v>
      </c>
      <c r="AI56" s="113" t="str">
        <f>IFERROR(INDEX('V10'!C$300:C$399,MATCH("*"&amp;L56&amp;"*",'V10'!B$300:B$399,0)),"  ")</f>
        <v xml:space="preserve">  </v>
      </c>
      <c r="AJ56" s="114" t="str">
        <f t="shared" si="63"/>
        <v/>
      </c>
      <c r="AK56" s="404">
        <f t="shared" si="64"/>
        <v>0</v>
      </c>
      <c r="AL56" s="115" t="str">
        <f t="shared" si="65"/>
        <v/>
      </c>
      <c r="AM56" s="116" t="str">
        <f>IFERROR(INDEX(#REF!,MATCH("*"&amp;L56&amp;"*",#REF!,0)),"  ")</f>
        <v xml:space="preserve">  </v>
      </c>
      <c r="AN56" s="117">
        <f t="shared" si="66"/>
        <v>0</v>
      </c>
      <c r="AO56" s="118">
        <f t="shared" si="67"/>
        <v>0</v>
      </c>
      <c r="AP56" s="118">
        <f t="shared" si="68"/>
        <v>0</v>
      </c>
      <c r="AQ56" s="49"/>
      <c r="AR56" s="1"/>
      <c r="AS56" s="1"/>
      <c r="AT56" s="119">
        <f t="shared" si="69"/>
        <v>1E-4</v>
      </c>
      <c r="AU56" s="120">
        <f t="shared" si="70"/>
        <v>1E-4</v>
      </c>
      <c r="AV56" s="120">
        <f t="shared" si="71"/>
        <v>2.0000000000000001E-4</v>
      </c>
      <c r="AW56" s="120">
        <f t="shared" si="72"/>
        <v>2.9999999999999997E-4</v>
      </c>
      <c r="AX56" s="120">
        <f t="shared" si="73"/>
        <v>4.0000000000000002E-4</v>
      </c>
      <c r="AY56" s="120">
        <f t="shared" si="74"/>
        <v>5.0000000000000001E-4</v>
      </c>
      <c r="AZ56" s="120">
        <f t="shared" si="75"/>
        <v>5.9999999999999995E-4</v>
      </c>
      <c r="BA56" s="120">
        <f t="shared" si="76"/>
        <v>6.9999999999999999E-4</v>
      </c>
      <c r="BB56" s="120">
        <f t="shared" si="77"/>
        <v>8.0000000000000004E-4</v>
      </c>
      <c r="BC56" s="120">
        <f t="shared" si="78"/>
        <v>8.9999999999999998E-4</v>
      </c>
      <c r="BD56" s="120">
        <f t="shared" si="79"/>
        <v>1E-3</v>
      </c>
      <c r="BI56" s="1018" t="e">
        <f t="shared" si="80"/>
        <v>#VALUE!</v>
      </c>
      <c r="BJ56" s="1018" t="e">
        <f t="shared" si="81"/>
        <v>#VALUE!</v>
      </c>
      <c r="BK56" s="1018" t="e">
        <f t="shared" si="82"/>
        <v>#VALUE!</v>
      </c>
      <c r="BL56" s="1018" t="e">
        <f t="shared" si="83"/>
        <v>#VALUE!</v>
      </c>
      <c r="BM56" s="1018" t="e">
        <f t="shared" si="84"/>
        <v>#VALUE!</v>
      </c>
      <c r="BN56" s="1018" t="e">
        <f t="shared" si="85"/>
        <v>#VALUE!</v>
      </c>
      <c r="BO56" s="1018" t="e">
        <f t="shared" si="86"/>
        <v>#VALUE!</v>
      </c>
      <c r="BP56" s="1018" t="e">
        <f t="shared" si="87"/>
        <v>#VALUE!</v>
      </c>
      <c r="BQ56" s="1018" t="e">
        <f t="shared" si="88"/>
        <v>#VALUE!</v>
      </c>
      <c r="BR56" s="1018" t="e">
        <f t="shared" si="89"/>
        <v>#VALUE!</v>
      </c>
    </row>
    <row r="57" spans="1:70" ht="12.75" hidden="1" customHeight="1" x14ac:dyDescent="0.2">
      <c r="A57" s="647" t="str">
        <f t="shared" si="46"/>
        <v/>
      </c>
      <c r="B57" s="99">
        <f t="shared" si="47"/>
        <v>-892</v>
      </c>
      <c r="C57" s="409" t="str">
        <f t="shared" si="48"/>
        <v/>
      </c>
      <c r="D57" s="367">
        <f t="shared" si="49"/>
        <v>-892</v>
      </c>
      <c r="E57" s="100" t="str">
        <f t="shared" si="50"/>
        <v/>
      </c>
      <c r="F57" s="99">
        <f t="shared" si="51"/>
        <v>108</v>
      </c>
      <c r="G57" s="101" t="str">
        <f t="shared" si="52"/>
        <v/>
      </c>
      <c r="H57" s="99">
        <f t="shared" si="53"/>
        <v>-892</v>
      </c>
      <c r="I57" s="102" t="str">
        <f t="shared" si="54"/>
        <v/>
      </c>
      <c r="J57" s="103">
        <f t="shared" si="55"/>
        <v>-892</v>
      </c>
      <c r="K57" s="71" t="str">
        <f t="shared" si="56"/>
        <v/>
      </c>
      <c r="L57" s="121" t="s">
        <v>154</v>
      </c>
      <c r="M57" s="105"/>
      <c r="N57" s="106" t="str">
        <f>IF(M57="","m","")</f>
        <v>m</v>
      </c>
      <c r="O57" s="107"/>
      <c r="P57" s="108"/>
      <c r="Q57" s="109"/>
      <c r="R57" s="110">
        <f>(IF(COUNT(Z57,AA57,AB57,AC57,AD57,AE57,AF57,AG57,AH57,AI57)&lt;10,SUM(Z57,AA57,AB57,AC57,AD57,AE57,AF57,AG57,AH57,AI57),SUM(LARGE((Z57,AA57,AB57,AC57,AD57,AE57,AF57,AG57,AH57,AI57),{1;2;3;4;5;6;7;8;9}))))</f>
        <v>0</v>
      </c>
      <c r="S57" s="111" t="str">
        <f>INDEX(ETAPP!B$1:B$32,MATCH(COUNTIF(BI57:BR57,1),ETAPP!A$1:A$32,0))&amp;INDEX(ETAPP!B$1:B$32,MATCH(COUNTIF(BI57:BR57,2),ETAPP!A$1:A$32,0))&amp;INDEX(ETAPP!B$1:B$32,MATCH(COUNTIF(BI57:BR57,3),ETAPP!A$1:A$32,0))&amp;INDEX(ETAPP!B$1:B$32,MATCH(COUNTIF(BI57:BR57,4),ETAPP!A$1:A$32,0))&amp;INDEX(ETAPP!B$1:B$32,MATCH(COUNTIF(BI57:BR57,5),ETAPP!A$1:A$32,0))&amp;INDEX(ETAPP!B$1:B$32,MATCH(COUNTIF(BI57:BR57,6),ETAPP!A$1:A$32,0))&amp;INDEX(ETAPP!B$1:B$32,MATCH(COUNTIF(BI57:BR57,7),ETAPP!A$1:A$32,0))&amp;INDEX(ETAPP!B$1:B$32,MATCH(COUNTIF(BI57:BR57,8),ETAPP!A$1:A$32,0))&amp;INDEX(ETAPP!B$1:B$32,MATCH(COUNTIF(BI57:BR57,9),ETAPP!A$1:A$32,0))&amp;INDEX(ETAPP!B$1:B$32,MATCH(COUNTIF(BI57:BR57,10),ETAPP!A$1:A$32,0))&amp;INDEX(ETAPP!B$1:B$32,MATCH(COUNTIF(BI57:BR57,11),ETAPP!A$1:A$32,0))&amp;INDEX(ETAPP!B$1:B$32,MATCH(COUNTIF(BI57:BR57,12),ETAPP!A$1:A$32,0))&amp;INDEX(ETAPP!B$1:B$32,MATCH(COUNTIF(BI57:BR57,13),ETAPP!A$1:A$32,0))&amp;INDEX(ETAPP!B$1:B$32,MATCH(COUNTIF(BI57:BR57,14),ETAPP!A$1:A$32,0))&amp;INDEX(ETAPP!B$1:B$32,MATCH(COUNTIF(BI57:BR57,15),ETAPP!A$1:A$32,0))&amp;INDEX(ETAPP!B$1:B$32,MATCH(COUNTIF(BI57:BR57,16),ETAPP!A$1:A$32,0))&amp;INDEX(ETAPP!B$1:B$32,MATCH(COUNTIF(BI57:BR57,17),ETAPP!A$1:A$32,0))&amp;INDEX(ETAPP!B$1:B$32,MATCH(COUNTIF(BI57:BR57,18),ETAPP!A$1:A$32,0))&amp;INDEX(ETAPP!B$1:B$32,MATCH(COUNTIF(BI57:BR57,19),ETAPP!A$1:A$32,0))&amp;INDEX(ETAPP!B$1:B$32,MATCH(COUNTIF(BI57:BR57,20),ETAPP!A$1:A$32,0))&amp;INDEX(ETAPP!B$1:B$32,MATCH(COUNTIF(BI57:BR57,21),ETAPP!A$1:A$32,0))</f>
        <v>000000000000000000000</v>
      </c>
      <c r="T57" s="111" t="str">
        <f t="shared" si="57"/>
        <v>000,0-000000000000000000000</v>
      </c>
      <c r="U57" s="111">
        <f t="shared" si="58"/>
        <v>108</v>
      </c>
      <c r="V57" s="111">
        <f t="shared" si="59"/>
        <v>98</v>
      </c>
      <c r="W57" s="111" t="str">
        <f t="shared" si="60"/>
        <v>000,0-000000000000000000000-098</v>
      </c>
      <c r="X57" s="111">
        <f t="shared" si="61"/>
        <v>51</v>
      </c>
      <c r="Y57" s="112">
        <f t="shared" si="62"/>
        <v>58</v>
      </c>
      <c r="Z57" s="113" t="str">
        <f>IFERROR(INDEX('V1'!C$300:C$400,MATCH("*"&amp;L57&amp;"*",'V1'!B$300:B$400,0)),"  ")</f>
        <v xml:space="preserve">  </v>
      </c>
      <c r="AA57" s="113" t="str">
        <f>IFERROR(INDEX('V2'!C$300:C$400,MATCH("*"&amp;L57&amp;"*",'V2'!B$300:B$400,0)),"  ")</f>
        <v xml:space="preserve">  </v>
      </c>
      <c r="AB57" s="113" t="str">
        <f>IFERROR(INDEX('V3'!C$300:C$400,MATCH("*"&amp;L57&amp;"*",'V3'!B$300:B$400,0)),"  ")</f>
        <v xml:space="preserve">  </v>
      </c>
      <c r="AC57" s="113" t="str">
        <f>IFERROR(INDEX('V4'!C$300:C$400,MATCH("*"&amp;L57&amp;"*",'V4'!B$300:B$400,0)),"  ")</f>
        <v xml:space="preserve">  </v>
      </c>
      <c r="AD57" s="113" t="str">
        <f>IFERROR(INDEX('V5'!C$300:C$400,MATCH("*"&amp;L57&amp;"*",'V5'!B$300:B$400,0)),"  ")</f>
        <v xml:space="preserve">  </v>
      </c>
      <c r="AE57" s="113" t="str">
        <f>IFERROR(INDEX('V6'!C$300:C$400,MATCH("*"&amp;L57&amp;"*",'V6'!B$300:B$400,0)),"  ")</f>
        <v xml:space="preserve">  </v>
      </c>
      <c r="AF57" s="113" t="str">
        <f>IFERROR(INDEX('V7'!C$300:C$400,MATCH("*"&amp;L57&amp;"*",'V7'!B$300:B$400,0)),"  ")</f>
        <v xml:space="preserve">  </v>
      </c>
      <c r="AG57" s="113" t="str">
        <f>IFERROR(INDEX('V8'!C$300:C$400,MATCH("*"&amp;L57&amp;"*",'V8'!B$300:B$400,0)),"  ")</f>
        <v xml:space="preserve">  </v>
      </c>
      <c r="AH57" s="113" t="str">
        <f>IFERROR(INDEX('V9'!C$300:C$399,MATCH("*"&amp;L57&amp;"*",'V9'!B$300:B$399,0)),"  ")</f>
        <v xml:space="preserve">  </v>
      </c>
      <c r="AI57" s="113" t="str">
        <f>IFERROR(INDEX('V10'!C$300:C$399,MATCH("*"&amp;L57&amp;"*",'V10'!B$300:B$399,0)),"  ")</f>
        <v xml:space="preserve">  </v>
      </c>
      <c r="AJ57" s="114" t="str">
        <f t="shared" si="63"/>
        <v/>
      </c>
      <c r="AK57" s="404">
        <f t="shared" si="64"/>
        <v>0</v>
      </c>
      <c r="AL57" s="115" t="str">
        <f t="shared" si="65"/>
        <v/>
      </c>
      <c r="AM57" s="116" t="str">
        <f>IFERROR(INDEX(#REF!,MATCH("*"&amp;L57&amp;"*",#REF!,0)),"  ")</f>
        <v xml:space="preserve">  </v>
      </c>
      <c r="AN57" s="117">
        <f t="shared" si="66"/>
        <v>0</v>
      </c>
      <c r="AO57" s="118">
        <f t="shared" si="67"/>
        <v>0</v>
      </c>
      <c r="AP57" s="118">
        <f t="shared" si="68"/>
        <v>0</v>
      </c>
      <c r="AQ57" s="49"/>
      <c r="AR57" s="1018"/>
      <c r="AS57" s="1018"/>
      <c r="AT57" s="119">
        <f t="shared" si="69"/>
        <v>1E-4</v>
      </c>
      <c r="AU57" s="120">
        <f t="shared" si="70"/>
        <v>1E-4</v>
      </c>
      <c r="AV57" s="120">
        <f t="shared" si="71"/>
        <v>2.0000000000000001E-4</v>
      </c>
      <c r="AW57" s="120">
        <f t="shared" si="72"/>
        <v>2.9999999999999997E-4</v>
      </c>
      <c r="AX57" s="120">
        <f t="shared" si="73"/>
        <v>4.0000000000000002E-4</v>
      </c>
      <c r="AY57" s="120">
        <f t="shared" si="74"/>
        <v>5.0000000000000001E-4</v>
      </c>
      <c r="AZ57" s="120">
        <f t="shared" si="75"/>
        <v>5.9999999999999995E-4</v>
      </c>
      <c r="BA57" s="120">
        <f t="shared" si="76"/>
        <v>6.9999999999999999E-4</v>
      </c>
      <c r="BB57" s="120">
        <f t="shared" si="77"/>
        <v>8.0000000000000004E-4</v>
      </c>
      <c r="BC57" s="120">
        <f t="shared" si="78"/>
        <v>8.9999999999999998E-4</v>
      </c>
      <c r="BD57" s="120">
        <f t="shared" si="79"/>
        <v>1E-3</v>
      </c>
      <c r="BE57" s="1018"/>
      <c r="BI57" s="1018" t="e">
        <f t="shared" si="80"/>
        <v>#VALUE!</v>
      </c>
      <c r="BJ57" s="1018" t="e">
        <f t="shared" si="81"/>
        <v>#VALUE!</v>
      </c>
      <c r="BK57" s="1018" t="e">
        <f t="shared" si="82"/>
        <v>#VALUE!</v>
      </c>
      <c r="BL57" s="1018" t="e">
        <f t="shared" si="83"/>
        <v>#VALUE!</v>
      </c>
      <c r="BM57" s="1018" t="e">
        <f t="shared" si="84"/>
        <v>#VALUE!</v>
      </c>
      <c r="BN57" s="1018" t="e">
        <f t="shared" si="85"/>
        <v>#VALUE!</v>
      </c>
      <c r="BO57" s="1018" t="e">
        <f t="shared" si="86"/>
        <v>#VALUE!</v>
      </c>
      <c r="BP57" s="1018" t="e">
        <f t="shared" si="87"/>
        <v>#VALUE!</v>
      </c>
      <c r="BQ57" s="1018" t="e">
        <f t="shared" si="88"/>
        <v>#VALUE!</v>
      </c>
      <c r="BR57" s="1018" t="e">
        <f t="shared" si="89"/>
        <v>#VALUE!</v>
      </c>
    </row>
    <row r="58" spans="1:70" ht="12.75" hidden="1" customHeight="1" x14ac:dyDescent="0.2">
      <c r="A58" s="647" t="str">
        <f t="shared" si="46"/>
        <v/>
      </c>
      <c r="B58" s="99">
        <f t="shared" si="47"/>
        <v>108</v>
      </c>
      <c r="C58" s="409" t="str">
        <f t="shared" si="48"/>
        <v/>
      </c>
      <c r="D58" s="367">
        <f t="shared" si="49"/>
        <v>-892</v>
      </c>
      <c r="E58" s="100" t="str">
        <f t="shared" si="50"/>
        <v/>
      </c>
      <c r="F58" s="99">
        <f t="shared" si="51"/>
        <v>-892</v>
      </c>
      <c r="G58" s="101" t="str">
        <f t="shared" si="52"/>
        <v/>
      </c>
      <c r="H58" s="99">
        <f t="shared" si="53"/>
        <v>108</v>
      </c>
      <c r="I58" s="102" t="str">
        <f t="shared" si="54"/>
        <v/>
      </c>
      <c r="J58" s="103">
        <f t="shared" si="55"/>
        <v>108</v>
      </c>
      <c r="K58" s="71" t="str">
        <f t="shared" si="56"/>
        <v/>
      </c>
      <c r="L58" s="121" t="s">
        <v>336</v>
      </c>
      <c r="M58" s="105" t="s">
        <v>110</v>
      </c>
      <c r="N58" s="106"/>
      <c r="O58" s="138" t="s">
        <v>117</v>
      </c>
      <c r="P58" s="108"/>
      <c r="Q58" s="109" t="s">
        <v>88</v>
      </c>
      <c r="R58" s="110">
        <f>(IF(COUNT(Z58,AA58,AB58,AC58,AD58,AE58,AF58,AG58,AH58,AI58)&lt;10,SUM(Z58,AA58,AB58,AC58,AD58,AE58,AF58,AG58,AH58,AI58),SUM(LARGE((Z58,AA58,AB58,AC58,AD58,AE58,AF58,AG58,AH58,AI58),{1;2;3;4;5;6;7;8;9}))))</f>
        <v>0</v>
      </c>
      <c r="S58" s="111" t="str">
        <f>INDEX(ETAPP!B$1:B$32,MATCH(COUNTIF(BI58:BR58,1),ETAPP!A$1:A$32,0))&amp;INDEX(ETAPP!B$1:B$32,MATCH(COUNTIF(BI58:BR58,2),ETAPP!A$1:A$32,0))&amp;INDEX(ETAPP!B$1:B$32,MATCH(COUNTIF(BI58:BR58,3),ETAPP!A$1:A$32,0))&amp;INDEX(ETAPP!B$1:B$32,MATCH(COUNTIF(BI58:BR58,4),ETAPP!A$1:A$32,0))&amp;INDEX(ETAPP!B$1:B$32,MATCH(COUNTIF(BI58:BR58,5),ETAPP!A$1:A$32,0))&amp;INDEX(ETAPP!B$1:B$32,MATCH(COUNTIF(BI58:BR58,6),ETAPP!A$1:A$32,0))&amp;INDEX(ETAPP!B$1:B$32,MATCH(COUNTIF(BI58:BR58,7),ETAPP!A$1:A$32,0))&amp;INDEX(ETAPP!B$1:B$32,MATCH(COUNTIF(BI58:BR58,8),ETAPP!A$1:A$32,0))&amp;INDEX(ETAPP!B$1:B$32,MATCH(COUNTIF(BI58:BR58,9),ETAPP!A$1:A$32,0))&amp;INDEX(ETAPP!B$1:B$32,MATCH(COUNTIF(BI58:BR58,10),ETAPP!A$1:A$32,0))&amp;INDEX(ETAPP!B$1:B$32,MATCH(COUNTIF(BI58:BR58,11),ETAPP!A$1:A$32,0))&amp;INDEX(ETAPP!B$1:B$32,MATCH(COUNTIF(BI58:BR58,12),ETAPP!A$1:A$32,0))&amp;INDEX(ETAPP!B$1:B$32,MATCH(COUNTIF(BI58:BR58,13),ETAPP!A$1:A$32,0))&amp;INDEX(ETAPP!B$1:B$32,MATCH(COUNTIF(BI58:BR58,14),ETAPP!A$1:A$32,0))&amp;INDEX(ETAPP!B$1:B$32,MATCH(COUNTIF(BI58:BR58,15),ETAPP!A$1:A$32,0))&amp;INDEX(ETAPP!B$1:B$32,MATCH(COUNTIF(BI58:BR58,16),ETAPP!A$1:A$32,0))&amp;INDEX(ETAPP!B$1:B$32,MATCH(COUNTIF(BI58:BR58,17),ETAPP!A$1:A$32,0))&amp;INDEX(ETAPP!B$1:B$32,MATCH(COUNTIF(BI58:BR58,18),ETAPP!A$1:A$32,0))&amp;INDEX(ETAPP!B$1:B$32,MATCH(COUNTIF(BI58:BR58,19),ETAPP!A$1:A$32,0))&amp;INDEX(ETAPP!B$1:B$32,MATCH(COUNTIF(BI58:BR58,20),ETAPP!A$1:A$32,0))&amp;INDEX(ETAPP!B$1:B$32,MATCH(COUNTIF(BI58:BR58,21),ETAPP!A$1:A$32,0))</f>
        <v>000000000000000000000</v>
      </c>
      <c r="T58" s="111" t="str">
        <f t="shared" si="57"/>
        <v>000,0-000000000000000000000</v>
      </c>
      <c r="U58" s="111">
        <f t="shared" si="58"/>
        <v>108</v>
      </c>
      <c r="V58" s="111">
        <f t="shared" si="59"/>
        <v>97</v>
      </c>
      <c r="W58" s="111" t="str">
        <f t="shared" si="60"/>
        <v>000,0-000000000000000000000-097</v>
      </c>
      <c r="X58" s="111">
        <f t="shared" si="61"/>
        <v>52</v>
      </c>
      <c r="Y58" s="112">
        <f t="shared" si="62"/>
        <v>57</v>
      </c>
      <c r="Z58" s="113" t="str">
        <f>IFERROR(INDEX('V1'!C$300:C$400,MATCH("*"&amp;L58&amp;"*",'V1'!B$300:B$400,0)),"  ")</f>
        <v xml:space="preserve">  </v>
      </c>
      <c r="AA58" s="113" t="str">
        <f>IFERROR(INDEX('V2'!C$300:C$400,MATCH("*"&amp;L58&amp;"*",'V2'!B$300:B$400,0)),"  ")</f>
        <v xml:space="preserve">  </v>
      </c>
      <c r="AB58" s="113" t="str">
        <f>IFERROR(INDEX('V3'!C$300:C$400,MATCH("*"&amp;L58&amp;"*",'V3'!B$300:B$400,0)),"  ")</f>
        <v xml:space="preserve">  </v>
      </c>
      <c r="AC58" s="113" t="str">
        <f>IFERROR(INDEX('V4'!C$300:C$400,MATCH("*"&amp;L58&amp;"*",'V4'!B$300:B$400,0)),"  ")</f>
        <v xml:space="preserve">  </v>
      </c>
      <c r="AD58" s="113" t="str">
        <f>IFERROR(INDEX('V5'!C$300:C$400,MATCH("*"&amp;L58&amp;"*",'V5'!B$300:B$400,0)),"  ")</f>
        <v xml:space="preserve">  </v>
      </c>
      <c r="AE58" s="113" t="str">
        <f>IFERROR(INDEX('V6'!C$300:C$400,MATCH("*"&amp;L58&amp;"*",'V6'!B$300:B$400,0)),"  ")</f>
        <v xml:space="preserve">  </v>
      </c>
      <c r="AF58" s="113" t="str">
        <f>IFERROR(INDEX('V7'!C$300:C$400,MATCH("*"&amp;L58&amp;"*",'V7'!B$300:B$400,0)),"  ")</f>
        <v xml:space="preserve">  </v>
      </c>
      <c r="AG58" s="113" t="str">
        <f>IFERROR(INDEX('V8'!C$300:C$400,MATCH("*"&amp;L58&amp;"*",'V8'!B$300:B$400,0)),"  ")</f>
        <v xml:space="preserve">  </v>
      </c>
      <c r="AH58" s="113" t="str">
        <f>IFERROR(INDEX('V9'!C$300:C$399,MATCH("*"&amp;L58&amp;"*",'V9'!B$300:B$399,0)),"  ")</f>
        <v xml:space="preserve">  </v>
      </c>
      <c r="AI58" s="113" t="str">
        <f>IFERROR(INDEX('V10'!C$300:C$399,MATCH("*"&amp;L58&amp;"*",'V10'!B$300:B$399,0)),"  ")</f>
        <v xml:space="preserve">  </v>
      </c>
      <c r="AJ58" s="114" t="str">
        <f t="shared" si="63"/>
        <v/>
      </c>
      <c r="AK58" s="404">
        <f t="shared" si="64"/>
        <v>0</v>
      </c>
      <c r="AL58" s="115" t="str">
        <f t="shared" si="65"/>
        <v/>
      </c>
      <c r="AM58" s="116" t="str">
        <f>IFERROR(INDEX(#REF!,MATCH("*"&amp;L58&amp;"*",#REF!,0)),"  ")</f>
        <v xml:space="preserve">  </v>
      </c>
      <c r="AN58" s="117">
        <f t="shared" si="66"/>
        <v>0</v>
      </c>
      <c r="AO58" s="118">
        <f t="shared" si="67"/>
        <v>0</v>
      </c>
      <c r="AP58" s="118">
        <f t="shared" si="68"/>
        <v>0</v>
      </c>
      <c r="AQ58" s="122"/>
      <c r="AR58" s="122"/>
      <c r="AS58" s="122"/>
      <c r="AT58" s="119">
        <f t="shared" si="69"/>
        <v>1E-4</v>
      </c>
      <c r="AU58" s="120">
        <f t="shared" si="70"/>
        <v>1E-4</v>
      </c>
      <c r="AV58" s="120">
        <f t="shared" si="71"/>
        <v>2.0000000000000001E-4</v>
      </c>
      <c r="AW58" s="120">
        <f t="shared" si="72"/>
        <v>2.9999999999999997E-4</v>
      </c>
      <c r="AX58" s="120">
        <f t="shared" si="73"/>
        <v>4.0000000000000002E-4</v>
      </c>
      <c r="AY58" s="120">
        <f t="shared" si="74"/>
        <v>5.0000000000000001E-4</v>
      </c>
      <c r="AZ58" s="120">
        <f t="shared" si="75"/>
        <v>5.9999999999999995E-4</v>
      </c>
      <c r="BA58" s="120">
        <f t="shared" si="76"/>
        <v>6.9999999999999999E-4</v>
      </c>
      <c r="BB58" s="120">
        <f t="shared" si="77"/>
        <v>8.0000000000000004E-4</v>
      </c>
      <c r="BC58" s="120">
        <f t="shared" si="78"/>
        <v>8.9999999999999998E-4</v>
      </c>
      <c r="BD58" s="120">
        <f t="shared" si="79"/>
        <v>1E-3</v>
      </c>
      <c r="BE58" s="122"/>
      <c r="BF58" s="122"/>
      <c r="BG58" s="122"/>
      <c r="BH58" s="122"/>
      <c r="BI58" s="1018" t="e">
        <f t="shared" si="80"/>
        <v>#VALUE!</v>
      </c>
      <c r="BJ58" s="1018" t="e">
        <f t="shared" si="81"/>
        <v>#VALUE!</v>
      </c>
      <c r="BK58" s="1018" t="e">
        <f t="shared" si="82"/>
        <v>#VALUE!</v>
      </c>
      <c r="BL58" s="1018" t="e">
        <f t="shared" si="83"/>
        <v>#VALUE!</v>
      </c>
      <c r="BM58" s="1018" t="e">
        <f t="shared" si="84"/>
        <v>#VALUE!</v>
      </c>
      <c r="BN58" s="1018" t="e">
        <f t="shared" si="85"/>
        <v>#VALUE!</v>
      </c>
      <c r="BO58" s="1018" t="e">
        <f t="shared" si="86"/>
        <v>#VALUE!</v>
      </c>
      <c r="BP58" s="1018" t="e">
        <f t="shared" si="87"/>
        <v>#VALUE!</v>
      </c>
      <c r="BQ58" s="1018" t="e">
        <f t="shared" si="88"/>
        <v>#VALUE!</v>
      </c>
      <c r="BR58" s="1018" t="e">
        <f t="shared" si="89"/>
        <v>#VALUE!</v>
      </c>
    </row>
    <row r="59" spans="1:70" ht="12.75" hidden="1" customHeight="1" x14ac:dyDescent="0.2">
      <c r="A59" s="647" t="str">
        <f t="shared" si="46"/>
        <v/>
      </c>
      <c r="B59" s="99">
        <f t="shared" si="47"/>
        <v>-892</v>
      </c>
      <c r="C59" s="409" t="str">
        <f t="shared" si="48"/>
        <v/>
      </c>
      <c r="D59" s="367">
        <f t="shared" si="49"/>
        <v>-892</v>
      </c>
      <c r="E59" s="100" t="str">
        <f t="shared" si="50"/>
        <v/>
      </c>
      <c r="F59" s="99">
        <f t="shared" si="51"/>
        <v>108</v>
      </c>
      <c r="G59" s="101" t="str">
        <f t="shared" si="52"/>
        <v/>
      </c>
      <c r="H59" s="99">
        <f t="shared" si="53"/>
        <v>-892</v>
      </c>
      <c r="I59" s="102" t="str">
        <f t="shared" si="54"/>
        <v/>
      </c>
      <c r="J59" s="103">
        <f t="shared" si="55"/>
        <v>-892</v>
      </c>
      <c r="K59" s="71" t="str">
        <f t="shared" si="56"/>
        <v/>
      </c>
      <c r="L59" s="121" t="s">
        <v>315</v>
      </c>
      <c r="M59" s="105"/>
      <c r="N59" s="106" t="s">
        <v>105</v>
      </c>
      <c r="O59" s="107"/>
      <c r="P59" s="108"/>
      <c r="Q59" s="349"/>
      <c r="R59" s="110">
        <f>(IF(COUNT(Z59,AA59,AB59,AC59,AD59,AE59,AF59,AG59,AH59,AI59)&lt;10,SUM(Z59,AA59,AB59,AC59,AD59,AE59,AF59,AG59,AH59,AI59),SUM(LARGE((Z59,AA59,AB59,AC59,AD59,AE59,AF59,AG59,AH59,AI59),{1;2;3;4;5;6;7;8;9}))))</f>
        <v>0</v>
      </c>
      <c r="S59" s="111" t="str">
        <f>INDEX(ETAPP!B$1:B$32,MATCH(COUNTIF(BI59:BR59,1),ETAPP!A$1:A$32,0))&amp;INDEX(ETAPP!B$1:B$32,MATCH(COUNTIF(BI59:BR59,2),ETAPP!A$1:A$32,0))&amp;INDEX(ETAPP!B$1:B$32,MATCH(COUNTIF(BI59:BR59,3),ETAPP!A$1:A$32,0))&amp;INDEX(ETAPP!B$1:B$32,MATCH(COUNTIF(BI59:BR59,4),ETAPP!A$1:A$32,0))&amp;INDEX(ETAPP!B$1:B$32,MATCH(COUNTIF(BI59:BR59,5),ETAPP!A$1:A$32,0))&amp;INDEX(ETAPP!B$1:B$32,MATCH(COUNTIF(BI59:BR59,6),ETAPP!A$1:A$32,0))&amp;INDEX(ETAPP!B$1:B$32,MATCH(COUNTIF(BI59:BR59,7),ETAPP!A$1:A$32,0))&amp;INDEX(ETAPP!B$1:B$32,MATCH(COUNTIF(BI59:BR59,8),ETAPP!A$1:A$32,0))&amp;INDEX(ETAPP!B$1:B$32,MATCH(COUNTIF(BI59:BR59,9),ETAPP!A$1:A$32,0))&amp;INDEX(ETAPP!B$1:B$32,MATCH(COUNTIF(BI59:BR59,10),ETAPP!A$1:A$32,0))&amp;INDEX(ETAPP!B$1:B$32,MATCH(COUNTIF(BI59:BR59,11),ETAPP!A$1:A$32,0))&amp;INDEX(ETAPP!B$1:B$32,MATCH(COUNTIF(BI59:BR59,12),ETAPP!A$1:A$32,0))&amp;INDEX(ETAPP!B$1:B$32,MATCH(COUNTIF(BI59:BR59,13),ETAPP!A$1:A$32,0))&amp;INDEX(ETAPP!B$1:B$32,MATCH(COUNTIF(BI59:BR59,14),ETAPP!A$1:A$32,0))&amp;INDEX(ETAPP!B$1:B$32,MATCH(COUNTIF(BI59:BR59,15),ETAPP!A$1:A$32,0))&amp;INDEX(ETAPP!B$1:B$32,MATCH(COUNTIF(BI59:BR59,16),ETAPP!A$1:A$32,0))&amp;INDEX(ETAPP!B$1:B$32,MATCH(COUNTIF(BI59:BR59,17),ETAPP!A$1:A$32,0))&amp;INDEX(ETAPP!B$1:B$32,MATCH(COUNTIF(BI59:BR59,18),ETAPP!A$1:A$32,0))&amp;INDEX(ETAPP!B$1:B$32,MATCH(COUNTIF(BI59:BR59,19),ETAPP!A$1:A$32,0))&amp;INDEX(ETAPP!B$1:B$32,MATCH(COUNTIF(BI59:BR59,20),ETAPP!A$1:A$32,0))&amp;INDEX(ETAPP!B$1:B$32,MATCH(COUNTIF(BI59:BR59,21),ETAPP!A$1:A$32,0))</f>
        <v>000000000000000000000</v>
      </c>
      <c r="T59" s="111" t="str">
        <f t="shared" si="57"/>
        <v>000,0-000000000000000000000</v>
      </c>
      <c r="U59" s="111">
        <f t="shared" si="58"/>
        <v>108</v>
      </c>
      <c r="V59" s="111">
        <f t="shared" si="59"/>
        <v>96</v>
      </c>
      <c r="W59" s="111" t="str">
        <f t="shared" si="60"/>
        <v>000,0-000000000000000000000-096</v>
      </c>
      <c r="X59" s="111">
        <f t="shared" si="61"/>
        <v>53</v>
      </c>
      <c r="Y59" s="112">
        <f t="shared" si="62"/>
        <v>56</v>
      </c>
      <c r="Z59" s="113" t="str">
        <f>IFERROR(INDEX('V1'!C$300:C$400,MATCH("*"&amp;L59&amp;"*",'V1'!B$300:B$400,0)),"  ")</f>
        <v xml:space="preserve">  </v>
      </c>
      <c r="AA59" s="113" t="str">
        <f>IFERROR(INDEX('V2'!C$300:C$400,MATCH("*"&amp;L59&amp;"*",'V2'!B$300:B$400,0)),"  ")</f>
        <v xml:space="preserve">  </v>
      </c>
      <c r="AB59" s="113" t="str">
        <f>IFERROR(INDEX('V3'!C$300:C$400,MATCH("*"&amp;L59&amp;"*",'V3'!B$300:B$400,0)),"  ")</f>
        <v xml:space="preserve">  </v>
      </c>
      <c r="AC59" s="113" t="str">
        <f>IFERROR(INDEX('V4'!C$300:C$400,MATCH("*"&amp;L59&amp;"*",'V4'!B$300:B$400,0)),"  ")</f>
        <v xml:space="preserve">  </v>
      </c>
      <c r="AD59" s="113" t="str">
        <f>IFERROR(INDEX('V5'!C$300:C$400,MATCH("*"&amp;L59&amp;"*",'V5'!B$300:B$400,0)),"  ")</f>
        <v xml:space="preserve">  </v>
      </c>
      <c r="AE59" s="113" t="str">
        <f>IFERROR(INDEX('V6'!C$300:C$400,MATCH("*"&amp;L59&amp;"*",'V6'!B$300:B$400,0)),"  ")</f>
        <v xml:space="preserve">  </v>
      </c>
      <c r="AF59" s="113" t="str">
        <f>IFERROR(INDEX('V7'!C$300:C$400,MATCH("*"&amp;L59&amp;"*",'V7'!B$300:B$400,0)),"  ")</f>
        <v xml:space="preserve">  </v>
      </c>
      <c r="AG59" s="113" t="str">
        <f>IFERROR(INDEX('V8'!C$300:C$400,MATCH("*"&amp;L59&amp;"*",'V8'!B$300:B$400,0)),"  ")</f>
        <v xml:space="preserve">  </v>
      </c>
      <c r="AH59" s="113" t="str">
        <f>IFERROR(INDEX('V9'!C$300:C$399,MATCH("*"&amp;L59&amp;"*",'V9'!B$300:B$399,0)),"  ")</f>
        <v xml:space="preserve">  </v>
      </c>
      <c r="AI59" s="113" t="str">
        <f>IFERROR(INDEX('V10'!C$300:C$399,MATCH("*"&amp;L59&amp;"*",'V10'!B$300:B$399,0)),"  ")</f>
        <v xml:space="preserve">  </v>
      </c>
      <c r="AJ59" s="114" t="str">
        <f t="shared" si="63"/>
        <v/>
      </c>
      <c r="AK59" s="404">
        <f t="shared" si="64"/>
        <v>0</v>
      </c>
      <c r="AL59" s="115" t="str">
        <f t="shared" si="65"/>
        <v/>
      </c>
      <c r="AM59" s="116" t="str">
        <f>IFERROR(INDEX(#REF!,MATCH("*"&amp;L59&amp;"*",#REF!,0)),"  ")</f>
        <v xml:space="preserve">  </v>
      </c>
      <c r="AN59" s="117">
        <f t="shared" si="66"/>
        <v>0</v>
      </c>
      <c r="AO59" s="118">
        <f t="shared" si="67"/>
        <v>0</v>
      </c>
      <c r="AP59" s="118">
        <f t="shared" si="68"/>
        <v>0</v>
      </c>
      <c r="AQ59" s="49"/>
      <c r="AR59" s="1"/>
      <c r="AS59" s="1"/>
      <c r="AT59" s="119">
        <f t="shared" si="69"/>
        <v>1E-4</v>
      </c>
      <c r="AU59" s="120">
        <f t="shared" si="70"/>
        <v>1E-4</v>
      </c>
      <c r="AV59" s="120">
        <f t="shared" si="71"/>
        <v>2.0000000000000001E-4</v>
      </c>
      <c r="AW59" s="120">
        <f t="shared" si="72"/>
        <v>2.9999999999999997E-4</v>
      </c>
      <c r="AX59" s="120">
        <f t="shared" si="73"/>
        <v>4.0000000000000002E-4</v>
      </c>
      <c r="AY59" s="120">
        <f t="shared" si="74"/>
        <v>5.0000000000000001E-4</v>
      </c>
      <c r="AZ59" s="120">
        <f t="shared" si="75"/>
        <v>5.9999999999999995E-4</v>
      </c>
      <c r="BA59" s="120">
        <f t="shared" si="76"/>
        <v>6.9999999999999999E-4</v>
      </c>
      <c r="BB59" s="120">
        <f t="shared" si="77"/>
        <v>8.0000000000000004E-4</v>
      </c>
      <c r="BC59" s="120">
        <f t="shared" si="78"/>
        <v>8.9999999999999998E-4</v>
      </c>
      <c r="BD59" s="120">
        <f t="shared" si="79"/>
        <v>1E-3</v>
      </c>
      <c r="BI59" s="1018" t="e">
        <f t="shared" si="80"/>
        <v>#VALUE!</v>
      </c>
      <c r="BJ59" s="1018" t="e">
        <f t="shared" si="81"/>
        <v>#VALUE!</v>
      </c>
      <c r="BK59" s="1018" t="e">
        <f t="shared" si="82"/>
        <v>#VALUE!</v>
      </c>
      <c r="BL59" s="1018" t="e">
        <f t="shared" si="83"/>
        <v>#VALUE!</v>
      </c>
      <c r="BM59" s="1018" t="e">
        <f t="shared" si="84"/>
        <v>#VALUE!</v>
      </c>
      <c r="BN59" s="1018" t="e">
        <f t="shared" si="85"/>
        <v>#VALUE!</v>
      </c>
      <c r="BO59" s="1018" t="e">
        <f t="shared" si="86"/>
        <v>#VALUE!</v>
      </c>
      <c r="BP59" s="1018" t="e">
        <f t="shared" si="87"/>
        <v>#VALUE!</v>
      </c>
      <c r="BQ59" s="1018" t="e">
        <f t="shared" si="88"/>
        <v>#VALUE!</v>
      </c>
      <c r="BR59" s="1018" t="e">
        <f t="shared" si="89"/>
        <v>#VALUE!</v>
      </c>
    </row>
    <row r="60" spans="1:70" ht="12.75" hidden="1" customHeight="1" x14ac:dyDescent="0.2">
      <c r="A60" s="647" t="str">
        <f t="shared" si="46"/>
        <v/>
      </c>
      <c r="B60" s="99">
        <f t="shared" si="47"/>
        <v>-892</v>
      </c>
      <c r="C60" s="409" t="str">
        <f t="shared" si="48"/>
        <v/>
      </c>
      <c r="D60" s="367">
        <f t="shared" si="49"/>
        <v>-892</v>
      </c>
      <c r="E60" s="100" t="str">
        <f t="shared" si="50"/>
        <v/>
      </c>
      <c r="F60" s="99">
        <f t="shared" si="51"/>
        <v>-892</v>
      </c>
      <c r="G60" s="101" t="str">
        <f t="shared" si="52"/>
        <v/>
      </c>
      <c r="H60" s="99">
        <f t="shared" si="53"/>
        <v>108</v>
      </c>
      <c r="I60" s="102" t="str">
        <f t="shared" si="54"/>
        <v/>
      </c>
      <c r="J60" s="103">
        <f t="shared" si="55"/>
        <v>-892</v>
      </c>
      <c r="K60" s="71" t="str">
        <f t="shared" si="56"/>
        <v/>
      </c>
      <c r="L60" s="648" t="s">
        <v>155</v>
      </c>
      <c r="M60" s="345" t="s">
        <v>110</v>
      </c>
      <c r="N60" s="346" t="str">
        <f>IF(M60="","m","")</f>
        <v/>
      </c>
      <c r="O60" s="347"/>
      <c r="P60" s="348"/>
      <c r="Q60" s="109"/>
      <c r="R60" s="110">
        <f>(IF(COUNT(Z60,AA60,AB60,AC60,AD60,AE60,AF60,AG60,AH60,AI60)&lt;10,SUM(Z60,AA60,AB60,AC60,AD60,AE60,AF60,AG60,AH60,AI60),SUM(LARGE((Z60,AA60,AB60,AC60,AD60,AE60,AF60,AG60,AH60,AI60),{1;2;3;4;5;6;7;8;9}))))</f>
        <v>0</v>
      </c>
      <c r="S60" s="111" t="str">
        <f>INDEX(ETAPP!B$1:B$32,MATCH(COUNTIF(BI60:BR60,1),ETAPP!A$1:A$32,0))&amp;INDEX(ETAPP!B$1:B$32,MATCH(COUNTIF(BI60:BR60,2),ETAPP!A$1:A$32,0))&amp;INDEX(ETAPP!B$1:B$32,MATCH(COUNTIF(BI60:BR60,3),ETAPP!A$1:A$32,0))&amp;INDEX(ETAPP!B$1:B$32,MATCH(COUNTIF(BI60:BR60,4),ETAPP!A$1:A$32,0))&amp;INDEX(ETAPP!B$1:B$32,MATCH(COUNTIF(BI60:BR60,5),ETAPP!A$1:A$32,0))&amp;INDEX(ETAPP!B$1:B$32,MATCH(COUNTIF(BI60:BR60,6),ETAPP!A$1:A$32,0))&amp;INDEX(ETAPP!B$1:B$32,MATCH(COUNTIF(BI60:BR60,7),ETAPP!A$1:A$32,0))&amp;INDEX(ETAPP!B$1:B$32,MATCH(COUNTIF(BI60:BR60,8),ETAPP!A$1:A$32,0))&amp;INDEX(ETAPP!B$1:B$32,MATCH(COUNTIF(BI60:BR60,9),ETAPP!A$1:A$32,0))&amp;INDEX(ETAPP!B$1:B$32,MATCH(COUNTIF(BI60:BR60,10),ETAPP!A$1:A$32,0))&amp;INDEX(ETAPP!B$1:B$32,MATCH(COUNTIF(BI60:BR60,11),ETAPP!A$1:A$32,0))&amp;INDEX(ETAPP!B$1:B$32,MATCH(COUNTIF(BI60:BR60,12),ETAPP!A$1:A$32,0))&amp;INDEX(ETAPP!B$1:B$32,MATCH(COUNTIF(BI60:BR60,13),ETAPP!A$1:A$32,0))&amp;INDEX(ETAPP!B$1:B$32,MATCH(COUNTIF(BI60:BR60,14),ETAPP!A$1:A$32,0))&amp;INDEX(ETAPP!B$1:B$32,MATCH(COUNTIF(BI60:BR60,15),ETAPP!A$1:A$32,0))&amp;INDEX(ETAPP!B$1:B$32,MATCH(COUNTIF(BI60:BR60,16),ETAPP!A$1:A$32,0))&amp;INDEX(ETAPP!B$1:B$32,MATCH(COUNTIF(BI60:BR60,17),ETAPP!A$1:A$32,0))&amp;INDEX(ETAPP!B$1:B$32,MATCH(COUNTIF(BI60:BR60,18),ETAPP!A$1:A$32,0))&amp;INDEX(ETAPP!B$1:B$32,MATCH(COUNTIF(BI60:BR60,19),ETAPP!A$1:A$32,0))&amp;INDEX(ETAPP!B$1:B$32,MATCH(COUNTIF(BI60:BR60,20),ETAPP!A$1:A$32,0))&amp;INDEX(ETAPP!B$1:B$32,MATCH(COUNTIF(BI60:BR60,21),ETAPP!A$1:A$32,0))</f>
        <v>000000000000000000000</v>
      </c>
      <c r="T60" s="111" t="str">
        <f t="shared" si="57"/>
        <v>000,0-000000000000000000000</v>
      </c>
      <c r="U60" s="111">
        <f t="shared" si="58"/>
        <v>108</v>
      </c>
      <c r="V60" s="111">
        <f t="shared" si="59"/>
        <v>95</v>
      </c>
      <c r="W60" s="111" t="str">
        <f t="shared" si="60"/>
        <v>000,0-000000000000000000000-095</v>
      </c>
      <c r="X60" s="111">
        <f t="shared" si="61"/>
        <v>54</v>
      </c>
      <c r="Y60" s="112">
        <f t="shared" si="62"/>
        <v>55</v>
      </c>
      <c r="Z60" s="113" t="str">
        <f>IFERROR(INDEX('V1'!C$300:C$400,MATCH("*"&amp;L60&amp;"*",'V1'!B$300:B$400,0)),"  ")</f>
        <v xml:space="preserve">  </v>
      </c>
      <c r="AA60" s="113" t="str">
        <f>IFERROR(INDEX('V2'!C$300:C$400,MATCH("*"&amp;L60&amp;"*",'V2'!B$300:B$400,0)),"  ")</f>
        <v xml:space="preserve">  </v>
      </c>
      <c r="AB60" s="113" t="str">
        <f>IFERROR(INDEX('V3'!C$300:C$400,MATCH("*"&amp;L60&amp;"*",'V3'!B$300:B$400,0)),"  ")</f>
        <v xml:space="preserve">  </v>
      </c>
      <c r="AC60" s="113" t="str">
        <f>IFERROR(INDEX('V4'!C$300:C$400,MATCH("*"&amp;L60&amp;"*",'V4'!B$300:B$400,0)),"  ")</f>
        <v xml:space="preserve">  </v>
      </c>
      <c r="AD60" s="113" t="str">
        <f>IFERROR(INDEX('V5'!C$300:C$400,MATCH("*"&amp;L60&amp;"*",'V5'!B$300:B$400,0)),"  ")</f>
        <v xml:space="preserve">  </v>
      </c>
      <c r="AE60" s="113" t="str">
        <f>IFERROR(INDEX('V6'!C$300:C$400,MATCH("*"&amp;L60&amp;"*",'V6'!B$300:B$400,0)),"  ")</f>
        <v xml:space="preserve">  </v>
      </c>
      <c r="AF60" s="113" t="str">
        <f>IFERROR(INDEX('V7'!C$300:C$400,MATCH("*"&amp;L60&amp;"*",'V7'!B$300:B$400,0)),"  ")</f>
        <v xml:space="preserve">  </v>
      </c>
      <c r="AG60" s="113" t="str">
        <f>IFERROR(INDEX('V8'!C$300:C$400,MATCH("*"&amp;L60&amp;"*",'V8'!B$300:B$400,0)),"  ")</f>
        <v xml:space="preserve">  </v>
      </c>
      <c r="AH60" s="113" t="str">
        <f>IFERROR(INDEX('V9'!C$300:C$399,MATCH("*"&amp;L60&amp;"*",'V9'!B$300:B$399,0)),"  ")</f>
        <v xml:space="preserve">  </v>
      </c>
      <c r="AI60" s="113" t="str">
        <f>IFERROR(INDEX('V10'!C$300:C$399,MATCH("*"&amp;L60&amp;"*",'V10'!B$300:B$399,0)),"  ")</f>
        <v xml:space="preserve">  </v>
      </c>
      <c r="AJ60" s="114" t="str">
        <f t="shared" si="63"/>
        <v/>
      </c>
      <c r="AK60" s="404">
        <f t="shared" si="64"/>
        <v>0</v>
      </c>
      <c r="AL60" s="115" t="str">
        <f t="shared" si="65"/>
        <v/>
      </c>
      <c r="AM60" s="116" t="str">
        <f>IFERROR(INDEX(#REF!,MATCH("*"&amp;L60&amp;"*",#REF!,0)),"  ")</f>
        <v xml:space="preserve">  </v>
      </c>
      <c r="AN60" s="117">
        <f t="shared" si="66"/>
        <v>0</v>
      </c>
      <c r="AO60" s="118">
        <f t="shared" si="67"/>
        <v>0</v>
      </c>
      <c r="AP60" s="118">
        <f t="shared" si="68"/>
        <v>0</v>
      </c>
      <c r="AQ60" s="49"/>
      <c r="AR60" s="1"/>
      <c r="AS60" s="1"/>
      <c r="AT60" s="119">
        <f t="shared" si="69"/>
        <v>1E-4</v>
      </c>
      <c r="AU60" s="120">
        <f t="shared" si="70"/>
        <v>1E-4</v>
      </c>
      <c r="AV60" s="120">
        <f t="shared" si="71"/>
        <v>2.0000000000000001E-4</v>
      </c>
      <c r="AW60" s="120">
        <f t="shared" si="72"/>
        <v>2.9999999999999997E-4</v>
      </c>
      <c r="AX60" s="120">
        <f t="shared" si="73"/>
        <v>4.0000000000000002E-4</v>
      </c>
      <c r="AY60" s="120">
        <f t="shared" si="74"/>
        <v>5.0000000000000001E-4</v>
      </c>
      <c r="AZ60" s="120">
        <f t="shared" si="75"/>
        <v>5.9999999999999995E-4</v>
      </c>
      <c r="BA60" s="120">
        <f t="shared" si="76"/>
        <v>6.9999999999999999E-4</v>
      </c>
      <c r="BB60" s="120">
        <f t="shared" si="77"/>
        <v>8.0000000000000004E-4</v>
      </c>
      <c r="BC60" s="120">
        <f t="shared" si="78"/>
        <v>8.9999999999999998E-4</v>
      </c>
      <c r="BD60" s="120">
        <f t="shared" si="79"/>
        <v>1E-3</v>
      </c>
      <c r="BI60" s="1018" t="e">
        <f t="shared" si="80"/>
        <v>#VALUE!</v>
      </c>
      <c r="BJ60" s="1018" t="e">
        <f t="shared" si="81"/>
        <v>#VALUE!</v>
      </c>
      <c r="BK60" s="1018" t="e">
        <f t="shared" si="82"/>
        <v>#VALUE!</v>
      </c>
      <c r="BL60" s="1018" t="e">
        <f t="shared" si="83"/>
        <v>#VALUE!</v>
      </c>
      <c r="BM60" s="1018" t="e">
        <f t="shared" si="84"/>
        <v>#VALUE!</v>
      </c>
      <c r="BN60" s="1018" t="e">
        <f t="shared" si="85"/>
        <v>#VALUE!</v>
      </c>
      <c r="BO60" s="1018" t="e">
        <f t="shared" si="86"/>
        <v>#VALUE!</v>
      </c>
      <c r="BP60" s="1018" t="e">
        <f t="shared" si="87"/>
        <v>#VALUE!</v>
      </c>
      <c r="BQ60" s="1018" t="e">
        <f t="shared" si="88"/>
        <v>#VALUE!</v>
      </c>
      <c r="BR60" s="1018" t="e">
        <f t="shared" si="89"/>
        <v>#VALUE!</v>
      </c>
    </row>
    <row r="61" spans="1:70" ht="12.75" hidden="1" customHeight="1" x14ac:dyDescent="0.2">
      <c r="A61" s="647" t="str">
        <f t="shared" si="46"/>
        <v/>
      </c>
      <c r="B61" s="99">
        <f t="shared" si="47"/>
        <v>108</v>
      </c>
      <c r="C61" s="409" t="str">
        <f t="shared" si="48"/>
        <v/>
      </c>
      <c r="D61" s="367">
        <f t="shared" si="49"/>
        <v>-892</v>
      </c>
      <c r="E61" s="100" t="str">
        <f t="shared" si="50"/>
        <v/>
      </c>
      <c r="F61" s="99">
        <f t="shared" si="51"/>
        <v>108</v>
      </c>
      <c r="G61" s="101" t="str">
        <f t="shared" si="52"/>
        <v/>
      </c>
      <c r="H61" s="99">
        <f t="shared" si="53"/>
        <v>-892</v>
      </c>
      <c r="I61" s="102" t="str">
        <f t="shared" si="54"/>
        <v/>
      </c>
      <c r="J61" s="103">
        <f t="shared" si="55"/>
        <v>-892</v>
      </c>
      <c r="K61" s="71" t="str">
        <f t="shared" si="56"/>
        <v/>
      </c>
      <c r="L61" s="131" t="s">
        <v>127</v>
      </c>
      <c r="M61" s="105"/>
      <c r="N61" s="106" t="str">
        <f>IF(M61="","m","")</f>
        <v>m</v>
      </c>
      <c r="O61" s="107"/>
      <c r="P61" s="108"/>
      <c r="Q61" s="109" t="s">
        <v>88</v>
      </c>
      <c r="R61" s="110">
        <f>(IF(COUNT(Z61,AA61,AB61,AC61,AD61,AE61,AF61,AG61,AH61,AI61)&lt;10,SUM(Z61,AA61,AB61,AC61,AD61,AE61,AF61,AG61,AH61,AI61),SUM(LARGE((Z61,AA61,AB61,AC61,AD61,AE61,AF61,AG61,AH61,AI61),{1;2;3;4;5;6;7;8;9}))))</f>
        <v>0</v>
      </c>
      <c r="S61" s="111" t="str">
        <f>INDEX(ETAPP!B$1:B$32,MATCH(COUNTIF(BI61:BR61,1),ETAPP!A$1:A$32,0))&amp;INDEX(ETAPP!B$1:B$32,MATCH(COUNTIF(BI61:BR61,2),ETAPP!A$1:A$32,0))&amp;INDEX(ETAPP!B$1:B$32,MATCH(COUNTIF(BI61:BR61,3),ETAPP!A$1:A$32,0))&amp;INDEX(ETAPP!B$1:B$32,MATCH(COUNTIF(BI61:BR61,4),ETAPP!A$1:A$32,0))&amp;INDEX(ETAPP!B$1:B$32,MATCH(COUNTIF(BI61:BR61,5),ETAPP!A$1:A$32,0))&amp;INDEX(ETAPP!B$1:B$32,MATCH(COUNTIF(BI61:BR61,6),ETAPP!A$1:A$32,0))&amp;INDEX(ETAPP!B$1:B$32,MATCH(COUNTIF(BI61:BR61,7),ETAPP!A$1:A$32,0))&amp;INDEX(ETAPP!B$1:B$32,MATCH(COUNTIF(BI61:BR61,8),ETAPP!A$1:A$32,0))&amp;INDEX(ETAPP!B$1:B$32,MATCH(COUNTIF(BI61:BR61,9),ETAPP!A$1:A$32,0))&amp;INDEX(ETAPP!B$1:B$32,MATCH(COUNTIF(BI61:BR61,10),ETAPP!A$1:A$32,0))&amp;INDEX(ETAPP!B$1:B$32,MATCH(COUNTIF(BI61:BR61,11),ETAPP!A$1:A$32,0))&amp;INDEX(ETAPP!B$1:B$32,MATCH(COUNTIF(BI61:BR61,12),ETAPP!A$1:A$32,0))&amp;INDEX(ETAPP!B$1:B$32,MATCH(COUNTIF(BI61:BR61,13),ETAPP!A$1:A$32,0))&amp;INDEX(ETAPP!B$1:B$32,MATCH(COUNTIF(BI61:BR61,14),ETAPP!A$1:A$32,0))&amp;INDEX(ETAPP!B$1:B$32,MATCH(COUNTIF(BI61:BR61,15),ETAPP!A$1:A$32,0))&amp;INDEX(ETAPP!B$1:B$32,MATCH(COUNTIF(BI61:BR61,16),ETAPP!A$1:A$32,0))&amp;INDEX(ETAPP!B$1:B$32,MATCH(COUNTIF(BI61:BR61,17),ETAPP!A$1:A$32,0))&amp;INDEX(ETAPP!B$1:B$32,MATCH(COUNTIF(BI61:BR61,18),ETAPP!A$1:A$32,0))&amp;INDEX(ETAPP!B$1:B$32,MATCH(COUNTIF(BI61:BR61,19),ETAPP!A$1:A$32,0))&amp;INDEX(ETAPP!B$1:B$32,MATCH(COUNTIF(BI61:BR61,20),ETAPP!A$1:A$32,0))&amp;INDEX(ETAPP!B$1:B$32,MATCH(COUNTIF(BI61:BR61,21),ETAPP!A$1:A$32,0))</f>
        <v>000000000000000000000</v>
      </c>
      <c r="T61" s="111" t="str">
        <f t="shared" si="57"/>
        <v>000,0-000000000000000000000</v>
      </c>
      <c r="U61" s="111">
        <f t="shared" si="58"/>
        <v>108</v>
      </c>
      <c r="V61" s="111">
        <f t="shared" si="59"/>
        <v>94</v>
      </c>
      <c r="W61" s="111" t="str">
        <f t="shared" si="60"/>
        <v>000,0-000000000000000000000-094</v>
      </c>
      <c r="X61" s="111">
        <f t="shared" si="61"/>
        <v>55</v>
      </c>
      <c r="Y61" s="112">
        <f t="shared" si="62"/>
        <v>54</v>
      </c>
      <c r="Z61" s="113" t="str">
        <f>IFERROR(INDEX('V1'!C$300:C$400,MATCH("*"&amp;L61&amp;"*",'V1'!B$300:B$400,0)),"  ")</f>
        <v xml:space="preserve">  </v>
      </c>
      <c r="AA61" s="113" t="str">
        <f>IFERROR(INDEX('V2'!C$300:C$400,MATCH("*"&amp;L61&amp;"*",'V2'!B$300:B$400,0)),"  ")</f>
        <v xml:space="preserve">  </v>
      </c>
      <c r="AB61" s="113" t="str">
        <f>IFERROR(INDEX('V3'!C$300:C$400,MATCH("*"&amp;L61&amp;"*",'V3'!B$300:B$400,0)),"  ")</f>
        <v xml:space="preserve">  </v>
      </c>
      <c r="AC61" s="113" t="str">
        <f>IFERROR(INDEX('V4'!C$300:C$400,MATCH("*"&amp;L61&amp;"*",'V4'!B$300:B$400,0)),"  ")</f>
        <v xml:space="preserve">  </v>
      </c>
      <c r="AD61" s="113" t="str">
        <f>IFERROR(INDEX('V5'!C$300:C$400,MATCH("*"&amp;L61&amp;"*",'V5'!B$300:B$400,0)),"  ")</f>
        <v xml:space="preserve">  </v>
      </c>
      <c r="AE61" s="113" t="str">
        <f>IFERROR(INDEX('V6'!C$300:C$400,MATCH("*"&amp;L61&amp;"*",'V6'!B$300:B$400,0)),"  ")</f>
        <v xml:space="preserve">  </v>
      </c>
      <c r="AF61" s="113" t="str">
        <f>IFERROR(INDEX('V7'!C$300:C$400,MATCH("*"&amp;L61&amp;"*",'V7'!B$300:B$400,0)),"  ")</f>
        <v xml:space="preserve">  </v>
      </c>
      <c r="AG61" s="113" t="str">
        <f>IFERROR(INDEX('V8'!C$300:C$400,MATCH("*"&amp;L61&amp;"*",'V8'!B$300:B$400,0)),"  ")</f>
        <v xml:space="preserve">  </v>
      </c>
      <c r="AH61" s="113" t="str">
        <f>IFERROR(INDEX('V9'!C$300:C$399,MATCH("*"&amp;L61&amp;"*",'V9'!B$300:B$399,0)),"  ")</f>
        <v xml:space="preserve">  </v>
      </c>
      <c r="AI61" s="113" t="str">
        <f>IFERROR(INDEX('V10'!C$300:C$399,MATCH("*"&amp;L61&amp;"*",'V10'!B$300:B$399,0)),"  ")</f>
        <v xml:space="preserve">  </v>
      </c>
      <c r="AJ61" s="114" t="str">
        <f t="shared" si="63"/>
        <v/>
      </c>
      <c r="AK61" s="404">
        <f t="shared" si="64"/>
        <v>0</v>
      </c>
      <c r="AL61" s="115" t="str">
        <f t="shared" si="65"/>
        <v/>
      </c>
      <c r="AM61" s="116" t="str">
        <f>IFERROR(INDEX(#REF!,MATCH("*"&amp;L61&amp;"*",#REF!,0)),"  ")</f>
        <v xml:space="preserve">  </v>
      </c>
      <c r="AN61" s="117">
        <f t="shared" si="66"/>
        <v>0</v>
      </c>
      <c r="AO61" s="118">
        <f t="shared" si="67"/>
        <v>0</v>
      </c>
      <c r="AP61" s="118">
        <f t="shared" si="68"/>
        <v>0</v>
      </c>
      <c r="AQ61" s="49"/>
      <c r="AR61" s="1"/>
      <c r="AS61" s="1"/>
      <c r="AT61" s="119">
        <f t="shared" si="69"/>
        <v>1E-4</v>
      </c>
      <c r="AU61" s="120">
        <f t="shared" si="70"/>
        <v>1E-4</v>
      </c>
      <c r="AV61" s="120">
        <f t="shared" si="71"/>
        <v>2.0000000000000001E-4</v>
      </c>
      <c r="AW61" s="120">
        <f t="shared" si="72"/>
        <v>2.9999999999999997E-4</v>
      </c>
      <c r="AX61" s="120">
        <f t="shared" si="73"/>
        <v>4.0000000000000002E-4</v>
      </c>
      <c r="AY61" s="120">
        <f t="shared" si="74"/>
        <v>5.0000000000000001E-4</v>
      </c>
      <c r="AZ61" s="120">
        <f t="shared" si="75"/>
        <v>5.9999999999999995E-4</v>
      </c>
      <c r="BA61" s="120">
        <f t="shared" si="76"/>
        <v>6.9999999999999999E-4</v>
      </c>
      <c r="BB61" s="120">
        <f t="shared" si="77"/>
        <v>8.0000000000000004E-4</v>
      </c>
      <c r="BC61" s="120">
        <f t="shared" si="78"/>
        <v>8.9999999999999998E-4</v>
      </c>
      <c r="BD61" s="120">
        <f t="shared" si="79"/>
        <v>1E-3</v>
      </c>
      <c r="BI61" s="1018" t="e">
        <f t="shared" si="80"/>
        <v>#VALUE!</v>
      </c>
      <c r="BJ61" s="1018" t="e">
        <f t="shared" si="81"/>
        <v>#VALUE!</v>
      </c>
      <c r="BK61" s="1018" t="e">
        <f t="shared" si="82"/>
        <v>#VALUE!</v>
      </c>
      <c r="BL61" s="1018" t="e">
        <f t="shared" si="83"/>
        <v>#VALUE!</v>
      </c>
      <c r="BM61" s="1018" t="e">
        <f t="shared" si="84"/>
        <v>#VALUE!</v>
      </c>
      <c r="BN61" s="1018" t="e">
        <f t="shared" si="85"/>
        <v>#VALUE!</v>
      </c>
      <c r="BO61" s="1018" t="e">
        <f t="shared" si="86"/>
        <v>#VALUE!</v>
      </c>
      <c r="BP61" s="1018" t="e">
        <f t="shared" si="87"/>
        <v>#VALUE!</v>
      </c>
      <c r="BQ61" s="1018" t="e">
        <f t="shared" si="88"/>
        <v>#VALUE!</v>
      </c>
      <c r="BR61" s="1018" t="e">
        <f t="shared" si="89"/>
        <v>#VALUE!</v>
      </c>
    </row>
    <row r="62" spans="1:70" ht="12.75" hidden="1" customHeight="1" x14ac:dyDescent="0.2">
      <c r="A62" s="647" t="str">
        <f t="shared" si="46"/>
        <v/>
      </c>
      <c r="B62" s="99">
        <f t="shared" si="47"/>
        <v>-892</v>
      </c>
      <c r="C62" s="409" t="str">
        <f t="shared" si="48"/>
        <v/>
      </c>
      <c r="D62" s="367">
        <f t="shared" si="49"/>
        <v>-892</v>
      </c>
      <c r="E62" s="100" t="str">
        <f t="shared" si="50"/>
        <v/>
      </c>
      <c r="F62" s="99">
        <f t="shared" si="51"/>
        <v>-892</v>
      </c>
      <c r="G62" s="101" t="str">
        <f t="shared" si="52"/>
        <v/>
      </c>
      <c r="H62" s="99">
        <f t="shared" si="53"/>
        <v>108</v>
      </c>
      <c r="I62" s="102" t="str">
        <f t="shared" si="54"/>
        <v/>
      </c>
      <c r="J62" s="103">
        <f t="shared" si="55"/>
        <v>-892</v>
      </c>
      <c r="K62" s="71" t="str">
        <f t="shared" si="56"/>
        <v/>
      </c>
      <c r="L62" s="445" t="s">
        <v>303</v>
      </c>
      <c r="M62" s="446" t="s">
        <v>110</v>
      </c>
      <c r="N62" s="447"/>
      <c r="O62" s="453"/>
      <c r="P62" s="448"/>
      <c r="Q62" s="449" t="s">
        <v>345</v>
      </c>
      <c r="R62" s="110">
        <f>(IF(COUNT(Z62,AA62,AB62,AC62,AD62,AE62,AF62,AG62,AH62,AI62)&lt;10,SUM(Z62,AA62,AB62,AC62,AD62,AE62,AF62,AG62,AH62,AI62),SUM(LARGE((Z62,AA62,AB62,AC62,AD62,AE62,AF62,AG62,AH62,AI62),{1;2;3;4;5;6;7;8;9}))))</f>
        <v>0</v>
      </c>
      <c r="S62" s="111" t="str">
        <f>INDEX(ETAPP!B$1:B$32,MATCH(COUNTIF(BI62:BR62,1),ETAPP!A$1:A$32,0))&amp;INDEX(ETAPP!B$1:B$32,MATCH(COUNTIF(BI62:BR62,2),ETAPP!A$1:A$32,0))&amp;INDEX(ETAPP!B$1:B$32,MATCH(COUNTIF(BI62:BR62,3),ETAPP!A$1:A$32,0))&amp;INDEX(ETAPP!B$1:B$32,MATCH(COUNTIF(BI62:BR62,4),ETAPP!A$1:A$32,0))&amp;INDEX(ETAPP!B$1:B$32,MATCH(COUNTIF(BI62:BR62,5),ETAPP!A$1:A$32,0))&amp;INDEX(ETAPP!B$1:B$32,MATCH(COUNTIF(BI62:BR62,6),ETAPP!A$1:A$32,0))&amp;INDEX(ETAPP!B$1:B$32,MATCH(COUNTIF(BI62:BR62,7),ETAPP!A$1:A$32,0))&amp;INDEX(ETAPP!B$1:B$32,MATCH(COUNTIF(BI62:BR62,8),ETAPP!A$1:A$32,0))&amp;INDEX(ETAPP!B$1:B$32,MATCH(COUNTIF(BI62:BR62,9),ETAPP!A$1:A$32,0))&amp;INDEX(ETAPP!B$1:B$32,MATCH(COUNTIF(BI62:BR62,10),ETAPP!A$1:A$32,0))&amp;INDEX(ETAPP!B$1:B$32,MATCH(COUNTIF(BI62:BR62,11),ETAPP!A$1:A$32,0))&amp;INDEX(ETAPP!B$1:B$32,MATCH(COUNTIF(BI62:BR62,12),ETAPP!A$1:A$32,0))&amp;INDEX(ETAPP!B$1:B$32,MATCH(COUNTIF(BI62:BR62,13),ETAPP!A$1:A$32,0))&amp;INDEX(ETAPP!B$1:B$32,MATCH(COUNTIF(BI62:BR62,14),ETAPP!A$1:A$32,0))&amp;INDEX(ETAPP!B$1:B$32,MATCH(COUNTIF(BI62:BR62,15),ETAPP!A$1:A$32,0))&amp;INDEX(ETAPP!B$1:B$32,MATCH(COUNTIF(BI62:BR62,16),ETAPP!A$1:A$32,0))&amp;INDEX(ETAPP!B$1:B$32,MATCH(COUNTIF(BI62:BR62,17),ETAPP!A$1:A$32,0))&amp;INDEX(ETAPP!B$1:B$32,MATCH(COUNTIF(BI62:BR62,18),ETAPP!A$1:A$32,0))&amp;INDEX(ETAPP!B$1:B$32,MATCH(COUNTIF(BI62:BR62,19),ETAPP!A$1:A$32,0))&amp;INDEX(ETAPP!B$1:B$32,MATCH(COUNTIF(BI62:BR62,20),ETAPP!A$1:A$32,0))&amp;INDEX(ETAPP!B$1:B$32,MATCH(COUNTIF(BI62:BR62,21),ETAPP!A$1:A$32,0))</f>
        <v>000000000000000000000</v>
      </c>
      <c r="T62" s="111" t="str">
        <f t="shared" si="57"/>
        <v>000,0-000000000000000000000</v>
      </c>
      <c r="U62" s="111">
        <f t="shared" si="58"/>
        <v>108</v>
      </c>
      <c r="V62" s="111">
        <f t="shared" si="59"/>
        <v>93</v>
      </c>
      <c r="W62" s="111" t="str">
        <f t="shared" si="60"/>
        <v>000,0-000000000000000000000-093</v>
      </c>
      <c r="X62" s="111">
        <f t="shared" si="61"/>
        <v>56</v>
      </c>
      <c r="Y62" s="112">
        <f t="shared" si="62"/>
        <v>53</v>
      </c>
      <c r="Z62" s="113" t="str">
        <f>IFERROR(INDEX('V1'!C$300:C$400,MATCH("*"&amp;L62&amp;"*",'V1'!B$300:B$400,0)),"  ")</f>
        <v xml:space="preserve">  </v>
      </c>
      <c r="AA62" s="113" t="str">
        <f>IFERROR(INDEX('V2'!C$300:C$400,MATCH("*"&amp;L62&amp;"*",'V2'!B$300:B$400,0)),"  ")</f>
        <v xml:space="preserve">  </v>
      </c>
      <c r="AB62" s="113" t="str">
        <f>IFERROR(INDEX('V3'!C$300:C$400,MATCH("*"&amp;L62&amp;"*",'V3'!B$300:B$400,0)),"  ")</f>
        <v xml:space="preserve">  </v>
      </c>
      <c r="AC62" s="113" t="str">
        <f>IFERROR(INDEX('V4'!C$300:C$400,MATCH("*"&amp;L62&amp;"*",'V4'!B$300:B$400,0)),"  ")</f>
        <v xml:space="preserve">  </v>
      </c>
      <c r="AD62" s="113" t="str">
        <f>IFERROR(INDEX('V5'!C$300:C$400,MATCH("*"&amp;L62&amp;"*",'V5'!B$300:B$400,0)),"  ")</f>
        <v xml:space="preserve">  </v>
      </c>
      <c r="AE62" s="113" t="str">
        <f>IFERROR(INDEX('V6'!C$300:C$400,MATCH("*"&amp;L62&amp;"*",'V6'!B$300:B$400,0)),"  ")</f>
        <v xml:space="preserve">  </v>
      </c>
      <c r="AF62" s="113" t="str">
        <f>IFERROR(INDEX('V7'!C$300:C$400,MATCH("*"&amp;L62&amp;"*",'V7'!B$300:B$400,0)),"  ")</f>
        <v xml:space="preserve">  </v>
      </c>
      <c r="AG62" s="113" t="str">
        <f>IFERROR(INDEX('V8'!C$300:C$400,MATCH("*"&amp;L62&amp;"*",'V8'!B$300:B$400,0)),"  ")</f>
        <v xml:space="preserve">  </v>
      </c>
      <c r="AH62" s="113" t="str">
        <f>IFERROR(INDEX('V9'!C$300:C$399,MATCH("*"&amp;L62&amp;"*",'V9'!B$300:B$399,0)),"  ")</f>
        <v xml:space="preserve">  </v>
      </c>
      <c r="AI62" s="113" t="str">
        <f>IFERROR(INDEX('V10'!C$300:C$399,MATCH("*"&amp;L62&amp;"*",'V10'!B$300:B$399,0)),"  ")</f>
        <v xml:space="preserve">  </v>
      </c>
      <c r="AJ62" s="114" t="str">
        <f t="shared" si="63"/>
        <v/>
      </c>
      <c r="AK62" s="404">
        <f t="shared" si="64"/>
        <v>0</v>
      </c>
      <c r="AL62" s="115" t="str">
        <f t="shared" si="65"/>
        <v/>
      </c>
      <c r="AM62" s="116" t="str">
        <f>IFERROR(INDEX(#REF!,MATCH("*"&amp;L62&amp;"*",#REF!,0)),"  ")</f>
        <v xml:space="preserve">  </v>
      </c>
      <c r="AN62" s="117">
        <f t="shared" si="66"/>
        <v>0</v>
      </c>
      <c r="AO62" s="118">
        <f t="shared" si="67"/>
        <v>0</v>
      </c>
      <c r="AP62" s="118">
        <f t="shared" si="68"/>
        <v>0</v>
      </c>
      <c r="AQ62" s="49"/>
      <c r="AR62" s="1"/>
      <c r="AS62" s="1"/>
      <c r="AT62" s="119">
        <f t="shared" si="69"/>
        <v>1E-4</v>
      </c>
      <c r="AU62" s="120">
        <f t="shared" si="70"/>
        <v>1E-4</v>
      </c>
      <c r="AV62" s="120">
        <f t="shared" si="71"/>
        <v>2.0000000000000001E-4</v>
      </c>
      <c r="AW62" s="120">
        <f t="shared" si="72"/>
        <v>2.9999999999999997E-4</v>
      </c>
      <c r="AX62" s="120">
        <f t="shared" si="73"/>
        <v>4.0000000000000002E-4</v>
      </c>
      <c r="AY62" s="120">
        <f t="shared" si="74"/>
        <v>5.0000000000000001E-4</v>
      </c>
      <c r="AZ62" s="120">
        <f t="shared" si="75"/>
        <v>5.9999999999999995E-4</v>
      </c>
      <c r="BA62" s="120">
        <f t="shared" si="76"/>
        <v>6.9999999999999999E-4</v>
      </c>
      <c r="BB62" s="120">
        <f t="shared" si="77"/>
        <v>8.0000000000000004E-4</v>
      </c>
      <c r="BC62" s="120">
        <f t="shared" si="78"/>
        <v>8.9999999999999998E-4</v>
      </c>
      <c r="BD62" s="120">
        <f t="shared" si="79"/>
        <v>1E-3</v>
      </c>
      <c r="BI62" s="1018" t="e">
        <f t="shared" si="80"/>
        <v>#VALUE!</v>
      </c>
      <c r="BJ62" s="1018" t="e">
        <f t="shared" si="81"/>
        <v>#VALUE!</v>
      </c>
      <c r="BK62" s="1018" t="e">
        <f t="shared" si="82"/>
        <v>#VALUE!</v>
      </c>
      <c r="BL62" s="1018" t="e">
        <f t="shared" si="83"/>
        <v>#VALUE!</v>
      </c>
      <c r="BM62" s="1018" t="e">
        <f t="shared" si="84"/>
        <v>#VALUE!</v>
      </c>
      <c r="BN62" s="1018" t="e">
        <f t="shared" si="85"/>
        <v>#VALUE!</v>
      </c>
      <c r="BO62" s="1018" t="e">
        <f t="shared" si="86"/>
        <v>#VALUE!</v>
      </c>
      <c r="BP62" s="1018" t="e">
        <f t="shared" si="87"/>
        <v>#VALUE!</v>
      </c>
      <c r="BQ62" s="1018" t="e">
        <f t="shared" si="88"/>
        <v>#VALUE!</v>
      </c>
      <c r="BR62" s="1018" t="e">
        <f t="shared" si="89"/>
        <v>#VALUE!</v>
      </c>
    </row>
    <row r="63" spans="1:70" ht="12.75" hidden="1" customHeight="1" x14ac:dyDescent="0.2">
      <c r="A63" s="647" t="str">
        <f t="shared" si="46"/>
        <v/>
      </c>
      <c r="B63" s="99">
        <f t="shared" si="47"/>
        <v>108</v>
      </c>
      <c r="C63" s="409" t="str">
        <f t="shared" si="48"/>
        <v/>
      </c>
      <c r="D63" s="367">
        <f t="shared" si="49"/>
        <v>108</v>
      </c>
      <c r="E63" s="100" t="str">
        <f t="shared" si="50"/>
        <v/>
      </c>
      <c r="F63" s="99">
        <f t="shared" si="51"/>
        <v>-892</v>
      </c>
      <c r="G63" s="101" t="str">
        <f t="shared" si="52"/>
        <v/>
      </c>
      <c r="H63" s="99">
        <f t="shared" si="53"/>
        <v>108</v>
      </c>
      <c r="I63" s="102" t="str">
        <f t="shared" si="54"/>
        <v/>
      </c>
      <c r="J63" s="103">
        <f t="shared" si="55"/>
        <v>108</v>
      </c>
      <c r="K63" s="71" t="str">
        <f t="shared" si="56"/>
        <v/>
      </c>
      <c r="L63" s="121" t="s">
        <v>156</v>
      </c>
      <c r="M63" s="105" t="s">
        <v>110</v>
      </c>
      <c r="N63" s="106" t="str">
        <f>IF(M63="","m","")</f>
        <v/>
      </c>
      <c r="O63" s="107" t="s">
        <v>117</v>
      </c>
      <c r="P63" s="108" t="s">
        <v>317</v>
      </c>
      <c r="Q63" s="109" t="s">
        <v>88</v>
      </c>
      <c r="R63" s="110">
        <f>(IF(COUNT(Z63,AA63,AB63,AC63,AD63,AE63,AF63,AG63,AH63,AI63)&lt;10,SUM(Z63,AA63,AB63,AC63,AD63,AE63,AF63,AG63,AH63,AI63),SUM(LARGE((Z63,AA63,AB63,AC63,AD63,AE63,AF63,AG63,AH63,AI63),{1;2;3;4;5;6;7;8;9}))))</f>
        <v>0</v>
      </c>
      <c r="S63" s="111" t="str">
        <f>INDEX(ETAPP!B$1:B$32,MATCH(COUNTIF(BI63:BR63,1),ETAPP!A$1:A$32,0))&amp;INDEX(ETAPP!B$1:B$32,MATCH(COUNTIF(BI63:BR63,2),ETAPP!A$1:A$32,0))&amp;INDEX(ETAPP!B$1:B$32,MATCH(COUNTIF(BI63:BR63,3),ETAPP!A$1:A$32,0))&amp;INDEX(ETAPP!B$1:B$32,MATCH(COUNTIF(BI63:BR63,4),ETAPP!A$1:A$32,0))&amp;INDEX(ETAPP!B$1:B$32,MATCH(COUNTIF(BI63:BR63,5),ETAPP!A$1:A$32,0))&amp;INDEX(ETAPP!B$1:B$32,MATCH(COUNTIF(BI63:BR63,6),ETAPP!A$1:A$32,0))&amp;INDEX(ETAPP!B$1:B$32,MATCH(COUNTIF(BI63:BR63,7),ETAPP!A$1:A$32,0))&amp;INDEX(ETAPP!B$1:B$32,MATCH(COUNTIF(BI63:BR63,8),ETAPP!A$1:A$32,0))&amp;INDEX(ETAPP!B$1:B$32,MATCH(COUNTIF(BI63:BR63,9),ETAPP!A$1:A$32,0))&amp;INDEX(ETAPP!B$1:B$32,MATCH(COUNTIF(BI63:BR63,10),ETAPP!A$1:A$32,0))&amp;INDEX(ETAPP!B$1:B$32,MATCH(COUNTIF(BI63:BR63,11),ETAPP!A$1:A$32,0))&amp;INDEX(ETAPP!B$1:B$32,MATCH(COUNTIF(BI63:BR63,12),ETAPP!A$1:A$32,0))&amp;INDEX(ETAPP!B$1:B$32,MATCH(COUNTIF(BI63:BR63,13),ETAPP!A$1:A$32,0))&amp;INDEX(ETAPP!B$1:B$32,MATCH(COUNTIF(BI63:BR63,14),ETAPP!A$1:A$32,0))&amp;INDEX(ETAPP!B$1:B$32,MATCH(COUNTIF(BI63:BR63,15),ETAPP!A$1:A$32,0))&amp;INDEX(ETAPP!B$1:B$32,MATCH(COUNTIF(BI63:BR63,16),ETAPP!A$1:A$32,0))&amp;INDEX(ETAPP!B$1:B$32,MATCH(COUNTIF(BI63:BR63,17),ETAPP!A$1:A$32,0))&amp;INDEX(ETAPP!B$1:B$32,MATCH(COUNTIF(BI63:BR63,18),ETAPP!A$1:A$32,0))&amp;INDEX(ETAPP!B$1:B$32,MATCH(COUNTIF(BI63:BR63,19),ETAPP!A$1:A$32,0))&amp;INDEX(ETAPP!B$1:B$32,MATCH(COUNTIF(BI63:BR63,20),ETAPP!A$1:A$32,0))&amp;INDEX(ETAPP!B$1:B$32,MATCH(COUNTIF(BI63:BR63,21),ETAPP!A$1:A$32,0))</f>
        <v>000000000000000000000</v>
      </c>
      <c r="T63" s="111" t="str">
        <f t="shared" si="57"/>
        <v>000,0-000000000000000000000</v>
      </c>
      <c r="U63" s="111">
        <f t="shared" si="58"/>
        <v>108</v>
      </c>
      <c r="V63" s="111">
        <f t="shared" si="59"/>
        <v>91</v>
      </c>
      <c r="W63" s="111" t="str">
        <f t="shared" si="60"/>
        <v>000,0-000000000000000000000-091</v>
      </c>
      <c r="X63" s="111">
        <f t="shared" si="61"/>
        <v>57</v>
      </c>
      <c r="Y63" s="112">
        <f t="shared" si="62"/>
        <v>52</v>
      </c>
      <c r="Z63" s="113" t="str">
        <f>IFERROR(INDEX('V1'!C$300:C$400,MATCH("*"&amp;L63&amp;"*",'V1'!B$300:B$400,0)),"  ")</f>
        <v xml:space="preserve">  </v>
      </c>
      <c r="AA63" s="113" t="str">
        <f>IFERROR(INDEX('V2'!C$300:C$400,MATCH("*"&amp;L63&amp;"*",'V2'!B$300:B$400,0)),"  ")</f>
        <v xml:space="preserve">  </v>
      </c>
      <c r="AB63" s="113" t="str">
        <f>IFERROR(INDEX('V3'!C$300:C$400,MATCH("*"&amp;L63&amp;"*",'V3'!B$300:B$400,0)),"  ")</f>
        <v xml:space="preserve">  </v>
      </c>
      <c r="AC63" s="113" t="str">
        <f>IFERROR(INDEX('V4'!C$300:C$400,MATCH("*"&amp;L63&amp;"*",'V4'!B$300:B$400,0)),"  ")</f>
        <v xml:space="preserve">  </v>
      </c>
      <c r="AD63" s="113" t="str">
        <f>IFERROR(INDEX('V5'!C$300:C$400,MATCH("*"&amp;L63&amp;"*",'V5'!B$300:B$400,0)),"  ")</f>
        <v xml:space="preserve">  </v>
      </c>
      <c r="AE63" s="113" t="str">
        <f>IFERROR(INDEX('V6'!C$300:C$400,MATCH("*"&amp;L63&amp;"*",'V6'!B$300:B$400,0)),"  ")</f>
        <v xml:space="preserve">  </v>
      </c>
      <c r="AF63" s="113" t="str">
        <f>IFERROR(INDEX('V7'!C$300:C$400,MATCH("*"&amp;L63&amp;"*",'V7'!B$300:B$400,0)),"  ")</f>
        <v xml:space="preserve">  </v>
      </c>
      <c r="AG63" s="113" t="str">
        <f>IFERROR(INDEX('V8'!C$300:C$400,MATCH("*"&amp;L63&amp;"*",'V8'!B$300:B$400,0)),"  ")</f>
        <v xml:space="preserve">  </v>
      </c>
      <c r="AH63" s="113" t="str">
        <f>IFERROR(INDEX('V9'!C$300:C$399,MATCH("*"&amp;L63&amp;"*",'V9'!B$300:B$399,0)),"  ")</f>
        <v xml:space="preserve">  </v>
      </c>
      <c r="AI63" s="113" t="str">
        <f>IFERROR(INDEX('V10'!C$300:C$399,MATCH("*"&amp;L63&amp;"*",'V10'!B$300:B$399,0)),"  ")</f>
        <v xml:space="preserve">  </v>
      </c>
      <c r="AJ63" s="114" t="str">
        <f t="shared" si="63"/>
        <v/>
      </c>
      <c r="AK63" s="404">
        <f t="shared" si="64"/>
        <v>0</v>
      </c>
      <c r="AL63" s="115" t="str">
        <f t="shared" si="65"/>
        <v/>
      </c>
      <c r="AM63" s="116" t="str">
        <f>IFERROR(INDEX(#REF!,MATCH("*"&amp;L63&amp;"*",#REF!,0)),"  ")</f>
        <v xml:space="preserve">  </v>
      </c>
      <c r="AN63" s="117">
        <f t="shared" si="66"/>
        <v>0</v>
      </c>
      <c r="AO63" s="118">
        <f t="shared" si="67"/>
        <v>0</v>
      </c>
      <c r="AP63" s="118">
        <f t="shared" si="68"/>
        <v>0</v>
      </c>
      <c r="AQ63" s="49"/>
      <c r="AR63" s="1"/>
      <c r="AS63" s="1"/>
      <c r="AT63" s="119">
        <f t="shared" si="69"/>
        <v>1E-4</v>
      </c>
      <c r="AU63" s="120">
        <f t="shared" si="70"/>
        <v>1E-4</v>
      </c>
      <c r="AV63" s="120">
        <f t="shared" si="71"/>
        <v>2.0000000000000001E-4</v>
      </c>
      <c r="AW63" s="120">
        <f t="shared" si="72"/>
        <v>2.9999999999999997E-4</v>
      </c>
      <c r="AX63" s="120">
        <f t="shared" si="73"/>
        <v>4.0000000000000002E-4</v>
      </c>
      <c r="AY63" s="120">
        <f t="shared" si="74"/>
        <v>5.0000000000000001E-4</v>
      </c>
      <c r="AZ63" s="120">
        <f t="shared" si="75"/>
        <v>5.9999999999999995E-4</v>
      </c>
      <c r="BA63" s="120">
        <f t="shared" si="76"/>
        <v>6.9999999999999999E-4</v>
      </c>
      <c r="BB63" s="120">
        <f t="shared" si="77"/>
        <v>8.0000000000000004E-4</v>
      </c>
      <c r="BC63" s="120">
        <f t="shared" si="78"/>
        <v>8.9999999999999998E-4</v>
      </c>
      <c r="BD63" s="120">
        <f t="shared" si="79"/>
        <v>1E-3</v>
      </c>
      <c r="BI63" s="1018" t="e">
        <f t="shared" si="80"/>
        <v>#VALUE!</v>
      </c>
      <c r="BJ63" s="1018" t="e">
        <f t="shared" si="81"/>
        <v>#VALUE!</v>
      </c>
      <c r="BK63" s="1018" t="e">
        <f t="shared" si="82"/>
        <v>#VALUE!</v>
      </c>
      <c r="BL63" s="1018" t="e">
        <f t="shared" si="83"/>
        <v>#VALUE!</v>
      </c>
      <c r="BM63" s="1018" t="e">
        <f t="shared" si="84"/>
        <v>#VALUE!</v>
      </c>
      <c r="BN63" s="1018" t="e">
        <f t="shared" si="85"/>
        <v>#VALUE!</v>
      </c>
      <c r="BO63" s="1018" t="e">
        <f t="shared" si="86"/>
        <v>#VALUE!</v>
      </c>
      <c r="BP63" s="1018" t="e">
        <f t="shared" si="87"/>
        <v>#VALUE!</v>
      </c>
      <c r="BQ63" s="1018" t="e">
        <f t="shared" si="88"/>
        <v>#VALUE!</v>
      </c>
      <c r="BR63" s="1018" t="e">
        <f t="shared" si="89"/>
        <v>#VALUE!</v>
      </c>
    </row>
    <row r="64" spans="1:70" ht="12.75" hidden="1" customHeight="1" x14ac:dyDescent="0.2">
      <c r="A64" s="647" t="str">
        <f t="shared" si="46"/>
        <v/>
      </c>
      <c r="B64" s="99">
        <f t="shared" si="47"/>
        <v>-892</v>
      </c>
      <c r="C64" s="409" t="str">
        <f t="shared" si="48"/>
        <v/>
      </c>
      <c r="D64" s="367">
        <f t="shared" si="49"/>
        <v>-892</v>
      </c>
      <c r="E64" s="100" t="str">
        <f t="shared" si="50"/>
        <v/>
      </c>
      <c r="F64" s="99">
        <f t="shared" si="51"/>
        <v>108</v>
      </c>
      <c r="G64" s="101" t="str">
        <f t="shared" si="52"/>
        <v/>
      </c>
      <c r="H64" s="99">
        <f t="shared" si="53"/>
        <v>-892</v>
      </c>
      <c r="I64" s="102" t="str">
        <f t="shared" si="54"/>
        <v/>
      </c>
      <c r="J64" s="103">
        <f t="shared" si="55"/>
        <v>108</v>
      </c>
      <c r="K64" s="71" t="str">
        <f t="shared" si="56"/>
        <v/>
      </c>
      <c r="L64" s="121" t="s">
        <v>324</v>
      </c>
      <c r="M64" s="105"/>
      <c r="N64" s="106" t="s">
        <v>105</v>
      </c>
      <c r="O64" s="138" t="s">
        <v>117</v>
      </c>
      <c r="P64" s="108"/>
      <c r="Q64" s="109"/>
      <c r="R64" s="110">
        <f>(IF(COUNT(Z64,AA64,AB64,AC64,AD64,AE64,AF64,AG64,AH64,AI64)&lt;10,SUM(Z64,AA64,AB64,AC64,AD64,AE64,AF64,AG64,AH64,AI64),SUM(LARGE((Z64,AA64,AB64,AC64,AD64,AE64,AF64,AG64,AH64,AI64),{1;2;3;4;5;6;7;8;9}))))</f>
        <v>0</v>
      </c>
      <c r="S64" s="111" t="str">
        <f>INDEX(ETAPP!B$1:B$32,MATCH(COUNTIF(BI64:BR64,1),ETAPP!A$1:A$32,0))&amp;INDEX(ETAPP!B$1:B$32,MATCH(COUNTIF(BI64:BR64,2),ETAPP!A$1:A$32,0))&amp;INDEX(ETAPP!B$1:B$32,MATCH(COUNTIF(BI64:BR64,3),ETAPP!A$1:A$32,0))&amp;INDEX(ETAPP!B$1:B$32,MATCH(COUNTIF(BI64:BR64,4),ETAPP!A$1:A$32,0))&amp;INDEX(ETAPP!B$1:B$32,MATCH(COUNTIF(BI64:BR64,5),ETAPP!A$1:A$32,0))&amp;INDEX(ETAPP!B$1:B$32,MATCH(COUNTIF(BI64:BR64,6),ETAPP!A$1:A$32,0))&amp;INDEX(ETAPP!B$1:B$32,MATCH(COUNTIF(BI64:BR64,7),ETAPP!A$1:A$32,0))&amp;INDEX(ETAPP!B$1:B$32,MATCH(COUNTIF(BI64:BR64,8),ETAPP!A$1:A$32,0))&amp;INDEX(ETAPP!B$1:B$32,MATCH(COUNTIF(BI64:BR64,9),ETAPP!A$1:A$32,0))&amp;INDEX(ETAPP!B$1:B$32,MATCH(COUNTIF(BI64:BR64,10),ETAPP!A$1:A$32,0))&amp;INDEX(ETAPP!B$1:B$32,MATCH(COUNTIF(BI64:BR64,11),ETAPP!A$1:A$32,0))&amp;INDEX(ETAPP!B$1:B$32,MATCH(COUNTIF(BI64:BR64,12),ETAPP!A$1:A$32,0))&amp;INDEX(ETAPP!B$1:B$32,MATCH(COUNTIF(BI64:BR64,13),ETAPP!A$1:A$32,0))&amp;INDEX(ETAPP!B$1:B$32,MATCH(COUNTIF(BI64:BR64,14),ETAPP!A$1:A$32,0))&amp;INDEX(ETAPP!B$1:B$32,MATCH(COUNTIF(BI64:BR64,15),ETAPP!A$1:A$32,0))&amp;INDEX(ETAPP!B$1:B$32,MATCH(COUNTIF(BI64:BR64,16),ETAPP!A$1:A$32,0))&amp;INDEX(ETAPP!B$1:B$32,MATCH(COUNTIF(BI64:BR64,17),ETAPP!A$1:A$32,0))&amp;INDEX(ETAPP!B$1:B$32,MATCH(COUNTIF(BI64:BR64,18),ETAPP!A$1:A$32,0))&amp;INDEX(ETAPP!B$1:B$32,MATCH(COUNTIF(BI64:BR64,19),ETAPP!A$1:A$32,0))&amp;INDEX(ETAPP!B$1:B$32,MATCH(COUNTIF(BI64:BR64,20),ETAPP!A$1:A$32,0))&amp;INDEX(ETAPP!B$1:B$32,MATCH(COUNTIF(BI64:BR64,21),ETAPP!A$1:A$32,0))</f>
        <v>000000000000000000000</v>
      </c>
      <c r="T64" s="111" t="str">
        <f t="shared" si="57"/>
        <v>000,0-000000000000000000000</v>
      </c>
      <c r="U64" s="111">
        <f t="shared" si="58"/>
        <v>108</v>
      </c>
      <c r="V64" s="111">
        <f t="shared" si="59"/>
        <v>90</v>
      </c>
      <c r="W64" s="111" t="str">
        <f t="shared" si="60"/>
        <v>000,0-000000000000000000000-090</v>
      </c>
      <c r="X64" s="111">
        <f t="shared" si="61"/>
        <v>58</v>
      </c>
      <c r="Y64" s="112">
        <f t="shared" si="62"/>
        <v>51</v>
      </c>
      <c r="Z64" s="113" t="str">
        <f>IFERROR(INDEX('V1'!C$300:C$400,MATCH("*"&amp;L64&amp;"*",'V1'!B$300:B$400,0)),"  ")</f>
        <v xml:space="preserve">  </v>
      </c>
      <c r="AA64" s="113" t="str">
        <f>IFERROR(INDEX('V2'!C$300:C$400,MATCH("*"&amp;L64&amp;"*",'V2'!B$300:B$400,0)),"  ")</f>
        <v xml:space="preserve">  </v>
      </c>
      <c r="AB64" s="113" t="str">
        <f>IFERROR(INDEX('V3'!C$300:C$400,MATCH("*"&amp;L64&amp;"*",'V3'!B$300:B$400,0)),"  ")</f>
        <v xml:space="preserve">  </v>
      </c>
      <c r="AC64" s="113" t="str">
        <f>IFERROR(INDEX('V4'!C$300:C$400,MATCH("*"&amp;L64&amp;"*",'V4'!B$300:B$400,0)),"  ")</f>
        <v xml:space="preserve">  </v>
      </c>
      <c r="AD64" s="113" t="str">
        <f>IFERROR(INDEX('V5'!C$300:C$400,MATCH("*"&amp;L64&amp;"*",'V5'!B$300:B$400,0)),"  ")</f>
        <v xml:space="preserve">  </v>
      </c>
      <c r="AE64" s="113" t="str">
        <f>IFERROR(INDEX('V6'!C$300:C$400,MATCH("*"&amp;L64&amp;"*",'V6'!B$300:B$400,0)),"  ")</f>
        <v xml:space="preserve">  </v>
      </c>
      <c r="AF64" s="113" t="str">
        <f>IFERROR(INDEX('V7'!C$300:C$400,MATCH("*"&amp;L64&amp;"*",'V7'!B$300:B$400,0)),"  ")</f>
        <v xml:space="preserve">  </v>
      </c>
      <c r="AG64" s="113" t="str">
        <f>IFERROR(INDEX('V8'!C$300:C$400,MATCH("*"&amp;L64&amp;"*",'V8'!B$300:B$400,0)),"  ")</f>
        <v xml:space="preserve">  </v>
      </c>
      <c r="AH64" s="113" t="str">
        <f>IFERROR(INDEX('V9'!C$300:C$399,MATCH("*"&amp;L64&amp;"*",'V9'!B$300:B$399,0)),"  ")</f>
        <v xml:space="preserve">  </v>
      </c>
      <c r="AI64" s="113" t="str">
        <f>IFERROR(INDEX('V10'!C$300:C$399,MATCH("*"&amp;L64&amp;"*",'V10'!B$300:B$399,0)),"  ")</f>
        <v xml:space="preserve">  </v>
      </c>
      <c r="AJ64" s="114" t="str">
        <f t="shared" si="63"/>
        <v/>
      </c>
      <c r="AK64" s="404">
        <f t="shared" si="64"/>
        <v>0</v>
      </c>
      <c r="AL64" s="115" t="str">
        <f t="shared" si="65"/>
        <v/>
      </c>
      <c r="AM64" s="116" t="str">
        <f>IFERROR(INDEX(#REF!,MATCH("*"&amp;L64&amp;"*",#REF!,0)),"  ")</f>
        <v xml:space="preserve">  </v>
      </c>
      <c r="AN64" s="117">
        <f t="shared" si="66"/>
        <v>0</v>
      </c>
      <c r="AO64" s="118">
        <f t="shared" si="67"/>
        <v>0</v>
      </c>
      <c r="AP64" s="118">
        <f t="shared" si="68"/>
        <v>0</v>
      </c>
      <c r="AQ64" s="49"/>
      <c r="AR64" s="1"/>
      <c r="AS64" s="1"/>
      <c r="AT64" s="119">
        <f t="shared" si="69"/>
        <v>1E-4</v>
      </c>
      <c r="AU64" s="120">
        <f t="shared" si="70"/>
        <v>1E-4</v>
      </c>
      <c r="AV64" s="120">
        <f t="shared" si="71"/>
        <v>2.0000000000000001E-4</v>
      </c>
      <c r="AW64" s="120">
        <f t="shared" si="72"/>
        <v>2.9999999999999997E-4</v>
      </c>
      <c r="AX64" s="120">
        <f t="shared" si="73"/>
        <v>4.0000000000000002E-4</v>
      </c>
      <c r="AY64" s="120">
        <f t="shared" si="74"/>
        <v>5.0000000000000001E-4</v>
      </c>
      <c r="AZ64" s="120">
        <f t="shared" si="75"/>
        <v>5.9999999999999995E-4</v>
      </c>
      <c r="BA64" s="120">
        <f t="shared" si="76"/>
        <v>6.9999999999999999E-4</v>
      </c>
      <c r="BB64" s="120">
        <f t="shared" si="77"/>
        <v>8.0000000000000004E-4</v>
      </c>
      <c r="BC64" s="120">
        <f t="shared" si="78"/>
        <v>8.9999999999999998E-4</v>
      </c>
      <c r="BD64" s="120">
        <f t="shared" si="79"/>
        <v>1E-3</v>
      </c>
      <c r="BI64" s="1018" t="e">
        <f t="shared" si="80"/>
        <v>#VALUE!</v>
      </c>
      <c r="BJ64" s="1018" t="e">
        <f t="shared" si="81"/>
        <v>#VALUE!</v>
      </c>
      <c r="BK64" s="1018" t="e">
        <f t="shared" si="82"/>
        <v>#VALUE!</v>
      </c>
      <c r="BL64" s="1018" t="e">
        <f t="shared" si="83"/>
        <v>#VALUE!</v>
      </c>
      <c r="BM64" s="1018" t="e">
        <f t="shared" si="84"/>
        <v>#VALUE!</v>
      </c>
      <c r="BN64" s="1018" t="e">
        <f t="shared" si="85"/>
        <v>#VALUE!</v>
      </c>
      <c r="BO64" s="1018" t="e">
        <f t="shared" si="86"/>
        <v>#VALUE!</v>
      </c>
      <c r="BP64" s="1018" t="e">
        <f t="shared" si="87"/>
        <v>#VALUE!</v>
      </c>
      <c r="BQ64" s="1018" t="e">
        <f t="shared" si="88"/>
        <v>#VALUE!</v>
      </c>
      <c r="BR64" s="1018" t="e">
        <f t="shared" si="89"/>
        <v>#VALUE!</v>
      </c>
    </row>
    <row r="65" spans="1:70" ht="12.75" hidden="1" customHeight="1" x14ac:dyDescent="0.2">
      <c r="A65" s="647" t="str">
        <f t="shared" si="46"/>
        <v/>
      </c>
      <c r="B65" s="99">
        <f t="shared" si="47"/>
        <v>-892</v>
      </c>
      <c r="C65" s="409" t="str">
        <f t="shared" si="48"/>
        <v/>
      </c>
      <c r="D65" s="367">
        <f t="shared" si="49"/>
        <v>-892</v>
      </c>
      <c r="E65" s="100" t="str">
        <f t="shared" si="50"/>
        <v/>
      </c>
      <c r="F65" s="99">
        <f t="shared" si="51"/>
        <v>108</v>
      </c>
      <c r="G65" s="101" t="str">
        <f t="shared" si="52"/>
        <v/>
      </c>
      <c r="H65" s="99">
        <f t="shared" si="53"/>
        <v>-892</v>
      </c>
      <c r="I65" s="102" t="str">
        <f t="shared" si="54"/>
        <v/>
      </c>
      <c r="J65" s="103">
        <f t="shared" si="55"/>
        <v>-892</v>
      </c>
      <c r="K65" s="71" t="str">
        <f t="shared" si="56"/>
        <v/>
      </c>
      <c r="L65" s="121" t="s">
        <v>326</v>
      </c>
      <c r="M65" s="105"/>
      <c r="N65" s="106" t="s">
        <v>105</v>
      </c>
      <c r="O65" s="138"/>
      <c r="P65" s="108"/>
      <c r="Q65" s="109"/>
      <c r="R65" s="110">
        <f>(IF(COUNT(Z65,AA65,AB65,AC65,AD65,AE65,AF65,AG65,AH65,AI65)&lt;10,SUM(Z65,AA65,AB65,AC65,AD65,AE65,AF65,AG65,AH65,AI65),SUM(LARGE((Z65,AA65,AB65,AC65,AD65,AE65,AF65,AG65,AH65,AI65),{1;2;3;4;5;6;7;8;9}))))</f>
        <v>0</v>
      </c>
      <c r="S65" s="111" t="str">
        <f>INDEX(ETAPP!B$1:B$32,MATCH(COUNTIF(BI65:BR65,1),ETAPP!A$1:A$32,0))&amp;INDEX(ETAPP!B$1:B$32,MATCH(COUNTIF(BI65:BR65,2),ETAPP!A$1:A$32,0))&amp;INDEX(ETAPP!B$1:B$32,MATCH(COUNTIF(BI65:BR65,3),ETAPP!A$1:A$32,0))&amp;INDEX(ETAPP!B$1:B$32,MATCH(COUNTIF(BI65:BR65,4),ETAPP!A$1:A$32,0))&amp;INDEX(ETAPP!B$1:B$32,MATCH(COUNTIF(BI65:BR65,5),ETAPP!A$1:A$32,0))&amp;INDEX(ETAPP!B$1:B$32,MATCH(COUNTIF(BI65:BR65,6),ETAPP!A$1:A$32,0))&amp;INDEX(ETAPP!B$1:B$32,MATCH(COUNTIF(BI65:BR65,7),ETAPP!A$1:A$32,0))&amp;INDEX(ETAPP!B$1:B$32,MATCH(COUNTIF(BI65:BR65,8),ETAPP!A$1:A$32,0))&amp;INDEX(ETAPP!B$1:B$32,MATCH(COUNTIF(BI65:BR65,9),ETAPP!A$1:A$32,0))&amp;INDEX(ETAPP!B$1:B$32,MATCH(COUNTIF(BI65:BR65,10),ETAPP!A$1:A$32,0))&amp;INDEX(ETAPP!B$1:B$32,MATCH(COUNTIF(BI65:BR65,11),ETAPP!A$1:A$32,0))&amp;INDEX(ETAPP!B$1:B$32,MATCH(COUNTIF(BI65:BR65,12),ETAPP!A$1:A$32,0))&amp;INDEX(ETAPP!B$1:B$32,MATCH(COUNTIF(BI65:BR65,13),ETAPP!A$1:A$32,0))&amp;INDEX(ETAPP!B$1:B$32,MATCH(COUNTIF(BI65:BR65,14),ETAPP!A$1:A$32,0))&amp;INDEX(ETAPP!B$1:B$32,MATCH(COUNTIF(BI65:BR65,15),ETAPP!A$1:A$32,0))&amp;INDEX(ETAPP!B$1:B$32,MATCH(COUNTIF(BI65:BR65,16),ETAPP!A$1:A$32,0))&amp;INDEX(ETAPP!B$1:B$32,MATCH(COUNTIF(BI65:BR65,17),ETAPP!A$1:A$32,0))&amp;INDEX(ETAPP!B$1:B$32,MATCH(COUNTIF(BI65:BR65,18),ETAPP!A$1:A$32,0))&amp;INDEX(ETAPP!B$1:B$32,MATCH(COUNTIF(BI65:BR65,19),ETAPP!A$1:A$32,0))&amp;INDEX(ETAPP!B$1:B$32,MATCH(COUNTIF(BI65:BR65,20),ETAPP!A$1:A$32,0))&amp;INDEX(ETAPP!B$1:B$32,MATCH(COUNTIF(BI65:BR65,21),ETAPP!A$1:A$32,0))</f>
        <v>000000000000000000000</v>
      </c>
      <c r="T65" s="111" t="str">
        <f t="shared" si="57"/>
        <v>000,0-000000000000000000000</v>
      </c>
      <c r="U65" s="111">
        <f t="shared" si="58"/>
        <v>108</v>
      </c>
      <c r="V65" s="111">
        <f t="shared" si="59"/>
        <v>89</v>
      </c>
      <c r="W65" s="111" t="str">
        <f t="shared" si="60"/>
        <v>000,0-000000000000000000000-089</v>
      </c>
      <c r="X65" s="111">
        <f t="shared" si="61"/>
        <v>59</v>
      </c>
      <c r="Y65" s="112">
        <f t="shared" si="62"/>
        <v>50</v>
      </c>
      <c r="Z65" s="113" t="str">
        <f>IFERROR(INDEX('V1'!C$300:C$400,MATCH("*"&amp;L65&amp;"*",'V1'!B$300:B$400,0)),"  ")</f>
        <v xml:space="preserve">  </v>
      </c>
      <c r="AA65" s="113" t="str">
        <f>IFERROR(INDEX('V2'!C$300:C$400,MATCH("*"&amp;L65&amp;"*",'V2'!B$300:B$400,0)),"  ")</f>
        <v xml:space="preserve">  </v>
      </c>
      <c r="AB65" s="113" t="str">
        <f>IFERROR(INDEX('V3'!C$300:C$400,MATCH("*"&amp;L65&amp;"*",'V3'!B$300:B$400,0)),"  ")</f>
        <v xml:space="preserve">  </v>
      </c>
      <c r="AC65" s="113" t="str">
        <f>IFERROR(INDEX('V4'!C$300:C$400,MATCH("*"&amp;L65&amp;"*",'V4'!B$300:B$400,0)),"  ")</f>
        <v xml:space="preserve">  </v>
      </c>
      <c r="AD65" s="113" t="str">
        <f>IFERROR(INDEX('V5'!C$300:C$400,MATCH("*"&amp;L65&amp;"*",'V5'!B$300:B$400,0)),"  ")</f>
        <v xml:space="preserve">  </v>
      </c>
      <c r="AE65" s="113" t="str">
        <f>IFERROR(INDEX('V6'!C$300:C$400,MATCH("*"&amp;L65&amp;"*",'V6'!B$300:B$400,0)),"  ")</f>
        <v xml:space="preserve">  </v>
      </c>
      <c r="AF65" s="113" t="str">
        <f>IFERROR(INDEX('V7'!C$300:C$400,MATCH("*"&amp;L65&amp;"*",'V7'!B$300:B$400,0)),"  ")</f>
        <v xml:space="preserve">  </v>
      </c>
      <c r="AG65" s="113" t="str">
        <f>IFERROR(INDEX('V8'!C$300:C$400,MATCH("*"&amp;L65&amp;"*",'V8'!B$300:B$400,0)),"  ")</f>
        <v xml:space="preserve">  </v>
      </c>
      <c r="AH65" s="113" t="str">
        <f>IFERROR(INDEX('V9'!C$300:C$399,MATCH("*"&amp;L65&amp;"*",'V9'!B$300:B$399,0)),"  ")</f>
        <v xml:space="preserve">  </v>
      </c>
      <c r="AI65" s="113" t="str">
        <f>IFERROR(INDEX('V10'!C$300:C$399,MATCH("*"&amp;L65&amp;"*",'V10'!B$300:B$399,0)),"  ")</f>
        <v xml:space="preserve">  </v>
      </c>
      <c r="AJ65" s="114" t="str">
        <f t="shared" si="63"/>
        <v/>
      </c>
      <c r="AK65" s="404">
        <f t="shared" si="64"/>
        <v>0</v>
      </c>
      <c r="AL65" s="115" t="str">
        <f t="shared" si="65"/>
        <v/>
      </c>
      <c r="AM65" s="116" t="str">
        <f>IFERROR(INDEX(#REF!,MATCH("*"&amp;L65&amp;"*",#REF!,0)),"  ")</f>
        <v xml:space="preserve">  </v>
      </c>
      <c r="AN65" s="117">
        <f t="shared" si="66"/>
        <v>0</v>
      </c>
      <c r="AO65" s="118">
        <f t="shared" si="67"/>
        <v>0</v>
      </c>
      <c r="AP65" s="118">
        <f t="shared" si="68"/>
        <v>0</v>
      </c>
      <c r="AQ65" s="49"/>
      <c r="AR65" s="1"/>
      <c r="AS65" s="1"/>
      <c r="AT65" s="119">
        <f t="shared" si="69"/>
        <v>1E-4</v>
      </c>
      <c r="AU65" s="120">
        <f t="shared" si="70"/>
        <v>1E-4</v>
      </c>
      <c r="AV65" s="120">
        <f t="shared" si="71"/>
        <v>2.0000000000000001E-4</v>
      </c>
      <c r="AW65" s="120">
        <f t="shared" si="72"/>
        <v>2.9999999999999997E-4</v>
      </c>
      <c r="AX65" s="120">
        <f t="shared" si="73"/>
        <v>4.0000000000000002E-4</v>
      </c>
      <c r="AY65" s="120">
        <f t="shared" si="74"/>
        <v>5.0000000000000001E-4</v>
      </c>
      <c r="AZ65" s="120">
        <f t="shared" si="75"/>
        <v>5.9999999999999995E-4</v>
      </c>
      <c r="BA65" s="120">
        <f t="shared" si="76"/>
        <v>6.9999999999999999E-4</v>
      </c>
      <c r="BB65" s="120">
        <f t="shared" si="77"/>
        <v>8.0000000000000004E-4</v>
      </c>
      <c r="BC65" s="120">
        <f t="shared" si="78"/>
        <v>8.9999999999999998E-4</v>
      </c>
      <c r="BD65" s="120">
        <f t="shared" si="79"/>
        <v>1E-3</v>
      </c>
      <c r="BI65" s="1018" t="e">
        <f t="shared" si="80"/>
        <v>#VALUE!</v>
      </c>
      <c r="BJ65" s="1018" t="e">
        <f t="shared" si="81"/>
        <v>#VALUE!</v>
      </c>
      <c r="BK65" s="1018" t="e">
        <f t="shared" si="82"/>
        <v>#VALUE!</v>
      </c>
      <c r="BL65" s="1018" t="e">
        <f t="shared" si="83"/>
        <v>#VALUE!</v>
      </c>
      <c r="BM65" s="1018" t="e">
        <f t="shared" si="84"/>
        <v>#VALUE!</v>
      </c>
      <c r="BN65" s="1018" t="e">
        <f t="shared" si="85"/>
        <v>#VALUE!</v>
      </c>
      <c r="BO65" s="1018" t="e">
        <f t="shared" si="86"/>
        <v>#VALUE!</v>
      </c>
      <c r="BP65" s="1018" t="e">
        <f t="shared" si="87"/>
        <v>#VALUE!</v>
      </c>
      <c r="BQ65" s="1018" t="e">
        <f t="shared" si="88"/>
        <v>#VALUE!</v>
      </c>
      <c r="BR65" s="1018" t="e">
        <f t="shared" si="89"/>
        <v>#VALUE!</v>
      </c>
    </row>
    <row r="66" spans="1:70" ht="12.75" hidden="1" customHeight="1" x14ac:dyDescent="0.2">
      <c r="A66" s="647" t="str">
        <f t="shared" si="46"/>
        <v/>
      </c>
      <c r="B66" s="99">
        <f t="shared" si="47"/>
        <v>-892</v>
      </c>
      <c r="C66" s="409" t="str">
        <f t="shared" si="48"/>
        <v/>
      </c>
      <c r="D66" s="367">
        <f t="shared" si="49"/>
        <v>-892</v>
      </c>
      <c r="E66" s="100" t="str">
        <f t="shared" si="50"/>
        <v/>
      </c>
      <c r="F66" s="99">
        <f t="shared" si="51"/>
        <v>-892</v>
      </c>
      <c r="G66" s="101" t="str">
        <f t="shared" si="52"/>
        <v/>
      </c>
      <c r="H66" s="99">
        <f t="shared" si="53"/>
        <v>-892</v>
      </c>
      <c r="I66" s="102" t="str">
        <f t="shared" si="54"/>
        <v/>
      </c>
      <c r="J66" s="103">
        <f t="shared" si="55"/>
        <v>-892</v>
      </c>
      <c r="K66" s="71" t="str">
        <f t="shared" si="56"/>
        <v/>
      </c>
      <c r="L66" s="121" t="s">
        <v>264</v>
      </c>
      <c r="M66" s="105"/>
      <c r="N66" s="106"/>
      <c r="O66" s="138"/>
      <c r="P66" s="108"/>
      <c r="Q66" s="109"/>
      <c r="R66" s="110">
        <f>(IF(COUNT(Z66,AA66,AB66,AC66,AD66,AE66,AF66,AG66,AH66,AI66)&lt;10,SUM(Z66,AA66,AB66,AC66,AD66,AE66,AF66,AG66,AH66,AI66),SUM(LARGE((Z66,AA66,AB66,AC66,AD66,AE66,AF66,AG66,AH66,AI66),{1;2;3;4;5;6;7;8;9}))))</f>
        <v>0</v>
      </c>
      <c r="S66" s="111" t="str">
        <f>INDEX(ETAPP!B$1:B$32,MATCH(COUNTIF(BI66:BR66,1),ETAPP!A$1:A$32,0))&amp;INDEX(ETAPP!B$1:B$32,MATCH(COUNTIF(BI66:BR66,2),ETAPP!A$1:A$32,0))&amp;INDEX(ETAPP!B$1:B$32,MATCH(COUNTIF(BI66:BR66,3),ETAPP!A$1:A$32,0))&amp;INDEX(ETAPP!B$1:B$32,MATCH(COUNTIF(BI66:BR66,4),ETAPP!A$1:A$32,0))&amp;INDEX(ETAPP!B$1:B$32,MATCH(COUNTIF(BI66:BR66,5),ETAPP!A$1:A$32,0))&amp;INDEX(ETAPP!B$1:B$32,MATCH(COUNTIF(BI66:BR66,6),ETAPP!A$1:A$32,0))&amp;INDEX(ETAPP!B$1:B$32,MATCH(COUNTIF(BI66:BR66,7),ETAPP!A$1:A$32,0))&amp;INDEX(ETAPP!B$1:B$32,MATCH(COUNTIF(BI66:BR66,8),ETAPP!A$1:A$32,0))&amp;INDEX(ETAPP!B$1:B$32,MATCH(COUNTIF(BI66:BR66,9),ETAPP!A$1:A$32,0))&amp;INDEX(ETAPP!B$1:B$32,MATCH(COUNTIF(BI66:BR66,10),ETAPP!A$1:A$32,0))&amp;INDEX(ETAPP!B$1:B$32,MATCH(COUNTIF(BI66:BR66,11),ETAPP!A$1:A$32,0))&amp;INDEX(ETAPP!B$1:B$32,MATCH(COUNTIF(BI66:BR66,12),ETAPP!A$1:A$32,0))&amp;INDEX(ETAPP!B$1:B$32,MATCH(COUNTIF(BI66:BR66,13),ETAPP!A$1:A$32,0))&amp;INDEX(ETAPP!B$1:B$32,MATCH(COUNTIF(BI66:BR66,14),ETAPP!A$1:A$32,0))&amp;INDEX(ETAPP!B$1:B$32,MATCH(COUNTIF(BI66:BR66,15),ETAPP!A$1:A$32,0))&amp;INDEX(ETAPP!B$1:B$32,MATCH(COUNTIF(BI66:BR66,16),ETAPP!A$1:A$32,0))&amp;INDEX(ETAPP!B$1:B$32,MATCH(COUNTIF(BI66:BR66,17),ETAPP!A$1:A$32,0))&amp;INDEX(ETAPP!B$1:B$32,MATCH(COUNTIF(BI66:BR66,18),ETAPP!A$1:A$32,0))&amp;INDEX(ETAPP!B$1:B$32,MATCH(COUNTIF(BI66:BR66,19),ETAPP!A$1:A$32,0))&amp;INDEX(ETAPP!B$1:B$32,MATCH(COUNTIF(BI66:BR66,20),ETAPP!A$1:A$32,0))&amp;INDEX(ETAPP!B$1:B$32,MATCH(COUNTIF(BI66:BR66,21),ETAPP!A$1:A$32,0))</f>
        <v>000000000000000000000</v>
      </c>
      <c r="T66" s="111" t="str">
        <f t="shared" si="57"/>
        <v>000,0-000000000000000000000</v>
      </c>
      <c r="U66" s="111">
        <f t="shared" si="58"/>
        <v>108</v>
      </c>
      <c r="V66" s="111">
        <f t="shared" si="59"/>
        <v>88</v>
      </c>
      <c r="W66" s="111" t="str">
        <f t="shared" si="60"/>
        <v>000,0-000000000000000000000-088</v>
      </c>
      <c r="X66" s="111">
        <f t="shared" si="61"/>
        <v>60</v>
      </c>
      <c r="Y66" s="112">
        <f t="shared" si="62"/>
        <v>49</v>
      </c>
      <c r="Z66" s="113" t="str">
        <f>IFERROR(INDEX('V1'!C$300:C$400,MATCH("*"&amp;L66&amp;"*",'V1'!B$300:B$400,0)),"  ")</f>
        <v xml:space="preserve">  </v>
      </c>
      <c r="AA66" s="113" t="str">
        <f>IFERROR(INDEX('V2'!C$300:C$400,MATCH("*"&amp;L66&amp;"*",'V2'!B$300:B$400,0)),"  ")</f>
        <v xml:space="preserve">  </v>
      </c>
      <c r="AB66" s="113" t="str">
        <f>IFERROR(INDEX('V3'!C$300:C$400,MATCH("*"&amp;L66&amp;"*",'V3'!B$300:B$400,0)),"  ")</f>
        <v xml:space="preserve">  </v>
      </c>
      <c r="AC66" s="113" t="str">
        <f>IFERROR(INDEX('V4'!C$300:C$400,MATCH("*"&amp;L66&amp;"*",'V4'!B$300:B$400,0)),"  ")</f>
        <v xml:space="preserve">  </v>
      </c>
      <c r="AD66" s="113" t="str">
        <f>IFERROR(INDEX('V5'!C$300:C$400,MATCH("*"&amp;L66&amp;"*",'V5'!B$300:B$400,0)),"  ")</f>
        <v xml:space="preserve">  </v>
      </c>
      <c r="AE66" s="113" t="str">
        <f>IFERROR(INDEX('V6'!C$300:C$400,MATCH("*"&amp;L66&amp;"*",'V6'!B$300:B$400,0)),"  ")</f>
        <v xml:space="preserve">  </v>
      </c>
      <c r="AF66" s="113" t="str">
        <f>IFERROR(INDEX('V7'!C$300:C$400,MATCH("*"&amp;L66&amp;"*",'V7'!B$300:B$400,0)),"  ")</f>
        <v xml:space="preserve">  </v>
      </c>
      <c r="AG66" s="113" t="str">
        <f>IFERROR(INDEX('V8'!C$300:C$400,MATCH("*"&amp;L66&amp;"*",'V8'!B$300:B$400,0)),"  ")</f>
        <v xml:space="preserve">  </v>
      </c>
      <c r="AH66" s="113" t="str">
        <f>IFERROR(INDEX('V9'!C$300:C$399,MATCH("*"&amp;L66&amp;"*",'V9'!B$300:B$399,0)),"  ")</f>
        <v xml:space="preserve">  </v>
      </c>
      <c r="AI66" s="113" t="str">
        <f>IFERROR(INDEX('V10'!C$300:C$399,MATCH("*"&amp;L66&amp;"*",'V10'!B$300:B$399,0)),"  ")</f>
        <v xml:space="preserve">  </v>
      </c>
      <c r="AJ66" s="114" t="str">
        <f t="shared" si="63"/>
        <v/>
      </c>
      <c r="AK66" s="404">
        <f t="shared" si="64"/>
        <v>0</v>
      </c>
      <c r="AL66" s="115" t="str">
        <f t="shared" si="65"/>
        <v/>
      </c>
      <c r="AM66" s="116" t="str">
        <f>IFERROR(INDEX(#REF!,MATCH("*"&amp;L66&amp;"*",#REF!,0)),"  ")</f>
        <v xml:space="preserve">  </v>
      </c>
      <c r="AN66" s="117">
        <f t="shared" si="66"/>
        <v>0</v>
      </c>
      <c r="AO66" s="118">
        <f t="shared" si="67"/>
        <v>0</v>
      </c>
      <c r="AP66" s="118">
        <f t="shared" si="68"/>
        <v>0</v>
      </c>
      <c r="AQ66" s="49"/>
      <c r="AR66" s="1"/>
      <c r="AS66" s="1"/>
      <c r="AT66" s="119">
        <f t="shared" si="69"/>
        <v>1E-4</v>
      </c>
      <c r="AU66" s="120">
        <f t="shared" si="70"/>
        <v>1E-4</v>
      </c>
      <c r="AV66" s="120">
        <f t="shared" si="71"/>
        <v>2.0000000000000001E-4</v>
      </c>
      <c r="AW66" s="120">
        <f t="shared" si="72"/>
        <v>2.9999999999999997E-4</v>
      </c>
      <c r="AX66" s="120">
        <f t="shared" si="73"/>
        <v>4.0000000000000002E-4</v>
      </c>
      <c r="AY66" s="120">
        <f t="shared" si="74"/>
        <v>5.0000000000000001E-4</v>
      </c>
      <c r="AZ66" s="120">
        <f t="shared" si="75"/>
        <v>5.9999999999999995E-4</v>
      </c>
      <c r="BA66" s="120">
        <f t="shared" si="76"/>
        <v>6.9999999999999999E-4</v>
      </c>
      <c r="BB66" s="120">
        <f t="shared" si="77"/>
        <v>8.0000000000000004E-4</v>
      </c>
      <c r="BC66" s="120">
        <f t="shared" si="78"/>
        <v>8.9999999999999998E-4</v>
      </c>
      <c r="BD66" s="120">
        <f t="shared" si="79"/>
        <v>1E-3</v>
      </c>
      <c r="BI66" s="1018" t="e">
        <f t="shared" si="80"/>
        <v>#VALUE!</v>
      </c>
      <c r="BJ66" s="1018" t="e">
        <f t="shared" si="81"/>
        <v>#VALUE!</v>
      </c>
      <c r="BK66" s="1018" t="e">
        <f t="shared" si="82"/>
        <v>#VALUE!</v>
      </c>
      <c r="BL66" s="1018" t="e">
        <f t="shared" si="83"/>
        <v>#VALUE!</v>
      </c>
      <c r="BM66" s="1018" t="e">
        <f t="shared" si="84"/>
        <v>#VALUE!</v>
      </c>
      <c r="BN66" s="1018" t="e">
        <f t="shared" si="85"/>
        <v>#VALUE!</v>
      </c>
      <c r="BO66" s="1018" t="e">
        <f t="shared" si="86"/>
        <v>#VALUE!</v>
      </c>
      <c r="BP66" s="1018" t="e">
        <f t="shared" si="87"/>
        <v>#VALUE!</v>
      </c>
      <c r="BQ66" s="1018" t="e">
        <f t="shared" si="88"/>
        <v>#VALUE!</v>
      </c>
      <c r="BR66" s="1018" t="e">
        <f t="shared" si="89"/>
        <v>#VALUE!</v>
      </c>
    </row>
    <row r="67" spans="1:70" ht="12.75" hidden="1" customHeight="1" x14ac:dyDescent="0.2">
      <c r="A67" s="647" t="str">
        <f t="shared" si="46"/>
        <v/>
      </c>
      <c r="B67" s="99">
        <f t="shared" si="47"/>
        <v>-892</v>
      </c>
      <c r="C67" s="409" t="str">
        <f t="shared" si="48"/>
        <v/>
      </c>
      <c r="D67" s="367">
        <f t="shared" si="49"/>
        <v>108</v>
      </c>
      <c r="E67" s="100" t="str">
        <f t="shared" si="50"/>
        <v/>
      </c>
      <c r="F67" s="99">
        <f t="shared" si="51"/>
        <v>108</v>
      </c>
      <c r="G67" s="101" t="str">
        <f t="shared" si="52"/>
        <v/>
      </c>
      <c r="H67" s="99">
        <f t="shared" si="53"/>
        <v>-892</v>
      </c>
      <c r="I67" s="102" t="str">
        <f t="shared" si="54"/>
        <v/>
      </c>
      <c r="J67" s="103">
        <f t="shared" si="55"/>
        <v>-892</v>
      </c>
      <c r="K67" s="71" t="str">
        <f t="shared" si="56"/>
        <v/>
      </c>
      <c r="L67" s="131" t="s">
        <v>126</v>
      </c>
      <c r="M67" s="105"/>
      <c r="N67" s="106" t="str">
        <f>IF(M67="","m","")</f>
        <v>m</v>
      </c>
      <c r="O67" s="107"/>
      <c r="P67" s="108" t="s">
        <v>317</v>
      </c>
      <c r="Q67" s="109"/>
      <c r="R67" s="110">
        <f>(IF(COUNT(Z67,AA67,AB67,AC67,AD67,AE67,AF67,AG67,AH67,AI67)&lt;10,SUM(Z67,AA67,AB67,AC67,AD67,AE67,AF67,AG67,AH67,AI67),SUM(LARGE((Z67,AA67,AB67,AC67,AD67,AE67,AF67,AG67,AH67,AI67),{1;2;3;4;5;6;7;8;9}))))</f>
        <v>0</v>
      </c>
      <c r="S67" s="111" t="str">
        <f>INDEX(ETAPP!B$1:B$32,MATCH(COUNTIF(BI67:BR67,1),ETAPP!A$1:A$32,0))&amp;INDEX(ETAPP!B$1:B$32,MATCH(COUNTIF(BI67:BR67,2),ETAPP!A$1:A$32,0))&amp;INDEX(ETAPP!B$1:B$32,MATCH(COUNTIF(BI67:BR67,3),ETAPP!A$1:A$32,0))&amp;INDEX(ETAPP!B$1:B$32,MATCH(COUNTIF(BI67:BR67,4),ETAPP!A$1:A$32,0))&amp;INDEX(ETAPP!B$1:B$32,MATCH(COUNTIF(BI67:BR67,5),ETAPP!A$1:A$32,0))&amp;INDEX(ETAPP!B$1:B$32,MATCH(COUNTIF(BI67:BR67,6),ETAPP!A$1:A$32,0))&amp;INDEX(ETAPP!B$1:B$32,MATCH(COUNTIF(BI67:BR67,7),ETAPP!A$1:A$32,0))&amp;INDEX(ETAPP!B$1:B$32,MATCH(COUNTIF(BI67:BR67,8),ETAPP!A$1:A$32,0))&amp;INDEX(ETAPP!B$1:B$32,MATCH(COUNTIF(BI67:BR67,9),ETAPP!A$1:A$32,0))&amp;INDEX(ETAPP!B$1:B$32,MATCH(COUNTIF(BI67:BR67,10),ETAPP!A$1:A$32,0))&amp;INDEX(ETAPP!B$1:B$32,MATCH(COUNTIF(BI67:BR67,11),ETAPP!A$1:A$32,0))&amp;INDEX(ETAPP!B$1:B$32,MATCH(COUNTIF(BI67:BR67,12),ETAPP!A$1:A$32,0))&amp;INDEX(ETAPP!B$1:B$32,MATCH(COUNTIF(BI67:BR67,13),ETAPP!A$1:A$32,0))&amp;INDEX(ETAPP!B$1:B$32,MATCH(COUNTIF(BI67:BR67,14),ETAPP!A$1:A$32,0))&amp;INDEX(ETAPP!B$1:B$32,MATCH(COUNTIF(BI67:BR67,15),ETAPP!A$1:A$32,0))&amp;INDEX(ETAPP!B$1:B$32,MATCH(COUNTIF(BI67:BR67,16),ETAPP!A$1:A$32,0))&amp;INDEX(ETAPP!B$1:B$32,MATCH(COUNTIF(BI67:BR67,17),ETAPP!A$1:A$32,0))&amp;INDEX(ETAPP!B$1:B$32,MATCH(COUNTIF(BI67:BR67,18),ETAPP!A$1:A$32,0))&amp;INDEX(ETAPP!B$1:B$32,MATCH(COUNTIF(BI67:BR67,19),ETAPP!A$1:A$32,0))&amp;INDEX(ETAPP!B$1:B$32,MATCH(COUNTIF(BI67:BR67,20),ETAPP!A$1:A$32,0))&amp;INDEX(ETAPP!B$1:B$32,MATCH(COUNTIF(BI67:BR67,21),ETAPP!A$1:A$32,0))</f>
        <v>000000000000000000000</v>
      </c>
      <c r="T67" s="111" t="str">
        <f t="shared" si="57"/>
        <v>000,0-000000000000000000000</v>
      </c>
      <c r="U67" s="111">
        <f t="shared" si="58"/>
        <v>108</v>
      </c>
      <c r="V67" s="111">
        <f t="shared" si="59"/>
        <v>87</v>
      </c>
      <c r="W67" s="111" t="str">
        <f t="shared" si="60"/>
        <v>000,0-000000000000000000000-087</v>
      </c>
      <c r="X67" s="111">
        <f t="shared" si="61"/>
        <v>61</v>
      </c>
      <c r="Y67" s="112">
        <f t="shared" si="62"/>
        <v>48</v>
      </c>
      <c r="Z67" s="113" t="str">
        <f>IFERROR(INDEX('V1'!C$300:C$400,MATCH("*"&amp;L67&amp;"*",'V1'!B$300:B$400,0)),"  ")</f>
        <v xml:space="preserve">  </v>
      </c>
      <c r="AA67" s="113" t="str">
        <f>IFERROR(INDEX('V2'!C$300:C$400,MATCH("*"&amp;L67&amp;"*",'V2'!B$300:B$400,0)),"  ")</f>
        <v xml:space="preserve">  </v>
      </c>
      <c r="AB67" s="113" t="str">
        <f>IFERROR(INDEX('V3'!C$300:C$400,MATCH("*"&amp;L67&amp;"*",'V3'!B$300:B$400,0)),"  ")</f>
        <v xml:space="preserve">  </v>
      </c>
      <c r="AC67" s="113" t="str">
        <f>IFERROR(INDEX('V4'!C$300:C$400,MATCH("*"&amp;L67&amp;"*",'V4'!B$300:B$400,0)),"  ")</f>
        <v xml:space="preserve">  </v>
      </c>
      <c r="AD67" s="113" t="str">
        <f>IFERROR(INDEX('V5'!C$300:C$400,MATCH("*"&amp;L67&amp;"*",'V5'!B$300:B$400,0)),"  ")</f>
        <v xml:space="preserve">  </v>
      </c>
      <c r="AE67" s="113" t="str">
        <f>IFERROR(INDEX('V6'!C$300:C$400,MATCH("*"&amp;L67&amp;"*",'V6'!B$300:B$400,0)),"  ")</f>
        <v xml:space="preserve">  </v>
      </c>
      <c r="AF67" s="113" t="str">
        <f>IFERROR(INDEX('V7'!C$300:C$400,MATCH("*"&amp;L67&amp;"*",'V7'!B$300:B$400,0)),"  ")</f>
        <v xml:space="preserve">  </v>
      </c>
      <c r="AG67" s="113" t="str">
        <f>IFERROR(INDEX('V8'!C$300:C$400,MATCH("*"&amp;L67&amp;"*",'V8'!B$300:B$400,0)),"  ")</f>
        <v xml:space="preserve">  </v>
      </c>
      <c r="AH67" s="113" t="str">
        <f>IFERROR(INDEX('V9'!C$300:C$399,MATCH("*"&amp;L67&amp;"*",'V9'!B$300:B$399,0)),"  ")</f>
        <v xml:space="preserve">  </v>
      </c>
      <c r="AI67" s="113" t="str">
        <f>IFERROR(INDEX('V10'!C$300:C$399,MATCH("*"&amp;L67&amp;"*",'V10'!B$300:B$399,0)),"  ")</f>
        <v xml:space="preserve">  </v>
      </c>
      <c r="AJ67" s="114" t="str">
        <f t="shared" si="63"/>
        <v/>
      </c>
      <c r="AK67" s="404">
        <f t="shared" si="64"/>
        <v>0</v>
      </c>
      <c r="AL67" s="115" t="str">
        <f t="shared" si="65"/>
        <v/>
      </c>
      <c r="AM67" s="116" t="str">
        <f>IFERROR(INDEX(#REF!,MATCH("*"&amp;L67&amp;"*",#REF!,0)),"  ")</f>
        <v xml:space="preserve">  </v>
      </c>
      <c r="AN67" s="117">
        <f t="shared" si="66"/>
        <v>0</v>
      </c>
      <c r="AO67" s="118">
        <f t="shared" si="67"/>
        <v>0</v>
      </c>
      <c r="AP67" s="118">
        <f t="shared" si="68"/>
        <v>0</v>
      </c>
      <c r="AQ67" s="49"/>
      <c r="AR67" s="1"/>
      <c r="AS67" s="1"/>
      <c r="AT67" s="119">
        <f t="shared" si="69"/>
        <v>1E-4</v>
      </c>
      <c r="AU67" s="120">
        <f t="shared" si="70"/>
        <v>1E-4</v>
      </c>
      <c r="AV67" s="120">
        <f t="shared" si="71"/>
        <v>2.0000000000000001E-4</v>
      </c>
      <c r="AW67" s="120">
        <f t="shared" si="72"/>
        <v>2.9999999999999997E-4</v>
      </c>
      <c r="AX67" s="120">
        <f t="shared" si="73"/>
        <v>4.0000000000000002E-4</v>
      </c>
      <c r="AY67" s="120">
        <f t="shared" si="74"/>
        <v>5.0000000000000001E-4</v>
      </c>
      <c r="AZ67" s="120">
        <f t="shared" si="75"/>
        <v>5.9999999999999995E-4</v>
      </c>
      <c r="BA67" s="120">
        <f t="shared" si="76"/>
        <v>6.9999999999999999E-4</v>
      </c>
      <c r="BB67" s="120">
        <f t="shared" si="77"/>
        <v>8.0000000000000004E-4</v>
      </c>
      <c r="BC67" s="120">
        <f t="shared" si="78"/>
        <v>8.9999999999999998E-4</v>
      </c>
      <c r="BD67" s="120">
        <f t="shared" si="79"/>
        <v>1E-3</v>
      </c>
      <c r="BI67" s="1018" t="e">
        <f t="shared" si="80"/>
        <v>#VALUE!</v>
      </c>
      <c r="BJ67" s="1018" t="e">
        <f t="shared" si="81"/>
        <v>#VALUE!</v>
      </c>
      <c r="BK67" s="1018" t="e">
        <f t="shared" si="82"/>
        <v>#VALUE!</v>
      </c>
      <c r="BL67" s="1018" t="e">
        <f t="shared" si="83"/>
        <v>#VALUE!</v>
      </c>
      <c r="BM67" s="1018" t="e">
        <f t="shared" si="84"/>
        <v>#VALUE!</v>
      </c>
      <c r="BN67" s="1018" t="e">
        <f t="shared" si="85"/>
        <v>#VALUE!</v>
      </c>
      <c r="BO67" s="1018" t="e">
        <f t="shared" si="86"/>
        <v>#VALUE!</v>
      </c>
      <c r="BP67" s="1018" t="e">
        <f t="shared" si="87"/>
        <v>#VALUE!</v>
      </c>
      <c r="BQ67" s="1018" t="e">
        <f t="shared" si="88"/>
        <v>#VALUE!</v>
      </c>
      <c r="BR67" s="1018" t="e">
        <f t="shared" si="89"/>
        <v>#VALUE!</v>
      </c>
    </row>
    <row r="68" spans="1:70" ht="12.75" hidden="1" customHeight="1" x14ac:dyDescent="0.2">
      <c r="A68" s="647" t="str">
        <f t="shared" si="46"/>
        <v/>
      </c>
      <c r="B68" s="99">
        <f t="shared" si="47"/>
        <v>-892</v>
      </c>
      <c r="C68" s="409" t="str">
        <f t="shared" si="48"/>
        <v/>
      </c>
      <c r="D68" s="367">
        <f t="shared" si="49"/>
        <v>-892</v>
      </c>
      <c r="E68" s="100" t="str">
        <f t="shared" si="50"/>
        <v/>
      </c>
      <c r="F68" s="99">
        <f t="shared" si="51"/>
        <v>108</v>
      </c>
      <c r="G68" s="101" t="str">
        <f t="shared" si="52"/>
        <v/>
      </c>
      <c r="H68" s="99">
        <f t="shared" si="53"/>
        <v>-892</v>
      </c>
      <c r="I68" s="102" t="str">
        <f t="shared" si="54"/>
        <v/>
      </c>
      <c r="J68" s="103">
        <f t="shared" si="55"/>
        <v>-892</v>
      </c>
      <c r="K68" s="71" t="str">
        <f t="shared" si="56"/>
        <v/>
      </c>
      <c r="L68" s="104" t="s">
        <v>328</v>
      </c>
      <c r="M68" s="105"/>
      <c r="N68" s="106" t="s">
        <v>105</v>
      </c>
      <c r="O68" s="107"/>
      <c r="P68" s="108"/>
      <c r="Q68" s="109"/>
      <c r="R68" s="110">
        <f>(IF(COUNT(Z68,AA68,AB68,AC68,AD68,AE68,AF68,AG68,AH68,AI68)&lt;10,SUM(Z68,AA68,AB68,AC68,AD68,AE68,AF68,AG68,AH68,AI68),SUM(LARGE((Z68,AA68,AB68,AC68,AD68,AE68,AF68,AG68,AH68,AI68),{1;2;3;4;5;6;7;8;9}))))</f>
        <v>0</v>
      </c>
      <c r="S68" s="111" t="str">
        <f>INDEX(ETAPP!B$1:B$32,MATCH(COUNTIF(BI68:BR68,1),ETAPP!A$1:A$32,0))&amp;INDEX(ETAPP!B$1:B$32,MATCH(COUNTIF(BI68:BR68,2),ETAPP!A$1:A$32,0))&amp;INDEX(ETAPP!B$1:B$32,MATCH(COUNTIF(BI68:BR68,3),ETAPP!A$1:A$32,0))&amp;INDEX(ETAPP!B$1:B$32,MATCH(COUNTIF(BI68:BR68,4),ETAPP!A$1:A$32,0))&amp;INDEX(ETAPP!B$1:B$32,MATCH(COUNTIF(BI68:BR68,5),ETAPP!A$1:A$32,0))&amp;INDEX(ETAPP!B$1:B$32,MATCH(COUNTIF(BI68:BR68,6),ETAPP!A$1:A$32,0))&amp;INDEX(ETAPP!B$1:B$32,MATCH(COUNTIF(BI68:BR68,7),ETAPP!A$1:A$32,0))&amp;INDEX(ETAPP!B$1:B$32,MATCH(COUNTIF(BI68:BR68,8),ETAPP!A$1:A$32,0))&amp;INDEX(ETAPP!B$1:B$32,MATCH(COUNTIF(BI68:BR68,9),ETAPP!A$1:A$32,0))&amp;INDEX(ETAPP!B$1:B$32,MATCH(COUNTIF(BI68:BR68,10),ETAPP!A$1:A$32,0))&amp;INDEX(ETAPP!B$1:B$32,MATCH(COUNTIF(BI68:BR68,11),ETAPP!A$1:A$32,0))&amp;INDEX(ETAPP!B$1:B$32,MATCH(COUNTIF(BI68:BR68,12),ETAPP!A$1:A$32,0))&amp;INDEX(ETAPP!B$1:B$32,MATCH(COUNTIF(BI68:BR68,13),ETAPP!A$1:A$32,0))&amp;INDEX(ETAPP!B$1:B$32,MATCH(COUNTIF(BI68:BR68,14),ETAPP!A$1:A$32,0))&amp;INDEX(ETAPP!B$1:B$32,MATCH(COUNTIF(BI68:BR68,15),ETAPP!A$1:A$32,0))&amp;INDEX(ETAPP!B$1:B$32,MATCH(COUNTIF(BI68:BR68,16),ETAPP!A$1:A$32,0))&amp;INDEX(ETAPP!B$1:B$32,MATCH(COUNTIF(BI68:BR68,17),ETAPP!A$1:A$32,0))&amp;INDEX(ETAPP!B$1:B$32,MATCH(COUNTIF(BI68:BR68,18),ETAPP!A$1:A$32,0))&amp;INDEX(ETAPP!B$1:B$32,MATCH(COUNTIF(BI68:BR68,19),ETAPP!A$1:A$32,0))&amp;INDEX(ETAPP!B$1:B$32,MATCH(COUNTIF(BI68:BR68,20),ETAPP!A$1:A$32,0))&amp;INDEX(ETAPP!B$1:B$32,MATCH(COUNTIF(BI68:BR68,21),ETAPP!A$1:A$32,0))</f>
        <v>000000000000000000000</v>
      </c>
      <c r="T68" s="111" t="str">
        <f t="shared" si="57"/>
        <v>000,0-000000000000000000000</v>
      </c>
      <c r="U68" s="111">
        <f t="shared" si="58"/>
        <v>108</v>
      </c>
      <c r="V68" s="111">
        <f t="shared" si="59"/>
        <v>85</v>
      </c>
      <c r="W68" s="111" t="str">
        <f t="shared" si="60"/>
        <v>000,0-000000000000000000000-085</v>
      </c>
      <c r="X68" s="111">
        <f t="shared" si="61"/>
        <v>62</v>
      </c>
      <c r="Y68" s="112">
        <f t="shared" si="62"/>
        <v>47</v>
      </c>
      <c r="Z68" s="113" t="str">
        <f>IFERROR(INDEX('V1'!C$300:C$400,MATCH("*"&amp;L68&amp;"*",'V1'!B$300:B$400,0)),"  ")</f>
        <v xml:space="preserve">  </v>
      </c>
      <c r="AA68" s="113" t="str">
        <f>IFERROR(INDEX('V2'!C$300:C$400,MATCH("*"&amp;L68&amp;"*",'V2'!B$300:B$400,0)),"  ")</f>
        <v xml:space="preserve">  </v>
      </c>
      <c r="AB68" s="113" t="str">
        <f>IFERROR(INDEX('V3'!C$300:C$400,MATCH("*"&amp;L68&amp;"*",'V3'!B$300:B$400,0)),"  ")</f>
        <v xml:space="preserve">  </v>
      </c>
      <c r="AC68" s="113" t="str">
        <f>IFERROR(INDEX('V4'!C$300:C$400,MATCH("*"&amp;L68&amp;"*",'V4'!B$300:B$400,0)),"  ")</f>
        <v xml:space="preserve">  </v>
      </c>
      <c r="AD68" s="113" t="str">
        <f>IFERROR(INDEX('V5'!C$300:C$400,MATCH("*"&amp;L68&amp;"*",'V5'!B$300:B$400,0)),"  ")</f>
        <v xml:space="preserve">  </v>
      </c>
      <c r="AE68" s="113" t="str">
        <f>IFERROR(INDEX('V6'!C$300:C$400,MATCH("*"&amp;L68&amp;"*",'V6'!B$300:B$400,0)),"  ")</f>
        <v xml:space="preserve">  </v>
      </c>
      <c r="AF68" s="113" t="str">
        <f>IFERROR(INDEX('V7'!C$300:C$400,MATCH("*"&amp;L68&amp;"*",'V7'!B$300:B$400,0)),"  ")</f>
        <v xml:space="preserve">  </v>
      </c>
      <c r="AG68" s="113" t="str">
        <f>IFERROR(INDEX('V8'!C$300:C$400,MATCH("*"&amp;L68&amp;"*",'V8'!B$300:B$400,0)),"  ")</f>
        <v xml:space="preserve">  </v>
      </c>
      <c r="AH68" s="113" t="str">
        <f>IFERROR(INDEX('V9'!C$300:C$399,MATCH("*"&amp;L68&amp;"*",'V9'!B$300:B$399,0)),"  ")</f>
        <v xml:space="preserve">  </v>
      </c>
      <c r="AI68" s="113" t="str">
        <f>IFERROR(INDEX('V10'!C$300:C$399,MATCH("*"&amp;L68&amp;"*",'V10'!B$300:B$399,0)),"  ")</f>
        <v xml:space="preserve">  </v>
      </c>
      <c r="AJ68" s="114" t="str">
        <f t="shared" si="63"/>
        <v/>
      </c>
      <c r="AK68" s="404">
        <f t="shared" si="64"/>
        <v>0</v>
      </c>
      <c r="AL68" s="115" t="str">
        <f t="shared" si="65"/>
        <v/>
      </c>
      <c r="AM68" s="116" t="str">
        <f>IFERROR(INDEX(#REF!,MATCH("*"&amp;L68&amp;"*",#REF!,0)),"  ")</f>
        <v xml:space="preserve">  </v>
      </c>
      <c r="AN68" s="117">
        <f t="shared" si="66"/>
        <v>0</v>
      </c>
      <c r="AO68" s="118">
        <f t="shared" si="67"/>
        <v>0</v>
      </c>
      <c r="AP68" s="118">
        <f t="shared" si="68"/>
        <v>0</v>
      </c>
      <c r="AQ68" s="49"/>
      <c r="AR68" s="1"/>
      <c r="AS68" s="1"/>
      <c r="AT68" s="119">
        <f t="shared" si="69"/>
        <v>1E-4</v>
      </c>
      <c r="AU68" s="120">
        <f t="shared" si="70"/>
        <v>1E-4</v>
      </c>
      <c r="AV68" s="120">
        <f t="shared" si="71"/>
        <v>2.0000000000000001E-4</v>
      </c>
      <c r="AW68" s="120">
        <f t="shared" si="72"/>
        <v>2.9999999999999997E-4</v>
      </c>
      <c r="AX68" s="120">
        <f t="shared" si="73"/>
        <v>4.0000000000000002E-4</v>
      </c>
      <c r="AY68" s="120">
        <f t="shared" si="74"/>
        <v>5.0000000000000001E-4</v>
      </c>
      <c r="AZ68" s="120">
        <f t="shared" si="75"/>
        <v>5.9999999999999995E-4</v>
      </c>
      <c r="BA68" s="120">
        <f t="shared" si="76"/>
        <v>6.9999999999999999E-4</v>
      </c>
      <c r="BB68" s="120">
        <f t="shared" si="77"/>
        <v>8.0000000000000004E-4</v>
      </c>
      <c r="BC68" s="120">
        <f t="shared" si="78"/>
        <v>8.9999999999999998E-4</v>
      </c>
      <c r="BD68" s="120">
        <f t="shared" si="79"/>
        <v>1E-3</v>
      </c>
      <c r="BI68" s="1018" t="e">
        <f t="shared" si="80"/>
        <v>#VALUE!</v>
      </c>
      <c r="BJ68" s="1018" t="e">
        <f t="shared" si="81"/>
        <v>#VALUE!</v>
      </c>
      <c r="BK68" s="1018" t="e">
        <f t="shared" si="82"/>
        <v>#VALUE!</v>
      </c>
      <c r="BL68" s="1018" t="e">
        <f t="shared" si="83"/>
        <v>#VALUE!</v>
      </c>
      <c r="BM68" s="1018" t="e">
        <f t="shared" si="84"/>
        <v>#VALUE!</v>
      </c>
      <c r="BN68" s="1018" t="e">
        <f t="shared" si="85"/>
        <v>#VALUE!</v>
      </c>
      <c r="BO68" s="1018" t="e">
        <f t="shared" si="86"/>
        <v>#VALUE!</v>
      </c>
      <c r="BP68" s="1018" t="e">
        <f t="shared" si="87"/>
        <v>#VALUE!</v>
      </c>
      <c r="BQ68" s="1018" t="e">
        <f t="shared" si="88"/>
        <v>#VALUE!</v>
      </c>
      <c r="BR68" s="1018" t="e">
        <f t="shared" si="89"/>
        <v>#VALUE!</v>
      </c>
    </row>
    <row r="69" spans="1:70" ht="12.75" hidden="1" customHeight="1" x14ac:dyDescent="0.2">
      <c r="A69" s="647" t="str">
        <f t="shared" si="46"/>
        <v/>
      </c>
      <c r="B69" s="99">
        <f t="shared" si="47"/>
        <v>-892</v>
      </c>
      <c r="C69" s="409" t="str">
        <f t="shared" si="48"/>
        <v/>
      </c>
      <c r="D69" s="367">
        <f t="shared" si="49"/>
        <v>-892</v>
      </c>
      <c r="E69" s="100" t="str">
        <f t="shared" si="50"/>
        <v/>
      </c>
      <c r="F69" s="99">
        <f t="shared" si="51"/>
        <v>-892</v>
      </c>
      <c r="G69" s="101" t="str">
        <f t="shared" si="52"/>
        <v/>
      </c>
      <c r="H69" s="99">
        <f t="shared" si="53"/>
        <v>108</v>
      </c>
      <c r="I69" s="102" t="str">
        <f t="shared" si="54"/>
        <v/>
      </c>
      <c r="J69" s="103">
        <f t="shared" si="55"/>
        <v>-892</v>
      </c>
      <c r="K69" s="71" t="str">
        <f t="shared" si="56"/>
        <v/>
      </c>
      <c r="L69" s="121" t="s">
        <v>144</v>
      </c>
      <c r="M69" s="105" t="s">
        <v>110</v>
      </c>
      <c r="N69" s="106"/>
      <c r="O69" s="107"/>
      <c r="P69" s="108"/>
      <c r="Q69" s="109"/>
      <c r="R69" s="110">
        <f>(IF(COUNT(Z69,AA69,AB69,AC69,AD69,AE69,AF69,AG69,AH69,AI69)&lt;10,SUM(Z69,AA69,AB69,AC69,AD69,AE69,AF69,AG69,AH69,AI69),SUM(LARGE((Z69,AA69,AB69,AC69,AD69,AE69,AF69,AG69,AH69,AI69),{1;2;3;4;5;6;7;8;9}))))</f>
        <v>0</v>
      </c>
      <c r="S69" s="111" t="str">
        <f>INDEX(ETAPP!B$1:B$32,MATCH(COUNTIF(BI69:BR69,1),ETAPP!A$1:A$32,0))&amp;INDEX(ETAPP!B$1:B$32,MATCH(COUNTIF(BI69:BR69,2),ETAPP!A$1:A$32,0))&amp;INDEX(ETAPP!B$1:B$32,MATCH(COUNTIF(BI69:BR69,3),ETAPP!A$1:A$32,0))&amp;INDEX(ETAPP!B$1:B$32,MATCH(COUNTIF(BI69:BR69,4),ETAPP!A$1:A$32,0))&amp;INDEX(ETAPP!B$1:B$32,MATCH(COUNTIF(BI69:BR69,5),ETAPP!A$1:A$32,0))&amp;INDEX(ETAPP!B$1:B$32,MATCH(COUNTIF(BI69:BR69,6),ETAPP!A$1:A$32,0))&amp;INDEX(ETAPP!B$1:B$32,MATCH(COUNTIF(BI69:BR69,7),ETAPP!A$1:A$32,0))&amp;INDEX(ETAPP!B$1:B$32,MATCH(COUNTIF(BI69:BR69,8),ETAPP!A$1:A$32,0))&amp;INDEX(ETAPP!B$1:B$32,MATCH(COUNTIF(BI69:BR69,9),ETAPP!A$1:A$32,0))&amp;INDEX(ETAPP!B$1:B$32,MATCH(COUNTIF(BI69:BR69,10),ETAPP!A$1:A$32,0))&amp;INDEX(ETAPP!B$1:B$32,MATCH(COUNTIF(BI69:BR69,11),ETAPP!A$1:A$32,0))&amp;INDEX(ETAPP!B$1:B$32,MATCH(COUNTIF(BI69:BR69,12),ETAPP!A$1:A$32,0))&amp;INDEX(ETAPP!B$1:B$32,MATCH(COUNTIF(BI69:BR69,13),ETAPP!A$1:A$32,0))&amp;INDEX(ETAPP!B$1:B$32,MATCH(COUNTIF(BI69:BR69,14),ETAPP!A$1:A$32,0))&amp;INDEX(ETAPP!B$1:B$32,MATCH(COUNTIF(BI69:BR69,15),ETAPP!A$1:A$32,0))&amp;INDEX(ETAPP!B$1:B$32,MATCH(COUNTIF(BI69:BR69,16),ETAPP!A$1:A$32,0))&amp;INDEX(ETAPP!B$1:B$32,MATCH(COUNTIF(BI69:BR69,17),ETAPP!A$1:A$32,0))&amp;INDEX(ETAPP!B$1:B$32,MATCH(COUNTIF(BI69:BR69,18),ETAPP!A$1:A$32,0))&amp;INDEX(ETAPP!B$1:B$32,MATCH(COUNTIF(BI69:BR69,19),ETAPP!A$1:A$32,0))&amp;INDEX(ETAPP!B$1:B$32,MATCH(COUNTIF(BI69:BR69,20),ETAPP!A$1:A$32,0))&amp;INDEX(ETAPP!B$1:B$32,MATCH(COUNTIF(BI69:BR69,21),ETAPP!A$1:A$32,0))</f>
        <v>000000000000000000000</v>
      </c>
      <c r="T69" s="111" t="str">
        <f t="shared" si="57"/>
        <v>000,0-000000000000000000000</v>
      </c>
      <c r="U69" s="111">
        <f t="shared" si="58"/>
        <v>108</v>
      </c>
      <c r="V69" s="111">
        <f t="shared" si="59"/>
        <v>83</v>
      </c>
      <c r="W69" s="111" t="str">
        <f t="shared" si="60"/>
        <v>000,0-000000000000000000000-083</v>
      </c>
      <c r="X69" s="111">
        <f t="shared" si="61"/>
        <v>63</v>
      </c>
      <c r="Y69" s="112">
        <f t="shared" si="62"/>
        <v>46</v>
      </c>
      <c r="Z69" s="113" t="str">
        <f>IFERROR(INDEX('V1'!C$300:C$400,MATCH("*"&amp;L69&amp;"*",'V1'!B$300:B$400,0)),"  ")</f>
        <v xml:space="preserve">  </v>
      </c>
      <c r="AA69" s="113" t="str">
        <f>IFERROR(INDEX('V2'!C$300:C$400,MATCH("*"&amp;L69&amp;"*",'V2'!B$300:B$400,0)),"  ")</f>
        <v xml:space="preserve">  </v>
      </c>
      <c r="AB69" s="113" t="str">
        <f>IFERROR(INDEX('V3'!C$300:C$400,MATCH("*"&amp;L69&amp;"*",'V3'!B$300:B$400,0)),"  ")</f>
        <v xml:space="preserve">  </v>
      </c>
      <c r="AC69" s="113" t="str">
        <f>IFERROR(INDEX('V4'!C$300:C$400,MATCH("*"&amp;L69&amp;"*",'V4'!B$300:B$400,0)),"  ")</f>
        <v xml:space="preserve">  </v>
      </c>
      <c r="AD69" s="113" t="str">
        <f>IFERROR(INDEX('V5'!C$300:C$400,MATCH("*"&amp;L69&amp;"*",'V5'!B$300:B$400,0)),"  ")</f>
        <v xml:space="preserve">  </v>
      </c>
      <c r="AE69" s="113" t="str">
        <f>IFERROR(INDEX('V6'!C$300:C$400,MATCH("*"&amp;L69&amp;"*",'V6'!B$300:B$400,0)),"  ")</f>
        <v xml:space="preserve">  </v>
      </c>
      <c r="AF69" s="113" t="str">
        <f>IFERROR(INDEX('V7'!C$300:C$400,MATCH("*"&amp;L69&amp;"*",'V7'!B$300:B$400,0)),"  ")</f>
        <v xml:space="preserve">  </v>
      </c>
      <c r="AG69" s="113" t="str">
        <f>IFERROR(INDEX('V8'!C$300:C$400,MATCH("*"&amp;L69&amp;"*",'V8'!B$300:B$400,0)),"  ")</f>
        <v xml:space="preserve">  </v>
      </c>
      <c r="AH69" s="113" t="str">
        <f>IFERROR(INDEX('V9'!C$300:C$399,MATCH("*"&amp;L69&amp;"*",'V9'!B$300:B$399,0)),"  ")</f>
        <v xml:space="preserve">  </v>
      </c>
      <c r="AI69" s="113" t="str">
        <f>IFERROR(INDEX('V10'!C$300:C$399,MATCH("*"&amp;L69&amp;"*",'V10'!B$300:B$399,0)),"  ")</f>
        <v xml:space="preserve">  </v>
      </c>
      <c r="AJ69" s="114" t="str">
        <f t="shared" si="63"/>
        <v/>
      </c>
      <c r="AK69" s="404">
        <f t="shared" si="64"/>
        <v>0</v>
      </c>
      <c r="AL69" s="115" t="str">
        <f t="shared" si="65"/>
        <v/>
      </c>
      <c r="AM69" s="116" t="str">
        <f>IFERROR(INDEX(#REF!,MATCH("*"&amp;L69&amp;"*",#REF!,0)),"  ")</f>
        <v xml:space="preserve">  </v>
      </c>
      <c r="AN69" s="117">
        <f t="shared" si="66"/>
        <v>0</v>
      </c>
      <c r="AO69" s="118">
        <f t="shared" si="67"/>
        <v>0</v>
      </c>
      <c r="AP69" s="118">
        <f t="shared" si="68"/>
        <v>0</v>
      </c>
      <c r="AQ69" s="49"/>
      <c r="AR69" s="1"/>
      <c r="AS69" s="1"/>
      <c r="AT69" s="119">
        <f t="shared" si="69"/>
        <v>1E-4</v>
      </c>
      <c r="AU69" s="120">
        <f t="shared" si="70"/>
        <v>1E-4</v>
      </c>
      <c r="AV69" s="120">
        <f t="shared" si="71"/>
        <v>2.0000000000000001E-4</v>
      </c>
      <c r="AW69" s="120">
        <f t="shared" si="72"/>
        <v>2.9999999999999997E-4</v>
      </c>
      <c r="AX69" s="120">
        <f t="shared" si="73"/>
        <v>4.0000000000000002E-4</v>
      </c>
      <c r="AY69" s="120">
        <f t="shared" si="74"/>
        <v>5.0000000000000001E-4</v>
      </c>
      <c r="AZ69" s="120">
        <f t="shared" si="75"/>
        <v>5.9999999999999995E-4</v>
      </c>
      <c r="BA69" s="120">
        <f t="shared" si="76"/>
        <v>6.9999999999999999E-4</v>
      </c>
      <c r="BB69" s="120">
        <f t="shared" si="77"/>
        <v>8.0000000000000004E-4</v>
      </c>
      <c r="BC69" s="120">
        <f t="shared" si="78"/>
        <v>8.9999999999999998E-4</v>
      </c>
      <c r="BD69" s="120">
        <f t="shared" si="79"/>
        <v>1E-3</v>
      </c>
      <c r="BI69" s="1018" t="e">
        <f t="shared" si="80"/>
        <v>#VALUE!</v>
      </c>
      <c r="BJ69" s="1018" t="e">
        <f t="shared" si="81"/>
        <v>#VALUE!</v>
      </c>
      <c r="BK69" s="1018" t="e">
        <f t="shared" si="82"/>
        <v>#VALUE!</v>
      </c>
      <c r="BL69" s="1018" t="e">
        <f t="shared" si="83"/>
        <v>#VALUE!</v>
      </c>
      <c r="BM69" s="1018" t="e">
        <f t="shared" si="84"/>
        <v>#VALUE!</v>
      </c>
      <c r="BN69" s="1018" t="e">
        <f t="shared" si="85"/>
        <v>#VALUE!</v>
      </c>
      <c r="BO69" s="1018" t="e">
        <f t="shared" si="86"/>
        <v>#VALUE!</v>
      </c>
      <c r="BP69" s="1018" t="e">
        <f t="shared" si="87"/>
        <v>#VALUE!</v>
      </c>
      <c r="BQ69" s="1018" t="e">
        <f t="shared" si="88"/>
        <v>#VALUE!</v>
      </c>
      <c r="BR69" s="1018" t="e">
        <f t="shared" si="89"/>
        <v>#VALUE!</v>
      </c>
    </row>
    <row r="70" spans="1:70" ht="12.75" hidden="1" customHeight="1" x14ac:dyDescent="0.2">
      <c r="A70" s="647" t="str">
        <f t="shared" si="46"/>
        <v/>
      </c>
      <c r="B70" s="99">
        <f t="shared" si="47"/>
        <v>108</v>
      </c>
      <c r="C70" s="409" t="str">
        <f t="shared" si="48"/>
        <v/>
      </c>
      <c r="D70" s="367">
        <f t="shared" si="49"/>
        <v>108</v>
      </c>
      <c r="E70" s="100" t="str">
        <f t="shared" si="50"/>
        <v/>
      </c>
      <c r="F70" s="99">
        <f t="shared" si="51"/>
        <v>108</v>
      </c>
      <c r="G70" s="101" t="str">
        <f t="shared" si="52"/>
        <v/>
      </c>
      <c r="H70" s="99">
        <f t="shared" si="53"/>
        <v>-892</v>
      </c>
      <c r="I70" s="102" t="str">
        <f t="shared" si="54"/>
        <v/>
      </c>
      <c r="J70" s="103">
        <f t="shared" si="55"/>
        <v>-892</v>
      </c>
      <c r="K70" s="71" t="str">
        <f t="shared" si="56"/>
        <v/>
      </c>
      <c r="L70" s="104" t="s">
        <v>143</v>
      </c>
      <c r="M70" s="105"/>
      <c r="N70" s="106" t="s">
        <v>105</v>
      </c>
      <c r="O70" s="107"/>
      <c r="P70" s="108" t="s">
        <v>317</v>
      </c>
      <c r="Q70" s="109" t="s">
        <v>88</v>
      </c>
      <c r="R70" s="110">
        <f>(IF(COUNT(Z70,AA70,AB70,AC70,AD70,AE70,AF70,AG70,AH70,AI70)&lt;10,SUM(Z70,AA70,AB70,AC70,AD70,AE70,AF70,AG70,AH70,AI70),SUM(LARGE((Z70,AA70,AB70,AC70,AD70,AE70,AF70,AG70,AH70,AI70),{1;2;3;4;5;6;7;8;9}))))</f>
        <v>0</v>
      </c>
      <c r="S70" s="111" t="str">
        <f>INDEX(ETAPP!B$1:B$32,MATCH(COUNTIF(BI70:BR70,1),ETAPP!A$1:A$32,0))&amp;INDEX(ETAPP!B$1:B$32,MATCH(COUNTIF(BI70:BR70,2),ETAPP!A$1:A$32,0))&amp;INDEX(ETAPP!B$1:B$32,MATCH(COUNTIF(BI70:BR70,3),ETAPP!A$1:A$32,0))&amp;INDEX(ETAPP!B$1:B$32,MATCH(COUNTIF(BI70:BR70,4),ETAPP!A$1:A$32,0))&amp;INDEX(ETAPP!B$1:B$32,MATCH(COUNTIF(BI70:BR70,5),ETAPP!A$1:A$32,0))&amp;INDEX(ETAPP!B$1:B$32,MATCH(COUNTIF(BI70:BR70,6),ETAPP!A$1:A$32,0))&amp;INDEX(ETAPP!B$1:B$32,MATCH(COUNTIF(BI70:BR70,7),ETAPP!A$1:A$32,0))&amp;INDEX(ETAPP!B$1:B$32,MATCH(COUNTIF(BI70:BR70,8),ETAPP!A$1:A$32,0))&amp;INDEX(ETAPP!B$1:B$32,MATCH(COUNTIF(BI70:BR70,9),ETAPP!A$1:A$32,0))&amp;INDEX(ETAPP!B$1:B$32,MATCH(COUNTIF(BI70:BR70,10),ETAPP!A$1:A$32,0))&amp;INDEX(ETAPP!B$1:B$32,MATCH(COUNTIF(BI70:BR70,11),ETAPP!A$1:A$32,0))&amp;INDEX(ETAPP!B$1:B$32,MATCH(COUNTIF(BI70:BR70,12),ETAPP!A$1:A$32,0))&amp;INDEX(ETAPP!B$1:B$32,MATCH(COUNTIF(BI70:BR70,13),ETAPP!A$1:A$32,0))&amp;INDEX(ETAPP!B$1:B$32,MATCH(COUNTIF(BI70:BR70,14),ETAPP!A$1:A$32,0))&amp;INDEX(ETAPP!B$1:B$32,MATCH(COUNTIF(BI70:BR70,15),ETAPP!A$1:A$32,0))&amp;INDEX(ETAPP!B$1:B$32,MATCH(COUNTIF(BI70:BR70,16),ETAPP!A$1:A$32,0))&amp;INDEX(ETAPP!B$1:B$32,MATCH(COUNTIF(BI70:BR70,17),ETAPP!A$1:A$32,0))&amp;INDEX(ETAPP!B$1:B$32,MATCH(COUNTIF(BI70:BR70,18),ETAPP!A$1:A$32,0))&amp;INDEX(ETAPP!B$1:B$32,MATCH(COUNTIF(BI70:BR70,19),ETAPP!A$1:A$32,0))&amp;INDEX(ETAPP!B$1:B$32,MATCH(COUNTIF(BI70:BR70,20),ETAPP!A$1:A$32,0))&amp;INDEX(ETAPP!B$1:B$32,MATCH(COUNTIF(BI70:BR70,21),ETAPP!A$1:A$32,0))</f>
        <v>000000000000000000000</v>
      </c>
      <c r="T70" s="111" t="str">
        <f t="shared" si="57"/>
        <v>000,0-000000000000000000000</v>
      </c>
      <c r="U70" s="111">
        <f t="shared" si="58"/>
        <v>108</v>
      </c>
      <c r="V70" s="111">
        <f t="shared" si="59"/>
        <v>82</v>
      </c>
      <c r="W70" s="111" t="str">
        <f t="shared" si="60"/>
        <v>000,0-000000000000000000000-082</v>
      </c>
      <c r="X70" s="111">
        <f t="shared" si="61"/>
        <v>64</v>
      </c>
      <c r="Y70" s="112">
        <f t="shared" si="62"/>
        <v>45</v>
      </c>
      <c r="Z70" s="113" t="str">
        <f>IFERROR(INDEX('V1'!C$300:C$400,MATCH("*"&amp;L70&amp;"*",'V1'!B$300:B$400,0)),"  ")</f>
        <v xml:space="preserve">  </v>
      </c>
      <c r="AA70" s="113" t="str">
        <f>IFERROR(INDEX('V2'!C$300:C$400,MATCH("*"&amp;L70&amp;"*",'V2'!B$300:B$400,0)),"  ")</f>
        <v xml:space="preserve">  </v>
      </c>
      <c r="AB70" s="113" t="str">
        <f>IFERROR(INDEX('V3'!C$300:C$400,MATCH("*"&amp;L70&amp;"*",'V3'!B$300:B$400,0)),"  ")</f>
        <v xml:space="preserve">  </v>
      </c>
      <c r="AC70" s="113" t="str">
        <f>IFERROR(INDEX('V4'!C$300:C$400,MATCH("*"&amp;L70&amp;"*",'V4'!B$300:B$400,0)),"  ")</f>
        <v xml:space="preserve">  </v>
      </c>
      <c r="AD70" s="113" t="str">
        <f>IFERROR(INDEX('V5'!C$300:C$400,MATCH("*"&amp;L70&amp;"*",'V5'!B$300:B$400,0)),"  ")</f>
        <v xml:space="preserve">  </v>
      </c>
      <c r="AE70" s="113" t="str">
        <f>IFERROR(INDEX('V6'!C$300:C$400,MATCH("*"&amp;L70&amp;"*",'V6'!B$300:B$400,0)),"  ")</f>
        <v xml:space="preserve">  </v>
      </c>
      <c r="AF70" s="113" t="str">
        <f>IFERROR(INDEX('V7'!C$300:C$400,MATCH("*"&amp;L70&amp;"*",'V7'!B$300:B$400,0)),"  ")</f>
        <v xml:space="preserve">  </v>
      </c>
      <c r="AG70" s="113" t="str">
        <f>IFERROR(INDEX('V8'!C$300:C$400,MATCH("*"&amp;L70&amp;"*",'V8'!B$300:B$400,0)),"  ")</f>
        <v xml:space="preserve">  </v>
      </c>
      <c r="AH70" s="113" t="str">
        <f>IFERROR(INDEX('V9'!C$300:C$399,MATCH("*"&amp;L70&amp;"*",'V9'!B$300:B$399,0)),"  ")</f>
        <v xml:space="preserve">  </v>
      </c>
      <c r="AI70" s="113" t="str">
        <f>IFERROR(INDEX('V10'!C$300:C$399,MATCH("*"&amp;L70&amp;"*",'V10'!B$300:B$399,0)),"  ")</f>
        <v xml:space="preserve">  </v>
      </c>
      <c r="AJ70" s="114" t="str">
        <f t="shared" si="63"/>
        <v/>
      </c>
      <c r="AK70" s="404">
        <f t="shared" si="64"/>
        <v>0</v>
      </c>
      <c r="AL70" s="115" t="str">
        <f t="shared" si="65"/>
        <v/>
      </c>
      <c r="AM70" s="116" t="str">
        <f>IFERROR(INDEX(#REF!,MATCH("*"&amp;L70&amp;"*",#REF!,0)),"  ")</f>
        <v xml:space="preserve">  </v>
      </c>
      <c r="AN70" s="117">
        <f t="shared" si="66"/>
        <v>0</v>
      </c>
      <c r="AO70" s="118">
        <f t="shared" si="67"/>
        <v>0</v>
      </c>
      <c r="AP70" s="118">
        <f t="shared" si="68"/>
        <v>0</v>
      </c>
      <c r="AQ70" s="49"/>
      <c r="AR70" s="1"/>
      <c r="AS70" s="1"/>
      <c r="AT70" s="119">
        <f t="shared" si="69"/>
        <v>1E-4</v>
      </c>
      <c r="AU70" s="120">
        <f t="shared" si="70"/>
        <v>1E-4</v>
      </c>
      <c r="AV70" s="120">
        <f t="shared" si="71"/>
        <v>2.0000000000000001E-4</v>
      </c>
      <c r="AW70" s="120">
        <f t="shared" si="72"/>
        <v>2.9999999999999997E-4</v>
      </c>
      <c r="AX70" s="120">
        <f t="shared" si="73"/>
        <v>4.0000000000000002E-4</v>
      </c>
      <c r="AY70" s="120">
        <f t="shared" si="74"/>
        <v>5.0000000000000001E-4</v>
      </c>
      <c r="AZ70" s="120">
        <f t="shared" si="75"/>
        <v>5.9999999999999995E-4</v>
      </c>
      <c r="BA70" s="120">
        <f t="shared" si="76"/>
        <v>6.9999999999999999E-4</v>
      </c>
      <c r="BB70" s="120">
        <f t="shared" si="77"/>
        <v>8.0000000000000004E-4</v>
      </c>
      <c r="BC70" s="120">
        <f t="shared" si="78"/>
        <v>8.9999999999999998E-4</v>
      </c>
      <c r="BD70" s="120">
        <f t="shared" si="79"/>
        <v>1E-3</v>
      </c>
      <c r="BI70" s="1018" t="e">
        <f t="shared" si="80"/>
        <v>#VALUE!</v>
      </c>
      <c r="BJ70" s="1018" t="e">
        <f t="shared" si="81"/>
        <v>#VALUE!</v>
      </c>
      <c r="BK70" s="1018" t="e">
        <f t="shared" si="82"/>
        <v>#VALUE!</v>
      </c>
      <c r="BL70" s="1018" t="e">
        <f t="shared" si="83"/>
        <v>#VALUE!</v>
      </c>
      <c r="BM70" s="1018" t="e">
        <f t="shared" si="84"/>
        <v>#VALUE!</v>
      </c>
      <c r="BN70" s="1018" t="e">
        <f t="shared" si="85"/>
        <v>#VALUE!</v>
      </c>
      <c r="BO70" s="1018" t="e">
        <f t="shared" si="86"/>
        <v>#VALUE!</v>
      </c>
      <c r="BP70" s="1018" t="e">
        <f t="shared" si="87"/>
        <v>#VALUE!</v>
      </c>
      <c r="BQ70" s="1018" t="e">
        <f t="shared" si="88"/>
        <v>#VALUE!</v>
      </c>
      <c r="BR70" s="1018" t="e">
        <f t="shared" si="89"/>
        <v>#VALUE!</v>
      </c>
    </row>
    <row r="71" spans="1:70" ht="12.75" hidden="1" customHeight="1" x14ac:dyDescent="0.2">
      <c r="A71" s="647" t="str">
        <f t="shared" ref="A71:A102" si="90">IF(R71&gt;0,IF(Q71="Viru SK",RANK(B71,B$7:B$114,1)-COUNTIF((Q$7:Q$114),"&lt;&gt;Viru SK"),""),"")</f>
        <v/>
      </c>
      <c r="B71" s="99">
        <f t="shared" ref="B71:B102" si="91">IF((Q71="Viru SK"),U71,U71-1000)</f>
        <v>108</v>
      </c>
      <c r="C71" s="409" t="str">
        <f t="shared" ref="C71:C102" si="92">IF(R71&gt;0,IF(P71="t",RANK(D71,D$7:D$114,1)-COUNTBLANK(P$7:P$114),""),"")</f>
        <v/>
      </c>
      <c r="D71" s="367">
        <f t="shared" ref="D71:D102" si="93">IF((P71="t"),U71,U71-1000)</f>
        <v>-892</v>
      </c>
      <c r="E71" s="100" t="str">
        <f t="shared" ref="E71:E102" si="94">IF(R71&gt;0,IF(N71="m",RANK(F71,F$7:F$114,1)-COUNTBLANK(N$7:N$114),""),"")</f>
        <v/>
      </c>
      <c r="F71" s="99">
        <f t="shared" ref="F71:F102" si="95">IF((N71="m"),U71,U71-1000)</f>
        <v>-892</v>
      </c>
      <c r="G71" s="101" t="str">
        <f t="shared" ref="G71:G102" si="96">IF(R71&gt;0,IF(M71="n",RANK(H71,H$7:H$114,1)-COUNTBLANK(M$7:M$114),""),"")</f>
        <v/>
      </c>
      <c r="H71" s="99">
        <f t="shared" ref="H71:H102" si="97">IF((M71="n"),U71,U71-1000)</f>
        <v>108</v>
      </c>
      <c r="I71" s="102" t="str">
        <f t="shared" ref="I71:I102" si="98">IF(R71&gt;0,IF(O71="j",RANK(J71,J$7:J$114,1)-COUNTBLANK(O$7:O$114),""),"")</f>
        <v/>
      </c>
      <c r="J71" s="103">
        <f t="shared" ref="J71:J102" si="99">IF((O71="j"),U71,U71-1000)</f>
        <v>-892</v>
      </c>
      <c r="K71" s="71" t="str">
        <f t="shared" ref="K71:K96" si="100">IF(R71&gt;0,RANK(U71,U$7:U$114,1),"")</f>
        <v/>
      </c>
      <c r="L71" s="648" t="s">
        <v>145</v>
      </c>
      <c r="M71" s="345" t="s">
        <v>110</v>
      </c>
      <c r="N71" s="346" t="str">
        <f>IF(M71="","m","")</f>
        <v/>
      </c>
      <c r="O71" s="347"/>
      <c r="P71" s="348"/>
      <c r="Q71" s="349" t="s">
        <v>88</v>
      </c>
      <c r="R71" s="110">
        <f>(IF(COUNT(Z71,AA71,AB71,AC71,AD71,AE71,AF71,AG71,AH71,AI71)&lt;10,SUM(Z71,AA71,AB71,AC71,AD71,AE71,AF71,AG71,AH71,AI71),SUM(LARGE((Z71,AA71,AB71,AC71,AD71,AE71,AF71,AG71,AH71,AI71),{1;2;3;4;5;6;7;8;9}))))</f>
        <v>0</v>
      </c>
      <c r="S71" s="111" t="str">
        <f>INDEX(ETAPP!B$1:B$32,MATCH(COUNTIF(BI71:BR71,1),ETAPP!A$1:A$32,0))&amp;INDEX(ETAPP!B$1:B$32,MATCH(COUNTIF(BI71:BR71,2),ETAPP!A$1:A$32,0))&amp;INDEX(ETAPP!B$1:B$32,MATCH(COUNTIF(BI71:BR71,3),ETAPP!A$1:A$32,0))&amp;INDEX(ETAPP!B$1:B$32,MATCH(COUNTIF(BI71:BR71,4),ETAPP!A$1:A$32,0))&amp;INDEX(ETAPP!B$1:B$32,MATCH(COUNTIF(BI71:BR71,5),ETAPP!A$1:A$32,0))&amp;INDEX(ETAPP!B$1:B$32,MATCH(COUNTIF(BI71:BR71,6),ETAPP!A$1:A$32,0))&amp;INDEX(ETAPP!B$1:B$32,MATCH(COUNTIF(BI71:BR71,7),ETAPP!A$1:A$32,0))&amp;INDEX(ETAPP!B$1:B$32,MATCH(COUNTIF(BI71:BR71,8),ETAPP!A$1:A$32,0))&amp;INDEX(ETAPP!B$1:B$32,MATCH(COUNTIF(BI71:BR71,9),ETAPP!A$1:A$32,0))&amp;INDEX(ETAPP!B$1:B$32,MATCH(COUNTIF(BI71:BR71,10),ETAPP!A$1:A$32,0))&amp;INDEX(ETAPP!B$1:B$32,MATCH(COUNTIF(BI71:BR71,11),ETAPP!A$1:A$32,0))&amp;INDEX(ETAPP!B$1:B$32,MATCH(COUNTIF(BI71:BR71,12),ETAPP!A$1:A$32,0))&amp;INDEX(ETAPP!B$1:B$32,MATCH(COUNTIF(BI71:BR71,13),ETAPP!A$1:A$32,0))&amp;INDEX(ETAPP!B$1:B$32,MATCH(COUNTIF(BI71:BR71,14),ETAPP!A$1:A$32,0))&amp;INDEX(ETAPP!B$1:B$32,MATCH(COUNTIF(BI71:BR71,15),ETAPP!A$1:A$32,0))&amp;INDEX(ETAPP!B$1:B$32,MATCH(COUNTIF(BI71:BR71,16),ETAPP!A$1:A$32,0))&amp;INDEX(ETAPP!B$1:B$32,MATCH(COUNTIF(BI71:BR71,17),ETAPP!A$1:A$32,0))&amp;INDEX(ETAPP!B$1:B$32,MATCH(COUNTIF(BI71:BR71,18),ETAPP!A$1:A$32,0))&amp;INDEX(ETAPP!B$1:B$32,MATCH(COUNTIF(BI71:BR71,19),ETAPP!A$1:A$32,0))&amp;INDEX(ETAPP!B$1:B$32,MATCH(COUNTIF(BI71:BR71,20),ETAPP!A$1:A$32,0))&amp;INDEX(ETAPP!B$1:B$32,MATCH(COUNTIF(BI71:BR71,21),ETAPP!A$1:A$32,0))</f>
        <v>000000000000000000000</v>
      </c>
      <c r="T71" s="111" t="str">
        <f t="shared" ref="T71:T102" si="101">TEXT(R71,"000,0")&amp;"-"&amp;S71</f>
        <v>000,0-000000000000000000000</v>
      </c>
      <c r="U71" s="111">
        <f t="shared" ref="U71:U102" si="102">COUNTIF(T$7:T$114,"&gt;="&amp;T71)</f>
        <v>108</v>
      </c>
      <c r="V71" s="111">
        <f t="shared" ref="V71:V102" si="103">COUNTIF(L$7:L$114,"&gt;="&amp;L71)</f>
        <v>81</v>
      </c>
      <c r="W71" s="111" t="str">
        <f t="shared" ref="W71:W102" si="104">TEXT(R71,"000,0")&amp;"-"&amp;S71&amp;"-"&amp;TEXT(V71,"000")</f>
        <v>000,0-000000000000000000000-081</v>
      </c>
      <c r="X71" s="111">
        <f t="shared" ref="X71:X102" si="105">COUNTIF(W$7:W$114,"&gt;="&amp;W71)</f>
        <v>65</v>
      </c>
      <c r="Y71" s="112">
        <f t="shared" ref="Y71:Y102" si="106">RANK(X71,X$7:X$114,0)</f>
        <v>44</v>
      </c>
      <c r="Z71" s="113" t="str">
        <f>IFERROR(INDEX('V1'!C$300:C$400,MATCH("*"&amp;L71&amp;"*",'V1'!B$300:B$400,0)),"  ")</f>
        <v xml:space="preserve">  </v>
      </c>
      <c r="AA71" s="113" t="str">
        <f>IFERROR(INDEX('V2'!C$300:C$400,MATCH("*"&amp;L71&amp;"*",'V2'!B$300:B$400,0)),"  ")</f>
        <v xml:space="preserve">  </v>
      </c>
      <c r="AB71" s="113" t="str">
        <f>IFERROR(INDEX('V3'!C$300:C$400,MATCH("*"&amp;L71&amp;"*",'V3'!B$300:B$400,0)),"  ")</f>
        <v xml:space="preserve">  </v>
      </c>
      <c r="AC71" s="113" t="str">
        <f>IFERROR(INDEX('V4'!C$300:C$400,MATCH("*"&amp;L71&amp;"*",'V4'!B$300:B$400,0)),"  ")</f>
        <v xml:space="preserve">  </v>
      </c>
      <c r="AD71" s="113" t="str">
        <f>IFERROR(INDEX('V5'!C$300:C$400,MATCH("*"&amp;L71&amp;"*",'V5'!B$300:B$400,0)),"  ")</f>
        <v xml:space="preserve">  </v>
      </c>
      <c r="AE71" s="113" t="str">
        <f>IFERROR(INDEX('V6'!C$300:C$400,MATCH("*"&amp;L71&amp;"*",'V6'!B$300:B$400,0)),"  ")</f>
        <v xml:space="preserve">  </v>
      </c>
      <c r="AF71" s="113" t="str">
        <f>IFERROR(INDEX('V7'!C$300:C$400,MATCH("*"&amp;L71&amp;"*",'V7'!B$300:B$400,0)),"  ")</f>
        <v xml:space="preserve">  </v>
      </c>
      <c r="AG71" s="113" t="str">
        <f>IFERROR(INDEX('V8'!C$300:C$400,MATCH("*"&amp;L71&amp;"*",'V8'!B$300:B$400,0)),"  ")</f>
        <v xml:space="preserve">  </v>
      </c>
      <c r="AH71" s="113" t="str">
        <f>IFERROR(INDEX('V9'!C$300:C$399,MATCH("*"&amp;L71&amp;"*",'V9'!B$300:B$399,0)),"  ")</f>
        <v xml:space="preserve">  </v>
      </c>
      <c r="AI71" s="113" t="str">
        <f>IFERROR(INDEX('V10'!C$300:C$399,MATCH("*"&amp;L71&amp;"*",'V10'!B$300:B$399,0)),"  ")</f>
        <v xml:space="preserve">  </v>
      </c>
      <c r="AJ71" s="114" t="str">
        <f t="shared" ref="AJ71:AJ102" si="107">IF(AN71&gt;(AT$2-1),K71,"")</f>
        <v/>
      </c>
      <c r="AK71" s="404">
        <f t="shared" ref="AK71:AK102" si="108">SUM(Z71:AI71)</f>
        <v>0</v>
      </c>
      <c r="AL71" s="115" t="str">
        <f t="shared" ref="AL71:AL102" si="109">IFERROR("edasi "&amp;RANK(AJ71,AJ$7:AJ$114,1),K71)</f>
        <v/>
      </c>
      <c r="AM71" s="116" t="str">
        <f>IFERROR(INDEX(#REF!,MATCH("*"&amp;L71&amp;"*",#REF!,0)),"  ")</f>
        <v xml:space="preserve">  </v>
      </c>
      <c r="AN71" s="117">
        <f t="shared" ref="AN71:AN102" si="110">COUNTIF(Z71:AI71,"&gt;=0")</f>
        <v>0</v>
      </c>
      <c r="AO71" s="118">
        <f t="shared" ref="AO71:AO102" si="111">IFERROR(IF(Z71+1&gt;LARGE(Z$7:Z$114,1)-2*LEN(Z$5),1),0)+IFERROR(IF(AA71+1&gt;LARGE(AA$7:AA$114,1)-2*LEN(AA$5),1),0)+IFERROR(IF(AB71+1&gt;LARGE(AB$7:AB$114,1)-2*LEN(AB$5),1),0)+IFERROR(IF(AC71+1&gt;LARGE(AC$7:AC$114,1)-2*LEN(AC$5),1),0)+IFERROR(IF(AD71+1&gt;LARGE(AD$7:AD$114,1)-2*LEN(AD$5),1),0)+IFERROR(IF(AE71+1&gt;LARGE(AE$7:AE$114,1)-2*LEN(AE$5),1),0)+IFERROR(IF(AF71+1&gt;LARGE(AF$7:AF$114,1)-2*LEN(AF$5),1),0)+IFERROR(IF(AG71+1&gt;LARGE(AG$7:AG$114,1)-2*LEN(AG$5),1),0)+IFERROR(IF(AH71+1&gt;LARGE(AH$7:AH$114,1)-2*LEN(AH$5),1),0)+IFERROR(IF(AI71+1&gt;LARGE(AI$7:AI$114,1)-2*LEN(AI$5),1),0)</f>
        <v>0</v>
      </c>
      <c r="AP71" s="118">
        <f t="shared" ref="AP71:AP102" si="112">IF(Z71=0,0,IF(Z71=IFERROR(LARGE(Z$7:Z$114,1),0),1,0))+IF(AA71=0,0,IF(AA71=IFERROR(LARGE(AA$7:AA$114,1),0),1,0))+IF(AB71=0,0,IF(AB71=IFERROR(LARGE(AB$7:AB$114,1),0),1,0))+IF(AC71=0,0,IF(AC71=IFERROR(LARGE(AC$7:AC$114,1),0),1,0))+IF(AD71=0,0,IF(AD71=IFERROR(LARGE(AD$7:AD$114,1),0),1,0))+IF(AE71=0,0,IF(AE71=IFERROR(LARGE(AE$7:AE$114,1),0),1,0))+IF(AF71=0,0,IF(AF71=IFERROR(LARGE(AF$7:AF$114,1),0),1,0))+IF(AG71=0,0,IF(AG71=IFERROR(LARGE(AG$7:AG$114,1),0),1,0))+IF(AH71=0,0,IF(AH71=IFERROR(LARGE(AH$7:AH$114,1),0),1,0))+IF(AI71=0,0,IF(AI71=IFERROR(LARGE(AI$7:AI$114,1),0),1,0))</f>
        <v>0</v>
      </c>
      <c r="AQ71" s="49"/>
      <c r="AR71" s="1"/>
      <c r="AS71" s="1"/>
      <c r="AT71" s="119">
        <f t="shared" ref="AT71:AT102" si="113">SMALL(AU71:BD71,AT$3)</f>
        <v>1E-4</v>
      </c>
      <c r="AU71" s="120">
        <f t="shared" ref="AU71:AU102" si="114">IF(Z71="  ",0+MID(Z$6,FIND("V",Z$6)+1,256)/10000,Z71+MID(Z$6,FIND("V",Z$6)+1,256)/10000)</f>
        <v>1E-4</v>
      </c>
      <c r="AV71" s="120">
        <f t="shared" ref="AV71:AV102" si="115">IF(AA71="  ",0+MID(AA$6,FIND("V",AA$6)+1,256)/10000,AA71+MID(AA$6,FIND("V",AA$6)+1,256)/10000)</f>
        <v>2.0000000000000001E-4</v>
      </c>
      <c r="AW71" s="120">
        <f t="shared" ref="AW71:AW102" si="116">IF(AB71="  ",0+MID(AB$6,FIND("V",AB$6)+1,256)/10000,AB71+MID(AB$6,FIND("V",AB$6)+1,256)/10000)</f>
        <v>2.9999999999999997E-4</v>
      </c>
      <c r="AX71" s="120">
        <f t="shared" ref="AX71:AX102" si="117">IF(AC71="  ",0+MID(AC$6,FIND("V",AC$6)+1,256)/10000,AC71+MID(AC$6,FIND("V",AC$6)+1,256)/10000)</f>
        <v>4.0000000000000002E-4</v>
      </c>
      <c r="AY71" s="120">
        <f t="shared" ref="AY71:AY102" si="118">IF(AD71="  ",0+MID(AD$6,FIND("V",AD$6)+1,256)/10000,AD71+MID(AD$6,FIND("V",AD$6)+1,256)/10000)</f>
        <v>5.0000000000000001E-4</v>
      </c>
      <c r="AZ71" s="120">
        <f t="shared" ref="AZ71:AZ102" si="119">IF(AE71="  ",0+MID(AE$6,FIND("V",AE$6)+1,256)/10000,AE71+MID(AE$6,FIND("V",AE$6)+1,256)/10000)</f>
        <v>5.9999999999999995E-4</v>
      </c>
      <c r="BA71" s="120">
        <f t="shared" ref="BA71:BA102" si="120">IF(AF71="  ",0+MID(AF$6,FIND("V",AF$6)+1,256)/10000,AF71+MID(AF$6,FIND("V",AF$6)+1,256)/10000)</f>
        <v>6.9999999999999999E-4</v>
      </c>
      <c r="BB71" s="120">
        <f t="shared" ref="BB71:BB102" si="121">IF(AG71="  ",0+MID(AG$6,FIND("V",AG$6)+1,256)/10000,AG71+MID(AG$6,FIND("V",AG$6)+1,256)/10000)</f>
        <v>8.0000000000000004E-4</v>
      </c>
      <c r="BC71" s="120">
        <f t="shared" ref="BC71:BC102" si="122">IF(AH71="  ",0+MID(AH$6,FIND("V",AH$6)+1,256)/10000,AH71+MID(AH$6,FIND("V",AH$6)+1,256)/10000)</f>
        <v>8.9999999999999998E-4</v>
      </c>
      <c r="BD71" s="120">
        <f t="shared" ref="BD71:BD102" si="123">IF(AI71="  ",0+MID(AI$6,FIND("V",AI$6)+1,256)/10000,AI71+MID(AI$6,FIND("V",AI$6)+1,256)/10000)</f>
        <v>1E-3</v>
      </c>
      <c r="BI71" s="1018" t="e">
        <f t="shared" ref="BI71:BI102" si="124">(LARGE(Z$7:Z$114,1)-Z71)/2+1</f>
        <v>#VALUE!</v>
      </c>
      <c r="BJ71" s="1018" t="e">
        <f t="shared" ref="BJ71:BJ102" si="125">(LARGE(AA$7:AA$114,1)-AA71)/2+1</f>
        <v>#VALUE!</v>
      </c>
      <c r="BK71" s="1018" t="e">
        <f t="shared" ref="BK71:BK102" si="126">(LARGE(AB$7:AB$114,1)-AB71)/2+1</f>
        <v>#VALUE!</v>
      </c>
      <c r="BL71" s="1018" t="e">
        <f t="shared" ref="BL71:BL102" si="127">(LARGE(AC$7:AC$114,1)-AC71)/2+1</f>
        <v>#VALUE!</v>
      </c>
      <c r="BM71" s="1018" t="e">
        <f t="shared" ref="BM71:BM102" si="128">(LARGE(AD$7:AD$114,1)-AD71)/2+1</f>
        <v>#VALUE!</v>
      </c>
      <c r="BN71" s="1018" t="e">
        <f t="shared" ref="BN71:BN102" si="129">(LARGE(AE$7:AE$114,1)-AE71)/2+1</f>
        <v>#VALUE!</v>
      </c>
      <c r="BO71" s="1018" t="e">
        <f t="shared" ref="BO71:BO102" si="130">(LARGE(AF$7:AF$114,1)-AF71)/2+1</f>
        <v>#VALUE!</v>
      </c>
      <c r="BP71" s="1018" t="e">
        <f t="shared" ref="BP71:BP102" si="131">(LARGE(AG$7:AG$114,1)-AG71)/2+1</f>
        <v>#VALUE!</v>
      </c>
      <c r="BQ71" s="1018" t="e">
        <f t="shared" ref="BQ71:BQ102" si="132">(LARGE(AH$7:AH$114,1)-AH71)/2+1</f>
        <v>#VALUE!</v>
      </c>
      <c r="BR71" s="1018" t="e">
        <f t="shared" ref="BR71:BR102" si="133">(LARGE(AI$7:AI$114,1)-AI71)/2+1</f>
        <v>#VALUE!</v>
      </c>
    </row>
    <row r="72" spans="1:70" ht="12.75" hidden="1" customHeight="1" x14ac:dyDescent="0.2">
      <c r="A72" s="647" t="str">
        <f t="shared" si="90"/>
        <v/>
      </c>
      <c r="B72" s="99">
        <f t="shared" si="91"/>
        <v>-892</v>
      </c>
      <c r="C72" s="409" t="str">
        <f t="shared" si="92"/>
        <v/>
      </c>
      <c r="D72" s="367">
        <f t="shared" si="93"/>
        <v>108</v>
      </c>
      <c r="E72" s="100" t="str">
        <f t="shared" si="94"/>
        <v/>
      </c>
      <c r="F72" s="99">
        <f t="shared" si="95"/>
        <v>108</v>
      </c>
      <c r="G72" s="101" t="str">
        <f t="shared" si="96"/>
        <v/>
      </c>
      <c r="H72" s="99">
        <f t="shared" si="97"/>
        <v>-892</v>
      </c>
      <c r="I72" s="102" t="str">
        <f t="shared" si="98"/>
        <v/>
      </c>
      <c r="J72" s="103">
        <f t="shared" si="99"/>
        <v>-892</v>
      </c>
      <c r="K72" s="71" t="str">
        <f t="shared" si="100"/>
        <v/>
      </c>
      <c r="L72" s="131" t="s">
        <v>157</v>
      </c>
      <c r="M72" s="105"/>
      <c r="N72" s="106" t="str">
        <f>IF(M72="","m","")</f>
        <v>m</v>
      </c>
      <c r="O72" s="107"/>
      <c r="P72" s="108" t="s">
        <v>317</v>
      </c>
      <c r="Q72" s="109"/>
      <c r="R72" s="110">
        <f>(IF(COUNT(Z72,AA72,AB72,AC72,AD72,AE72,AF72,AG72,AH72,AI72)&lt;10,SUM(Z72,AA72,AB72,AC72,AD72,AE72,AF72,AG72,AH72,AI72),SUM(LARGE((Z72,AA72,AB72,AC72,AD72,AE72,AF72,AG72,AH72,AI72),{1;2;3;4;5;6;7;8;9}))))</f>
        <v>0</v>
      </c>
      <c r="S72" s="111" t="str">
        <f>INDEX(ETAPP!B$1:B$32,MATCH(COUNTIF(BI72:BR72,1),ETAPP!A$1:A$32,0))&amp;INDEX(ETAPP!B$1:B$32,MATCH(COUNTIF(BI72:BR72,2),ETAPP!A$1:A$32,0))&amp;INDEX(ETAPP!B$1:B$32,MATCH(COUNTIF(BI72:BR72,3),ETAPP!A$1:A$32,0))&amp;INDEX(ETAPP!B$1:B$32,MATCH(COUNTIF(BI72:BR72,4),ETAPP!A$1:A$32,0))&amp;INDEX(ETAPP!B$1:B$32,MATCH(COUNTIF(BI72:BR72,5),ETAPP!A$1:A$32,0))&amp;INDEX(ETAPP!B$1:B$32,MATCH(COUNTIF(BI72:BR72,6),ETAPP!A$1:A$32,0))&amp;INDEX(ETAPP!B$1:B$32,MATCH(COUNTIF(BI72:BR72,7),ETAPP!A$1:A$32,0))&amp;INDEX(ETAPP!B$1:B$32,MATCH(COUNTIF(BI72:BR72,8),ETAPP!A$1:A$32,0))&amp;INDEX(ETAPP!B$1:B$32,MATCH(COUNTIF(BI72:BR72,9),ETAPP!A$1:A$32,0))&amp;INDEX(ETAPP!B$1:B$32,MATCH(COUNTIF(BI72:BR72,10),ETAPP!A$1:A$32,0))&amp;INDEX(ETAPP!B$1:B$32,MATCH(COUNTIF(BI72:BR72,11),ETAPP!A$1:A$32,0))&amp;INDEX(ETAPP!B$1:B$32,MATCH(COUNTIF(BI72:BR72,12),ETAPP!A$1:A$32,0))&amp;INDEX(ETAPP!B$1:B$32,MATCH(COUNTIF(BI72:BR72,13),ETAPP!A$1:A$32,0))&amp;INDEX(ETAPP!B$1:B$32,MATCH(COUNTIF(BI72:BR72,14),ETAPP!A$1:A$32,0))&amp;INDEX(ETAPP!B$1:B$32,MATCH(COUNTIF(BI72:BR72,15),ETAPP!A$1:A$32,0))&amp;INDEX(ETAPP!B$1:B$32,MATCH(COUNTIF(BI72:BR72,16),ETAPP!A$1:A$32,0))&amp;INDEX(ETAPP!B$1:B$32,MATCH(COUNTIF(BI72:BR72,17),ETAPP!A$1:A$32,0))&amp;INDEX(ETAPP!B$1:B$32,MATCH(COUNTIF(BI72:BR72,18),ETAPP!A$1:A$32,0))&amp;INDEX(ETAPP!B$1:B$32,MATCH(COUNTIF(BI72:BR72,19),ETAPP!A$1:A$32,0))&amp;INDEX(ETAPP!B$1:B$32,MATCH(COUNTIF(BI72:BR72,20),ETAPP!A$1:A$32,0))&amp;INDEX(ETAPP!B$1:B$32,MATCH(COUNTIF(BI72:BR72,21),ETAPP!A$1:A$32,0))</f>
        <v>000000000000000000000</v>
      </c>
      <c r="T72" s="111" t="str">
        <f t="shared" si="101"/>
        <v>000,0-000000000000000000000</v>
      </c>
      <c r="U72" s="111">
        <f t="shared" si="102"/>
        <v>108</v>
      </c>
      <c r="V72" s="111">
        <f t="shared" si="103"/>
        <v>79</v>
      </c>
      <c r="W72" s="111" t="str">
        <f t="shared" si="104"/>
        <v>000,0-000000000000000000000-079</v>
      </c>
      <c r="X72" s="111">
        <f t="shared" si="105"/>
        <v>66</v>
      </c>
      <c r="Y72" s="112">
        <f t="shared" si="106"/>
        <v>43</v>
      </c>
      <c r="Z72" s="113" t="str">
        <f>IFERROR(INDEX('V1'!C$300:C$400,MATCH("*"&amp;L72&amp;"*",'V1'!B$300:B$400,0)),"  ")</f>
        <v xml:space="preserve">  </v>
      </c>
      <c r="AA72" s="113" t="str">
        <f>IFERROR(INDEX('V2'!C$300:C$400,MATCH("*"&amp;L72&amp;"*",'V2'!B$300:B$400,0)),"  ")</f>
        <v xml:space="preserve">  </v>
      </c>
      <c r="AB72" s="113" t="str">
        <f>IFERROR(INDEX('V3'!C$300:C$400,MATCH("*"&amp;L72&amp;"*",'V3'!B$300:B$400,0)),"  ")</f>
        <v xml:space="preserve">  </v>
      </c>
      <c r="AC72" s="113" t="str">
        <f>IFERROR(INDEX('V4'!C$300:C$400,MATCH("*"&amp;L72&amp;"*",'V4'!B$300:B$400,0)),"  ")</f>
        <v xml:space="preserve">  </v>
      </c>
      <c r="AD72" s="113" t="str">
        <f>IFERROR(INDEX('V5'!C$300:C$400,MATCH("*"&amp;L72&amp;"*",'V5'!B$300:B$400,0)),"  ")</f>
        <v xml:space="preserve">  </v>
      </c>
      <c r="AE72" s="113" t="str">
        <f>IFERROR(INDEX('V6'!C$300:C$400,MATCH("*"&amp;L72&amp;"*",'V6'!B$300:B$400,0)),"  ")</f>
        <v xml:space="preserve">  </v>
      </c>
      <c r="AF72" s="113" t="str">
        <f>IFERROR(INDEX('V7'!C$300:C$400,MATCH("*"&amp;L72&amp;"*",'V7'!B$300:B$400,0)),"  ")</f>
        <v xml:space="preserve">  </v>
      </c>
      <c r="AG72" s="113" t="str">
        <f>IFERROR(INDEX('V8'!C$300:C$400,MATCH("*"&amp;L72&amp;"*",'V8'!B$300:B$400,0)),"  ")</f>
        <v xml:space="preserve">  </v>
      </c>
      <c r="AH72" s="113" t="str">
        <f>IFERROR(INDEX('V9'!C$300:C$399,MATCH("*"&amp;L72&amp;"*",'V9'!B$300:B$399,0)),"  ")</f>
        <v xml:space="preserve">  </v>
      </c>
      <c r="AI72" s="113" t="str">
        <f>IFERROR(INDEX('V10'!C$300:C$399,MATCH("*"&amp;L72&amp;"*",'V10'!B$300:B$399,0)),"  ")</f>
        <v xml:space="preserve">  </v>
      </c>
      <c r="AJ72" s="114" t="str">
        <f t="shared" si="107"/>
        <v/>
      </c>
      <c r="AK72" s="404">
        <f t="shared" si="108"/>
        <v>0</v>
      </c>
      <c r="AL72" s="115" t="str">
        <f t="shared" si="109"/>
        <v/>
      </c>
      <c r="AM72" s="116" t="str">
        <f>IFERROR(INDEX(#REF!,MATCH("*"&amp;L72&amp;"*",#REF!,0)),"  ")</f>
        <v xml:space="preserve">  </v>
      </c>
      <c r="AN72" s="117">
        <f t="shared" si="110"/>
        <v>0</v>
      </c>
      <c r="AO72" s="118">
        <f t="shared" si="111"/>
        <v>0</v>
      </c>
      <c r="AP72" s="118">
        <f t="shared" si="112"/>
        <v>0</v>
      </c>
      <c r="AQ72" s="49"/>
      <c r="AR72" s="1"/>
      <c r="AS72" s="1"/>
      <c r="AT72" s="119">
        <f t="shared" si="113"/>
        <v>1E-4</v>
      </c>
      <c r="AU72" s="120">
        <f t="shared" si="114"/>
        <v>1E-4</v>
      </c>
      <c r="AV72" s="120">
        <f t="shared" si="115"/>
        <v>2.0000000000000001E-4</v>
      </c>
      <c r="AW72" s="120">
        <f t="shared" si="116"/>
        <v>2.9999999999999997E-4</v>
      </c>
      <c r="AX72" s="120">
        <f t="shared" si="117"/>
        <v>4.0000000000000002E-4</v>
      </c>
      <c r="AY72" s="120">
        <f t="shared" si="118"/>
        <v>5.0000000000000001E-4</v>
      </c>
      <c r="AZ72" s="120">
        <f t="shared" si="119"/>
        <v>5.9999999999999995E-4</v>
      </c>
      <c r="BA72" s="120">
        <f t="shared" si="120"/>
        <v>6.9999999999999999E-4</v>
      </c>
      <c r="BB72" s="120">
        <f t="shared" si="121"/>
        <v>8.0000000000000004E-4</v>
      </c>
      <c r="BC72" s="120">
        <f t="shared" si="122"/>
        <v>8.9999999999999998E-4</v>
      </c>
      <c r="BD72" s="120">
        <f t="shared" si="123"/>
        <v>1E-3</v>
      </c>
      <c r="BI72" s="1018" t="e">
        <f t="shared" si="124"/>
        <v>#VALUE!</v>
      </c>
      <c r="BJ72" s="1018" t="e">
        <f t="shared" si="125"/>
        <v>#VALUE!</v>
      </c>
      <c r="BK72" s="1018" t="e">
        <f t="shared" si="126"/>
        <v>#VALUE!</v>
      </c>
      <c r="BL72" s="1018" t="e">
        <f t="shared" si="127"/>
        <v>#VALUE!</v>
      </c>
      <c r="BM72" s="1018" t="e">
        <f t="shared" si="128"/>
        <v>#VALUE!</v>
      </c>
      <c r="BN72" s="1018" t="e">
        <f t="shared" si="129"/>
        <v>#VALUE!</v>
      </c>
      <c r="BO72" s="1018" t="e">
        <f t="shared" si="130"/>
        <v>#VALUE!</v>
      </c>
      <c r="BP72" s="1018" t="e">
        <f t="shared" si="131"/>
        <v>#VALUE!</v>
      </c>
      <c r="BQ72" s="1018" t="e">
        <f t="shared" si="132"/>
        <v>#VALUE!</v>
      </c>
      <c r="BR72" s="1018" t="e">
        <f t="shared" si="133"/>
        <v>#VALUE!</v>
      </c>
    </row>
    <row r="73" spans="1:70" ht="12.75" hidden="1" customHeight="1" x14ac:dyDescent="0.2">
      <c r="A73" s="647" t="str">
        <f t="shared" si="90"/>
        <v/>
      </c>
      <c r="B73" s="99">
        <f t="shared" si="91"/>
        <v>-892</v>
      </c>
      <c r="C73" s="409" t="str">
        <f t="shared" si="92"/>
        <v/>
      </c>
      <c r="D73" s="367">
        <f t="shared" si="93"/>
        <v>-892</v>
      </c>
      <c r="E73" s="100" t="str">
        <f t="shared" si="94"/>
        <v/>
      </c>
      <c r="F73" s="99">
        <f t="shared" si="95"/>
        <v>-892</v>
      </c>
      <c r="G73" s="101" t="str">
        <f t="shared" si="96"/>
        <v/>
      </c>
      <c r="H73" s="99">
        <f t="shared" si="97"/>
        <v>108</v>
      </c>
      <c r="I73" s="102" t="str">
        <f t="shared" si="98"/>
        <v/>
      </c>
      <c r="J73" s="103">
        <f t="shared" si="99"/>
        <v>-892</v>
      </c>
      <c r="K73" s="71" t="str">
        <f t="shared" si="100"/>
        <v/>
      </c>
      <c r="L73" s="121" t="s">
        <v>330</v>
      </c>
      <c r="M73" s="105" t="s">
        <v>110</v>
      </c>
      <c r="N73" s="106"/>
      <c r="O73" s="107"/>
      <c r="P73" s="108"/>
      <c r="Q73" s="109" t="s">
        <v>346</v>
      </c>
      <c r="R73" s="110">
        <f>(IF(COUNT(Z73,AA73,AB73,AC73,AD73,AE73,AF73,AG73,AH73,AI73)&lt;10,SUM(Z73,AA73,AB73,AC73,AD73,AE73,AF73,AG73,AH73,AI73),SUM(LARGE((Z73,AA73,AB73,AC73,AD73,AE73,AF73,AG73,AH73,AI73),{1;2;3;4;5;6;7;8;9}))))</f>
        <v>0</v>
      </c>
      <c r="S73" s="111" t="str">
        <f>INDEX(ETAPP!B$1:B$32,MATCH(COUNTIF(BI73:BR73,1),ETAPP!A$1:A$32,0))&amp;INDEX(ETAPP!B$1:B$32,MATCH(COUNTIF(BI73:BR73,2),ETAPP!A$1:A$32,0))&amp;INDEX(ETAPP!B$1:B$32,MATCH(COUNTIF(BI73:BR73,3),ETAPP!A$1:A$32,0))&amp;INDEX(ETAPP!B$1:B$32,MATCH(COUNTIF(BI73:BR73,4),ETAPP!A$1:A$32,0))&amp;INDEX(ETAPP!B$1:B$32,MATCH(COUNTIF(BI73:BR73,5),ETAPP!A$1:A$32,0))&amp;INDEX(ETAPP!B$1:B$32,MATCH(COUNTIF(BI73:BR73,6),ETAPP!A$1:A$32,0))&amp;INDEX(ETAPP!B$1:B$32,MATCH(COUNTIF(BI73:BR73,7),ETAPP!A$1:A$32,0))&amp;INDEX(ETAPP!B$1:B$32,MATCH(COUNTIF(BI73:BR73,8),ETAPP!A$1:A$32,0))&amp;INDEX(ETAPP!B$1:B$32,MATCH(COUNTIF(BI73:BR73,9),ETAPP!A$1:A$32,0))&amp;INDEX(ETAPP!B$1:B$32,MATCH(COUNTIF(BI73:BR73,10),ETAPP!A$1:A$32,0))&amp;INDEX(ETAPP!B$1:B$32,MATCH(COUNTIF(BI73:BR73,11),ETAPP!A$1:A$32,0))&amp;INDEX(ETAPP!B$1:B$32,MATCH(COUNTIF(BI73:BR73,12),ETAPP!A$1:A$32,0))&amp;INDEX(ETAPP!B$1:B$32,MATCH(COUNTIF(BI73:BR73,13),ETAPP!A$1:A$32,0))&amp;INDEX(ETAPP!B$1:B$32,MATCH(COUNTIF(BI73:BR73,14),ETAPP!A$1:A$32,0))&amp;INDEX(ETAPP!B$1:B$32,MATCH(COUNTIF(BI73:BR73,15),ETAPP!A$1:A$32,0))&amp;INDEX(ETAPP!B$1:B$32,MATCH(COUNTIF(BI73:BR73,16),ETAPP!A$1:A$32,0))&amp;INDEX(ETAPP!B$1:B$32,MATCH(COUNTIF(BI73:BR73,17),ETAPP!A$1:A$32,0))&amp;INDEX(ETAPP!B$1:B$32,MATCH(COUNTIF(BI73:BR73,18),ETAPP!A$1:A$32,0))&amp;INDEX(ETAPP!B$1:B$32,MATCH(COUNTIF(BI73:BR73,19),ETAPP!A$1:A$32,0))&amp;INDEX(ETAPP!B$1:B$32,MATCH(COUNTIF(BI73:BR73,20),ETAPP!A$1:A$32,0))&amp;INDEX(ETAPP!B$1:B$32,MATCH(COUNTIF(BI73:BR73,21),ETAPP!A$1:A$32,0))</f>
        <v>000000000000000000000</v>
      </c>
      <c r="T73" s="111" t="str">
        <f t="shared" si="101"/>
        <v>000,0-000000000000000000000</v>
      </c>
      <c r="U73" s="111">
        <f t="shared" si="102"/>
        <v>108</v>
      </c>
      <c r="V73" s="111">
        <f t="shared" si="103"/>
        <v>76</v>
      </c>
      <c r="W73" s="111" t="str">
        <f t="shared" si="104"/>
        <v>000,0-000000000000000000000-076</v>
      </c>
      <c r="X73" s="111">
        <f t="shared" si="105"/>
        <v>67</v>
      </c>
      <c r="Y73" s="112">
        <f t="shared" si="106"/>
        <v>42</v>
      </c>
      <c r="Z73" s="113" t="str">
        <f>IFERROR(INDEX('V1'!C$300:C$400,MATCH("*"&amp;L73&amp;"*",'V1'!B$300:B$400,0)),"  ")</f>
        <v xml:space="preserve">  </v>
      </c>
      <c r="AA73" s="113" t="str">
        <f>IFERROR(INDEX('V2'!C$300:C$400,MATCH("*"&amp;L73&amp;"*",'V2'!B$300:B$400,0)),"  ")</f>
        <v xml:space="preserve">  </v>
      </c>
      <c r="AB73" s="113" t="str">
        <f>IFERROR(INDEX('V3'!C$300:C$400,MATCH("*"&amp;L73&amp;"*",'V3'!B$300:B$400,0)),"  ")</f>
        <v xml:space="preserve">  </v>
      </c>
      <c r="AC73" s="113" t="str">
        <f>IFERROR(INDEX('V4'!C$300:C$400,MATCH("*"&amp;L73&amp;"*",'V4'!B$300:B$400,0)),"  ")</f>
        <v xml:space="preserve">  </v>
      </c>
      <c r="AD73" s="113" t="str">
        <f>IFERROR(INDEX('V5'!C$300:C$400,MATCH("*"&amp;L73&amp;"*",'V5'!B$300:B$400,0)),"  ")</f>
        <v xml:space="preserve">  </v>
      </c>
      <c r="AE73" s="113" t="str">
        <f>IFERROR(INDEX('V6'!C$300:C$400,MATCH("*"&amp;L73&amp;"*",'V6'!B$300:B$400,0)),"  ")</f>
        <v xml:space="preserve">  </v>
      </c>
      <c r="AF73" s="113" t="str">
        <f>IFERROR(INDEX('V7'!C$300:C$400,MATCH("*"&amp;L73&amp;"*",'V7'!B$300:B$400,0)),"  ")</f>
        <v xml:space="preserve">  </v>
      </c>
      <c r="AG73" s="113" t="str">
        <f>IFERROR(INDEX('V8'!C$300:C$400,MATCH("*"&amp;L73&amp;"*",'V8'!B$300:B$400,0)),"  ")</f>
        <v xml:space="preserve">  </v>
      </c>
      <c r="AH73" s="113" t="str">
        <f>IFERROR(INDEX('V9'!C$300:C$399,MATCH("*"&amp;L73&amp;"*",'V9'!B$300:B$399,0)),"  ")</f>
        <v xml:space="preserve">  </v>
      </c>
      <c r="AI73" s="113" t="str">
        <f>IFERROR(INDEX('V10'!C$300:C$399,MATCH("*"&amp;L73&amp;"*",'V10'!B$300:B$399,0)),"  ")</f>
        <v xml:space="preserve">  </v>
      </c>
      <c r="AJ73" s="114" t="str">
        <f t="shared" si="107"/>
        <v/>
      </c>
      <c r="AK73" s="404">
        <f t="shared" si="108"/>
        <v>0</v>
      </c>
      <c r="AL73" s="115" t="str">
        <f t="shared" si="109"/>
        <v/>
      </c>
      <c r="AM73" s="116" t="str">
        <f>IFERROR(INDEX(#REF!,MATCH("*"&amp;L73&amp;"*",#REF!,0)),"  ")</f>
        <v xml:space="preserve">  </v>
      </c>
      <c r="AN73" s="117">
        <f t="shared" si="110"/>
        <v>0</v>
      </c>
      <c r="AO73" s="118">
        <f t="shared" si="111"/>
        <v>0</v>
      </c>
      <c r="AP73" s="118">
        <f t="shared" si="112"/>
        <v>0</v>
      </c>
      <c r="AQ73" s="49"/>
      <c r="AR73" s="1"/>
      <c r="AS73" s="1"/>
      <c r="AT73" s="119">
        <f t="shared" si="113"/>
        <v>1E-4</v>
      </c>
      <c r="AU73" s="120">
        <f t="shared" si="114"/>
        <v>1E-4</v>
      </c>
      <c r="AV73" s="120">
        <f t="shared" si="115"/>
        <v>2.0000000000000001E-4</v>
      </c>
      <c r="AW73" s="120">
        <f t="shared" si="116"/>
        <v>2.9999999999999997E-4</v>
      </c>
      <c r="AX73" s="120">
        <f t="shared" si="117"/>
        <v>4.0000000000000002E-4</v>
      </c>
      <c r="AY73" s="120">
        <f t="shared" si="118"/>
        <v>5.0000000000000001E-4</v>
      </c>
      <c r="AZ73" s="120">
        <f t="shared" si="119"/>
        <v>5.9999999999999995E-4</v>
      </c>
      <c r="BA73" s="120">
        <f t="shared" si="120"/>
        <v>6.9999999999999999E-4</v>
      </c>
      <c r="BB73" s="120">
        <f t="shared" si="121"/>
        <v>8.0000000000000004E-4</v>
      </c>
      <c r="BC73" s="120">
        <f t="shared" si="122"/>
        <v>8.9999999999999998E-4</v>
      </c>
      <c r="BD73" s="120">
        <f t="shared" si="123"/>
        <v>1E-3</v>
      </c>
      <c r="BI73" s="1018" t="e">
        <f t="shared" si="124"/>
        <v>#VALUE!</v>
      </c>
      <c r="BJ73" s="1018" t="e">
        <f t="shared" si="125"/>
        <v>#VALUE!</v>
      </c>
      <c r="BK73" s="1018" t="e">
        <f t="shared" si="126"/>
        <v>#VALUE!</v>
      </c>
      <c r="BL73" s="1018" t="e">
        <f t="shared" si="127"/>
        <v>#VALUE!</v>
      </c>
      <c r="BM73" s="1018" t="e">
        <f t="shared" si="128"/>
        <v>#VALUE!</v>
      </c>
      <c r="BN73" s="1018" t="e">
        <f t="shared" si="129"/>
        <v>#VALUE!</v>
      </c>
      <c r="BO73" s="1018" t="e">
        <f t="shared" si="130"/>
        <v>#VALUE!</v>
      </c>
      <c r="BP73" s="1018" t="e">
        <f t="shared" si="131"/>
        <v>#VALUE!</v>
      </c>
      <c r="BQ73" s="1018" t="e">
        <f t="shared" si="132"/>
        <v>#VALUE!</v>
      </c>
      <c r="BR73" s="1018" t="e">
        <f t="shared" si="133"/>
        <v>#VALUE!</v>
      </c>
    </row>
    <row r="74" spans="1:70" ht="12.75" hidden="1" customHeight="1" x14ac:dyDescent="0.2">
      <c r="A74" s="647" t="str">
        <f t="shared" si="90"/>
        <v/>
      </c>
      <c r="B74" s="99">
        <f t="shared" si="91"/>
        <v>-892</v>
      </c>
      <c r="C74" s="409" t="str">
        <f t="shared" si="92"/>
        <v/>
      </c>
      <c r="D74" s="367">
        <f t="shared" si="93"/>
        <v>-892</v>
      </c>
      <c r="E74" s="100" t="str">
        <f t="shared" si="94"/>
        <v/>
      </c>
      <c r="F74" s="99">
        <f t="shared" si="95"/>
        <v>108</v>
      </c>
      <c r="G74" s="101" t="str">
        <f t="shared" si="96"/>
        <v/>
      </c>
      <c r="H74" s="99">
        <f t="shared" si="97"/>
        <v>-892</v>
      </c>
      <c r="I74" s="102" t="str">
        <f t="shared" si="98"/>
        <v/>
      </c>
      <c r="J74" s="103">
        <f t="shared" si="99"/>
        <v>-892</v>
      </c>
      <c r="K74" s="71" t="str">
        <f t="shared" si="100"/>
        <v/>
      </c>
      <c r="L74" s="123" t="s">
        <v>61</v>
      </c>
      <c r="M74" s="105"/>
      <c r="N74" s="106" t="str">
        <f>IF(M74="","m","")</f>
        <v>m</v>
      </c>
      <c r="O74" s="107"/>
      <c r="P74" s="108"/>
      <c r="Q74" s="109" t="s">
        <v>344</v>
      </c>
      <c r="R74" s="110">
        <f>(IF(COUNT(Z74,AA74,AB74,AC74,AD74,AE74,AF74,AG74,AH74,AI74)&lt;10,SUM(Z74,AA74,AB74,AC74,AD74,AE74,AF74,AG74,AH74,AI74),SUM(LARGE((Z74,AA74,AB74,AC74,AD74,AE74,AF74,AG74,AH74,AI74),{1;2;3;4;5;6;7;8;9}))))</f>
        <v>0</v>
      </c>
      <c r="S74" s="111" t="str">
        <f>INDEX(ETAPP!B$1:B$32,MATCH(COUNTIF(BI74:BR74,1),ETAPP!A$1:A$32,0))&amp;INDEX(ETAPP!B$1:B$32,MATCH(COUNTIF(BI74:BR74,2),ETAPP!A$1:A$32,0))&amp;INDEX(ETAPP!B$1:B$32,MATCH(COUNTIF(BI74:BR74,3),ETAPP!A$1:A$32,0))&amp;INDEX(ETAPP!B$1:B$32,MATCH(COUNTIF(BI74:BR74,4),ETAPP!A$1:A$32,0))&amp;INDEX(ETAPP!B$1:B$32,MATCH(COUNTIF(BI74:BR74,5),ETAPP!A$1:A$32,0))&amp;INDEX(ETAPP!B$1:B$32,MATCH(COUNTIF(BI74:BR74,6),ETAPP!A$1:A$32,0))&amp;INDEX(ETAPP!B$1:B$32,MATCH(COUNTIF(BI74:BR74,7),ETAPP!A$1:A$32,0))&amp;INDEX(ETAPP!B$1:B$32,MATCH(COUNTIF(BI74:BR74,8),ETAPP!A$1:A$32,0))&amp;INDEX(ETAPP!B$1:B$32,MATCH(COUNTIF(BI74:BR74,9),ETAPP!A$1:A$32,0))&amp;INDEX(ETAPP!B$1:B$32,MATCH(COUNTIF(BI74:BR74,10),ETAPP!A$1:A$32,0))&amp;INDEX(ETAPP!B$1:B$32,MATCH(COUNTIF(BI74:BR74,11),ETAPP!A$1:A$32,0))&amp;INDEX(ETAPP!B$1:B$32,MATCH(COUNTIF(BI74:BR74,12),ETAPP!A$1:A$32,0))&amp;INDEX(ETAPP!B$1:B$32,MATCH(COUNTIF(BI74:BR74,13),ETAPP!A$1:A$32,0))&amp;INDEX(ETAPP!B$1:B$32,MATCH(COUNTIF(BI74:BR74,14),ETAPP!A$1:A$32,0))&amp;INDEX(ETAPP!B$1:B$32,MATCH(COUNTIF(BI74:BR74,15),ETAPP!A$1:A$32,0))&amp;INDEX(ETAPP!B$1:B$32,MATCH(COUNTIF(BI74:BR74,16),ETAPP!A$1:A$32,0))&amp;INDEX(ETAPP!B$1:B$32,MATCH(COUNTIF(BI74:BR74,17),ETAPP!A$1:A$32,0))&amp;INDEX(ETAPP!B$1:B$32,MATCH(COUNTIF(BI74:BR74,18),ETAPP!A$1:A$32,0))&amp;INDEX(ETAPP!B$1:B$32,MATCH(COUNTIF(BI74:BR74,19),ETAPP!A$1:A$32,0))&amp;INDEX(ETAPP!B$1:B$32,MATCH(COUNTIF(BI74:BR74,20),ETAPP!A$1:A$32,0))&amp;INDEX(ETAPP!B$1:B$32,MATCH(COUNTIF(BI74:BR74,21),ETAPP!A$1:A$32,0))</f>
        <v>000000000000000000000</v>
      </c>
      <c r="T74" s="111" t="str">
        <f t="shared" si="101"/>
        <v>000,0-000000000000000000000</v>
      </c>
      <c r="U74" s="111">
        <f t="shared" si="102"/>
        <v>108</v>
      </c>
      <c r="V74" s="111">
        <f t="shared" si="103"/>
        <v>72</v>
      </c>
      <c r="W74" s="111" t="str">
        <f t="shared" si="104"/>
        <v>000,0-000000000000000000000-072</v>
      </c>
      <c r="X74" s="111">
        <f t="shared" si="105"/>
        <v>68</v>
      </c>
      <c r="Y74" s="112">
        <f t="shared" si="106"/>
        <v>41</v>
      </c>
      <c r="Z74" s="113" t="str">
        <f>IFERROR(INDEX('V1'!C$300:C$400,MATCH("*"&amp;L74&amp;"*",'V1'!B$300:B$400,0)),"  ")</f>
        <v xml:space="preserve">  </v>
      </c>
      <c r="AA74" s="113" t="str">
        <f>IFERROR(INDEX('V2'!C$300:C$400,MATCH("*"&amp;L74&amp;"*",'V2'!B$300:B$400,0)),"  ")</f>
        <v xml:space="preserve">  </v>
      </c>
      <c r="AB74" s="113" t="str">
        <f>IFERROR(INDEX('V3'!C$300:C$400,MATCH("*"&amp;L74&amp;"*",'V3'!B$300:B$400,0)),"  ")</f>
        <v xml:space="preserve">  </v>
      </c>
      <c r="AC74" s="113" t="str">
        <f>IFERROR(INDEX('V4'!C$300:C$400,MATCH("*"&amp;L74&amp;"*",'V4'!B$300:B$400,0)),"  ")</f>
        <v xml:space="preserve">  </v>
      </c>
      <c r="AD74" s="113" t="str">
        <f>IFERROR(INDEX('V5'!C$300:C$400,MATCH("*"&amp;L74&amp;"*",'V5'!B$300:B$400,0)),"  ")</f>
        <v xml:space="preserve">  </v>
      </c>
      <c r="AE74" s="113" t="str">
        <f>IFERROR(INDEX('V6'!C$300:C$400,MATCH("*"&amp;L74&amp;"*",'V6'!B$300:B$400,0)),"  ")</f>
        <v xml:space="preserve">  </v>
      </c>
      <c r="AF74" s="113" t="str">
        <f>IFERROR(INDEX('V7'!C$300:C$400,MATCH("*"&amp;L74&amp;"*",'V7'!B$300:B$400,0)),"  ")</f>
        <v xml:space="preserve">  </v>
      </c>
      <c r="AG74" s="113" t="str">
        <f>IFERROR(INDEX('V8'!C$300:C$400,MATCH("*"&amp;L74&amp;"*",'V8'!B$300:B$400,0)),"  ")</f>
        <v xml:space="preserve">  </v>
      </c>
      <c r="AH74" s="113" t="str">
        <f>IFERROR(INDEX('V9'!C$300:C$399,MATCH("*"&amp;L74&amp;"*",'V9'!B$300:B$399,0)),"  ")</f>
        <v xml:space="preserve">  </v>
      </c>
      <c r="AI74" s="113" t="str">
        <f>IFERROR(INDEX('V10'!C$300:C$399,MATCH("*"&amp;L74&amp;"*",'V10'!B$300:B$399,0)),"  ")</f>
        <v xml:space="preserve">  </v>
      </c>
      <c r="AJ74" s="114" t="str">
        <f t="shared" si="107"/>
        <v/>
      </c>
      <c r="AK74" s="404">
        <f t="shared" si="108"/>
        <v>0</v>
      </c>
      <c r="AL74" s="115" t="str">
        <f t="shared" si="109"/>
        <v/>
      </c>
      <c r="AM74" s="116" t="str">
        <f>IFERROR(INDEX(#REF!,MATCH("*"&amp;L74&amp;"*",#REF!,0)),"  ")</f>
        <v xml:space="preserve">  </v>
      </c>
      <c r="AN74" s="117">
        <f t="shared" si="110"/>
        <v>0</v>
      </c>
      <c r="AO74" s="118">
        <f t="shared" si="111"/>
        <v>0</v>
      </c>
      <c r="AP74" s="118">
        <f t="shared" si="112"/>
        <v>0</v>
      </c>
      <c r="AQ74" s="122"/>
      <c r="AR74" s="1"/>
      <c r="AS74" s="1"/>
      <c r="AT74" s="119">
        <f t="shared" si="113"/>
        <v>1E-4</v>
      </c>
      <c r="AU74" s="120">
        <f t="shared" si="114"/>
        <v>1E-4</v>
      </c>
      <c r="AV74" s="120">
        <f t="shared" si="115"/>
        <v>2.0000000000000001E-4</v>
      </c>
      <c r="AW74" s="120">
        <f t="shared" si="116"/>
        <v>2.9999999999999997E-4</v>
      </c>
      <c r="AX74" s="120">
        <f t="shared" si="117"/>
        <v>4.0000000000000002E-4</v>
      </c>
      <c r="AY74" s="120">
        <f t="shared" si="118"/>
        <v>5.0000000000000001E-4</v>
      </c>
      <c r="AZ74" s="120">
        <f t="shared" si="119"/>
        <v>5.9999999999999995E-4</v>
      </c>
      <c r="BA74" s="120">
        <f t="shared" si="120"/>
        <v>6.9999999999999999E-4</v>
      </c>
      <c r="BB74" s="120">
        <f t="shared" si="121"/>
        <v>8.0000000000000004E-4</v>
      </c>
      <c r="BC74" s="120">
        <f t="shared" si="122"/>
        <v>8.9999999999999998E-4</v>
      </c>
      <c r="BD74" s="120">
        <f t="shared" si="123"/>
        <v>1E-3</v>
      </c>
      <c r="BI74" s="1018" t="e">
        <f t="shared" si="124"/>
        <v>#VALUE!</v>
      </c>
      <c r="BJ74" s="1018" t="e">
        <f t="shared" si="125"/>
        <v>#VALUE!</v>
      </c>
      <c r="BK74" s="1018" t="e">
        <f t="shared" si="126"/>
        <v>#VALUE!</v>
      </c>
      <c r="BL74" s="1018" t="e">
        <f t="shared" si="127"/>
        <v>#VALUE!</v>
      </c>
      <c r="BM74" s="1018" t="e">
        <f t="shared" si="128"/>
        <v>#VALUE!</v>
      </c>
      <c r="BN74" s="1018" t="e">
        <f t="shared" si="129"/>
        <v>#VALUE!</v>
      </c>
      <c r="BO74" s="1018" t="e">
        <f t="shared" si="130"/>
        <v>#VALUE!</v>
      </c>
      <c r="BP74" s="1018" t="e">
        <f t="shared" si="131"/>
        <v>#VALUE!</v>
      </c>
      <c r="BQ74" s="1018" t="e">
        <f t="shared" si="132"/>
        <v>#VALUE!</v>
      </c>
      <c r="BR74" s="1018" t="e">
        <f t="shared" si="133"/>
        <v>#VALUE!</v>
      </c>
    </row>
    <row r="75" spans="1:70" ht="12.75" hidden="1" customHeight="1" x14ac:dyDescent="0.2">
      <c r="A75" s="647" t="str">
        <f t="shared" si="90"/>
        <v/>
      </c>
      <c r="B75" s="99">
        <f t="shared" si="91"/>
        <v>108</v>
      </c>
      <c r="C75" s="409" t="str">
        <f t="shared" si="92"/>
        <v/>
      </c>
      <c r="D75" s="367">
        <f t="shared" si="93"/>
        <v>108</v>
      </c>
      <c r="E75" s="100" t="str">
        <f t="shared" si="94"/>
        <v/>
      </c>
      <c r="F75" s="99">
        <f t="shared" si="95"/>
        <v>108</v>
      </c>
      <c r="G75" s="101" t="str">
        <f t="shared" si="96"/>
        <v/>
      </c>
      <c r="H75" s="99">
        <f t="shared" si="97"/>
        <v>-892</v>
      </c>
      <c r="I75" s="102" t="str">
        <f t="shared" si="98"/>
        <v/>
      </c>
      <c r="J75" s="103">
        <f t="shared" si="99"/>
        <v>-892</v>
      </c>
      <c r="K75" s="71" t="str">
        <f t="shared" si="100"/>
        <v/>
      </c>
      <c r="L75" s="123" t="s">
        <v>158</v>
      </c>
      <c r="M75" s="105"/>
      <c r="N75" s="106" t="str">
        <f>IF(M75="","m","")</f>
        <v>m</v>
      </c>
      <c r="O75" s="107"/>
      <c r="P75" s="108" t="s">
        <v>317</v>
      </c>
      <c r="Q75" s="109" t="s">
        <v>88</v>
      </c>
      <c r="R75" s="110">
        <f>(IF(COUNT(Z75,AA75,AB75,AC75,AD75,AE75,AF75,AG75,AH75,AI75)&lt;10,SUM(Z75,AA75,AB75,AC75,AD75,AE75,AF75,AG75,AH75,AI75),SUM(LARGE((Z75,AA75,AB75,AC75,AD75,AE75,AF75,AG75,AH75,AI75),{1;2;3;4;5;6;7;8;9}))))</f>
        <v>0</v>
      </c>
      <c r="S75" s="111" t="str">
        <f>INDEX(ETAPP!B$1:B$32,MATCH(COUNTIF(BI75:BR75,1),ETAPP!A$1:A$32,0))&amp;INDEX(ETAPP!B$1:B$32,MATCH(COUNTIF(BI75:BR75,2),ETAPP!A$1:A$32,0))&amp;INDEX(ETAPP!B$1:B$32,MATCH(COUNTIF(BI75:BR75,3),ETAPP!A$1:A$32,0))&amp;INDEX(ETAPP!B$1:B$32,MATCH(COUNTIF(BI75:BR75,4),ETAPP!A$1:A$32,0))&amp;INDEX(ETAPP!B$1:B$32,MATCH(COUNTIF(BI75:BR75,5),ETAPP!A$1:A$32,0))&amp;INDEX(ETAPP!B$1:B$32,MATCH(COUNTIF(BI75:BR75,6),ETAPP!A$1:A$32,0))&amp;INDEX(ETAPP!B$1:B$32,MATCH(COUNTIF(BI75:BR75,7),ETAPP!A$1:A$32,0))&amp;INDEX(ETAPP!B$1:B$32,MATCH(COUNTIF(BI75:BR75,8),ETAPP!A$1:A$32,0))&amp;INDEX(ETAPP!B$1:B$32,MATCH(COUNTIF(BI75:BR75,9),ETAPP!A$1:A$32,0))&amp;INDEX(ETAPP!B$1:B$32,MATCH(COUNTIF(BI75:BR75,10),ETAPP!A$1:A$32,0))&amp;INDEX(ETAPP!B$1:B$32,MATCH(COUNTIF(BI75:BR75,11),ETAPP!A$1:A$32,0))&amp;INDEX(ETAPP!B$1:B$32,MATCH(COUNTIF(BI75:BR75,12),ETAPP!A$1:A$32,0))&amp;INDEX(ETAPP!B$1:B$32,MATCH(COUNTIF(BI75:BR75,13),ETAPP!A$1:A$32,0))&amp;INDEX(ETAPP!B$1:B$32,MATCH(COUNTIF(BI75:BR75,14),ETAPP!A$1:A$32,0))&amp;INDEX(ETAPP!B$1:B$32,MATCH(COUNTIF(BI75:BR75,15),ETAPP!A$1:A$32,0))&amp;INDEX(ETAPP!B$1:B$32,MATCH(COUNTIF(BI75:BR75,16),ETAPP!A$1:A$32,0))&amp;INDEX(ETAPP!B$1:B$32,MATCH(COUNTIF(BI75:BR75,17),ETAPP!A$1:A$32,0))&amp;INDEX(ETAPP!B$1:B$32,MATCH(COUNTIF(BI75:BR75,18),ETAPP!A$1:A$32,0))&amp;INDEX(ETAPP!B$1:B$32,MATCH(COUNTIF(BI75:BR75,19),ETAPP!A$1:A$32,0))&amp;INDEX(ETAPP!B$1:B$32,MATCH(COUNTIF(BI75:BR75,20),ETAPP!A$1:A$32,0))&amp;INDEX(ETAPP!B$1:B$32,MATCH(COUNTIF(BI75:BR75,21),ETAPP!A$1:A$32,0))</f>
        <v>000000000000000000000</v>
      </c>
      <c r="T75" s="111" t="str">
        <f t="shared" si="101"/>
        <v>000,0-000000000000000000000</v>
      </c>
      <c r="U75" s="111">
        <f t="shared" si="102"/>
        <v>108</v>
      </c>
      <c r="V75" s="111">
        <f t="shared" si="103"/>
        <v>71</v>
      </c>
      <c r="W75" s="111" t="str">
        <f t="shared" si="104"/>
        <v>000,0-000000000000000000000-071</v>
      </c>
      <c r="X75" s="111">
        <f t="shared" si="105"/>
        <v>69</v>
      </c>
      <c r="Y75" s="112">
        <f t="shared" si="106"/>
        <v>40</v>
      </c>
      <c r="Z75" s="113" t="str">
        <f>IFERROR(INDEX('V1'!C$300:C$400,MATCH("*"&amp;L75&amp;"*",'V1'!B$300:B$400,0)),"  ")</f>
        <v xml:space="preserve">  </v>
      </c>
      <c r="AA75" s="113" t="str">
        <f>IFERROR(INDEX('V2'!C$300:C$400,MATCH("*"&amp;L75&amp;"*",'V2'!B$300:B$400,0)),"  ")</f>
        <v xml:space="preserve">  </v>
      </c>
      <c r="AB75" s="113" t="str">
        <f>IFERROR(INDEX('V3'!C$300:C$400,MATCH("*"&amp;L75&amp;"*",'V3'!B$300:B$400,0)),"  ")</f>
        <v xml:space="preserve">  </v>
      </c>
      <c r="AC75" s="113" t="str">
        <f>IFERROR(INDEX('V4'!C$300:C$400,MATCH("*"&amp;L75&amp;"*",'V4'!B$300:B$400,0)),"  ")</f>
        <v xml:space="preserve">  </v>
      </c>
      <c r="AD75" s="113" t="str">
        <f>IFERROR(INDEX('V5'!C$300:C$400,MATCH("*"&amp;L75&amp;"*",'V5'!B$300:B$400,0)),"  ")</f>
        <v xml:space="preserve">  </v>
      </c>
      <c r="AE75" s="113" t="str">
        <f>IFERROR(INDEX('V6'!C$300:C$400,MATCH("*"&amp;L75&amp;"*",'V6'!B$300:B$400,0)),"  ")</f>
        <v xml:space="preserve">  </v>
      </c>
      <c r="AF75" s="113" t="str">
        <f>IFERROR(INDEX('V7'!C$300:C$400,MATCH("*"&amp;L75&amp;"*",'V7'!B$300:B$400,0)),"  ")</f>
        <v xml:space="preserve">  </v>
      </c>
      <c r="AG75" s="113" t="str">
        <f>IFERROR(INDEX('V8'!C$300:C$400,MATCH("*"&amp;L75&amp;"*",'V8'!B$300:B$400,0)),"  ")</f>
        <v xml:space="preserve">  </v>
      </c>
      <c r="AH75" s="113" t="str">
        <f>IFERROR(INDEX('V9'!C$300:C$399,MATCH("*"&amp;L75&amp;"*",'V9'!B$300:B$399,0)),"  ")</f>
        <v xml:space="preserve">  </v>
      </c>
      <c r="AI75" s="113" t="str">
        <f>IFERROR(INDEX('V10'!C$300:C$399,MATCH("*"&amp;L75&amp;"*",'V10'!B$300:B$399,0)),"  ")</f>
        <v xml:space="preserve">  </v>
      </c>
      <c r="AJ75" s="114" t="str">
        <f t="shared" si="107"/>
        <v/>
      </c>
      <c r="AK75" s="404">
        <f t="shared" si="108"/>
        <v>0</v>
      </c>
      <c r="AL75" s="115" t="str">
        <f t="shared" si="109"/>
        <v/>
      </c>
      <c r="AM75" s="116" t="str">
        <f>IFERROR(INDEX(#REF!,MATCH("*"&amp;L75&amp;"*",#REF!,0)),"  ")</f>
        <v xml:space="preserve">  </v>
      </c>
      <c r="AN75" s="117">
        <f t="shared" si="110"/>
        <v>0</v>
      </c>
      <c r="AO75" s="118">
        <f t="shared" si="111"/>
        <v>0</v>
      </c>
      <c r="AP75" s="118">
        <f t="shared" si="112"/>
        <v>0</v>
      </c>
      <c r="AQ75" s="49"/>
      <c r="AR75" s="1"/>
      <c r="AS75" s="1"/>
      <c r="AT75" s="119">
        <f t="shared" si="113"/>
        <v>1E-4</v>
      </c>
      <c r="AU75" s="120">
        <f t="shared" si="114"/>
        <v>1E-4</v>
      </c>
      <c r="AV75" s="120">
        <f t="shared" si="115"/>
        <v>2.0000000000000001E-4</v>
      </c>
      <c r="AW75" s="120">
        <f t="shared" si="116"/>
        <v>2.9999999999999997E-4</v>
      </c>
      <c r="AX75" s="120">
        <f t="shared" si="117"/>
        <v>4.0000000000000002E-4</v>
      </c>
      <c r="AY75" s="120">
        <f t="shared" si="118"/>
        <v>5.0000000000000001E-4</v>
      </c>
      <c r="AZ75" s="120">
        <f t="shared" si="119"/>
        <v>5.9999999999999995E-4</v>
      </c>
      <c r="BA75" s="120">
        <f t="shared" si="120"/>
        <v>6.9999999999999999E-4</v>
      </c>
      <c r="BB75" s="120">
        <f t="shared" si="121"/>
        <v>8.0000000000000004E-4</v>
      </c>
      <c r="BC75" s="120">
        <f t="shared" si="122"/>
        <v>8.9999999999999998E-4</v>
      </c>
      <c r="BD75" s="120">
        <f t="shared" si="123"/>
        <v>1E-3</v>
      </c>
      <c r="BI75" s="1018" t="e">
        <f t="shared" si="124"/>
        <v>#VALUE!</v>
      </c>
      <c r="BJ75" s="1018" t="e">
        <f t="shared" si="125"/>
        <v>#VALUE!</v>
      </c>
      <c r="BK75" s="1018" t="e">
        <f t="shared" si="126"/>
        <v>#VALUE!</v>
      </c>
      <c r="BL75" s="1018" t="e">
        <f t="shared" si="127"/>
        <v>#VALUE!</v>
      </c>
      <c r="BM75" s="1018" t="e">
        <f t="shared" si="128"/>
        <v>#VALUE!</v>
      </c>
      <c r="BN75" s="1018" t="e">
        <f t="shared" si="129"/>
        <v>#VALUE!</v>
      </c>
      <c r="BO75" s="1018" t="e">
        <f t="shared" si="130"/>
        <v>#VALUE!</v>
      </c>
      <c r="BP75" s="1018" t="e">
        <f t="shared" si="131"/>
        <v>#VALUE!</v>
      </c>
      <c r="BQ75" s="1018" t="e">
        <f t="shared" si="132"/>
        <v>#VALUE!</v>
      </c>
      <c r="BR75" s="1018" t="e">
        <f t="shared" si="133"/>
        <v>#VALUE!</v>
      </c>
    </row>
    <row r="76" spans="1:70" ht="12.75" hidden="1" customHeight="1" x14ac:dyDescent="0.2">
      <c r="A76" s="647" t="str">
        <f t="shared" si="90"/>
        <v/>
      </c>
      <c r="B76" s="99">
        <f t="shared" si="91"/>
        <v>108</v>
      </c>
      <c r="C76" s="409" t="str">
        <f t="shared" si="92"/>
        <v/>
      </c>
      <c r="D76" s="367">
        <f t="shared" si="93"/>
        <v>-892</v>
      </c>
      <c r="E76" s="100" t="str">
        <f t="shared" si="94"/>
        <v/>
      </c>
      <c r="F76" s="99">
        <f t="shared" si="95"/>
        <v>-892</v>
      </c>
      <c r="G76" s="101" t="str">
        <f t="shared" si="96"/>
        <v/>
      </c>
      <c r="H76" s="99">
        <f t="shared" si="97"/>
        <v>-892</v>
      </c>
      <c r="I76" s="102" t="str">
        <f t="shared" si="98"/>
        <v/>
      </c>
      <c r="J76" s="103">
        <f t="shared" si="99"/>
        <v>-892</v>
      </c>
      <c r="K76" s="71" t="str">
        <f t="shared" si="100"/>
        <v/>
      </c>
      <c r="L76" s="121" t="s">
        <v>338</v>
      </c>
      <c r="M76" s="105"/>
      <c r="N76" s="106"/>
      <c r="O76" s="107"/>
      <c r="P76" s="108"/>
      <c r="Q76" s="109" t="s">
        <v>88</v>
      </c>
      <c r="R76" s="110">
        <f>(IF(COUNT(Z76,AA76,AB76,AC76,AD76,AE76,AF76,AG76,AH76,AI76)&lt;10,SUM(Z76,AA76,AB76,AC76,AD76,AE76,AF76,AG76,AH76,AI76),SUM(LARGE((Z76,AA76,AB76,AC76,AD76,AE76,AF76,AG76,AH76,AI76),{1;2;3;4;5;6;7;8;9}))))</f>
        <v>0</v>
      </c>
      <c r="S76" s="111" t="str">
        <f>INDEX(ETAPP!B$1:B$32,MATCH(COUNTIF(BI76:BR76,1),ETAPP!A$1:A$32,0))&amp;INDEX(ETAPP!B$1:B$32,MATCH(COUNTIF(BI76:BR76,2),ETAPP!A$1:A$32,0))&amp;INDEX(ETAPP!B$1:B$32,MATCH(COUNTIF(BI76:BR76,3),ETAPP!A$1:A$32,0))&amp;INDEX(ETAPP!B$1:B$32,MATCH(COUNTIF(BI76:BR76,4),ETAPP!A$1:A$32,0))&amp;INDEX(ETAPP!B$1:B$32,MATCH(COUNTIF(BI76:BR76,5),ETAPP!A$1:A$32,0))&amp;INDEX(ETAPP!B$1:B$32,MATCH(COUNTIF(BI76:BR76,6),ETAPP!A$1:A$32,0))&amp;INDEX(ETAPP!B$1:B$32,MATCH(COUNTIF(BI76:BR76,7),ETAPP!A$1:A$32,0))&amp;INDEX(ETAPP!B$1:B$32,MATCH(COUNTIF(BI76:BR76,8),ETAPP!A$1:A$32,0))&amp;INDEX(ETAPP!B$1:B$32,MATCH(COUNTIF(BI76:BR76,9),ETAPP!A$1:A$32,0))&amp;INDEX(ETAPP!B$1:B$32,MATCH(COUNTIF(BI76:BR76,10),ETAPP!A$1:A$32,0))&amp;INDEX(ETAPP!B$1:B$32,MATCH(COUNTIF(BI76:BR76,11),ETAPP!A$1:A$32,0))&amp;INDEX(ETAPP!B$1:B$32,MATCH(COUNTIF(BI76:BR76,12),ETAPP!A$1:A$32,0))&amp;INDEX(ETAPP!B$1:B$32,MATCH(COUNTIF(BI76:BR76,13),ETAPP!A$1:A$32,0))&amp;INDEX(ETAPP!B$1:B$32,MATCH(COUNTIF(BI76:BR76,14),ETAPP!A$1:A$32,0))&amp;INDEX(ETAPP!B$1:B$32,MATCH(COUNTIF(BI76:BR76,15),ETAPP!A$1:A$32,0))&amp;INDEX(ETAPP!B$1:B$32,MATCH(COUNTIF(BI76:BR76,16),ETAPP!A$1:A$32,0))&amp;INDEX(ETAPP!B$1:B$32,MATCH(COUNTIF(BI76:BR76,17),ETAPP!A$1:A$32,0))&amp;INDEX(ETAPP!B$1:B$32,MATCH(COUNTIF(BI76:BR76,18),ETAPP!A$1:A$32,0))&amp;INDEX(ETAPP!B$1:B$32,MATCH(COUNTIF(BI76:BR76,19),ETAPP!A$1:A$32,0))&amp;INDEX(ETAPP!B$1:B$32,MATCH(COUNTIF(BI76:BR76,20),ETAPP!A$1:A$32,0))&amp;INDEX(ETAPP!B$1:B$32,MATCH(COUNTIF(BI76:BR76,21),ETAPP!A$1:A$32,0))</f>
        <v>000000000000000000000</v>
      </c>
      <c r="T76" s="111" t="str">
        <f t="shared" si="101"/>
        <v>000,0-000000000000000000000</v>
      </c>
      <c r="U76" s="111">
        <f t="shared" si="102"/>
        <v>108</v>
      </c>
      <c r="V76" s="111">
        <f t="shared" si="103"/>
        <v>70</v>
      </c>
      <c r="W76" s="111" t="str">
        <f t="shared" si="104"/>
        <v>000,0-000000000000000000000-070</v>
      </c>
      <c r="X76" s="111">
        <f t="shared" si="105"/>
        <v>70</v>
      </c>
      <c r="Y76" s="112">
        <f t="shared" si="106"/>
        <v>39</v>
      </c>
      <c r="Z76" s="113" t="str">
        <f>IFERROR(INDEX('V1'!C$300:C$400,MATCH("*"&amp;L76&amp;"*",'V1'!B$300:B$400,0)),"  ")</f>
        <v xml:space="preserve">  </v>
      </c>
      <c r="AA76" s="113" t="str">
        <f>IFERROR(INDEX('V2'!C$300:C$400,MATCH("*"&amp;L76&amp;"*",'V2'!B$300:B$400,0)),"  ")</f>
        <v xml:space="preserve">  </v>
      </c>
      <c r="AB76" s="113" t="str">
        <f>IFERROR(INDEX('V3'!C$300:C$400,MATCH("*"&amp;L76&amp;"*",'V3'!B$300:B$400,0)),"  ")</f>
        <v xml:space="preserve">  </v>
      </c>
      <c r="AC76" s="113" t="str">
        <f>IFERROR(INDEX('V4'!C$300:C$400,MATCH("*"&amp;L76&amp;"*",'V4'!B$300:B$400,0)),"  ")</f>
        <v xml:space="preserve">  </v>
      </c>
      <c r="AD76" s="113" t="str">
        <f>IFERROR(INDEX('V5'!C$300:C$400,MATCH("*"&amp;L76&amp;"*",'V5'!B$300:B$400,0)),"  ")</f>
        <v xml:space="preserve">  </v>
      </c>
      <c r="AE76" s="113" t="str">
        <f>IFERROR(INDEX('V6'!C$300:C$400,MATCH("*"&amp;L76&amp;"*",'V6'!B$300:B$400,0)),"  ")</f>
        <v xml:space="preserve">  </v>
      </c>
      <c r="AF76" s="113" t="str">
        <f>IFERROR(INDEX('V7'!C$300:C$400,MATCH("*"&amp;L76&amp;"*",'V7'!B$300:B$400,0)),"  ")</f>
        <v xml:space="preserve">  </v>
      </c>
      <c r="AG76" s="113" t="str">
        <f>IFERROR(INDEX('V8'!C$300:C$400,MATCH("*"&amp;L76&amp;"*",'V8'!B$300:B$400,0)),"  ")</f>
        <v xml:space="preserve">  </v>
      </c>
      <c r="AH76" s="113" t="str">
        <f>IFERROR(INDEX('V9'!C$300:C$399,MATCH("*"&amp;L76&amp;"*",'V9'!B$300:B$399,0)),"  ")</f>
        <v xml:space="preserve">  </v>
      </c>
      <c r="AI76" s="113" t="str">
        <f>IFERROR(INDEX('V10'!C$300:C$399,MATCH("*"&amp;L76&amp;"*",'V10'!B$300:B$399,0)),"  ")</f>
        <v xml:space="preserve">  </v>
      </c>
      <c r="AJ76" s="114" t="str">
        <f t="shared" si="107"/>
        <v/>
      </c>
      <c r="AK76" s="404">
        <f t="shared" si="108"/>
        <v>0</v>
      </c>
      <c r="AL76" s="115" t="str">
        <f t="shared" si="109"/>
        <v/>
      </c>
      <c r="AM76" s="116" t="str">
        <f>IFERROR(INDEX(#REF!,MATCH("*"&amp;L76&amp;"*",#REF!,0)),"  ")</f>
        <v xml:space="preserve">  </v>
      </c>
      <c r="AN76" s="117">
        <f t="shared" si="110"/>
        <v>0</v>
      </c>
      <c r="AO76" s="118">
        <f t="shared" si="111"/>
        <v>0</v>
      </c>
      <c r="AP76" s="118">
        <f t="shared" si="112"/>
        <v>0</v>
      </c>
      <c r="AQ76" s="49"/>
      <c r="AR76" s="1"/>
      <c r="AS76" s="1"/>
      <c r="AT76" s="119">
        <f t="shared" si="113"/>
        <v>1E-4</v>
      </c>
      <c r="AU76" s="120">
        <f t="shared" si="114"/>
        <v>1E-4</v>
      </c>
      <c r="AV76" s="120">
        <f t="shared" si="115"/>
        <v>2.0000000000000001E-4</v>
      </c>
      <c r="AW76" s="120">
        <f t="shared" si="116"/>
        <v>2.9999999999999997E-4</v>
      </c>
      <c r="AX76" s="120">
        <f t="shared" si="117"/>
        <v>4.0000000000000002E-4</v>
      </c>
      <c r="AY76" s="120">
        <f t="shared" si="118"/>
        <v>5.0000000000000001E-4</v>
      </c>
      <c r="AZ76" s="120">
        <f t="shared" si="119"/>
        <v>5.9999999999999995E-4</v>
      </c>
      <c r="BA76" s="120">
        <f t="shared" si="120"/>
        <v>6.9999999999999999E-4</v>
      </c>
      <c r="BB76" s="120">
        <f t="shared" si="121"/>
        <v>8.0000000000000004E-4</v>
      </c>
      <c r="BC76" s="120">
        <f t="shared" si="122"/>
        <v>8.9999999999999998E-4</v>
      </c>
      <c r="BD76" s="120">
        <f t="shared" si="123"/>
        <v>1E-3</v>
      </c>
      <c r="BI76" s="1018" t="e">
        <f t="shared" si="124"/>
        <v>#VALUE!</v>
      </c>
      <c r="BJ76" s="1018" t="e">
        <f t="shared" si="125"/>
        <v>#VALUE!</v>
      </c>
      <c r="BK76" s="1018" t="e">
        <f t="shared" si="126"/>
        <v>#VALUE!</v>
      </c>
      <c r="BL76" s="1018" t="e">
        <f t="shared" si="127"/>
        <v>#VALUE!</v>
      </c>
      <c r="BM76" s="1018" t="e">
        <f t="shared" si="128"/>
        <v>#VALUE!</v>
      </c>
      <c r="BN76" s="1018" t="e">
        <f t="shared" si="129"/>
        <v>#VALUE!</v>
      </c>
      <c r="BO76" s="1018" t="e">
        <f t="shared" si="130"/>
        <v>#VALUE!</v>
      </c>
      <c r="BP76" s="1018" t="e">
        <f t="shared" si="131"/>
        <v>#VALUE!</v>
      </c>
      <c r="BQ76" s="1018" t="e">
        <f t="shared" si="132"/>
        <v>#VALUE!</v>
      </c>
      <c r="BR76" s="1018" t="e">
        <f t="shared" si="133"/>
        <v>#VALUE!</v>
      </c>
    </row>
    <row r="77" spans="1:70" ht="12.75" hidden="1" customHeight="1" x14ac:dyDescent="0.2">
      <c r="A77" s="647" t="str">
        <f t="shared" si="90"/>
        <v/>
      </c>
      <c r="B77" s="99">
        <f t="shared" si="91"/>
        <v>108</v>
      </c>
      <c r="C77" s="409" t="str">
        <f t="shared" si="92"/>
        <v/>
      </c>
      <c r="D77" s="367">
        <f t="shared" si="93"/>
        <v>108</v>
      </c>
      <c r="E77" s="100" t="str">
        <f t="shared" si="94"/>
        <v/>
      </c>
      <c r="F77" s="99">
        <f t="shared" si="95"/>
        <v>-892</v>
      </c>
      <c r="G77" s="101" t="str">
        <f t="shared" si="96"/>
        <v/>
      </c>
      <c r="H77" s="99">
        <f t="shared" si="97"/>
        <v>108</v>
      </c>
      <c r="I77" s="102" t="str">
        <f t="shared" si="98"/>
        <v/>
      </c>
      <c r="J77" s="103">
        <f t="shared" si="99"/>
        <v>-892</v>
      </c>
      <c r="K77" s="71" t="str">
        <f t="shared" si="100"/>
        <v/>
      </c>
      <c r="L77" s="678" t="s">
        <v>159</v>
      </c>
      <c r="M77" s="446" t="s">
        <v>110</v>
      </c>
      <c r="N77" s="447" t="str">
        <f>IF(M77="","m","")</f>
        <v/>
      </c>
      <c r="O77" s="450"/>
      <c r="P77" s="448" t="s">
        <v>317</v>
      </c>
      <c r="Q77" s="449" t="s">
        <v>88</v>
      </c>
      <c r="R77" s="110">
        <f>(IF(COUNT(Z77,AA77,AB77,AC77,AD77,AE77,AF77,AG77,AH77,AI77)&lt;10,SUM(Z77,AA77,AB77,AC77,AD77,AE77,AF77,AG77,AH77,AI77),SUM(LARGE((Z77,AA77,AB77,AC77,AD77,AE77,AF77,AG77,AH77,AI77),{1;2;3;4;5;6;7;8;9}))))</f>
        <v>0</v>
      </c>
      <c r="S77" s="111" t="str">
        <f>INDEX(ETAPP!B$1:B$32,MATCH(COUNTIF(BI77:BR77,1),ETAPP!A$1:A$32,0))&amp;INDEX(ETAPP!B$1:B$32,MATCH(COUNTIF(BI77:BR77,2),ETAPP!A$1:A$32,0))&amp;INDEX(ETAPP!B$1:B$32,MATCH(COUNTIF(BI77:BR77,3),ETAPP!A$1:A$32,0))&amp;INDEX(ETAPP!B$1:B$32,MATCH(COUNTIF(BI77:BR77,4),ETAPP!A$1:A$32,0))&amp;INDEX(ETAPP!B$1:B$32,MATCH(COUNTIF(BI77:BR77,5),ETAPP!A$1:A$32,0))&amp;INDEX(ETAPP!B$1:B$32,MATCH(COUNTIF(BI77:BR77,6),ETAPP!A$1:A$32,0))&amp;INDEX(ETAPP!B$1:B$32,MATCH(COUNTIF(BI77:BR77,7),ETAPP!A$1:A$32,0))&amp;INDEX(ETAPP!B$1:B$32,MATCH(COUNTIF(BI77:BR77,8),ETAPP!A$1:A$32,0))&amp;INDEX(ETAPP!B$1:B$32,MATCH(COUNTIF(BI77:BR77,9),ETAPP!A$1:A$32,0))&amp;INDEX(ETAPP!B$1:B$32,MATCH(COUNTIF(BI77:BR77,10),ETAPP!A$1:A$32,0))&amp;INDEX(ETAPP!B$1:B$32,MATCH(COUNTIF(BI77:BR77,11),ETAPP!A$1:A$32,0))&amp;INDEX(ETAPP!B$1:B$32,MATCH(COUNTIF(BI77:BR77,12),ETAPP!A$1:A$32,0))&amp;INDEX(ETAPP!B$1:B$32,MATCH(COUNTIF(BI77:BR77,13),ETAPP!A$1:A$32,0))&amp;INDEX(ETAPP!B$1:B$32,MATCH(COUNTIF(BI77:BR77,14),ETAPP!A$1:A$32,0))&amp;INDEX(ETAPP!B$1:B$32,MATCH(COUNTIF(BI77:BR77,15),ETAPP!A$1:A$32,0))&amp;INDEX(ETAPP!B$1:B$32,MATCH(COUNTIF(BI77:BR77,16),ETAPP!A$1:A$32,0))&amp;INDEX(ETAPP!B$1:B$32,MATCH(COUNTIF(BI77:BR77,17),ETAPP!A$1:A$32,0))&amp;INDEX(ETAPP!B$1:B$32,MATCH(COUNTIF(BI77:BR77,18),ETAPP!A$1:A$32,0))&amp;INDEX(ETAPP!B$1:B$32,MATCH(COUNTIF(BI77:BR77,19),ETAPP!A$1:A$32,0))&amp;INDEX(ETAPP!B$1:B$32,MATCH(COUNTIF(BI77:BR77,20),ETAPP!A$1:A$32,0))&amp;INDEX(ETAPP!B$1:B$32,MATCH(COUNTIF(BI77:BR77,21),ETAPP!A$1:A$32,0))</f>
        <v>000000000000000000000</v>
      </c>
      <c r="T77" s="111" t="str">
        <f t="shared" si="101"/>
        <v>000,0-000000000000000000000</v>
      </c>
      <c r="U77" s="111">
        <f t="shared" si="102"/>
        <v>108</v>
      </c>
      <c r="V77" s="111">
        <f t="shared" si="103"/>
        <v>69</v>
      </c>
      <c r="W77" s="111" t="str">
        <f t="shared" si="104"/>
        <v>000,0-000000000000000000000-069</v>
      </c>
      <c r="X77" s="111">
        <f t="shared" si="105"/>
        <v>71</v>
      </c>
      <c r="Y77" s="112">
        <f t="shared" si="106"/>
        <v>38</v>
      </c>
      <c r="Z77" s="113" t="str">
        <f>IFERROR(INDEX('V1'!C$300:C$400,MATCH("*"&amp;L77&amp;"*",'V1'!B$300:B$400,0)),"  ")</f>
        <v xml:space="preserve">  </v>
      </c>
      <c r="AA77" s="113" t="str">
        <f>IFERROR(INDEX('V2'!C$300:C$400,MATCH("*"&amp;L77&amp;"*",'V2'!B$300:B$400,0)),"  ")</f>
        <v xml:space="preserve">  </v>
      </c>
      <c r="AB77" s="113" t="str">
        <f>IFERROR(INDEX('V3'!C$300:C$400,MATCH("*"&amp;L77&amp;"*",'V3'!B$300:B$400,0)),"  ")</f>
        <v xml:space="preserve">  </v>
      </c>
      <c r="AC77" s="113" t="str">
        <f>IFERROR(INDEX('V4'!C$300:C$400,MATCH("*"&amp;L77&amp;"*",'V4'!B$300:B$400,0)),"  ")</f>
        <v xml:space="preserve">  </v>
      </c>
      <c r="AD77" s="113" t="str">
        <f>IFERROR(INDEX('V5'!C$300:C$400,MATCH("*"&amp;L77&amp;"*",'V5'!B$300:B$400,0)),"  ")</f>
        <v xml:space="preserve">  </v>
      </c>
      <c r="AE77" s="113" t="str">
        <f>IFERROR(INDEX('V6'!C$300:C$400,MATCH("*"&amp;L77&amp;"*",'V6'!B$300:B$400,0)),"  ")</f>
        <v xml:space="preserve">  </v>
      </c>
      <c r="AF77" s="113" t="str">
        <f>IFERROR(INDEX('V7'!C$300:C$400,MATCH("*"&amp;L77&amp;"*",'V7'!B$300:B$400,0)),"  ")</f>
        <v xml:space="preserve">  </v>
      </c>
      <c r="AG77" s="113" t="str">
        <f>IFERROR(INDEX('V8'!C$300:C$400,MATCH("*"&amp;L77&amp;"*",'V8'!B$300:B$400,0)),"  ")</f>
        <v xml:space="preserve">  </v>
      </c>
      <c r="AH77" s="113" t="str">
        <f>IFERROR(INDEX('V9'!C$300:C$399,MATCH("*"&amp;L77&amp;"*",'V9'!B$300:B$399,0)),"  ")</f>
        <v xml:space="preserve">  </v>
      </c>
      <c r="AI77" s="113" t="str">
        <f>IFERROR(INDEX('V10'!C$300:C$399,MATCH("*"&amp;L77&amp;"*",'V10'!B$300:B$399,0)),"  ")</f>
        <v xml:space="preserve">  </v>
      </c>
      <c r="AJ77" s="114" t="str">
        <f t="shared" si="107"/>
        <v/>
      </c>
      <c r="AK77" s="404">
        <f t="shared" si="108"/>
        <v>0</v>
      </c>
      <c r="AL77" s="115" t="str">
        <f t="shared" si="109"/>
        <v/>
      </c>
      <c r="AM77" s="116" t="str">
        <f>IFERROR(INDEX(#REF!,MATCH("*"&amp;L77&amp;"*",#REF!,0)),"  ")</f>
        <v xml:space="preserve">  </v>
      </c>
      <c r="AN77" s="117">
        <f t="shared" si="110"/>
        <v>0</v>
      </c>
      <c r="AO77" s="118">
        <f t="shared" si="111"/>
        <v>0</v>
      </c>
      <c r="AP77" s="118">
        <f t="shared" si="112"/>
        <v>0</v>
      </c>
      <c r="AQ77" s="49"/>
      <c r="AR77" s="1"/>
      <c r="AS77" s="1"/>
      <c r="AT77" s="119">
        <f t="shared" si="113"/>
        <v>1E-4</v>
      </c>
      <c r="AU77" s="120">
        <f t="shared" si="114"/>
        <v>1E-4</v>
      </c>
      <c r="AV77" s="120">
        <f t="shared" si="115"/>
        <v>2.0000000000000001E-4</v>
      </c>
      <c r="AW77" s="120">
        <f t="shared" si="116"/>
        <v>2.9999999999999997E-4</v>
      </c>
      <c r="AX77" s="120">
        <f t="shared" si="117"/>
        <v>4.0000000000000002E-4</v>
      </c>
      <c r="AY77" s="120">
        <f t="shared" si="118"/>
        <v>5.0000000000000001E-4</v>
      </c>
      <c r="AZ77" s="120">
        <f t="shared" si="119"/>
        <v>5.9999999999999995E-4</v>
      </c>
      <c r="BA77" s="120">
        <f t="shared" si="120"/>
        <v>6.9999999999999999E-4</v>
      </c>
      <c r="BB77" s="120">
        <f t="shared" si="121"/>
        <v>8.0000000000000004E-4</v>
      </c>
      <c r="BC77" s="120">
        <f t="shared" si="122"/>
        <v>8.9999999999999998E-4</v>
      </c>
      <c r="BD77" s="120">
        <f t="shared" si="123"/>
        <v>1E-3</v>
      </c>
      <c r="BI77" s="1018" t="e">
        <f t="shared" si="124"/>
        <v>#VALUE!</v>
      </c>
      <c r="BJ77" s="1018" t="e">
        <f t="shared" si="125"/>
        <v>#VALUE!</v>
      </c>
      <c r="BK77" s="1018" t="e">
        <f t="shared" si="126"/>
        <v>#VALUE!</v>
      </c>
      <c r="BL77" s="1018" t="e">
        <f t="shared" si="127"/>
        <v>#VALUE!</v>
      </c>
      <c r="BM77" s="1018" t="e">
        <f t="shared" si="128"/>
        <v>#VALUE!</v>
      </c>
      <c r="BN77" s="1018" t="e">
        <f t="shared" si="129"/>
        <v>#VALUE!</v>
      </c>
      <c r="BO77" s="1018" t="e">
        <f t="shared" si="130"/>
        <v>#VALUE!</v>
      </c>
      <c r="BP77" s="1018" t="e">
        <f t="shared" si="131"/>
        <v>#VALUE!</v>
      </c>
      <c r="BQ77" s="1018" t="e">
        <f t="shared" si="132"/>
        <v>#VALUE!</v>
      </c>
      <c r="BR77" s="1018" t="e">
        <f t="shared" si="133"/>
        <v>#VALUE!</v>
      </c>
    </row>
    <row r="78" spans="1:70" ht="12.75" hidden="1" customHeight="1" x14ac:dyDescent="0.2">
      <c r="A78" s="647" t="str">
        <f t="shared" si="90"/>
        <v/>
      </c>
      <c r="B78" s="99">
        <f t="shared" si="91"/>
        <v>-892</v>
      </c>
      <c r="C78" s="409" t="str">
        <f t="shared" si="92"/>
        <v/>
      </c>
      <c r="D78" s="367">
        <f t="shared" si="93"/>
        <v>-892</v>
      </c>
      <c r="E78" s="100" t="str">
        <f t="shared" si="94"/>
        <v/>
      </c>
      <c r="F78" s="99">
        <f t="shared" si="95"/>
        <v>108</v>
      </c>
      <c r="G78" s="101" t="str">
        <f t="shared" si="96"/>
        <v/>
      </c>
      <c r="H78" s="99">
        <f t="shared" si="97"/>
        <v>-892</v>
      </c>
      <c r="I78" s="102" t="str">
        <f t="shared" si="98"/>
        <v/>
      </c>
      <c r="J78" s="103">
        <f t="shared" si="99"/>
        <v>-892</v>
      </c>
      <c r="K78" s="71" t="str">
        <f t="shared" si="100"/>
        <v/>
      </c>
      <c r="L78" s="123" t="s">
        <v>160</v>
      </c>
      <c r="M78" s="105"/>
      <c r="N78" s="106" t="str">
        <f>IF(M78="","m","")</f>
        <v>m</v>
      </c>
      <c r="O78" s="107"/>
      <c r="P78" s="108"/>
      <c r="Q78" s="109"/>
      <c r="R78" s="110">
        <f>(IF(COUNT(Z78,AA78,AB78,AC78,AD78,AE78,AF78,AG78,AH78,AI78)&lt;10,SUM(Z78,AA78,AB78,AC78,AD78,AE78,AF78,AG78,AH78,AI78),SUM(LARGE((Z78,AA78,AB78,AC78,AD78,AE78,AF78,AG78,AH78,AI78),{1;2;3;4;5;6;7;8;9}))))</f>
        <v>0</v>
      </c>
      <c r="S78" s="111" t="str">
        <f>INDEX(ETAPP!B$1:B$32,MATCH(COUNTIF(BI78:BR78,1),ETAPP!A$1:A$32,0))&amp;INDEX(ETAPP!B$1:B$32,MATCH(COUNTIF(BI78:BR78,2),ETAPP!A$1:A$32,0))&amp;INDEX(ETAPP!B$1:B$32,MATCH(COUNTIF(BI78:BR78,3),ETAPP!A$1:A$32,0))&amp;INDEX(ETAPP!B$1:B$32,MATCH(COUNTIF(BI78:BR78,4),ETAPP!A$1:A$32,0))&amp;INDEX(ETAPP!B$1:B$32,MATCH(COUNTIF(BI78:BR78,5),ETAPP!A$1:A$32,0))&amp;INDEX(ETAPP!B$1:B$32,MATCH(COUNTIF(BI78:BR78,6),ETAPP!A$1:A$32,0))&amp;INDEX(ETAPP!B$1:B$32,MATCH(COUNTIF(BI78:BR78,7),ETAPP!A$1:A$32,0))&amp;INDEX(ETAPP!B$1:B$32,MATCH(COUNTIF(BI78:BR78,8),ETAPP!A$1:A$32,0))&amp;INDEX(ETAPP!B$1:B$32,MATCH(COUNTIF(BI78:BR78,9),ETAPP!A$1:A$32,0))&amp;INDEX(ETAPP!B$1:B$32,MATCH(COUNTIF(BI78:BR78,10),ETAPP!A$1:A$32,0))&amp;INDEX(ETAPP!B$1:B$32,MATCH(COUNTIF(BI78:BR78,11),ETAPP!A$1:A$32,0))&amp;INDEX(ETAPP!B$1:B$32,MATCH(COUNTIF(BI78:BR78,12),ETAPP!A$1:A$32,0))&amp;INDEX(ETAPP!B$1:B$32,MATCH(COUNTIF(BI78:BR78,13),ETAPP!A$1:A$32,0))&amp;INDEX(ETAPP!B$1:B$32,MATCH(COUNTIF(BI78:BR78,14),ETAPP!A$1:A$32,0))&amp;INDEX(ETAPP!B$1:B$32,MATCH(COUNTIF(BI78:BR78,15),ETAPP!A$1:A$32,0))&amp;INDEX(ETAPP!B$1:B$32,MATCH(COUNTIF(BI78:BR78,16),ETAPP!A$1:A$32,0))&amp;INDEX(ETAPP!B$1:B$32,MATCH(COUNTIF(BI78:BR78,17),ETAPP!A$1:A$32,0))&amp;INDEX(ETAPP!B$1:B$32,MATCH(COUNTIF(BI78:BR78,18),ETAPP!A$1:A$32,0))&amp;INDEX(ETAPP!B$1:B$32,MATCH(COUNTIF(BI78:BR78,19),ETAPP!A$1:A$32,0))&amp;INDEX(ETAPP!B$1:B$32,MATCH(COUNTIF(BI78:BR78,20),ETAPP!A$1:A$32,0))&amp;INDEX(ETAPP!B$1:B$32,MATCH(COUNTIF(BI78:BR78,21),ETAPP!A$1:A$32,0))</f>
        <v>000000000000000000000</v>
      </c>
      <c r="T78" s="111" t="str">
        <f t="shared" si="101"/>
        <v>000,0-000000000000000000000</v>
      </c>
      <c r="U78" s="111">
        <f t="shared" si="102"/>
        <v>108</v>
      </c>
      <c r="V78" s="111">
        <f t="shared" si="103"/>
        <v>67</v>
      </c>
      <c r="W78" s="111" t="str">
        <f t="shared" si="104"/>
        <v>000,0-000000000000000000000-067</v>
      </c>
      <c r="X78" s="111">
        <f t="shared" si="105"/>
        <v>72</v>
      </c>
      <c r="Y78" s="112">
        <f t="shared" si="106"/>
        <v>37</v>
      </c>
      <c r="Z78" s="113" t="str">
        <f>IFERROR(INDEX('V1'!C$300:C$400,MATCH("*"&amp;L78&amp;"*",'V1'!B$300:B$400,0)),"  ")</f>
        <v xml:space="preserve">  </v>
      </c>
      <c r="AA78" s="113" t="str">
        <f>IFERROR(INDEX('V2'!C$300:C$400,MATCH("*"&amp;L78&amp;"*",'V2'!B$300:B$400,0)),"  ")</f>
        <v xml:space="preserve">  </v>
      </c>
      <c r="AB78" s="113" t="str">
        <f>IFERROR(INDEX('V3'!C$300:C$400,MATCH("*"&amp;L78&amp;"*",'V3'!B$300:B$400,0)),"  ")</f>
        <v xml:space="preserve">  </v>
      </c>
      <c r="AC78" s="113" t="str">
        <f>IFERROR(INDEX('V4'!C$300:C$400,MATCH("*"&amp;L78&amp;"*",'V4'!B$300:B$400,0)),"  ")</f>
        <v xml:space="preserve">  </v>
      </c>
      <c r="AD78" s="113" t="str">
        <f>IFERROR(INDEX('V5'!C$300:C$400,MATCH("*"&amp;L78&amp;"*",'V5'!B$300:B$400,0)),"  ")</f>
        <v xml:space="preserve">  </v>
      </c>
      <c r="AE78" s="113" t="str">
        <f>IFERROR(INDEX('V6'!C$300:C$400,MATCH("*"&amp;L78&amp;"*",'V6'!B$300:B$400,0)),"  ")</f>
        <v xml:space="preserve">  </v>
      </c>
      <c r="AF78" s="113" t="str">
        <f>IFERROR(INDEX('V7'!C$300:C$400,MATCH("*"&amp;L78&amp;"*",'V7'!B$300:B$400,0)),"  ")</f>
        <v xml:space="preserve">  </v>
      </c>
      <c r="AG78" s="113" t="str">
        <f>IFERROR(INDEX('V8'!C$300:C$400,MATCH("*"&amp;L78&amp;"*",'V8'!B$300:B$400,0)),"  ")</f>
        <v xml:space="preserve">  </v>
      </c>
      <c r="AH78" s="113" t="str">
        <f>IFERROR(INDEX('V9'!C$300:C$399,MATCH("*"&amp;L78&amp;"*",'V9'!B$300:B$399,0)),"  ")</f>
        <v xml:space="preserve">  </v>
      </c>
      <c r="AI78" s="113" t="str">
        <f>IFERROR(INDEX('V10'!C$300:C$399,MATCH("*"&amp;L78&amp;"*",'V10'!B$300:B$399,0)),"  ")</f>
        <v xml:space="preserve">  </v>
      </c>
      <c r="AJ78" s="114" t="str">
        <f t="shared" si="107"/>
        <v/>
      </c>
      <c r="AK78" s="404">
        <f t="shared" si="108"/>
        <v>0</v>
      </c>
      <c r="AL78" s="115" t="str">
        <f t="shared" si="109"/>
        <v/>
      </c>
      <c r="AM78" s="116" t="str">
        <f>IFERROR(INDEX(#REF!,MATCH("*"&amp;L78&amp;"*",#REF!,0)),"  ")</f>
        <v xml:space="preserve">  </v>
      </c>
      <c r="AN78" s="117">
        <f t="shared" si="110"/>
        <v>0</v>
      </c>
      <c r="AO78" s="118">
        <f t="shared" si="111"/>
        <v>0</v>
      </c>
      <c r="AP78" s="118">
        <f t="shared" si="112"/>
        <v>0</v>
      </c>
      <c r="AQ78" s="49"/>
      <c r="AR78" s="1"/>
      <c r="AS78" s="1"/>
      <c r="AT78" s="119">
        <f t="shared" si="113"/>
        <v>1E-4</v>
      </c>
      <c r="AU78" s="120">
        <f t="shared" si="114"/>
        <v>1E-4</v>
      </c>
      <c r="AV78" s="120">
        <f t="shared" si="115"/>
        <v>2.0000000000000001E-4</v>
      </c>
      <c r="AW78" s="120">
        <f t="shared" si="116"/>
        <v>2.9999999999999997E-4</v>
      </c>
      <c r="AX78" s="120">
        <f t="shared" si="117"/>
        <v>4.0000000000000002E-4</v>
      </c>
      <c r="AY78" s="120">
        <f t="shared" si="118"/>
        <v>5.0000000000000001E-4</v>
      </c>
      <c r="AZ78" s="120">
        <f t="shared" si="119"/>
        <v>5.9999999999999995E-4</v>
      </c>
      <c r="BA78" s="120">
        <f t="shared" si="120"/>
        <v>6.9999999999999999E-4</v>
      </c>
      <c r="BB78" s="120">
        <f t="shared" si="121"/>
        <v>8.0000000000000004E-4</v>
      </c>
      <c r="BC78" s="120">
        <f t="shared" si="122"/>
        <v>8.9999999999999998E-4</v>
      </c>
      <c r="BD78" s="120">
        <f t="shared" si="123"/>
        <v>1E-3</v>
      </c>
      <c r="BI78" s="1018" t="e">
        <f t="shared" si="124"/>
        <v>#VALUE!</v>
      </c>
      <c r="BJ78" s="1018" t="e">
        <f t="shared" si="125"/>
        <v>#VALUE!</v>
      </c>
      <c r="BK78" s="1018" t="e">
        <f t="shared" si="126"/>
        <v>#VALUE!</v>
      </c>
      <c r="BL78" s="1018" t="e">
        <f t="shared" si="127"/>
        <v>#VALUE!</v>
      </c>
      <c r="BM78" s="1018" t="e">
        <f t="shared" si="128"/>
        <v>#VALUE!</v>
      </c>
      <c r="BN78" s="1018" t="e">
        <f t="shared" si="129"/>
        <v>#VALUE!</v>
      </c>
      <c r="BO78" s="1018" t="e">
        <f t="shared" si="130"/>
        <v>#VALUE!</v>
      </c>
      <c r="BP78" s="1018" t="e">
        <f t="shared" si="131"/>
        <v>#VALUE!</v>
      </c>
      <c r="BQ78" s="1018" t="e">
        <f t="shared" si="132"/>
        <v>#VALUE!</v>
      </c>
      <c r="BR78" s="1018" t="e">
        <f t="shared" si="133"/>
        <v>#VALUE!</v>
      </c>
    </row>
    <row r="79" spans="1:70" ht="12.75" hidden="1" customHeight="1" x14ac:dyDescent="0.2">
      <c r="A79" s="647" t="str">
        <f t="shared" si="90"/>
        <v/>
      </c>
      <c r="B79" s="99">
        <f t="shared" si="91"/>
        <v>108</v>
      </c>
      <c r="C79" s="409" t="str">
        <f t="shared" si="92"/>
        <v/>
      </c>
      <c r="D79" s="367">
        <f t="shared" si="93"/>
        <v>-892</v>
      </c>
      <c r="E79" s="100" t="str">
        <f t="shared" si="94"/>
        <v/>
      </c>
      <c r="F79" s="99">
        <f t="shared" si="95"/>
        <v>108</v>
      </c>
      <c r="G79" s="101" t="str">
        <f t="shared" si="96"/>
        <v/>
      </c>
      <c r="H79" s="99">
        <f t="shared" si="97"/>
        <v>-892</v>
      </c>
      <c r="I79" s="102" t="str">
        <f t="shared" si="98"/>
        <v/>
      </c>
      <c r="J79" s="103">
        <f t="shared" si="99"/>
        <v>-892</v>
      </c>
      <c r="K79" s="71" t="str">
        <f t="shared" si="100"/>
        <v/>
      </c>
      <c r="L79" s="104" t="s">
        <v>104</v>
      </c>
      <c r="M79" s="105"/>
      <c r="N79" s="106" t="str">
        <f>IF(M79="","m","")</f>
        <v>m</v>
      </c>
      <c r="O79" s="107"/>
      <c r="P79" s="108"/>
      <c r="Q79" s="109" t="s">
        <v>88</v>
      </c>
      <c r="R79" s="110">
        <f>(IF(COUNT(Z79,AA79,AB79,AC79,AD79,AE79,AF79,AG79,AH79,AI79)&lt;10,SUM(Z79,AA79,AB79,AC79,AD79,AE79,AF79,AG79,AH79,AI79),SUM(LARGE((Z79,AA79,AB79,AC79,AD79,AE79,AF79,AG79,AH79,AI79),{1;2;3;4;5;6;7;8;9}))))</f>
        <v>0</v>
      </c>
      <c r="S79" s="111" t="str">
        <f>INDEX(ETAPP!B$1:B$32,MATCH(COUNTIF(BI79:BR79,1),ETAPP!A$1:A$32,0))&amp;INDEX(ETAPP!B$1:B$32,MATCH(COUNTIF(BI79:BR79,2),ETAPP!A$1:A$32,0))&amp;INDEX(ETAPP!B$1:B$32,MATCH(COUNTIF(BI79:BR79,3),ETAPP!A$1:A$32,0))&amp;INDEX(ETAPP!B$1:B$32,MATCH(COUNTIF(BI79:BR79,4),ETAPP!A$1:A$32,0))&amp;INDEX(ETAPP!B$1:B$32,MATCH(COUNTIF(BI79:BR79,5),ETAPP!A$1:A$32,0))&amp;INDEX(ETAPP!B$1:B$32,MATCH(COUNTIF(BI79:BR79,6),ETAPP!A$1:A$32,0))&amp;INDEX(ETAPP!B$1:B$32,MATCH(COUNTIF(BI79:BR79,7),ETAPP!A$1:A$32,0))&amp;INDEX(ETAPP!B$1:B$32,MATCH(COUNTIF(BI79:BR79,8),ETAPP!A$1:A$32,0))&amp;INDEX(ETAPP!B$1:B$32,MATCH(COUNTIF(BI79:BR79,9),ETAPP!A$1:A$32,0))&amp;INDEX(ETAPP!B$1:B$32,MATCH(COUNTIF(BI79:BR79,10),ETAPP!A$1:A$32,0))&amp;INDEX(ETAPP!B$1:B$32,MATCH(COUNTIF(BI79:BR79,11),ETAPP!A$1:A$32,0))&amp;INDEX(ETAPP!B$1:B$32,MATCH(COUNTIF(BI79:BR79,12),ETAPP!A$1:A$32,0))&amp;INDEX(ETAPP!B$1:B$32,MATCH(COUNTIF(BI79:BR79,13),ETAPP!A$1:A$32,0))&amp;INDEX(ETAPP!B$1:B$32,MATCH(COUNTIF(BI79:BR79,14),ETAPP!A$1:A$32,0))&amp;INDEX(ETAPP!B$1:B$32,MATCH(COUNTIF(BI79:BR79,15),ETAPP!A$1:A$32,0))&amp;INDEX(ETAPP!B$1:B$32,MATCH(COUNTIF(BI79:BR79,16),ETAPP!A$1:A$32,0))&amp;INDEX(ETAPP!B$1:B$32,MATCH(COUNTIF(BI79:BR79,17),ETAPP!A$1:A$32,0))&amp;INDEX(ETAPP!B$1:B$32,MATCH(COUNTIF(BI79:BR79,18),ETAPP!A$1:A$32,0))&amp;INDEX(ETAPP!B$1:B$32,MATCH(COUNTIF(BI79:BR79,19),ETAPP!A$1:A$32,0))&amp;INDEX(ETAPP!B$1:B$32,MATCH(COUNTIF(BI79:BR79,20),ETAPP!A$1:A$32,0))&amp;INDEX(ETAPP!B$1:B$32,MATCH(COUNTIF(BI79:BR79,21),ETAPP!A$1:A$32,0))</f>
        <v>000000000000000000000</v>
      </c>
      <c r="T79" s="111" t="str">
        <f t="shared" si="101"/>
        <v>000,0-000000000000000000000</v>
      </c>
      <c r="U79" s="111">
        <f t="shared" si="102"/>
        <v>108</v>
      </c>
      <c r="V79" s="111">
        <f t="shared" si="103"/>
        <v>65</v>
      </c>
      <c r="W79" s="111" t="str">
        <f t="shared" si="104"/>
        <v>000,0-000000000000000000000-065</v>
      </c>
      <c r="X79" s="111">
        <f t="shared" si="105"/>
        <v>73</v>
      </c>
      <c r="Y79" s="112">
        <f t="shared" si="106"/>
        <v>36</v>
      </c>
      <c r="Z79" s="113" t="str">
        <f>IFERROR(INDEX('V1'!C$300:C$400,MATCH("*"&amp;L79&amp;"*",'V1'!B$300:B$400,0)),"  ")</f>
        <v xml:space="preserve">  </v>
      </c>
      <c r="AA79" s="113" t="str">
        <f>IFERROR(INDEX('V2'!C$300:C$400,MATCH("*"&amp;L79&amp;"*",'V2'!B$300:B$400,0)),"  ")</f>
        <v xml:space="preserve">  </v>
      </c>
      <c r="AB79" s="113" t="str">
        <f>IFERROR(INDEX('V3'!C$300:C$400,MATCH("*"&amp;L79&amp;"*",'V3'!B$300:B$400,0)),"  ")</f>
        <v xml:space="preserve">  </v>
      </c>
      <c r="AC79" s="113" t="str">
        <f>IFERROR(INDEX('V4'!C$300:C$400,MATCH("*"&amp;L79&amp;"*",'V4'!B$300:B$400,0)),"  ")</f>
        <v xml:space="preserve">  </v>
      </c>
      <c r="AD79" s="113" t="str">
        <f>IFERROR(INDEX('V5'!C$300:C$400,MATCH("*"&amp;L79&amp;"*",'V5'!B$300:B$400,0)),"  ")</f>
        <v xml:space="preserve">  </v>
      </c>
      <c r="AE79" s="113" t="str">
        <f>IFERROR(INDEX('V6'!C$300:C$400,MATCH("*"&amp;L79&amp;"*",'V6'!B$300:B$400,0)),"  ")</f>
        <v xml:space="preserve">  </v>
      </c>
      <c r="AF79" s="113" t="str">
        <f>IFERROR(INDEX('V7'!C$300:C$400,MATCH("*"&amp;L79&amp;"*",'V7'!B$300:B$400,0)),"  ")</f>
        <v xml:space="preserve">  </v>
      </c>
      <c r="AG79" s="113" t="str">
        <f>IFERROR(INDEX('V8'!C$300:C$400,MATCH("*"&amp;L79&amp;"*",'V8'!B$300:B$400,0)),"  ")</f>
        <v xml:space="preserve">  </v>
      </c>
      <c r="AH79" s="113" t="str">
        <f>IFERROR(INDEX('V9'!C$300:C$399,MATCH("*"&amp;L79&amp;"*",'V9'!B$300:B$399,0)),"  ")</f>
        <v xml:space="preserve">  </v>
      </c>
      <c r="AI79" s="113" t="str">
        <f>IFERROR(INDEX('V10'!C$300:C$399,MATCH("*"&amp;L79&amp;"*",'V10'!B$300:B$399,0)),"  ")</f>
        <v xml:space="preserve">  </v>
      </c>
      <c r="AJ79" s="114" t="str">
        <f t="shared" si="107"/>
        <v/>
      </c>
      <c r="AK79" s="404">
        <f t="shared" si="108"/>
        <v>0</v>
      </c>
      <c r="AL79" s="115" t="str">
        <f t="shared" si="109"/>
        <v/>
      </c>
      <c r="AM79" s="116" t="str">
        <f>IFERROR(INDEX(#REF!,MATCH("*"&amp;L79&amp;"*",#REF!,0)),"  ")</f>
        <v xml:space="preserve">  </v>
      </c>
      <c r="AN79" s="117">
        <f t="shared" si="110"/>
        <v>0</v>
      </c>
      <c r="AO79" s="118">
        <f t="shared" si="111"/>
        <v>0</v>
      </c>
      <c r="AP79" s="118">
        <f t="shared" si="112"/>
        <v>0</v>
      </c>
      <c r="AQ79" s="49"/>
      <c r="AR79" s="1"/>
      <c r="AS79" s="1"/>
      <c r="AT79" s="119">
        <f t="shared" si="113"/>
        <v>1E-4</v>
      </c>
      <c r="AU79" s="120">
        <f t="shared" si="114"/>
        <v>1E-4</v>
      </c>
      <c r="AV79" s="120">
        <f t="shared" si="115"/>
        <v>2.0000000000000001E-4</v>
      </c>
      <c r="AW79" s="120">
        <f t="shared" si="116"/>
        <v>2.9999999999999997E-4</v>
      </c>
      <c r="AX79" s="120">
        <f t="shared" si="117"/>
        <v>4.0000000000000002E-4</v>
      </c>
      <c r="AY79" s="120">
        <f t="shared" si="118"/>
        <v>5.0000000000000001E-4</v>
      </c>
      <c r="AZ79" s="120">
        <f t="shared" si="119"/>
        <v>5.9999999999999995E-4</v>
      </c>
      <c r="BA79" s="120">
        <f t="shared" si="120"/>
        <v>6.9999999999999999E-4</v>
      </c>
      <c r="BB79" s="120">
        <f t="shared" si="121"/>
        <v>8.0000000000000004E-4</v>
      </c>
      <c r="BC79" s="120">
        <f t="shared" si="122"/>
        <v>8.9999999999999998E-4</v>
      </c>
      <c r="BD79" s="120">
        <f t="shared" si="123"/>
        <v>1E-3</v>
      </c>
      <c r="BI79" s="1018" t="e">
        <f t="shared" si="124"/>
        <v>#VALUE!</v>
      </c>
      <c r="BJ79" s="1018" t="e">
        <f t="shared" si="125"/>
        <v>#VALUE!</v>
      </c>
      <c r="BK79" s="1018" t="e">
        <f t="shared" si="126"/>
        <v>#VALUE!</v>
      </c>
      <c r="BL79" s="1018" t="e">
        <f t="shared" si="127"/>
        <v>#VALUE!</v>
      </c>
      <c r="BM79" s="1018" t="e">
        <f t="shared" si="128"/>
        <v>#VALUE!</v>
      </c>
      <c r="BN79" s="1018" t="e">
        <f t="shared" si="129"/>
        <v>#VALUE!</v>
      </c>
      <c r="BO79" s="1018" t="e">
        <f t="shared" si="130"/>
        <v>#VALUE!</v>
      </c>
      <c r="BP79" s="1018" t="e">
        <f t="shared" si="131"/>
        <v>#VALUE!</v>
      </c>
      <c r="BQ79" s="1018" t="e">
        <f t="shared" si="132"/>
        <v>#VALUE!</v>
      </c>
      <c r="BR79" s="1018" t="e">
        <f t="shared" si="133"/>
        <v>#VALUE!</v>
      </c>
    </row>
    <row r="80" spans="1:70" ht="12.75" hidden="1" customHeight="1" x14ac:dyDescent="0.2">
      <c r="A80" s="647" t="str">
        <f t="shared" si="90"/>
        <v/>
      </c>
      <c r="B80" s="99">
        <f t="shared" si="91"/>
        <v>108</v>
      </c>
      <c r="C80" s="409" t="str">
        <f t="shared" si="92"/>
        <v/>
      </c>
      <c r="D80" s="367">
        <f t="shared" si="93"/>
        <v>-892</v>
      </c>
      <c r="E80" s="100" t="str">
        <f t="shared" si="94"/>
        <v/>
      </c>
      <c r="F80" s="99">
        <f t="shared" si="95"/>
        <v>-892</v>
      </c>
      <c r="G80" s="101" t="str">
        <f t="shared" si="96"/>
        <v/>
      </c>
      <c r="H80" s="99">
        <f t="shared" si="97"/>
        <v>108</v>
      </c>
      <c r="I80" s="102" t="str">
        <f t="shared" si="98"/>
        <v/>
      </c>
      <c r="J80" s="103">
        <f t="shared" si="99"/>
        <v>-892</v>
      </c>
      <c r="K80" s="71" t="str">
        <f t="shared" si="100"/>
        <v/>
      </c>
      <c r="L80" s="121" t="s">
        <v>129</v>
      </c>
      <c r="M80" s="105" t="s">
        <v>110</v>
      </c>
      <c r="N80" s="106"/>
      <c r="O80" s="107"/>
      <c r="P80" s="108"/>
      <c r="Q80" s="109" t="s">
        <v>88</v>
      </c>
      <c r="R80" s="110">
        <f>(IF(COUNT(Z80,AA80,AB80,AC80,AD80,AE80,AF80,AG80,AH80,AI80)&lt;10,SUM(Z80,AA80,AB80,AC80,AD80,AE80,AF80,AG80,AH80,AI80),SUM(LARGE((Z80,AA80,AB80,AC80,AD80,AE80,AF80,AG80,AH80,AI80),{1;2;3;4;5;6;7;8;9}))))</f>
        <v>0</v>
      </c>
      <c r="S80" s="111" t="str">
        <f>INDEX(ETAPP!B$1:B$32,MATCH(COUNTIF(BI80:BR80,1),ETAPP!A$1:A$32,0))&amp;INDEX(ETAPP!B$1:B$32,MATCH(COUNTIF(BI80:BR80,2),ETAPP!A$1:A$32,0))&amp;INDEX(ETAPP!B$1:B$32,MATCH(COUNTIF(BI80:BR80,3),ETAPP!A$1:A$32,0))&amp;INDEX(ETAPP!B$1:B$32,MATCH(COUNTIF(BI80:BR80,4),ETAPP!A$1:A$32,0))&amp;INDEX(ETAPP!B$1:B$32,MATCH(COUNTIF(BI80:BR80,5),ETAPP!A$1:A$32,0))&amp;INDEX(ETAPP!B$1:B$32,MATCH(COUNTIF(BI80:BR80,6),ETAPP!A$1:A$32,0))&amp;INDEX(ETAPP!B$1:B$32,MATCH(COUNTIF(BI80:BR80,7),ETAPP!A$1:A$32,0))&amp;INDEX(ETAPP!B$1:B$32,MATCH(COUNTIF(BI80:BR80,8),ETAPP!A$1:A$32,0))&amp;INDEX(ETAPP!B$1:B$32,MATCH(COUNTIF(BI80:BR80,9),ETAPP!A$1:A$32,0))&amp;INDEX(ETAPP!B$1:B$32,MATCH(COUNTIF(BI80:BR80,10),ETAPP!A$1:A$32,0))&amp;INDEX(ETAPP!B$1:B$32,MATCH(COUNTIF(BI80:BR80,11),ETAPP!A$1:A$32,0))&amp;INDEX(ETAPP!B$1:B$32,MATCH(COUNTIF(BI80:BR80,12),ETAPP!A$1:A$32,0))&amp;INDEX(ETAPP!B$1:B$32,MATCH(COUNTIF(BI80:BR80,13),ETAPP!A$1:A$32,0))&amp;INDEX(ETAPP!B$1:B$32,MATCH(COUNTIF(BI80:BR80,14),ETAPP!A$1:A$32,0))&amp;INDEX(ETAPP!B$1:B$32,MATCH(COUNTIF(BI80:BR80,15),ETAPP!A$1:A$32,0))&amp;INDEX(ETAPP!B$1:B$32,MATCH(COUNTIF(BI80:BR80,16),ETAPP!A$1:A$32,0))&amp;INDEX(ETAPP!B$1:B$32,MATCH(COUNTIF(BI80:BR80,17),ETAPP!A$1:A$32,0))&amp;INDEX(ETAPP!B$1:B$32,MATCH(COUNTIF(BI80:BR80,18),ETAPP!A$1:A$32,0))&amp;INDEX(ETAPP!B$1:B$32,MATCH(COUNTIF(BI80:BR80,19),ETAPP!A$1:A$32,0))&amp;INDEX(ETAPP!B$1:B$32,MATCH(COUNTIF(BI80:BR80,20),ETAPP!A$1:A$32,0))&amp;INDEX(ETAPP!B$1:B$32,MATCH(COUNTIF(BI80:BR80,21),ETAPP!A$1:A$32,0))</f>
        <v>000000000000000000000</v>
      </c>
      <c r="T80" s="111" t="str">
        <f t="shared" si="101"/>
        <v>000,0-000000000000000000000</v>
      </c>
      <c r="U80" s="111">
        <f t="shared" si="102"/>
        <v>108</v>
      </c>
      <c r="V80" s="111">
        <f t="shared" si="103"/>
        <v>64</v>
      </c>
      <c r="W80" s="111" t="str">
        <f t="shared" si="104"/>
        <v>000,0-000000000000000000000-064</v>
      </c>
      <c r="X80" s="111">
        <f t="shared" si="105"/>
        <v>74</v>
      </c>
      <c r="Y80" s="112">
        <f t="shared" si="106"/>
        <v>35</v>
      </c>
      <c r="Z80" s="113" t="str">
        <f>IFERROR(INDEX('V1'!C$300:C$400,MATCH("*"&amp;L80&amp;"*",'V1'!B$300:B$400,0)),"  ")</f>
        <v xml:space="preserve">  </v>
      </c>
      <c r="AA80" s="113" t="str">
        <f>IFERROR(INDEX('V2'!C$300:C$400,MATCH("*"&amp;L80&amp;"*",'V2'!B$300:B$400,0)),"  ")</f>
        <v xml:space="preserve">  </v>
      </c>
      <c r="AB80" s="113" t="str">
        <f>IFERROR(INDEX('V3'!C$300:C$400,MATCH("*"&amp;L80&amp;"*",'V3'!B$300:B$400,0)),"  ")</f>
        <v xml:space="preserve">  </v>
      </c>
      <c r="AC80" s="113" t="str">
        <f>IFERROR(INDEX('V4'!C$300:C$400,MATCH("*"&amp;L80&amp;"*",'V4'!B$300:B$400,0)),"  ")</f>
        <v xml:space="preserve">  </v>
      </c>
      <c r="AD80" s="113" t="str">
        <f>IFERROR(INDEX('V5'!C$300:C$400,MATCH("*"&amp;L80&amp;"*",'V5'!B$300:B$400,0)),"  ")</f>
        <v xml:space="preserve">  </v>
      </c>
      <c r="AE80" s="113" t="str">
        <f>IFERROR(INDEX('V6'!C$300:C$400,MATCH("*"&amp;L80&amp;"*",'V6'!B$300:B$400,0)),"  ")</f>
        <v xml:space="preserve">  </v>
      </c>
      <c r="AF80" s="113" t="str">
        <f>IFERROR(INDEX('V7'!C$300:C$400,MATCH("*"&amp;L80&amp;"*",'V7'!B$300:B$400,0)),"  ")</f>
        <v xml:space="preserve">  </v>
      </c>
      <c r="AG80" s="113" t="str">
        <f>IFERROR(INDEX('V8'!C$300:C$400,MATCH("*"&amp;L80&amp;"*",'V8'!B$300:B$400,0)),"  ")</f>
        <v xml:space="preserve">  </v>
      </c>
      <c r="AH80" s="113" t="str">
        <f>IFERROR(INDEX('V9'!C$300:C$399,MATCH("*"&amp;L80&amp;"*",'V9'!B$300:B$399,0)),"  ")</f>
        <v xml:space="preserve">  </v>
      </c>
      <c r="AI80" s="113" t="str">
        <f>IFERROR(INDEX('V10'!C$300:C$399,MATCH("*"&amp;L80&amp;"*",'V10'!B$300:B$399,0)),"  ")</f>
        <v xml:space="preserve">  </v>
      </c>
      <c r="AJ80" s="114" t="str">
        <f t="shared" si="107"/>
        <v/>
      </c>
      <c r="AK80" s="404">
        <f t="shared" si="108"/>
        <v>0</v>
      </c>
      <c r="AL80" s="115" t="str">
        <f t="shared" si="109"/>
        <v/>
      </c>
      <c r="AM80" s="116" t="str">
        <f>IFERROR(INDEX(#REF!,MATCH("*"&amp;L80&amp;"*",#REF!,0)),"  ")</f>
        <v xml:space="preserve">  </v>
      </c>
      <c r="AN80" s="117">
        <f t="shared" si="110"/>
        <v>0</v>
      </c>
      <c r="AO80" s="118">
        <f t="shared" si="111"/>
        <v>0</v>
      </c>
      <c r="AP80" s="118">
        <f t="shared" si="112"/>
        <v>0</v>
      </c>
      <c r="AQ80" s="49"/>
      <c r="AR80" s="1"/>
      <c r="AS80" s="1"/>
      <c r="AT80" s="119">
        <f t="shared" si="113"/>
        <v>1E-4</v>
      </c>
      <c r="AU80" s="120">
        <f t="shared" si="114"/>
        <v>1E-4</v>
      </c>
      <c r="AV80" s="120">
        <f t="shared" si="115"/>
        <v>2.0000000000000001E-4</v>
      </c>
      <c r="AW80" s="120">
        <f t="shared" si="116"/>
        <v>2.9999999999999997E-4</v>
      </c>
      <c r="AX80" s="120">
        <f t="shared" si="117"/>
        <v>4.0000000000000002E-4</v>
      </c>
      <c r="AY80" s="120">
        <f t="shared" si="118"/>
        <v>5.0000000000000001E-4</v>
      </c>
      <c r="AZ80" s="120">
        <f t="shared" si="119"/>
        <v>5.9999999999999995E-4</v>
      </c>
      <c r="BA80" s="120">
        <f t="shared" si="120"/>
        <v>6.9999999999999999E-4</v>
      </c>
      <c r="BB80" s="120">
        <f t="shared" si="121"/>
        <v>8.0000000000000004E-4</v>
      </c>
      <c r="BC80" s="120">
        <f t="shared" si="122"/>
        <v>8.9999999999999998E-4</v>
      </c>
      <c r="BD80" s="120">
        <f t="shared" si="123"/>
        <v>1E-3</v>
      </c>
      <c r="BI80" s="1018" t="e">
        <f t="shared" si="124"/>
        <v>#VALUE!</v>
      </c>
      <c r="BJ80" s="1018" t="e">
        <f t="shared" si="125"/>
        <v>#VALUE!</v>
      </c>
      <c r="BK80" s="1018" t="e">
        <f t="shared" si="126"/>
        <v>#VALUE!</v>
      </c>
      <c r="BL80" s="1018" t="e">
        <f t="shared" si="127"/>
        <v>#VALUE!</v>
      </c>
      <c r="BM80" s="1018" t="e">
        <f t="shared" si="128"/>
        <v>#VALUE!</v>
      </c>
      <c r="BN80" s="1018" t="e">
        <f t="shared" si="129"/>
        <v>#VALUE!</v>
      </c>
      <c r="BO80" s="1018" t="e">
        <f t="shared" si="130"/>
        <v>#VALUE!</v>
      </c>
      <c r="BP80" s="1018" t="e">
        <f t="shared" si="131"/>
        <v>#VALUE!</v>
      </c>
      <c r="BQ80" s="1018" t="e">
        <f t="shared" si="132"/>
        <v>#VALUE!</v>
      </c>
      <c r="BR80" s="1018" t="e">
        <f t="shared" si="133"/>
        <v>#VALUE!</v>
      </c>
    </row>
    <row r="81" spans="1:70" ht="12.75" hidden="1" customHeight="1" x14ac:dyDescent="0.2">
      <c r="A81" s="647" t="str">
        <f t="shared" si="90"/>
        <v/>
      </c>
      <c r="B81" s="99">
        <f t="shared" si="91"/>
        <v>108</v>
      </c>
      <c r="C81" s="409" t="str">
        <f t="shared" si="92"/>
        <v/>
      </c>
      <c r="D81" s="367">
        <f t="shared" si="93"/>
        <v>-892</v>
      </c>
      <c r="E81" s="100" t="str">
        <f t="shared" si="94"/>
        <v/>
      </c>
      <c r="F81" s="99">
        <f t="shared" si="95"/>
        <v>-892</v>
      </c>
      <c r="G81" s="101" t="str">
        <f t="shared" si="96"/>
        <v/>
      </c>
      <c r="H81" s="99">
        <f t="shared" si="97"/>
        <v>108</v>
      </c>
      <c r="I81" s="102" t="str">
        <f t="shared" si="98"/>
        <v/>
      </c>
      <c r="J81" s="103">
        <f t="shared" si="99"/>
        <v>-892</v>
      </c>
      <c r="K81" s="71" t="str">
        <f t="shared" si="100"/>
        <v/>
      </c>
      <c r="L81" s="104" t="s">
        <v>161</v>
      </c>
      <c r="M81" s="105" t="s">
        <v>110</v>
      </c>
      <c r="N81" s="106" t="str">
        <f>IF(M81="","m","")</f>
        <v/>
      </c>
      <c r="O81" s="107"/>
      <c r="P81" s="108"/>
      <c r="Q81" s="109" t="s">
        <v>88</v>
      </c>
      <c r="R81" s="110">
        <f>(IF(COUNT(Z81,AA81,AB81,AC81,AD81,AE81,AF81,AG81,AH81,AI81)&lt;10,SUM(Z81,AA81,AB81,AC81,AD81,AE81,AF81,AG81,AH81,AI81),SUM(LARGE((Z81,AA81,AB81,AC81,AD81,AE81,AF81,AG81,AH81,AI81),{1;2;3;4;5;6;7;8;9}))))</f>
        <v>0</v>
      </c>
      <c r="S81" s="111" t="str">
        <f>INDEX(ETAPP!B$1:B$32,MATCH(COUNTIF(BI81:BR81,1),ETAPP!A$1:A$32,0))&amp;INDEX(ETAPP!B$1:B$32,MATCH(COUNTIF(BI81:BR81,2),ETAPP!A$1:A$32,0))&amp;INDEX(ETAPP!B$1:B$32,MATCH(COUNTIF(BI81:BR81,3),ETAPP!A$1:A$32,0))&amp;INDEX(ETAPP!B$1:B$32,MATCH(COUNTIF(BI81:BR81,4),ETAPP!A$1:A$32,0))&amp;INDEX(ETAPP!B$1:B$32,MATCH(COUNTIF(BI81:BR81,5),ETAPP!A$1:A$32,0))&amp;INDEX(ETAPP!B$1:B$32,MATCH(COUNTIF(BI81:BR81,6),ETAPP!A$1:A$32,0))&amp;INDEX(ETAPP!B$1:B$32,MATCH(COUNTIF(BI81:BR81,7),ETAPP!A$1:A$32,0))&amp;INDEX(ETAPP!B$1:B$32,MATCH(COUNTIF(BI81:BR81,8),ETAPP!A$1:A$32,0))&amp;INDEX(ETAPP!B$1:B$32,MATCH(COUNTIF(BI81:BR81,9),ETAPP!A$1:A$32,0))&amp;INDEX(ETAPP!B$1:B$32,MATCH(COUNTIF(BI81:BR81,10),ETAPP!A$1:A$32,0))&amp;INDEX(ETAPP!B$1:B$32,MATCH(COUNTIF(BI81:BR81,11),ETAPP!A$1:A$32,0))&amp;INDEX(ETAPP!B$1:B$32,MATCH(COUNTIF(BI81:BR81,12),ETAPP!A$1:A$32,0))&amp;INDEX(ETAPP!B$1:B$32,MATCH(COUNTIF(BI81:BR81,13),ETAPP!A$1:A$32,0))&amp;INDEX(ETAPP!B$1:B$32,MATCH(COUNTIF(BI81:BR81,14),ETAPP!A$1:A$32,0))&amp;INDEX(ETAPP!B$1:B$32,MATCH(COUNTIF(BI81:BR81,15),ETAPP!A$1:A$32,0))&amp;INDEX(ETAPP!B$1:B$32,MATCH(COUNTIF(BI81:BR81,16),ETAPP!A$1:A$32,0))&amp;INDEX(ETAPP!B$1:B$32,MATCH(COUNTIF(BI81:BR81,17),ETAPP!A$1:A$32,0))&amp;INDEX(ETAPP!B$1:B$32,MATCH(COUNTIF(BI81:BR81,18),ETAPP!A$1:A$32,0))&amp;INDEX(ETAPP!B$1:B$32,MATCH(COUNTIF(BI81:BR81,19),ETAPP!A$1:A$32,0))&amp;INDEX(ETAPP!B$1:B$32,MATCH(COUNTIF(BI81:BR81,20),ETAPP!A$1:A$32,0))&amp;INDEX(ETAPP!B$1:B$32,MATCH(COUNTIF(BI81:BR81,21),ETAPP!A$1:A$32,0))</f>
        <v>000000000000000000000</v>
      </c>
      <c r="T81" s="111" t="str">
        <f t="shared" si="101"/>
        <v>000,0-000000000000000000000</v>
      </c>
      <c r="U81" s="111">
        <f t="shared" si="102"/>
        <v>108</v>
      </c>
      <c r="V81" s="111">
        <f t="shared" si="103"/>
        <v>62</v>
      </c>
      <c r="W81" s="111" t="str">
        <f t="shared" si="104"/>
        <v>000,0-000000000000000000000-062</v>
      </c>
      <c r="X81" s="111">
        <f t="shared" si="105"/>
        <v>75</v>
      </c>
      <c r="Y81" s="112">
        <f t="shared" si="106"/>
        <v>34</v>
      </c>
      <c r="Z81" s="113" t="str">
        <f>IFERROR(INDEX('V1'!C$300:C$400,MATCH("*"&amp;L81&amp;"*",'V1'!B$300:B$400,0)),"  ")</f>
        <v xml:space="preserve">  </v>
      </c>
      <c r="AA81" s="113" t="str">
        <f>IFERROR(INDEX('V2'!C$300:C$400,MATCH("*"&amp;L81&amp;"*",'V2'!B$300:B$400,0)),"  ")</f>
        <v xml:space="preserve">  </v>
      </c>
      <c r="AB81" s="113" t="str">
        <f>IFERROR(INDEX('V3'!C$300:C$400,MATCH("*"&amp;L81&amp;"*",'V3'!B$300:B$400,0)),"  ")</f>
        <v xml:space="preserve">  </v>
      </c>
      <c r="AC81" s="113" t="str">
        <f>IFERROR(INDEX('V4'!C$300:C$400,MATCH("*"&amp;L81&amp;"*",'V4'!B$300:B$400,0)),"  ")</f>
        <v xml:space="preserve">  </v>
      </c>
      <c r="AD81" s="113" t="str">
        <f>IFERROR(INDEX('V5'!C$300:C$400,MATCH("*"&amp;L81&amp;"*",'V5'!B$300:B$400,0)),"  ")</f>
        <v xml:space="preserve">  </v>
      </c>
      <c r="AE81" s="113" t="str">
        <f>IFERROR(INDEX('V6'!C$300:C$400,MATCH("*"&amp;L81&amp;"*",'V6'!B$300:B$400,0)),"  ")</f>
        <v xml:space="preserve">  </v>
      </c>
      <c r="AF81" s="113" t="str">
        <f>IFERROR(INDEX('V7'!C$300:C$400,MATCH("*"&amp;L81&amp;"*",'V7'!B$300:B$400,0)),"  ")</f>
        <v xml:space="preserve">  </v>
      </c>
      <c r="AG81" s="113" t="str">
        <f>IFERROR(INDEX('V8'!C$300:C$400,MATCH("*"&amp;L81&amp;"*",'V8'!B$300:B$400,0)),"  ")</f>
        <v xml:space="preserve">  </v>
      </c>
      <c r="AH81" s="113" t="str">
        <f>IFERROR(INDEX('V9'!C$300:C$399,MATCH("*"&amp;L81&amp;"*",'V9'!B$300:B$399,0)),"  ")</f>
        <v xml:space="preserve">  </v>
      </c>
      <c r="AI81" s="113" t="str">
        <f>IFERROR(INDEX('V10'!C$300:C$399,MATCH("*"&amp;L81&amp;"*",'V10'!B$300:B$399,0)),"  ")</f>
        <v xml:space="preserve">  </v>
      </c>
      <c r="AJ81" s="114" t="str">
        <f t="shared" si="107"/>
        <v/>
      </c>
      <c r="AK81" s="404">
        <f t="shared" si="108"/>
        <v>0</v>
      </c>
      <c r="AL81" s="115" t="str">
        <f t="shared" si="109"/>
        <v/>
      </c>
      <c r="AM81" s="116" t="str">
        <f>IFERROR(INDEX(#REF!,MATCH("*"&amp;L81&amp;"*",#REF!,0)),"  ")</f>
        <v xml:space="preserve">  </v>
      </c>
      <c r="AN81" s="117">
        <f t="shared" si="110"/>
        <v>0</v>
      </c>
      <c r="AO81" s="118">
        <f t="shared" si="111"/>
        <v>0</v>
      </c>
      <c r="AP81" s="118">
        <f t="shared" si="112"/>
        <v>0</v>
      </c>
      <c r="AQ81" s="49"/>
      <c r="AR81" s="1"/>
      <c r="AS81" s="1"/>
      <c r="AT81" s="119">
        <f t="shared" si="113"/>
        <v>1E-4</v>
      </c>
      <c r="AU81" s="120">
        <f t="shared" si="114"/>
        <v>1E-4</v>
      </c>
      <c r="AV81" s="120">
        <f t="shared" si="115"/>
        <v>2.0000000000000001E-4</v>
      </c>
      <c r="AW81" s="120">
        <f t="shared" si="116"/>
        <v>2.9999999999999997E-4</v>
      </c>
      <c r="AX81" s="120">
        <f t="shared" si="117"/>
        <v>4.0000000000000002E-4</v>
      </c>
      <c r="AY81" s="120">
        <f t="shared" si="118"/>
        <v>5.0000000000000001E-4</v>
      </c>
      <c r="AZ81" s="120">
        <f t="shared" si="119"/>
        <v>5.9999999999999995E-4</v>
      </c>
      <c r="BA81" s="120">
        <f t="shared" si="120"/>
        <v>6.9999999999999999E-4</v>
      </c>
      <c r="BB81" s="120">
        <f t="shared" si="121"/>
        <v>8.0000000000000004E-4</v>
      </c>
      <c r="BC81" s="120">
        <f t="shared" si="122"/>
        <v>8.9999999999999998E-4</v>
      </c>
      <c r="BD81" s="120">
        <f t="shared" si="123"/>
        <v>1E-3</v>
      </c>
      <c r="BI81" s="1018" t="e">
        <f t="shared" si="124"/>
        <v>#VALUE!</v>
      </c>
      <c r="BJ81" s="1018" t="e">
        <f t="shared" si="125"/>
        <v>#VALUE!</v>
      </c>
      <c r="BK81" s="1018" t="e">
        <f t="shared" si="126"/>
        <v>#VALUE!</v>
      </c>
      <c r="BL81" s="1018" t="e">
        <f t="shared" si="127"/>
        <v>#VALUE!</v>
      </c>
      <c r="BM81" s="1018" t="e">
        <f t="shared" si="128"/>
        <v>#VALUE!</v>
      </c>
      <c r="BN81" s="1018" t="e">
        <f t="shared" si="129"/>
        <v>#VALUE!</v>
      </c>
      <c r="BO81" s="1018" t="e">
        <f t="shared" si="130"/>
        <v>#VALUE!</v>
      </c>
      <c r="BP81" s="1018" t="e">
        <f t="shared" si="131"/>
        <v>#VALUE!</v>
      </c>
      <c r="BQ81" s="1018" t="e">
        <f t="shared" si="132"/>
        <v>#VALUE!</v>
      </c>
      <c r="BR81" s="1018" t="e">
        <f t="shared" si="133"/>
        <v>#VALUE!</v>
      </c>
    </row>
    <row r="82" spans="1:70" ht="12.75" hidden="1" customHeight="1" x14ac:dyDescent="0.2">
      <c r="A82" s="647" t="str">
        <f t="shared" si="90"/>
        <v/>
      </c>
      <c r="B82" s="99">
        <f t="shared" si="91"/>
        <v>-892</v>
      </c>
      <c r="C82" s="409" t="str">
        <f t="shared" si="92"/>
        <v/>
      </c>
      <c r="D82" s="367">
        <f t="shared" si="93"/>
        <v>108</v>
      </c>
      <c r="E82" s="100" t="str">
        <f t="shared" si="94"/>
        <v/>
      </c>
      <c r="F82" s="99">
        <f t="shared" si="95"/>
        <v>108</v>
      </c>
      <c r="G82" s="101" t="str">
        <f t="shared" si="96"/>
        <v/>
      </c>
      <c r="H82" s="99">
        <f t="shared" si="97"/>
        <v>-892</v>
      </c>
      <c r="I82" s="102" t="str">
        <f t="shared" si="98"/>
        <v/>
      </c>
      <c r="J82" s="103">
        <f t="shared" si="99"/>
        <v>108</v>
      </c>
      <c r="K82" s="71" t="str">
        <f t="shared" si="100"/>
        <v/>
      </c>
      <c r="L82" s="104" t="s">
        <v>316</v>
      </c>
      <c r="M82" s="105"/>
      <c r="N82" s="106" t="s">
        <v>105</v>
      </c>
      <c r="O82" s="138" t="s">
        <v>117</v>
      </c>
      <c r="P82" s="108" t="s">
        <v>317</v>
      </c>
      <c r="Q82" s="109"/>
      <c r="R82" s="110">
        <f>(IF(COUNT(Z82,AA82,AB82,AC82,AD82,AE82,AF82,AG82,AH82,AI82)&lt;10,SUM(Z82,AA82,AB82,AC82,AD82,AE82,AF82,AG82,AH82,AI82),SUM(LARGE((Z82,AA82,AB82,AC82,AD82,AE82,AF82,AG82,AH82,AI82),{1;2;3;4;5;6;7;8;9}))))</f>
        <v>0</v>
      </c>
      <c r="S82" s="111" t="str">
        <f>INDEX(ETAPP!B$1:B$32,MATCH(COUNTIF(BI82:BR82,1),ETAPP!A$1:A$32,0))&amp;INDEX(ETAPP!B$1:B$32,MATCH(COUNTIF(BI82:BR82,2),ETAPP!A$1:A$32,0))&amp;INDEX(ETAPP!B$1:B$32,MATCH(COUNTIF(BI82:BR82,3),ETAPP!A$1:A$32,0))&amp;INDEX(ETAPP!B$1:B$32,MATCH(COUNTIF(BI82:BR82,4),ETAPP!A$1:A$32,0))&amp;INDEX(ETAPP!B$1:B$32,MATCH(COUNTIF(BI82:BR82,5),ETAPP!A$1:A$32,0))&amp;INDEX(ETAPP!B$1:B$32,MATCH(COUNTIF(BI82:BR82,6),ETAPP!A$1:A$32,0))&amp;INDEX(ETAPP!B$1:B$32,MATCH(COUNTIF(BI82:BR82,7),ETAPP!A$1:A$32,0))&amp;INDEX(ETAPP!B$1:B$32,MATCH(COUNTIF(BI82:BR82,8),ETAPP!A$1:A$32,0))&amp;INDEX(ETAPP!B$1:B$32,MATCH(COUNTIF(BI82:BR82,9),ETAPP!A$1:A$32,0))&amp;INDEX(ETAPP!B$1:B$32,MATCH(COUNTIF(BI82:BR82,10),ETAPP!A$1:A$32,0))&amp;INDEX(ETAPP!B$1:B$32,MATCH(COUNTIF(BI82:BR82,11),ETAPP!A$1:A$32,0))&amp;INDEX(ETAPP!B$1:B$32,MATCH(COUNTIF(BI82:BR82,12),ETAPP!A$1:A$32,0))&amp;INDEX(ETAPP!B$1:B$32,MATCH(COUNTIF(BI82:BR82,13),ETAPP!A$1:A$32,0))&amp;INDEX(ETAPP!B$1:B$32,MATCH(COUNTIF(BI82:BR82,14),ETAPP!A$1:A$32,0))&amp;INDEX(ETAPP!B$1:B$32,MATCH(COUNTIF(BI82:BR82,15),ETAPP!A$1:A$32,0))&amp;INDEX(ETAPP!B$1:B$32,MATCH(COUNTIF(BI82:BR82,16),ETAPP!A$1:A$32,0))&amp;INDEX(ETAPP!B$1:B$32,MATCH(COUNTIF(BI82:BR82,17),ETAPP!A$1:A$32,0))&amp;INDEX(ETAPP!B$1:B$32,MATCH(COUNTIF(BI82:BR82,18),ETAPP!A$1:A$32,0))&amp;INDEX(ETAPP!B$1:B$32,MATCH(COUNTIF(BI82:BR82,19),ETAPP!A$1:A$32,0))&amp;INDEX(ETAPP!B$1:B$32,MATCH(COUNTIF(BI82:BR82,20),ETAPP!A$1:A$32,0))&amp;INDEX(ETAPP!B$1:B$32,MATCH(COUNTIF(BI82:BR82,21),ETAPP!A$1:A$32,0))</f>
        <v>000000000000000000000</v>
      </c>
      <c r="T82" s="111" t="str">
        <f t="shared" si="101"/>
        <v>000,0-000000000000000000000</v>
      </c>
      <c r="U82" s="111">
        <f t="shared" si="102"/>
        <v>108</v>
      </c>
      <c r="V82" s="111">
        <f t="shared" si="103"/>
        <v>60</v>
      </c>
      <c r="W82" s="111" t="str">
        <f t="shared" si="104"/>
        <v>000,0-000000000000000000000-060</v>
      </c>
      <c r="X82" s="111">
        <f t="shared" si="105"/>
        <v>76</v>
      </c>
      <c r="Y82" s="112">
        <f t="shared" si="106"/>
        <v>33</v>
      </c>
      <c r="Z82" s="113" t="str">
        <f>IFERROR(INDEX('V1'!C$300:C$400,MATCH("*"&amp;L82&amp;"*",'V1'!B$300:B$400,0)),"  ")</f>
        <v xml:space="preserve">  </v>
      </c>
      <c r="AA82" s="113" t="str">
        <f>IFERROR(INDEX('V2'!C$300:C$400,MATCH("*"&amp;L82&amp;"*",'V2'!B$300:B$400,0)),"  ")</f>
        <v xml:space="preserve">  </v>
      </c>
      <c r="AB82" s="113" t="str">
        <f>IFERROR(INDEX('V3'!C$300:C$400,MATCH("*"&amp;L82&amp;"*",'V3'!B$300:B$400,0)),"  ")</f>
        <v xml:space="preserve">  </v>
      </c>
      <c r="AC82" s="113" t="str">
        <f>IFERROR(INDEX('V4'!C$300:C$400,MATCH("*"&amp;L82&amp;"*",'V4'!B$300:B$400,0)),"  ")</f>
        <v xml:space="preserve">  </v>
      </c>
      <c r="AD82" s="113" t="str">
        <f>IFERROR(INDEX('V5'!C$300:C$400,MATCH("*"&amp;L82&amp;"*",'V5'!B$300:B$400,0)),"  ")</f>
        <v xml:space="preserve">  </v>
      </c>
      <c r="AE82" s="113" t="str">
        <f>IFERROR(INDEX('V6'!C$300:C$400,MATCH("*"&amp;L82&amp;"*",'V6'!B$300:B$400,0)),"  ")</f>
        <v xml:space="preserve">  </v>
      </c>
      <c r="AF82" s="113" t="str">
        <f>IFERROR(INDEX('V7'!C$300:C$400,MATCH("*"&amp;L82&amp;"*",'V7'!B$300:B$400,0)),"  ")</f>
        <v xml:space="preserve">  </v>
      </c>
      <c r="AG82" s="113" t="str">
        <f>IFERROR(INDEX('V8'!C$300:C$400,MATCH("*"&amp;L82&amp;"*",'V8'!B$300:B$400,0)),"  ")</f>
        <v xml:space="preserve">  </v>
      </c>
      <c r="AH82" s="113" t="str">
        <f>IFERROR(INDEX('V9'!C$300:C$399,MATCH("*"&amp;L82&amp;"*",'V9'!B$300:B$399,0)),"  ")</f>
        <v xml:space="preserve">  </v>
      </c>
      <c r="AI82" s="113" t="str">
        <f>IFERROR(INDEX('V10'!C$300:C$399,MATCH("*"&amp;L82&amp;"*",'V10'!B$300:B$399,0)),"  ")</f>
        <v xml:space="preserve">  </v>
      </c>
      <c r="AJ82" s="114" t="str">
        <f t="shared" si="107"/>
        <v/>
      </c>
      <c r="AK82" s="404">
        <f t="shared" si="108"/>
        <v>0</v>
      </c>
      <c r="AL82" s="115" t="str">
        <f t="shared" si="109"/>
        <v/>
      </c>
      <c r="AM82" s="116" t="str">
        <f>IFERROR(INDEX(#REF!,MATCH("*"&amp;L82&amp;"*",#REF!,0)),"  ")</f>
        <v xml:space="preserve">  </v>
      </c>
      <c r="AN82" s="117">
        <f t="shared" si="110"/>
        <v>0</v>
      </c>
      <c r="AO82" s="118">
        <f t="shared" si="111"/>
        <v>0</v>
      </c>
      <c r="AP82" s="118">
        <f t="shared" si="112"/>
        <v>0</v>
      </c>
      <c r="AQ82" s="49"/>
      <c r="AR82" s="1"/>
      <c r="AS82" s="1"/>
      <c r="AT82" s="119">
        <f t="shared" si="113"/>
        <v>1E-4</v>
      </c>
      <c r="AU82" s="120">
        <f t="shared" si="114"/>
        <v>1E-4</v>
      </c>
      <c r="AV82" s="120">
        <f t="shared" si="115"/>
        <v>2.0000000000000001E-4</v>
      </c>
      <c r="AW82" s="120">
        <f t="shared" si="116"/>
        <v>2.9999999999999997E-4</v>
      </c>
      <c r="AX82" s="120">
        <f t="shared" si="117"/>
        <v>4.0000000000000002E-4</v>
      </c>
      <c r="AY82" s="120">
        <f t="shared" si="118"/>
        <v>5.0000000000000001E-4</v>
      </c>
      <c r="AZ82" s="120">
        <f t="shared" si="119"/>
        <v>5.9999999999999995E-4</v>
      </c>
      <c r="BA82" s="120">
        <f t="shared" si="120"/>
        <v>6.9999999999999999E-4</v>
      </c>
      <c r="BB82" s="120">
        <f t="shared" si="121"/>
        <v>8.0000000000000004E-4</v>
      </c>
      <c r="BC82" s="120">
        <f t="shared" si="122"/>
        <v>8.9999999999999998E-4</v>
      </c>
      <c r="BD82" s="120">
        <f t="shared" si="123"/>
        <v>1E-3</v>
      </c>
      <c r="BI82" s="1018" t="e">
        <f t="shared" si="124"/>
        <v>#VALUE!</v>
      </c>
      <c r="BJ82" s="1018" t="e">
        <f t="shared" si="125"/>
        <v>#VALUE!</v>
      </c>
      <c r="BK82" s="1018" t="e">
        <f t="shared" si="126"/>
        <v>#VALUE!</v>
      </c>
      <c r="BL82" s="1018" t="e">
        <f t="shared" si="127"/>
        <v>#VALUE!</v>
      </c>
      <c r="BM82" s="1018" t="e">
        <f t="shared" si="128"/>
        <v>#VALUE!</v>
      </c>
      <c r="BN82" s="1018" t="e">
        <f t="shared" si="129"/>
        <v>#VALUE!</v>
      </c>
      <c r="BO82" s="1018" t="e">
        <f t="shared" si="130"/>
        <v>#VALUE!</v>
      </c>
      <c r="BP82" s="1018" t="e">
        <f t="shared" si="131"/>
        <v>#VALUE!</v>
      </c>
      <c r="BQ82" s="1018" t="e">
        <f t="shared" si="132"/>
        <v>#VALUE!</v>
      </c>
      <c r="BR82" s="1018" t="e">
        <f t="shared" si="133"/>
        <v>#VALUE!</v>
      </c>
    </row>
    <row r="83" spans="1:70" ht="12.75" hidden="1" customHeight="1" x14ac:dyDescent="0.2">
      <c r="A83" s="647" t="str">
        <f t="shared" si="90"/>
        <v/>
      </c>
      <c r="B83" s="99">
        <f t="shared" si="91"/>
        <v>-892</v>
      </c>
      <c r="C83" s="409" t="str">
        <f t="shared" si="92"/>
        <v/>
      </c>
      <c r="D83" s="367">
        <f t="shared" si="93"/>
        <v>-892</v>
      </c>
      <c r="E83" s="100" t="str">
        <f t="shared" si="94"/>
        <v/>
      </c>
      <c r="F83" s="99">
        <f t="shared" si="95"/>
        <v>108</v>
      </c>
      <c r="G83" s="101" t="str">
        <f t="shared" si="96"/>
        <v/>
      </c>
      <c r="H83" s="99">
        <f t="shared" si="97"/>
        <v>-892</v>
      </c>
      <c r="I83" s="102" t="str">
        <f t="shared" si="98"/>
        <v/>
      </c>
      <c r="J83" s="103">
        <f t="shared" si="99"/>
        <v>108</v>
      </c>
      <c r="K83" s="71" t="str">
        <f t="shared" si="100"/>
        <v/>
      </c>
      <c r="L83" s="121" t="s">
        <v>147</v>
      </c>
      <c r="M83" s="105"/>
      <c r="N83" s="106" t="s">
        <v>105</v>
      </c>
      <c r="O83" s="138" t="s">
        <v>117</v>
      </c>
      <c r="P83" s="108"/>
      <c r="Q83" s="109" t="s">
        <v>346</v>
      </c>
      <c r="R83" s="110">
        <f>(IF(COUNT(Z83,AA83,AB83,AC83,AD83,AE83,AF83,AG83,AH83,AI83)&lt;10,SUM(Z83,AA83,AB83,AC83,AD83,AE83,AF83,AG83,AH83,AI83),SUM(LARGE((Z83,AA83,AB83,AC83,AD83,AE83,AF83,AG83,AH83,AI83),{1;2;3;4;5;6;7;8;9}))))</f>
        <v>0</v>
      </c>
      <c r="S83" s="111" t="str">
        <f>INDEX(ETAPP!B$1:B$32,MATCH(COUNTIF(BI83:BR83,1),ETAPP!A$1:A$32,0))&amp;INDEX(ETAPP!B$1:B$32,MATCH(COUNTIF(BI83:BR83,2),ETAPP!A$1:A$32,0))&amp;INDEX(ETAPP!B$1:B$32,MATCH(COUNTIF(BI83:BR83,3),ETAPP!A$1:A$32,0))&amp;INDEX(ETAPP!B$1:B$32,MATCH(COUNTIF(BI83:BR83,4),ETAPP!A$1:A$32,0))&amp;INDEX(ETAPP!B$1:B$32,MATCH(COUNTIF(BI83:BR83,5),ETAPP!A$1:A$32,0))&amp;INDEX(ETAPP!B$1:B$32,MATCH(COUNTIF(BI83:BR83,6),ETAPP!A$1:A$32,0))&amp;INDEX(ETAPP!B$1:B$32,MATCH(COUNTIF(BI83:BR83,7),ETAPP!A$1:A$32,0))&amp;INDEX(ETAPP!B$1:B$32,MATCH(COUNTIF(BI83:BR83,8),ETAPP!A$1:A$32,0))&amp;INDEX(ETAPP!B$1:B$32,MATCH(COUNTIF(BI83:BR83,9),ETAPP!A$1:A$32,0))&amp;INDEX(ETAPP!B$1:B$32,MATCH(COUNTIF(BI83:BR83,10),ETAPP!A$1:A$32,0))&amp;INDEX(ETAPP!B$1:B$32,MATCH(COUNTIF(BI83:BR83,11),ETAPP!A$1:A$32,0))&amp;INDEX(ETAPP!B$1:B$32,MATCH(COUNTIF(BI83:BR83,12),ETAPP!A$1:A$32,0))&amp;INDEX(ETAPP!B$1:B$32,MATCH(COUNTIF(BI83:BR83,13),ETAPP!A$1:A$32,0))&amp;INDEX(ETAPP!B$1:B$32,MATCH(COUNTIF(BI83:BR83,14),ETAPP!A$1:A$32,0))&amp;INDEX(ETAPP!B$1:B$32,MATCH(COUNTIF(BI83:BR83,15),ETAPP!A$1:A$32,0))&amp;INDEX(ETAPP!B$1:B$32,MATCH(COUNTIF(BI83:BR83,16),ETAPP!A$1:A$32,0))&amp;INDEX(ETAPP!B$1:B$32,MATCH(COUNTIF(BI83:BR83,17),ETAPP!A$1:A$32,0))&amp;INDEX(ETAPP!B$1:B$32,MATCH(COUNTIF(BI83:BR83,18),ETAPP!A$1:A$32,0))&amp;INDEX(ETAPP!B$1:B$32,MATCH(COUNTIF(BI83:BR83,19),ETAPP!A$1:A$32,0))&amp;INDEX(ETAPP!B$1:B$32,MATCH(COUNTIF(BI83:BR83,20),ETAPP!A$1:A$32,0))&amp;INDEX(ETAPP!B$1:B$32,MATCH(COUNTIF(BI83:BR83,21),ETAPP!A$1:A$32,0))</f>
        <v>000000000000000000000</v>
      </c>
      <c r="T83" s="111" t="str">
        <f t="shared" si="101"/>
        <v>000,0-000000000000000000000</v>
      </c>
      <c r="U83" s="111">
        <f t="shared" si="102"/>
        <v>108</v>
      </c>
      <c r="V83" s="111">
        <f t="shared" si="103"/>
        <v>59</v>
      </c>
      <c r="W83" s="111" t="str">
        <f t="shared" si="104"/>
        <v>000,0-000000000000000000000-059</v>
      </c>
      <c r="X83" s="111">
        <f t="shared" si="105"/>
        <v>77</v>
      </c>
      <c r="Y83" s="112">
        <f t="shared" si="106"/>
        <v>32</v>
      </c>
      <c r="Z83" s="113" t="str">
        <f>IFERROR(INDEX('V1'!C$300:C$400,MATCH("*"&amp;L83&amp;"*",'V1'!B$300:B$400,0)),"  ")</f>
        <v xml:space="preserve">  </v>
      </c>
      <c r="AA83" s="113" t="str">
        <f>IFERROR(INDEX('V2'!C$300:C$400,MATCH("*"&amp;L83&amp;"*",'V2'!B$300:B$400,0)),"  ")</f>
        <v xml:space="preserve">  </v>
      </c>
      <c r="AB83" s="113" t="str">
        <f>IFERROR(INDEX('V3'!C$300:C$400,MATCH("*"&amp;L83&amp;"*",'V3'!B$300:B$400,0)),"  ")</f>
        <v xml:space="preserve">  </v>
      </c>
      <c r="AC83" s="113" t="str">
        <f>IFERROR(INDEX('V4'!C$300:C$400,MATCH("*"&amp;L83&amp;"*",'V4'!B$300:B$400,0)),"  ")</f>
        <v xml:space="preserve">  </v>
      </c>
      <c r="AD83" s="113" t="str">
        <f>IFERROR(INDEX('V5'!C$300:C$400,MATCH("*"&amp;L83&amp;"*",'V5'!B$300:B$400,0)),"  ")</f>
        <v xml:space="preserve">  </v>
      </c>
      <c r="AE83" s="113" t="str">
        <f>IFERROR(INDEX('V6'!C$300:C$400,MATCH("*"&amp;L83&amp;"*",'V6'!B$300:B$400,0)),"  ")</f>
        <v xml:space="preserve">  </v>
      </c>
      <c r="AF83" s="113" t="str">
        <f>IFERROR(INDEX('V7'!C$300:C$400,MATCH("*"&amp;L83&amp;"*",'V7'!B$300:B$400,0)),"  ")</f>
        <v xml:space="preserve">  </v>
      </c>
      <c r="AG83" s="113" t="str">
        <f>IFERROR(INDEX('V8'!C$300:C$400,MATCH("*"&amp;L83&amp;"*",'V8'!B$300:B$400,0)),"  ")</f>
        <v xml:space="preserve">  </v>
      </c>
      <c r="AH83" s="113" t="str">
        <f>IFERROR(INDEX('V9'!C$300:C$399,MATCH("*"&amp;L83&amp;"*",'V9'!B$300:B$399,0)),"  ")</f>
        <v xml:space="preserve">  </v>
      </c>
      <c r="AI83" s="113" t="str">
        <f>IFERROR(INDEX('V10'!C$300:C$399,MATCH("*"&amp;L83&amp;"*",'V10'!B$300:B$399,0)),"  ")</f>
        <v xml:space="preserve">  </v>
      </c>
      <c r="AJ83" s="114" t="str">
        <f t="shared" si="107"/>
        <v/>
      </c>
      <c r="AK83" s="404">
        <f t="shared" si="108"/>
        <v>0</v>
      </c>
      <c r="AL83" s="115" t="str">
        <f t="shared" si="109"/>
        <v/>
      </c>
      <c r="AM83" s="116" t="str">
        <f>IFERROR(INDEX(#REF!,MATCH("*"&amp;L83&amp;"*",#REF!,0)),"  ")</f>
        <v xml:space="preserve">  </v>
      </c>
      <c r="AN83" s="117">
        <f t="shared" si="110"/>
        <v>0</v>
      </c>
      <c r="AO83" s="118">
        <f t="shared" si="111"/>
        <v>0</v>
      </c>
      <c r="AP83" s="118">
        <f t="shared" si="112"/>
        <v>0</v>
      </c>
      <c r="AQ83" s="49"/>
      <c r="AR83" s="1"/>
      <c r="AS83" s="1"/>
      <c r="AT83" s="119">
        <f t="shared" si="113"/>
        <v>1E-4</v>
      </c>
      <c r="AU83" s="120">
        <f t="shared" si="114"/>
        <v>1E-4</v>
      </c>
      <c r="AV83" s="120">
        <f t="shared" si="115"/>
        <v>2.0000000000000001E-4</v>
      </c>
      <c r="AW83" s="120">
        <f t="shared" si="116"/>
        <v>2.9999999999999997E-4</v>
      </c>
      <c r="AX83" s="120">
        <f t="shared" si="117"/>
        <v>4.0000000000000002E-4</v>
      </c>
      <c r="AY83" s="120">
        <f t="shared" si="118"/>
        <v>5.0000000000000001E-4</v>
      </c>
      <c r="AZ83" s="120">
        <f t="shared" si="119"/>
        <v>5.9999999999999995E-4</v>
      </c>
      <c r="BA83" s="120">
        <f t="shared" si="120"/>
        <v>6.9999999999999999E-4</v>
      </c>
      <c r="BB83" s="120">
        <f t="shared" si="121"/>
        <v>8.0000000000000004E-4</v>
      </c>
      <c r="BC83" s="120">
        <f t="shared" si="122"/>
        <v>8.9999999999999998E-4</v>
      </c>
      <c r="BD83" s="120">
        <f t="shared" si="123"/>
        <v>1E-3</v>
      </c>
      <c r="BI83" s="1018" t="e">
        <f t="shared" si="124"/>
        <v>#VALUE!</v>
      </c>
      <c r="BJ83" s="1018" t="e">
        <f t="shared" si="125"/>
        <v>#VALUE!</v>
      </c>
      <c r="BK83" s="1018" t="e">
        <f t="shared" si="126"/>
        <v>#VALUE!</v>
      </c>
      <c r="BL83" s="1018" t="e">
        <f t="shared" si="127"/>
        <v>#VALUE!</v>
      </c>
      <c r="BM83" s="1018" t="e">
        <f t="shared" si="128"/>
        <v>#VALUE!</v>
      </c>
      <c r="BN83" s="1018" t="e">
        <f t="shared" si="129"/>
        <v>#VALUE!</v>
      </c>
      <c r="BO83" s="1018" t="e">
        <f t="shared" si="130"/>
        <v>#VALUE!</v>
      </c>
      <c r="BP83" s="1018" t="e">
        <f t="shared" si="131"/>
        <v>#VALUE!</v>
      </c>
      <c r="BQ83" s="1018" t="e">
        <f t="shared" si="132"/>
        <v>#VALUE!</v>
      </c>
      <c r="BR83" s="1018" t="e">
        <f t="shared" si="133"/>
        <v>#VALUE!</v>
      </c>
    </row>
    <row r="84" spans="1:70" ht="12.75" hidden="1" customHeight="1" x14ac:dyDescent="0.2">
      <c r="A84" s="647" t="str">
        <f t="shared" si="90"/>
        <v/>
      </c>
      <c r="B84" s="99">
        <f t="shared" si="91"/>
        <v>108</v>
      </c>
      <c r="C84" s="409" t="str">
        <f t="shared" si="92"/>
        <v/>
      </c>
      <c r="D84" s="367">
        <f t="shared" si="93"/>
        <v>108</v>
      </c>
      <c r="E84" s="100" t="str">
        <f t="shared" si="94"/>
        <v/>
      </c>
      <c r="F84" s="99">
        <f t="shared" si="95"/>
        <v>-892</v>
      </c>
      <c r="G84" s="101" t="str">
        <f t="shared" si="96"/>
        <v/>
      </c>
      <c r="H84" s="99">
        <f t="shared" si="97"/>
        <v>108</v>
      </c>
      <c r="I84" s="102" t="str">
        <f t="shared" si="98"/>
        <v/>
      </c>
      <c r="J84" s="103">
        <f t="shared" si="99"/>
        <v>-892</v>
      </c>
      <c r="K84" s="71" t="str">
        <f t="shared" si="100"/>
        <v/>
      </c>
      <c r="L84" s="1024" t="s">
        <v>128</v>
      </c>
      <c r="M84" s="209" t="s">
        <v>110</v>
      </c>
      <c r="N84" s="210" t="str">
        <f>IF(M84="","m","")</f>
        <v/>
      </c>
      <c r="O84" s="211"/>
      <c r="P84" s="212" t="s">
        <v>317</v>
      </c>
      <c r="Q84" s="213" t="s">
        <v>88</v>
      </c>
      <c r="R84" s="110">
        <f>(IF(COUNT(Z84,AA84,AB84,AC84,AD84,AE84,AF84,AG84,AH84,AI84)&lt;10,SUM(Z84,AA84,AB84,AC84,AD84,AE84,AF84,AG84,AH84,AI84),SUM(LARGE((Z84,AA84,AB84,AC84,AD84,AE84,AF84,AG84,AH84,AI84),{1;2;3;4;5;6;7;8;9}))))</f>
        <v>0</v>
      </c>
      <c r="S84" s="111" t="str">
        <f>INDEX(ETAPP!B$1:B$32,MATCH(COUNTIF(BI84:BR84,1),ETAPP!A$1:A$32,0))&amp;INDEX(ETAPP!B$1:B$32,MATCH(COUNTIF(BI84:BR84,2),ETAPP!A$1:A$32,0))&amp;INDEX(ETAPP!B$1:B$32,MATCH(COUNTIF(BI84:BR84,3),ETAPP!A$1:A$32,0))&amp;INDEX(ETAPP!B$1:B$32,MATCH(COUNTIF(BI84:BR84,4),ETAPP!A$1:A$32,0))&amp;INDEX(ETAPP!B$1:B$32,MATCH(COUNTIF(BI84:BR84,5),ETAPP!A$1:A$32,0))&amp;INDEX(ETAPP!B$1:B$32,MATCH(COUNTIF(BI84:BR84,6),ETAPP!A$1:A$32,0))&amp;INDEX(ETAPP!B$1:B$32,MATCH(COUNTIF(BI84:BR84,7),ETAPP!A$1:A$32,0))&amp;INDEX(ETAPP!B$1:B$32,MATCH(COUNTIF(BI84:BR84,8),ETAPP!A$1:A$32,0))&amp;INDEX(ETAPP!B$1:B$32,MATCH(COUNTIF(BI84:BR84,9),ETAPP!A$1:A$32,0))&amp;INDEX(ETAPP!B$1:B$32,MATCH(COUNTIF(BI84:BR84,10),ETAPP!A$1:A$32,0))&amp;INDEX(ETAPP!B$1:B$32,MATCH(COUNTIF(BI84:BR84,11),ETAPP!A$1:A$32,0))&amp;INDEX(ETAPP!B$1:B$32,MATCH(COUNTIF(BI84:BR84,12),ETAPP!A$1:A$32,0))&amp;INDEX(ETAPP!B$1:B$32,MATCH(COUNTIF(BI84:BR84,13),ETAPP!A$1:A$32,0))&amp;INDEX(ETAPP!B$1:B$32,MATCH(COUNTIF(BI84:BR84,14),ETAPP!A$1:A$32,0))&amp;INDEX(ETAPP!B$1:B$32,MATCH(COUNTIF(BI84:BR84,15),ETAPP!A$1:A$32,0))&amp;INDEX(ETAPP!B$1:B$32,MATCH(COUNTIF(BI84:BR84,16),ETAPP!A$1:A$32,0))&amp;INDEX(ETAPP!B$1:B$32,MATCH(COUNTIF(BI84:BR84,17),ETAPP!A$1:A$32,0))&amp;INDEX(ETAPP!B$1:B$32,MATCH(COUNTIF(BI84:BR84,18),ETAPP!A$1:A$32,0))&amp;INDEX(ETAPP!B$1:B$32,MATCH(COUNTIF(BI84:BR84,19),ETAPP!A$1:A$32,0))&amp;INDEX(ETAPP!B$1:B$32,MATCH(COUNTIF(BI84:BR84,20),ETAPP!A$1:A$32,0))&amp;INDEX(ETAPP!B$1:B$32,MATCH(COUNTIF(BI84:BR84,21),ETAPP!A$1:A$32,0))</f>
        <v>000000000000000000000</v>
      </c>
      <c r="T84" s="111" t="str">
        <f t="shared" si="101"/>
        <v>000,0-000000000000000000000</v>
      </c>
      <c r="U84" s="111">
        <f t="shared" si="102"/>
        <v>108</v>
      </c>
      <c r="V84" s="111">
        <f t="shared" si="103"/>
        <v>57</v>
      </c>
      <c r="W84" s="111" t="str">
        <f t="shared" si="104"/>
        <v>000,0-000000000000000000000-057</v>
      </c>
      <c r="X84" s="111">
        <f t="shared" si="105"/>
        <v>78</v>
      </c>
      <c r="Y84" s="112">
        <f t="shared" si="106"/>
        <v>31</v>
      </c>
      <c r="Z84" s="113" t="str">
        <f>IFERROR(INDEX('V1'!C$300:C$400,MATCH("*"&amp;L84&amp;"*",'V1'!B$300:B$400,0)),"  ")</f>
        <v xml:space="preserve">  </v>
      </c>
      <c r="AA84" s="113" t="str">
        <f>IFERROR(INDEX('V2'!C$300:C$400,MATCH("*"&amp;L84&amp;"*",'V2'!B$300:B$400,0)),"  ")</f>
        <v xml:space="preserve">  </v>
      </c>
      <c r="AB84" s="113" t="str">
        <f>IFERROR(INDEX('V3'!C$300:C$400,MATCH("*"&amp;L84&amp;"*",'V3'!B$300:B$400,0)),"  ")</f>
        <v xml:space="preserve">  </v>
      </c>
      <c r="AC84" s="113" t="str">
        <f>IFERROR(INDEX('V4'!C$300:C$400,MATCH("*"&amp;L84&amp;"*",'V4'!B$300:B$400,0)),"  ")</f>
        <v xml:space="preserve">  </v>
      </c>
      <c r="AD84" s="113" t="str">
        <f>IFERROR(INDEX('V5'!C$300:C$400,MATCH("*"&amp;L84&amp;"*",'V5'!B$300:B$400,0)),"  ")</f>
        <v xml:space="preserve">  </v>
      </c>
      <c r="AE84" s="113" t="str">
        <f>IFERROR(INDEX('V6'!C$300:C$400,MATCH("*"&amp;L84&amp;"*",'V6'!B$300:B$400,0)),"  ")</f>
        <v xml:space="preserve">  </v>
      </c>
      <c r="AF84" s="113" t="str">
        <f>IFERROR(INDEX('V7'!C$300:C$400,MATCH("*"&amp;L84&amp;"*",'V7'!B$300:B$400,0)),"  ")</f>
        <v xml:space="preserve">  </v>
      </c>
      <c r="AG84" s="113" t="str">
        <f>IFERROR(INDEX('V8'!C$300:C$400,MATCH("*"&amp;L84&amp;"*",'V8'!B$300:B$400,0)),"  ")</f>
        <v xml:space="preserve">  </v>
      </c>
      <c r="AH84" s="113" t="str">
        <f>IFERROR(INDEX('V9'!C$300:C$399,MATCH("*"&amp;L84&amp;"*",'V9'!B$300:B$399,0)),"  ")</f>
        <v xml:space="preserve">  </v>
      </c>
      <c r="AI84" s="113" t="str">
        <f>IFERROR(INDEX('V10'!C$300:C$399,MATCH("*"&amp;L84&amp;"*",'V10'!B$300:B$399,0)),"  ")</f>
        <v xml:space="preserve">  </v>
      </c>
      <c r="AJ84" s="114" t="str">
        <f t="shared" si="107"/>
        <v/>
      </c>
      <c r="AK84" s="404">
        <f t="shared" si="108"/>
        <v>0</v>
      </c>
      <c r="AL84" s="115" t="str">
        <f t="shared" si="109"/>
        <v/>
      </c>
      <c r="AM84" s="116" t="str">
        <f>IFERROR(INDEX(#REF!,MATCH("*"&amp;L84&amp;"*",#REF!,0)),"  ")</f>
        <v xml:space="preserve">  </v>
      </c>
      <c r="AN84" s="117">
        <f t="shared" si="110"/>
        <v>0</v>
      </c>
      <c r="AO84" s="118">
        <f t="shared" si="111"/>
        <v>0</v>
      </c>
      <c r="AP84" s="118">
        <f t="shared" si="112"/>
        <v>0</v>
      </c>
      <c r="AQ84" s="49"/>
      <c r="AR84" s="1"/>
      <c r="AS84" s="1"/>
      <c r="AT84" s="119">
        <f t="shared" si="113"/>
        <v>1E-4</v>
      </c>
      <c r="AU84" s="120">
        <f t="shared" si="114"/>
        <v>1E-4</v>
      </c>
      <c r="AV84" s="120">
        <f t="shared" si="115"/>
        <v>2.0000000000000001E-4</v>
      </c>
      <c r="AW84" s="120">
        <f t="shared" si="116"/>
        <v>2.9999999999999997E-4</v>
      </c>
      <c r="AX84" s="120">
        <f t="shared" si="117"/>
        <v>4.0000000000000002E-4</v>
      </c>
      <c r="AY84" s="120">
        <f t="shared" si="118"/>
        <v>5.0000000000000001E-4</v>
      </c>
      <c r="AZ84" s="120">
        <f t="shared" si="119"/>
        <v>5.9999999999999995E-4</v>
      </c>
      <c r="BA84" s="120">
        <f t="shared" si="120"/>
        <v>6.9999999999999999E-4</v>
      </c>
      <c r="BB84" s="120">
        <f t="shared" si="121"/>
        <v>8.0000000000000004E-4</v>
      </c>
      <c r="BC84" s="120">
        <f t="shared" si="122"/>
        <v>8.9999999999999998E-4</v>
      </c>
      <c r="BD84" s="120">
        <f t="shared" si="123"/>
        <v>1E-3</v>
      </c>
      <c r="BI84" s="1018" t="e">
        <f t="shared" si="124"/>
        <v>#VALUE!</v>
      </c>
      <c r="BJ84" s="1018" t="e">
        <f t="shared" si="125"/>
        <v>#VALUE!</v>
      </c>
      <c r="BK84" s="1018" t="e">
        <f t="shared" si="126"/>
        <v>#VALUE!</v>
      </c>
      <c r="BL84" s="1018" t="e">
        <f t="shared" si="127"/>
        <v>#VALUE!</v>
      </c>
      <c r="BM84" s="1018" t="e">
        <f t="shared" si="128"/>
        <v>#VALUE!</v>
      </c>
      <c r="BN84" s="1018" t="e">
        <f t="shared" si="129"/>
        <v>#VALUE!</v>
      </c>
      <c r="BO84" s="1018" t="e">
        <f t="shared" si="130"/>
        <v>#VALUE!</v>
      </c>
      <c r="BP84" s="1018" t="e">
        <f t="shared" si="131"/>
        <v>#VALUE!</v>
      </c>
      <c r="BQ84" s="1018" t="e">
        <f t="shared" si="132"/>
        <v>#VALUE!</v>
      </c>
      <c r="BR84" s="1018" t="e">
        <f t="shared" si="133"/>
        <v>#VALUE!</v>
      </c>
    </row>
    <row r="85" spans="1:70" ht="12.75" hidden="1" customHeight="1" x14ac:dyDescent="0.2">
      <c r="A85" s="647" t="str">
        <f t="shared" si="90"/>
        <v/>
      </c>
      <c r="B85" s="99">
        <f t="shared" si="91"/>
        <v>-892</v>
      </c>
      <c r="C85" s="409" t="str">
        <f t="shared" si="92"/>
        <v/>
      </c>
      <c r="D85" s="367">
        <f t="shared" si="93"/>
        <v>-892</v>
      </c>
      <c r="E85" s="100" t="str">
        <f t="shared" si="94"/>
        <v/>
      </c>
      <c r="F85" s="99">
        <f t="shared" si="95"/>
        <v>108</v>
      </c>
      <c r="G85" s="101" t="str">
        <f t="shared" si="96"/>
        <v/>
      </c>
      <c r="H85" s="99">
        <f t="shared" si="97"/>
        <v>-892</v>
      </c>
      <c r="I85" s="102" t="str">
        <f t="shared" si="98"/>
        <v/>
      </c>
      <c r="J85" s="103">
        <f t="shared" si="99"/>
        <v>-892</v>
      </c>
      <c r="K85" s="71" t="str">
        <f t="shared" si="100"/>
        <v/>
      </c>
      <c r="L85" s="375" t="s">
        <v>63</v>
      </c>
      <c r="M85" s="345"/>
      <c r="N85" s="346" t="s">
        <v>105</v>
      </c>
      <c r="O85" s="347"/>
      <c r="P85" s="348"/>
      <c r="Q85" s="349" t="s">
        <v>344</v>
      </c>
      <c r="R85" s="110">
        <f>(IF(COUNT(Z85,AA85,AB85,AC85,AD85,AE85,AF85,AG85,AH85,AI85)&lt;10,SUM(Z85,AA85,AB85,AC85,AD85,AE85,AF85,AG85,AH85,AI85),SUM(LARGE((Z85,AA85,AB85,AC85,AD85,AE85,AF85,AG85,AH85,AI85),{1;2;3;4;5;6;7;8;9}))))</f>
        <v>0</v>
      </c>
      <c r="S85" s="111" t="str">
        <f>INDEX(ETAPP!B$1:B$32,MATCH(COUNTIF(BI85:BR85,1),ETAPP!A$1:A$32,0))&amp;INDEX(ETAPP!B$1:B$32,MATCH(COUNTIF(BI85:BR85,2),ETAPP!A$1:A$32,0))&amp;INDEX(ETAPP!B$1:B$32,MATCH(COUNTIF(BI85:BR85,3),ETAPP!A$1:A$32,0))&amp;INDEX(ETAPP!B$1:B$32,MATCH(COUNTIF(BI85:BR85,4),ETAPP!A$1:A$32,0))&amp;INDEX(ETAPP!B$1:B$32,MATCH(COUNTIF(BI85:BR85,5),ETAPP!A$1:A$32,0))&amp;INDEX(ETAPP!B$1:B$32,MATCH(COUNTIF(BI85:BR85,6),ETAPP!A$1:A$32,0))&amp;INDEX(ETAPP!B$1:B$32,MATCH(COUNTIF(BI85:BR85,7),ETAPP!A$1:A$32,0))&amp;INDEX(ETAPP!B$1:B$32,MATCH(COUNTIF(BI85:BR85,8),ETAPP!A$1:A$32,0))&amp;INDEX(ETAPP!B$1:B$32,MATCH(COUNTIF(BI85:BR85,9),ETAPP!A$1:A$32,0))&amp;INDEX(ETAPP!B$1:B$32,MATCH(COUNTIF(BI85:BR85,10),ETAPP!A$1:A$32,0))&amp;INDEX(ETAPP!B$1:B$32,MATCH(COUNTIF(BI85:BR85,11),ETAPP!A$1:A$32,0))&amp;INDEX(ETAPP!B$1:B$32,MATCH(COUNTIF(BI85:BR85,12),ETAPP!A$1:A$32,0))&amp;INDEX(ETAPP!B$1:B$32,MATCH(COUNTIF(BI85:BR85,13),ETAPP!A$1:A$32,0))&amp;INDEX(ETAPP!B$1:B$32,MATCH(COUNTIF(BI85:BR85,14),ETAPP!A$1:A$32,0))&amp;INDEX(ETAPP!B$1:B$32,MATCH(COUNTIF(BI85:BR85,15),ETAPP!A$1:A$32,0))&amp;INDEX(ETAPP!B$1:B$32,MATCH(COUNTIF(BI85:BR85,16),ETAPP!A$1:A$32,0))&amp;INDEX(ETAPP!B$1:B$32,MATCH(COUNTIF(BI85:BR85,17),ETAPP!A$1:A$32,0))&amp;INDEX(ETAPP!B$1:B$32,MATCH(COUNTIF(BI85:BR85,18),ETAPP!A$1:A$32,0))&amp;INDEX(ETAPP!B$1:B$32,MATCH(COUNTIF(BI85:BR85,19),ETAPP!A$1:A$32,0))&amp;INDEX(ETAPP!B$1:B$32,MATCH(COUNTIF(BI85:BR85,20),ETAPP!A$1:A$32,0))&amp;INDEX(ETAPP!B$1:B$32,MATCH(COUNTIF(BI85:BR85,21),ETAPP!A$1:A$32,0))</f>
        <v>000000000000000000000</v>
      </c>
      <c r="T85" s="111" t="str">
        <f t="shared" si="101"/>
        <v>000,0-000000000000000000000</v>
      </c>
      <c r="U85" s="111">
        <f t="shared" si="102"/>
        <v>108</v>
      </c>
      <c r="V85" s="111">
        <f t="shared" si="103"/>
        <v>56</v>
      </c>
      <c r="W85" s="111" t="str">
        <f t="shared" si="104"/>
        <v>000,0-000000000000000000000-056</v>
      </c>
      <c r="X85" s="111">
        <f t="shared" si="105"/>
        <v>79</v>
      </c>
      <c r="Y85" s="112">
        <f t="shared" si="106"/>
        <v>30</v>
      </c>
      <c r="Z85" s="113" t="str">
        <f>IFERROR(INDEX('V1'!C$300:C$400,MATCH("*"&amp;L85&amp;"*",'V1'!B$300:B$400,0)),"  ")</f>
        <v xml:space="preserve">  </v>
      </c>
      <c r="AA85" s="113" t="str">
        <f>IFERROR(INDEX('V2'!C$300:C$400,MATCH("*"&amp;L85&amp;"*",'V2'!B$300:B$400,0)),"  ")</f>
        <v xml:space="preserve">  </v>
      </c>
      <c r="AB85" s="113" t="str">
        <f>IFERROR(INDEX('V3'!C$300:C$400,MATCH("*"&amp;L85&amp;"*",'V3'!B$300:B$400,0)),"  ")</f>
        <v xml:space="preserve">  </v>
      </c>
      <c r="AC85" s="113" t="str">
        <f>IFERROR(INDEX('V4'!C$300:C$400,MATCH("*"&amp;L85&amp;"*",'V4'!B$300:B$400,0)),"  ")</f>
        <v xml:space="preserve">  </v>
      </c>
      <c r="AD85" s="113" t="str">
        <f>IFERROR(INDEX('V5'!C$300:C$400,MATCH("*"&amp;L85&amp;"*",'V5'!B$300:B$400,0)),"  ")</f>
        <v xml:space="preserve">  </v>
      </c>
      <c r="AE85" s="113" t="str">
        <f>IFERROR(INDEX('V6'!C$300:C$400,MATCH("*"&amp;L85&amp;"*",'V6'!B$300:B$400,0)),"  ")</f>
        <v xml:space="preserve">  </v>
      </c>
      <c r="AF85" s="113" t="str">
        <f>IFERROR(INDEX('V7'!C$300:C$400,MATCH("*"&amp;L85&amp;"*",'V7'!B$300:B$400,0)),"  ")</f>
        <v xml:space="preserve">  </v>
      </c>
      <c r="AG85" s="113" t="str">
        <f>IFERROR(INDEX('V8'!C$300:C$400,MATCH("*"&amp;L85&amp;"*",'V8'!B$300:B$400,0)),"  ")</f>
        <v xml:space="preserve">  </v>
      </c>
      <c r="AH85" s="113" t="str">
        <f>IFERROR(INDEX('V9'!C$300:C$399,MATCH("*"&amp;L85&amp;"*",'V9'!B$300:B$399,0)),"  ")</f>
        <v xml:space="preserve">  </v>
      </c>
      <c r="AI85" s="113" t="str">
        <f>IFERROR(INDEX('V10'!C$300:C$399,MATCH("*"&amp;L85&amp;"*",'V10'!B$300:B$399,0)),"  ")</f>
        <v xml:space="preserve">  </v>
      </c>
      <c r="AJ85" s="114" t="str">
        <f t="shared" si="107"/>
        <v/>
      </c>
      <c r="AK85" s="404">
        <f t="shared" si="108"/>
        <v>0</v>
      </c>
      <c r="AL85" s="115" t="str">
        <f t="shared" si="109"/>
        <v/>
      </c>
      <c r="AM85" s="116" t="str">
        <f>IFERROR(INDEX(#REF!,MATCH("*"&amp;L85&amp;"*",#REF!,0)),"  ")</f>
        <v xml:space="preserve">  </v>
      </c>
      <c r="AN85" s="117">
        <f t="shared" si="110"/>
        <v>0</v>
      </c>
      <c r="AO85" s="118">
        <f t="shared" si="111"/>
        <v>0</v>
      </c>
      <c r="AP85" s="118">
        <f t="shared" si="112"/>
        <v>0</v>
      </c>
      <c r="AQ85" s="49"/>
      <c r="AR85" s="1"/>
      <c r="AS85" s="1"/>
      <c r="AT85" s="119">
        <f t="shared" si="113"/>
        <v>1E-4</v>
      </c>
      <c r="AU85" s="120">
        <f t="shared" si="114"/>
        <v>1E-4</v>
      </c>
      <c r="AV85" s="120">
        <f t="shared" si="115"/>
        <v>2.0000000000000001E-4</v>
      </c>
      <c r="AW85" s="120">
        <f t="shared" si="116"/>
        <v>2.9999999999999997E-4</v>
      </c>
      <c r="AX85" s="120">
        <f t="shared" si="117"/>
        <v>4.0000000000000002E-4</v>
      </c>
      <c r="AY85" s="120">
        <f t="shared" si="118"/>
        <v>5.0000000000000001E-4</v>
      </c>
      <c r="AZ85" s="120">
        <f t="shared" si="119"/>
        <v>5.9999999999999995E-4</v>
      </c>
      <c r="BA85" s="120">
        <f t="shared" si="120"/>
        <v>6.9999999999999999E-4</v>
      </c>
      <c r="BB85" s="120">
        <f t="shared" si="121"/>
        <v>8.0000000000000004E-4</v>
      </c>
      <c r="BC85" s="120">
        <f t="shared" si="122"/>
        <v>8.9999999999999998E-4</v>
      </c>
      <c r="BD85" s="120">
        <f t="shared" si="123"/>
        <v>1E-3</v>
      </c>
      <c r="BI85" s="1018" t="e">
        <f t="shared" si="124"/>
        <v>#VALUE!</v>
      </c>
      <c r="BJ85" s="1018" t="e">
        <f t="shared" si="125"/>
        <v>#VALUE!</v>
      </c>
      <c r="BK85" s="1018" t="e">
        <f t="shared" si="126"/>
        <v>#VALUE!</v>
      </c>
      <c r="BL85" s="1018" t="e">
        <f t="shared" si="127"/>
        <v>#VALUE!</v>
      </c>
      <c r="BM85" s="1018" t="e">
        <f t="shared" si="128"/>
        <v>#VALUE!</v>
      </c>
      <c r="BN85" s="1018" t="e">
        <f t="shared" si="129"/>
        <v>#VALUE!</v>
      </c>
      <c r="BO85" s="1018" t="e">
        <f t="shared" si="130"/>
        <v>#VALUE!</v>
      </c>
      <c r="BP85" s="1018" t="e">
        <f t="shared" si="131"/>
        <v>#VALUE!</v>
      </c>
      <c r="BQ85" s="1018" t="e">
        <f t="shared" si="132"/>
        <v>#VALUE!</v>
      </c>
      <c r="BR85" s="1018" t="e">
        <f t="shared" si="133"/>
        <v>#VALUE!</v>
      </c>
    </row>
    <row r="86" spans="1:70" ht="12.75" hidden="1" customHeight="1" x14ac:dyDescent="0.2">
      <c r="A86" s="647" t="str">
        <f t="shared" si="90"/>
        <v/>
      </c>
      <c r="B86" s="99">
        <f t="shared" si="91"/>
        <v>108</v>
      </c>
      <c r="C86" s="409" t="str">
        <f t="shared" si="92"/>
        <v/>
      </c>
      <c r="D86" s="367">
        <f t="shared" si="93"/>
        <v>108</v>
      </c>
      <c r="E86" s="100" t="str">
        <f t="shared" si="94"/>
        <v/>
      </c>
      <c r="F86" s="99">
        <f t="shared" si="95"/>
        <v>-892</v>
      </c>
      <c r="G86" s="101" t="str">
        <f t="shared" si="96"/>
        <v/>
      </c>
      <c r="H86" s="99">
        <f t="shared" si="97"/>
        <v>108</v>
      </c>
      <c r="I86" s="102" t="str">
        <f t="shared" si="98"/>
        <v/>
      </c>
      <c r="J86" s="103">
        <f t="shared" si="99"/>
        <v>-892</v>
      </c>
      <c r="K86" s="71" t="str">
        <f t="shared" si="100"/>
        <v/>
      </c>
      <c r="L86" s="375" t="s">
        <v>136</v>
      </c>
      <c r="M86" s="345" t="s">
        <v>110</v>
      </c>
      <c r="N86" s="346" t="str">
        <f>IF(M86="","m","")</f>
        <v/>
      </c>
      <c r="O86" s="347"/>
      <c r="P86" s="348" t="s">
        <v>317</v>
      </c>
      <c r="Q86" s="349" t="s">
        <v>88</v>
      </c>
      <c r="R86" s="110">
        <f>(IF(COUNT(Z86,AA86,AB86,AC86,AD86,AE86,AF86,AG86,AH86,AI86)&lt;10,SUM(Z86,AA86,AB86,AC86,AD86,AE86,AF86,AG86,AH86,AI86),SUM(LARGE((Z86,AA86,AB86,AC86,AD86,AE86,AF86,AG86,AH86,AI86),{1;2;3;4;5;6;7;8;9}))))</f>
        <v>0</v>
      </c>
      <c r="S86" s="111" t="str">
        <f>INDEX(ETAPP!B$1:B$32,MATCH(COUNTIF(BI86:BR86,1),ETAPP!A$1:A$32,0))&amp;INDEX(ETAPP!B$1:B$32,MATCH(COUNTIF(BI86:BR86,2),ETAPP!A$1:A$32,0))&amp;INDEX(ETAPP!B$1:B$32,MATCH(COUNTIF(BI86:BR86,3),ETAPP!A$1:A$32,0))&amp;INDEX(ETAPP!B$1:B$32,MATCH(COUNTIF(BI86:BR86,4),ETAPP!A$1:A$32,0))&amp;INDEX(ETAPP!B$1:B$32,MATCH(COUNTIF(BI86:BR86,5),ETAPP!A$1:A$32,0))&amp;INDEX(ETAPP!B$1:B$32,MATCH(COUNTIF(BI86:BR86,6),ETAPP!A$1:A$32,0))&amp;INDEX(ETAPP!B$1:B$32,MATCH(COUNTIF(BI86:BR86,7),ETAPP!A$1:A$32,0))&amp;INDEX(ETAPP!B$1:B$32,MATCH(COUNTIF(BI86:BR86,8),ETAPP!A$1:A$32,0))&amp;INDEX(ETAPP!B$1:B$32,MATCH(COUNTIF(BI86:BR86,9),ETAPP!A$1:A$32,0))&amp;INDEX(ETAPP!B$1:B$32,MATCH(COUNTIF(BI86:BR86,10),ETAPP!A$1:A$32,0))&amp;INDEX(ETAPP!B$1:B$32,MATCH(COUNTIF(BI86:BR86,11),ETAPP!A$1:A$32,0))&amp;INDEX(ETAPP!B$1:B$32,MATCH(COUNTIF(BI86:BR86,12),ETAPP!A$1:A$32,0))&amp;INDEX(ETAPP!B$1:B$32,MATCH(COUNTIF(BI86:BR86,13),ETAPP!A$1:A$32,0))&amp;INDEX(ETAPP!B$1:B$32,MATCH(COUNTIF(BI86:BR86,14),ETAPP!A$1:A$32,0))&amp;INDEX(ETAPP!B$1:B$32,MATCH(COUNTIF(BI86:BR86,15),ETAPP!A$1:A$32,0))&amp;INDEX(ETAPP!B$1:B$32,MATCH(COUNTIF(BI86:BR86,16),ETAPP!A$1:A$32,0))&amp;INDEX(ETAPP!B$1:B$32,MATCH(COUNTIF(BI86:BR86,17),ETAPP!A$1:A$32,0))&amp;INDEX(ETAPP!B$1:B$32,MATCH(COUNTIF(BI86:BR86,18),ETAPP!A$1:A$32,0))&amp;INDEX(ETAPP!B$1:B$32,MATCH(COUNTIF(BI86:BR86,19),ETAPP!A$1:A$32,0))&amp;INDEX(ETAPP!B$1:B$32,MATCH(COUNTIF(BI86:BR86,20),ETAPP!A$1:A$32,0))&amp;INDEX(ETAPP!B$1:B$32,MATCH(COUNTIF(BI86:BR86,21),ETAPP!A$1:A$32,0))</f>
        <v>000000000000000000000</v>
      </c>
      <c r="T86" s="111" t="str">
        <f t="shared" si="101"/>
        <v>000,0-000000000000000000000</v>
      </c>
      <c r="U86" s="111">
        <f t="shared" si="102"/>
        <v>108</v>
      </c>
      <c r="V86" s="111">
        <f t="shared" si="103"/>
        <v>55</v>
      </c>
      <c r="W86" s="111" t="str">
        <f t="shared" si="104"/>
        <v>000,0-000000000000000000000-055</v>
      </c>
      <c r="X86" s="111">
        <f t="shared" si="105"/>
        <v>80</v>
      </c>
      <c r="Y86" s="112">
        <f t="shared" si="106"/>
        <v>29</v>
      </c>
      <c r="Z86" s="113" t="str">
        <f>IFERROR(INDEX('V1'!C$300:C$400,MATCH("*"&amp;L86&amp;"*",'V1'!B$300:B$400,0)),"  ")</f>
        <v xml:space="preserve">  </v>
      </c>
      <c r="AA86" s="113" t="str">
        <f>IFERROR(INDEX('V2'!C$300:C$400,MATCH("*"&amp;L86&amp;"*",'V2'!B$300:B$400,0)),"  ")</f>
        <v xml:space="preserve">  </v>
      </c>
      <c r="AB86" s="113" t="str">
        <f>IFERROR(INDEX('V3'!C$300:C$400,MATCH("*"&amp;L86&amp;"*",'V3'!B$300:B$400,0)),"  ")</f>
        <v xml:space="preserve">  </v>
      </c>
      <c r="AC86" s="113" t="str">
        <f>IFERROR(INDEX('V4'!C$300:C$400,MATCH("*"&amp;L86&amp;"*",'V4'!B$300:B$400,0)),"  ")</f>
        <v xml:space="preserve">  </v>
      </c>
      <c r="AD86" s="113" t="str">
        <f>IFERROR(INDEX('V5'!C$300:C$400,MATCH("*"&amp;L86&amp;"*",'V5'!B$300:B$400,0)),"  ")</f>
        <v xml:space="preserve">  </v>
      </c>
      <c r="AE86" s="113" t="str">
        <f>IFERROR(INDEX('V6'!C$300:C$400,MATCH("*"&amp;L86&amp;"*",'V6'!B$300:B$400,0)),"  ")</f>
        <v xml:space="preserve">  </v>
      </c>
      <c r="AF86" s="113" t="str">
        <f>IFERROR(INDEX('V7'!C$300:C$400,MATCH("*"&amp;L86&amp;"*",'V7'!B$300:B$400,0)),"  ")</f>
        <v xml:space="preserve">  </v>
      </c>
      <c r="AG86" s="113" t="str">
        <f>IFERROR(INDEX('V8'!C$300:C$400,MATCH("*"&amp;L86&amp;"*",'V8'!B$300:B$400,0)),"  ")</f>
        <v xml:space="preserve">  </v>
      </c>
      <c r="AH86" s="113" t="str">
        <f>IFERROR(INDEX('V9'!C$300:C$399,MATCH("*"&amp;L86&amp;"*",'V9'!B$300:B$399,0)),"  ")</f>
        <v xml:space="preserve">  </v>
      </c>
      <c r="AI86" s="113" t="str">
        <f>IFERROR(INDEX('V10'!C$300:C$399,MATCH("*"&amp;L86&amp;"*",'V10'!B$300:B$399,0)),"  ")</f>
        <v xml:space="preserve">  </v>
      </c>
      <c r="AJ86" s="114" t="str">
        <f t="shared" si="107"/>
        <v/>
      </c>
      <c r="AK86" s="404">
        <f t="shared" si="108"/>
        <v>0</v>
      </c>
      <c r="AL86" s="115" t="str">
        <f t="shared" si="109"/>
        <v/>
      </c>
      <c r="AM86" s="116" t="str">
        <f>IFERROR(INDEX(#REF!,MATCH("*"&amp;L86&amp;"*",#REF!,0)),"  ")</f>
        <v xml:space="preserve">  </v>
      </c>
      <c r="AN86" s="117">
        <f t="shared" si="110"/>
        <v>0</v>
      </c>
      <c r="AO86" s="118">
        <f t="shared" si="111"/>
        <v>0</v>
      </c>
      <c r="AP86" s="118">
        <f t="shared" si="112"/>
        <v>0</v>
      </c>
      <c r="AQ86" s="49"/>
      <c r="AR86" s="1"/>
      <c r="AS86" s="1"/>
      <c r="AT86" s="119">
        <f t="shared" si="113"/>
        <v>1E-4</v>
      </c>
      <c r="AU86" s="120">
        <f t="shared" si="114"/>
        <v>1E-4</v>
      </c>
      <c r="AV86" s="120">
        <f t="shared" si="115"/>
        <v>2.0000000000000001E-4</v>
      </c>
      <c r="AW86" s="120">
        <f t="shared" si="116"/>
        <v>2.9999999999999997E-4</v>
      </c>
      <c r="AX86" s="120">
        <f t="shared" si="117"/>
        <v>4.0000000000000002E-4</v>
      </c>
      <c r="AY86" s="120">
        <f t="shared" si="118"/>
        <v>5.0000000000000001E-4</v>
      </c>
      <c r="AZ86" s="120">
        <f t="shared" si="119"/>
        <v>5.9999999999999995E-4</v>
      </c>
      <c r="BA86" s="120">
        <f t="shared" si="120"/>
        <v>6.9999999999999999E-4</v>
      </c>
      <c r="BB86" s="120">
        <f t="shared" si="121"/>
        <v>8.0000000000000004E-4</v>
      </c>
      <c r="BC86" s="120">
        <f t="shared" si="122"/>
        <v>8.9999999999999998E-4</v>
      </c>
      <c r="BD86" s="120">
        <f t="shared" si="123"/>
        <v>1E-3</v>
      </c>
      <c r="BI86" s="1018" t="e">
        <f t="shared" si="124"/>
        <v>#VALUE!</v>
      </c>
      <c r="BJ86" s="1018" t="e">
        <f t="shared" si="125"/>
        <v>#VALUE!</v>
      </c>
      <c r="BK86" s="1018" t="e">
        <f t="shared" si="126"/>
        <v>#VALUE!</v>
      </c>
      <c r="BL86" s="1018" t="e">
        <f t="shared" si="127"/>
        <v>#VALUE!</v>
      </c>
      <c r="BM86" s="1018" t="e">
        <f t="shared" si="128"/>
        <v>#VALUE!</v>
      </c>
      <c r="BN86" s="1018" t="e">
        <f t="shared" si="129"/>
        <v>#VALUE!</v>
      </c>
      <c r="BO86" s="1018" t="e">
        <f t="shared" si="130"/>
        <v>#VALUE!</v>
      </c>
      <c r="BP86" s="1018" t="e">
        <f t="shared" si="131"/>
        <v>#VALUE!</v>
      </c>
      <c r="BQ86" s="1018" t="e">
        <f t="shared" si="132"/>
        <v>#VALUE!</v>
      </c>
      <c r="BR86" s="1018" t="e">
        <f t="shared" si="133"/>
        <v>#VALUE!</v>
      </c>
    </row>
    <row r="87" spans="1:70" ht="12.75" hidden="1" customHeight="1" x14ac:dyDescent="0.2">
      <c r="A87" s="647" t="str">
        <f t="shared" si="90"/>
        <v/>
      </c>
      <c r="B87" s="99">
        <f t="shared" si="91"/>
        <v>-892</v>
      </c>
      <c r="C87" s="409" t="str">
        <f t="shared" si="92"/>
        <v/>
      </c>
      <c r="D87" s="367">
        <f t="shared" si="93"/>
        <v>-892</v>
      </c>
      <c r="E87" s="100" t="str">
        <f t="shared" si="94"/>
        <v/>
      </c>
      <c r="F87" s="99">
        <f t="shared" si="95"/>
        <v>-892</v>
      </c>
      <c r="G87" s="101" t="str">
        <f t="shared" si="96"/>
        <v/>
      </c>
      <c r="H87" s="99">
        <f t="shared" si="97"/>
        <v>108</v>
      </c>
      <c r="I87" s="102" t="str">
        <f t="shared" si="98"/>
        <v/>
      </c>
      <c r="J87" s="103">
        <f t="shared" si="99"/>
        <v>-892</v>
      </c>
      <c r="K87" s="71" t="str">
        <f t="shared" si="100"/>
        <v/>
      </c>
      <c r="L87" s="121" t="s">
        <v>265</v>
      </c>
      <c r="M87" s="105" t="s">
        <v>110</v>
      </c>
      <c r="N87" s="106"/>
      <c r="O87" s="138"/>
      <c r="P87" s="108"/>
      <c r="Q87" s="109"/>
      <c r="R87" s="110">
        <f>(IF(COUNT(Z87,AA87,AB87,AC87,AD87,AE87,AF87,AG87,AH87,AI87)&lt;10,SUM(Z87,AA87,AB87,AC87,AD87,AE87,AF87,AG87,AH87,AI87),SUM(LARGE((Z87,AA87,AB87,AC87,AD87,AE87,AF87,AG87,AH87,AI87),{1;2;3;4;5;6;7;8;9}))))</f>
        <v>0</v>
      </c>
      <c r="S87" s="111" t="str">
        <f>INDEX(ETAPP!B$1:B$32,MATCH(COUNTIF(BI87:BR87,1),ETAPP!A$1:A$32,0))&amp;INDEX(ETAPP!B$1:B$32,MATCH(COUNTIF(BI87:BR87,2),ETAPP!A$1:A$32,0))&amp;INDEX(ETAPP!B$1:B$32,MATCH(COUNTIF(BI87:BR87,3),ETAPP!A$1:A$32,0))&amp;INDEX(ETAPP!B$1:B$32,MATCH(COUNTIF(BI87:BR87,4),ETAPP!A$1:A$32,0))&amp;INDEX(ETAPP!B$1:B$32,MATCH(COUNTIF(BI87:BR87,5),ETAPP!A$1:A$32,0))&amp;INDEX(ETAPP!B$1:B$32,MATCH(COUNTIF(BI87:BR87,6),ETAPP!A$1:A$32,0))&amp;INDEX(ETAPP!B$1:B$32,MATCH(COUNTIF(BI87:BR87,7),ETAPP!A$1:A$32,0))&amp;INDEX(ETAPP!B$1:B$32,MATCH(COUNTIF(BI87:BR87,8),ETAPP!A$1:A$32,0))&amp;INDEX(ETAPP!B$1:B$32,MATCH(COUNTIF(BI87:BR87,9),ETAPP!A$1:A$32,0))&amp;INDEX(ETAPP!B$1:B$32,MATCH(COUNTIF(BI87:BR87,10),ETAPP!A$1:A$32,0))&amp;INDEX(ETAPP!B$1:B$32,MATCH(COUNTIF(BI87:BR87,11),ETAPP!A$1:A$32,0))&amp;INDEX(ETAPP!B$1:B$32,MATCH(COUNTIF(BI87:BR87,12),ETAPP!A$1:A$32,0))&amp;INDEX(ETAPP!B$1:B$32,MATCH(COUNTIF(BI87:BR87,13),ETAPP!A$1:A$32,0))&amp;INDEX(ETAPP!B$1:B$32,MATCH(COUNTIF(BI87:BR87,14),ETAPP!A$1:A$32,0))&amp;INDEX(ETAPP!B$1:B$32,MATCH(COUNTIF(BI87:BR87,15),ETAPP!A$1:A$32,0))&amp;INDEX(ETAPP!B$1:B$32,MATCH(COUNTIF(BI87:BR87,16),ETAPP!A$1:A$32,0))&amp;INDEX(ETAPP!B$1:B$32,MATCH(COUNTIF(BI87:BR87,17),ETAPP!A$1:A$32,0))&amp;INDEX(ETAPP!B$1:B$32,MATCH(COUNTIF(BI87:BR87,18),ETAPP!A$1:A$32,0))&amp;INDEX(ETAPP!B$1:B$32,MATCH(COUNTIF(BI87:BR87,19),ETAPP!A$1:A$32,0))&amp;INDEX(ETAPP!B$1:B$32,MATCH(COUNTIF(BI87:BR87,20),ETAPP!A$1:A$32,0))&amp;INDEX(ETAPP!B$1:B$32,MATCH(COUNTIF(BI87:BR87,21),ETAPP!A$1:A$32,0))</f>
        <v>000000000000000000000</v>
      </c>
      <c r="T87" s="111" t="str">
        <f t="shared" si="101"/>
        <v>000,0-000000000000000000000</v>
      </c>
      <c r="U87" s="111">
        <f t="shared" si="102"/>
        <v>108</v>
      </c>
      <c r="V87" s="111">
        <f t="shared" si="103"/>
        <v>51</v>
      </c>
      <c r="W87" s="111" t="str">
        <f t="shared" si="104"/>
        <v>000,0-000000000000000000000-051</v>
      </c>
      <c r="X87" s="111">
        <f t="shared" si="105"/>
        <v>81</v>
      </c>
      <c r="Y87" s="112">
        <f t="shared" si="106"/>
        <v>28</v>
      </c>
      <c r="Z87" s="113" t="str">
        <f>IFERROR(INDEX('V1'!C$300:C$400,MATCH("*"&amp;L87&amp;"*",'V1'!B$300:B$400,0)),"  ")</f>
        <v xml:space="preserve">  </v>
      </c>
      <c r="AA87" s="113" t="str">
        <f>IFERROR(INDEX('V2'!C$300:C$400,MATCH("*"&amp;L87&amp;"*",'V2'!B$300:B$400,0)),"  ")</f>
        <v xml:space="preserve">  </v>
      </c>
      <c r="AB87" s="113" t="str">
        <f>IFERROR(INDEX('V3'!C$300:C$400,MATCH("*"&amp;L87&amp;"*",'V3'!B$300:B$400,0)),"  ")</f>
        <v xml:space="preserve">  </v>
      </c>
      <c r="AC87" s="113" t="str">
        <f>IFERROR(INDEX('V4'!C$300:C$400,MATCH("*"&amp;L87&amp;"*",'V4'!B$300:B$400,0)),"  ")</f>
        <v xml:space="preserve">  </v>
      </c>
      <c r="AD87" s="113" t="str">
        <f>IFERROR(INDEX('V5'!C$300:C$400,MATCH("*"&amp;L87&amp;"*",'V5'!B$300:B$400,0)),"  ")</f>
        <v xml:space="preserve">  </v>
      </c>
      <c r="AE87" s="113" t="str">
        <f>IFERROR(INDEX('V6'!C$300:C$400,MATCH("*"&amp;L87&amp;"*",'V6'!B$300:B$400,0)),"  ")</f>
        <v xml:space="preserve">  </v>
      </c>
      <c r="AF87" s="113" t="str">
        <f>IFERROR(INDEX('V7'!C$300:C$400,MATCH("*"&amp;L87&amp;"*",'V7'!B$300:B$400,0)),"  ")</f>
        <v xml:space="preserve">  </v>
      </c>
      <c r="AG87" s="113" t="str">
        <f>IFERROR(INDEX('V8'!C$300:C$400,MATCH("*"&amp;L87&amp;"*",'V8'!B$300:B$400,0)),"  ")</f>
        <v xml:space="preserve">  </v>
      </c>
      <c r="AH87" s="113" t="str">
        <f>IFERROR(INDEX('V9'!C$300:C$399,MATCH("*"&amp;L87&amp;"*",'V9'!B$300:B$399,0)),"  ")</f>
        <v xml:space="preserve">  </v>
      </c>
      <c r="AI87" s="113" t="str">
        <f>IFERROR(INDEX('V10'!C$300:C$399,MATCH("*"&amp;L87&amp;"*",'V10'!B$300:B$399,0)),"  ")</f>
        <v xml:space="preserve">  </v>
      </c>
      <c r="AJ87" s="114" t="str">
        <f t="shared" si="107"/>
        <v/>
      </c>
      <c r="AK87" s="404">
        <f t="shared" si="108"/>
        <v>0</v>
      </c>
      <c r="AL87" s="115" t="str">
        <f t="shared" si="109"/>
        <v/>
      </c>
      <c r="AM87" s="116" t="str">
        <f>IFERROR(INDEX(#REF!,MATCH("*"&amp;L87&amp;"*",#REF!,0)),"  ")</f>
        <v xml:space="preserve">  </v>
      </c>
      <c r="AN87" s="117">
        <f t="shared" si="110"/>
        <v>0</v>
      </c>
      <c r="AO87" s="118">
        <f t="shared" si="111"/>
        <v>0</v>
      </c>
      <c r="AP87" s="118">
        <f t="shared" si="112"/>
        <v>0</v>
      </c>
      <c r="AQ87" s="49"/>
      <c r="AR87" s="1"/>
      <c r="AS87" s="1"/>
      <c r="AT87" s="119">
        <f t="shared" si="113"/>
        <v>1E-4</v>
      </c>
      <c r="AU87" s="120">
        <f t="shared" si="114"/>
        <v>1E-4</v>
      </c>
      <c r="AV87" s="120">
        <f t="shared" si="115"/>
        <v>2.0000000000000001E-4</v>
      </c>
      <c r="AW87" s="120">
        <f t="shared" si="116"/>
        <v>2.9999999999999997E-4</v>
      </c>
      <c r="AX87" s="120">
        <f t="shared" si="117"/>
        <v>4.0000000000000002E-4</v>
      </c>
      <c r="AY87" s="120">
        <f t="shared" si="118"/>
        <v>5.0000000000000001E-4</v>
      </c>
      <c r="AZ87" s="120">
        <f t="shared" si="119"/>
        <v>5.9999999999999995E-4</v>
      </c>
      <c r="BA87" s="120">
        <f t="shared" si="120"/>
        <v>6.9999999999999999E-4</v>
      </c>
      <c r="BB87" s="120">
        <f t="shared" si="121"/>
        <v>8.0000000000000004E-4</v>
      </c>
      <c r="BC87" s="120">
        <f t="shared" si="122"/>
        <v>8.9999999999999998E-4</v>
      </c>
      <c r="BD87" s="120">
        <f t="shared" si="123"/>
        <v>1E-3</v>
      </c>
      <c r="BI87" s="1018" t="e">
        <f t="shared" si="124"/>
        <v>#VALUE!</v>
      </c>
      <c r="BJ87" s="1018" t="e">
        <f t="shared" si="125"/>
        <v>#VALUE!</v>
      </c>
      <c r="BK87" s="1018" t="e">
        <f t="shared" si="126"/>
        <v>#VALUE!</v>
      </c>
      <c r="BL87" s="1018" t="e">
        <f t="shared" si="127"/>
        <v>#VALUE!</v>
      </c>
      <c r="BM87" s="1018" t="e">
        <f t="shared" si="128"/>
        <v>#VALUE!</v>
      </c>
      <c r="BN87" s="1018" t="e">
        <f t="shared" si="129"/>
        <v>#VALUE!</v>
      </c>
      <c r="BO87" s="1018" t="e">
        <f t="shared" si="130"/>
        <v>#VALUE!</v>
      </c>
      <c r="BP87" s="1018" t="e">
        <f t="shared" si="131"/>
        <v>#VALUE!</v>
      </c>
      <c r="BQ87" s="1018" t="e">
        <f t="shared" si="132"/>
        <v>#VALUE!</v>
      </c>
      <c r="BR87" s="1018" t="e">
        <f t="shared" si="133"/>
        <v>#VALUE!</v>
      </c>
    </row>
    <row r="88" spans="1:70" ht="12.75" hidden="1" customHeight="1" x14ac:dyDescent="0.2">
      <c r="A88" s="647" t="str">
        <f t="shared" si="90"/>
        <v/>
      </c>
      <c r="B88" s="99">
        <f t="shared" si="91"/>
        <v>-892</v>
      </c>
      <c r="C88" s="409" t="str">
        <f t="shared" si="92"/>
        <v/>
      </c>
      <c r="D88" s="367">
        <f t="shared" si="93"/>
        <v>108</v>
      </c>
      <c r="E88" s="100" t="str">
        <f t="shared" si="94"/>
        <v/>
      </c>
      <c r="F88" s="99">
        <f t="shared" si="95"/>
        <v>108</v>
      </c>
      <c r="G88" s="101" t="str">
        <f t="shared" si="96"/>
        <v/>
      </c>
      <c r="H88" s="99">
        <f t="shared" si="97"/>
        <v>-892</v>
      </c>
      <c r="I88" s="102" t="str">
        <f t="shared" si="98"/>
        <v/>
      </c>
      <c r="J88" s="103">
        <f t="shared" si="99"/>
        <v>-892</v>
      </c>
      <c r="K88" s="71" t="str">
        <f t="shared" si="100"/>
        <v/>
      </c>
      <c r="L88" s="121" t="s">
        <v>108</v>
      </c>
      <c r="M88" s="105"/>
      <c r="N88" s="106" t="str">
        <f>IF(M88="","m","")</f>
        <v>m</v>
      </c>
      <c r="O88" s="107"/>
      <c r="P88" s="108" t="s">
        <v>317</v>
      </c>
      <c r="Q88" s="109" t="s">
        <v>344</v>
      </c>
      <c r="R88" s="110">
        <f>(IF(COUNT(Z88,AA88,AB88,AC88,AD88,AE88,AF88,AG88,AH88,AI88)&lt;10,SUM(Z88,AA88,AB88,AC88,AD88,AE88,AF88,AG88,AH88,AI88),SUM(LARGE((Z88,AA88,AB88,AC88,AD88,AE88,AF88,AG88,AH88,AI88),{1;2;3;4;5;6;7;8;9}))))</f>
        <v>0</v>
      </c>
      <c r="S88" s="111" t="str">
        <f>INDEX(ETAPP!B$1:B$32,MATCH(COUNTIF(BI88:BR88,1),ETAPP!A$1:A$32,0))&amp;INDEX(ETAPP!B$1:B$32,MATCH(COUNTIF(BI88:BR88,2),ETAPP!A$1:A$32,0))&amp;INDEX(ETAPP!B$1:B$32,MATCH(COUNTIF(BI88:BR88,3),ETAPP!A$1:A$32,0))&amp;INDEX(ETAPP!B$1:B$32,MATCH(COUNTIF(BI88:BR88,4),ETAPP!A$1:A$32,0))&amp;INDEX(ETAPP!B$1:B$32,MATCH(COUNTIF(BI88:BR88,5),ETAPP!A$1:A$32,0))&amp;INDEX(ETAPP!B$1:B$32,MATCH(COUNTIF(BI88:BR88,6),ETAPP!A$1:A$32,0))&amp;INDEX(ETAPP!B$1:B$32,MATCH(COUNTIF(BI88:BR88,7),ETAPP!A$1:A$32,0))&amp;INDEX(ETAPP!B$1:B$32,MATCH(COUNTIF(BI88:BR88,8),ETAPP!A$1:A$32,0))&amp;INDEX(ETAPP!B$1:B$32,MATCH(COUNTIF(BI88:BR88,9),ETAPP!A$1:A$32,0))&amp;INDEX(ETAPP!B$1:B$32,MATCH(COUNTIF(BI88:BR88,10),ETAPP!A$1:A$32,0))&amp;INDEX(ETAPP!B$1:B$32,MATCH(COUNTIF(BI88:BR88,11),ETAPP!A$1:A$32,0))&amp;INDEX(ETAPP!B$1:B$32,MATCH(COUNTIF(BI88:BR88,12),ETAPP!A$1:A$32,0))&amp;INDEX(ETAPP!B$1:B$32,MATCH(COUNTIF(BI88:BR88,13),ETAPP!A$1:A$32,0))&amp;INDEX(ETAPP!B$1:B$32,MATCH(COUNTIF(BI88:BR88,14),ETAPP!A$1:A$32,0))&amp;INDEX(ETAPP!B$1:B$32,MATCH(COUNTIF(BI88:BR88,15),ETAPP!A$1:A$32,0))&amp;INDEX(ETAPP!B$1:B$32,MATCH(COUNTIF(BI88:BR88,16),ETAPP!A$1:A$32,0))&amp;INDEX(ETAPP!B$1:B$32,MATCH(COUNTIF(BI88:BR88,17),ETAPP!A$1:A$32,0))&amp;INDEX(ETAPP!B$1:B$32,MATCH(COUNTIF(BI88:BR88,18),ETAPP!A$1:A$32,0))&amp;INDEX(ETAPP!B$1:B$32,MATCH(COUNTIF(BI88:BR88,19),ETAPP!A$1:A$32,0))&amp;INDEX(ETAPP!B$1:B$32,MATCH(COUNTIF(BI88:BR88,20),ETAPP!A$1:A$32,0))&amp;INDEX(ETAPP!B$1:B$32,MATCH(COUNTIF(BI88:BR88,21),ETAPP!A$1:A$32,0))</f>
        <v>000000000000000000000</v>
      </c>
      <c r="T88" s="111" t="str">
        <f t="shared" si="101"/>
        <v>000,0-000000000000000000000</v>
      </c>
      <c r="U88" s="111">
        <f t="shared" si="102"/>
        <v>108</v>
      </c>
      <c r="V88" s="111">
        <f t="shared" si="103"/>
        <v>50</v>
      </c>
      <c r="W88" s="111" t="str">
        <f t="shared" si="104"/>
        <v>000,0-000000000000000000000-050</v>
      </c>
      <c r="X88" s="111">
        <f t="shared" si="105"/>
        <v>82</v>
      </c>
      <c r="Y88" s="112">
        <f t="shared" si="106"/>
        <v>27</v>
      </c>
      <c r="Z88" s="113" t="str">
        <f>IFERROR(INDEX('V1'!C$300:C$400,MATCH("*"&amp;L88&amp;"*",'V1'!B$300:B$400,0)),"  ")</f>
        <v xml:space="preserve">  </v>
      </c>
      <c r="AA88" s="113" t="str">
        <f>IFERROR(INDEX('V2'!C$300:C$400,MATCH("*"&amp;L88&amp;"*",'V2'!B$300:B$400,0)),"  ")</f>
        <v xml:space="preserve">  </v>
      </c>
      <c r="AB88" s="113" t="str">
        <f>IFERROR(INDEX('V3'!C$300:C$400,MATCH("*"&amp;L88&amp;"*",'V3'!B$300:B$400,0)),"  ")</f>
        <v xml:space="preserve">  </v>
      </c>
      <c r="AC88" s="113" t="str">
        <f>IFERROR(INDEX('V4'!C$300:C$400,MATCH("*"&amp;L88&amp;"*",'V4'!B$300:B$400,0)),"  ")</f>
        <v xml:space="preserve">  </v>
      </c>
      <c r="AD88" s="113" t="str">
        <f>IFERROR(INDEX('V5'!C$300:C$400,MATCH("*"&amp;L88&amp;"*",'V5'!B$300:B$400,0)),"  ")</f>
        <v xml:space="preserve">  </v>
      </c>
      <c r="AE88" s="113" t="str">
        <f>IFERROR(INDEX('V6'!C$300:C$400,MATCH("*"&amp;L88&amp;"*",'V6'!B$300:B$400,0)),"  ")</f>
        <v xml:space="preserve">  </v>
      </c>
      <c r="AF88" s="113" t="str">
        <f>IFERROR(INDEX('V7'!C$300:C$400,MATCH("*"&amp;L88&amp;"*",'V7'!B$300:B$400,0)),"  ")</f>
        <v xml:space="preserve">  </v>
      </c>
      <c r="AG88" s="113" t="str">
        <f>IFERROR(INDEX('V8'!C$300:C$400,MATCH("*"&amp;L88&amp;"*",'V8'!B$300:B$400,0)),"  ")</f>
        <v xml:space="preserve">  </v>
      </c>
      <c r="AH88" s="113" t="str">
        <f>IFERROR(INDEX('V9'!C$300:C$399,MATCH("*"&amp;L88&amp;"*",'V9'!B$300:B$399,0)),"  ")</f>
        <v xml:space="preserve">  </v>
      </c>
      <c r="AI88" s="113" t="str">
        <f>IFERROR(INDEX('V10'!C$300:C$399,MATCH("*"&amp;L88&amp;"*",'V10'!B$300:B$399,0)),"  ")</f>
        <v xml:space="preserve">  </v>
      </c>
      <c r="AJ88" s="114" t="str">
        <f t="shared" si="107"/>
        <v/>
      </c>
      <c r="AK88" s="404">
        <f t="shared" si="108"/>
        <v>0</v>
      </c>
      <c r="AL88" s="115" t="str">
        <f t="shared" si="109"/>
        <v/>
      </c>
      <c r="AM88" s="116" t="str">
        <f>IFERROR(INDEX(#REF!,MATCH("*"&amp;L88&amp;"*",#REF!,0)),"  ")</f>
        <v xml:space="preserve">  </v>
      </c>
      <c r="AN88" s="117">
        <f t="shared" si="110"/>
        <v>0</v>
      </c>
      <c r="AO88" s="118">
        <f t="shared" si="111"/>
        <v>0</v>
      </c>
      <c r="AP88" s="118">
        <f t="shared" si="112"/>
        <v>0</v>
      </c>
      <c r="AQ88" s="122"/>
      <c r="AR88" s="1"/>
      <c r="AS88" s="1"/>
      <c r="AT88" s="119">
        <f t="shared" si="113"/>
        <v>1E-4</v>
      </c>
      <c r="AU88" s="120">
        <f t="shared" si="114"/>
        <v>1E-4</v>
      </c>
      <c r="AV88" s="120">
        <f t="shared" si="115"/>
        <v>2.0000000000000001E-4</v>
      </c>
      <c r="AW88" s="120">
        <f t="shared" si="116"/>
        <v>2.9999999999999997E-4</v>
      </c>
      <c r="AX88" s="120">
        <f t="shared" si="117"/>
        <v>4.0000000000000002E-4</v>
      </c>
      <c r="AY88" s="120">
        <f t="shared" si="118"/>
        <v>5.0000000000000001E-4</v>
      </c>
      <c r="AZ88" s="120">
        <f t="shared" si="119"/>
        <v>5.9999999999999995E-4</v>
      </c>
      <c r="BA88" s="120">
        <f t="shared" si="120"/>
        <v>6.9999999999999999E-4</v>
      </c>
      <c r="BB88" s="120">
        <f t="shared" si="121"/>
        <v>8.0000000000000004E-4</v>
      </c>
      <c r="BC88" s="120">
        <f t="shared" si="122"/>
        <v>8.9999999999999998E-4</v>
      </c>
      <c r="BD88" s="120">
        <f t="shared" si="123"/>
        <v>1E-3</v>
      </c>
      <c r="BI88" s="1018" t="e">
        <f t="shared" si="124"/>
        <v>#VALUE!</v>
      </c>
      <c r="BJ88" s="1018" t="e">
        <f t="shared" si="125"/>
        <v>#VALUE!</v>
      </c>
      <c r="BK88" s="1018" t="e">
        <f t="shared" si="126"/>
        <v>#VALUE!</v>
      </c>
      <c r="BL88" s="1018" t="e">
        <f t="shared" si="127"/>
        <v>#VALUE!</v>
      </c>
      <c r="BM88" s="1018" t="e">
        <f t="shared" si="128"/>
        <v>#VALUE!</v>
      </c>
      <c r="BN88" s="1018" t="e">
        <f t="shared" si="129"/>
        <v>#VALUE!</v>
      </c>
      <c r="BO88" s="1018" t="e">
        <f t="shared" si="130"/>
        <v>#VALUE!</v>
      </c>
      <c r="BP88" s="1018" t="e">
        <f t="shared" si="131"/>
        <v>#VALUE!</v>
      </c>
      <c r="BQ88" s="1018" t="e">
        <f t="shared" si="132"/>
        <v>#VALUE!</v>
      </c>
      <c r="BR88" s="1018" t="e">
        <f t="shared" si="133"/>
        <v>#VALUE!</v>
      </c>
    </row>
    <row r="89" spans="1:70" ht="12.75" hidden="1" customHeight="1" x14ac:dyDescent="0.2">
      <c r="A89" s="647" t="str">
        <f t="shared" si="90"/>
        <v/>
      </c>
      <c r="B89" s="99">
        <f t="shared" si="91"/>
        <v>-892</v>
      </c>
      <c r="C89" s="409" t="str">
        <f t="shared" si="92"/>
        <v/>
      </c>
      <c r="D89" s="367">
        <f t="shared" si="93"/>
        <v>-892</v>
      </c>
      <c r="E89" s="100" t="str">
        <f t="shared" si="94"/>
        <v/>
      </c>
      <c r="F89" s="99">
        <f t="shared" si="95"/>
        <v>108</v>
      </c>
      <c r="G89" s="101" t="str">
        <f t="shared" si="96"/>
        <v/>
      </c>
      <c r="H89" s="99">
        <f t="shared" si="97"/>
        <v>-892</v>
      </c>
      <c r="I89" s="102" t="str">
        <f t="shared" si="98"/>
        <v/>
      </c>
      <c r="J89" s="103">
        <f t="shared" si="99"/>
        <v>-892</v>
      </c>
      <c r="K89" s="71" t="str">
        <f t="shared" si="100"/>
        <v/>
      </c>
      <c r="L89" s="123" t="s">
        <v>162</v>
      </c>
      <c r="M89" s="105"/>
      <c r="N89" s="106" t="str">
        <f>IF(M89="","m","")</f>
        <v>m</v>
      </c>
      <c r="O89" s="107"/>
      <c r="P89" s="108"/>
      <c r="Q89" s="109"/>
      <c r="R89" s="110">
        <f>(IF(COUNT(Z89,AA89,AB89,AC89,AD89,AE89,AF89,AG89,AH89,AI89)&lt;10,SUM(Z89,AA89,AB89,AC89,AD89,AE89,AF89,AG89,AH89,AI89),SUM(LARGE((Z89,AA89,AB89,AC89,AD89,AE89,AF89,AG89,AH89,AI89),{1;2;3;4;5;6;7;8;9}))))</f>
        <v>0</v>
      </c>
      <c r="S89" s="111" t="str">
        <f>INDEX(ETAPP!B$1:B$32,MATCH(COUNTIF(BI89:BR89,1),ETAPP!A$1:A$32,0))&amp;INDEX(ETAPP!B$1:B$32,MATCH(COUNTIF(BI89:BR89,2),ETAPP!A$1:A$32,0))&amp;INDEX(ETAPP!B$1:B$32,MATCH(COUNTIF(BI89:BR89,3),ETAPP!A$1:A$32,0))&amp;INDEX(ETAPP!B$1:B$32,MATCH(COUNTIF(BI89:BR89,4),ETAPP!A$1:A$32,0))&amp;INDEX(ETAPP!B$1:B$32,MATCH(COUNTIF(BI89:BR89,5),ETAPP!A$1:A$32,0))&amp;INDEX(ETAPP!B$1:B$32,MATCH(COUNTIF(BI89:BR89,6),ETAPP!A$1:A$32,0))&amp;INDEX(ETAPP!B$1:B$32,MATCH(COUNTIF(BI89:BR89,7),ETAPP!A$1:A$32,0))&amp;INDEX(ETAPP!B$1:B$32,MATCH(COUNTIF(BI89:BR89,8),ETAPP!A$1:A$32,0))&amp;INDEX(ETAPP!B$1:B$32,MATCH(COUNTIF(BI89:BR89,9),ETAPP!A$1:A$32,0))&amp;INDEX(ETAPP!B$1:B$32,MATCH(COUNTIF(BI89:BR89,10),ETAPP!A$1:A$32,0))&amp;INDEX(ETAPP!B$1:B$32,MATCH(COUNTIF(BI89:BR89,11),ETAPP!A$1:A$32,0))&amp;INDEX(ETAPP!B$1:B$32,MATCH(COUNTIF(BI89:BR89,12),ETAPP!A$1:A$32,0))&amp;INDEX(ETAPP!B$1:B$32,MATCH(COUNTIF(BI89:BR89,13),ETAPP!A$1:A$32,0))&amp;INDEX(ETAPP!B$1:B$32,MATCH(COUNTIF(BI89:BR89,14),ETAPP!A$1:A$32,0))&amp;INDEX(ETAPP!B$1:B$32,MATCH(COUNTIF(BI89:BR89,15),ETAPP!A$1:A$32,0))&amp;INDEX(ETAPP!B$1:B$32,MATCH(COUNTIF(BI89:BR89,16),ETAPP!A$1:A$32,0))&amp;INDEX(ETAPP!B$1:B$32,MATCH(COUNTIF(BI89:BR89,17),ETAPP!A$1:A$32,0))&amp;INDEX(ETAPP!B$1:B$32,MATCH(COUNTIF(BI89:BR89,18),ETAPP!A$1:A$32,0))&amp;INDEX(ETAPP!B$1:B$32,MATCH(COUNTIF(BI89:BR89,19),ETAPP!A$1:A$32,0))&amp;INDEX(ETAPP!B$1:B$32,MATCH(COUNTIF(BI89:BR89,20),ETAPP!A$1:A$32,0))&amp;INDEX(ETAPP!B$1:B$32,MATCH(COUNTIF(BI89:BR89,21),ETAPP!A$1:A$32,0))</f>
        <v>000000000000000000000</v>
      </c>
      <c r="T89" s="111" t="str">
        <f t="shared" si="101"/>
        <v>000,0-000000000000000000000</v>
      </c>
      <c r="U89" s="111">
        <f t="shared" si="102"/>
        <v>108</v>
      </c>
      <c r="V89" s="111">
        <f t="shared" si="103"/>
        <v>49</v>
      </c>
      <c r="W89" s="111" t="str">
        <f t="shared" si="104"/>
        <v>000,0-000000000000000000000-049</v>
      </c>
      <c r="X89" s="111">
        <f t="shared" si="105"/>
        <v>83</v>
      </c>
      <c r="Y89" s="112">
        <f t="shared" si="106"/>
        <v>26</v>
      </c>
      <c r="Z89" s="113" t="str">
        <f>IFERROR(INDEX('V1'!C$300:C$400,MATCH("*"&amp;L89&amp;"*",'V1'!B$300:B$400,0)),"  ")</f>
        <v xml:space="preserve">  </v>
      </c>
      <c r="AA89" s="113" t="str">
        <f>IFERROR(INDEX('V2'!C$300:C$400,MATCH("*"&amp;L89&amp;"*",'V2'!B$300:B$400,0)),"  ")</f>
        <v xml:space="preserve">  </v>
      </c>
      <c r="AB89" s="113" t="str">
        <f>IFERROR(INDEX('V3'!C$300:C$400,MATCH("*"&amp;L89&amp;"*",'V3'!B$300:B$400,0)),"  ")</f>
        <v xml:space="preserve">  </v>
      </c>
      <c r="AC89" s="113" t="str">
        <f>IFERROR(INDEX('V4'!C$300:C$400,MATCH("*"&amp;L89&amp;"*",'V4'!B$300:B$400,0)),"  ")</f>
        <v xml:space="preserve">  </v>
      </c>
      <c r="AD89" s="113" t="str">
        <f>IFERROR(INDEX('V5'!C$300:C$400,MATCH("*"&amp;L89&amp;"*",'V5'!B$300:B$400,0)),"  ")</f>
        <v xml:space="preserve">  </v>
      </c>
      <c r="AE89" s="113" t="str">
        <f>IFERROR(INDEX('V6'!C$300:C$400,MATCH("*"&amp;L89&amp;"*",'V6'!B$300:B$400,0)),"  ")</f>
        <v xml:space="preserve">  </v>
      </c>
      <c r="AF89" s="113" t="str">
        <f>IFERROR(INDEX('V7'!C$300:C$400,MATCH("*"&amp;L89&amp;"*",'V7'!B$300:B$400,0)),"  ")</f>
        <v xml:space="preserve">  </v>
      </c>
      <c r="AG89" s="113" t="str">
        <f>IFERROR(INDEX('V8'!C$300:C$400,MATCH("*"&amp;L89&amp;"*",'V8'!B$300:B$400,0)),"  ")</f>
        <v xml:space="preserve">  </v>
      </c>
      <c r="AH89" s="113" t="str">
        <f>IFERROR(INDEX('V9'!C$300:C$399,MATCH("*"&amp;L89&amp;"*",'V9'!B$300:B$399,0)),"  ")</f>
        <v xml:space="preserve">  </v>
      </c>
      <c r="AI89" s="113" t="str">
        <f>IFERROR(INDEX('V10'!C$300:C$399,MATCH("*"&amp;L89&amp;"*",'V10'!B$300:B$399,0)),"  ")</f>
        <v xml:space="preserve">  </v>
      </c>
      <c r="AJ89" s="114" t="str">
        <f t="shared" si="107"/>
        <v/>
      </c>
      <c r="AK89" s="404">
        <f t="shared" si="108"/>
        <v>0</v>
      </c>
      <c r="AL89" s="115" t="str">
        <f t="shared" si="109"/>
        <v/>
      </c>
      <c r="AM89" s="116" t="str">
        <f>IFERROR(INDEX(#REF!,MATCH("*"&amp;L89&amp;"*",#REF!,0)),"  ")</f>
        <v xml:space="preserve">  </v>
      </c>
      <c r="AN89" s="117">
        <f t="shared" si="110"/>
        <v>0</v>
      </c>
      <c r="AO89" s="118">
        <f t="shared" si="111"/>
        <v>0</v>
      </c>
      <c r="AP89" s="118">
        <f t="shared" si="112"/>
        <v>0</v>
      </c>
      <c r="AQ89" s="49"/>
      <c r="AR89" s="1"/>
      <c r="AS89" s="1"/>
      <c r="AT89" s="119">
        <f t="shared" si="113"/>
        <v>1E-4</v>
      </c>
      <c r="AU89" s="120">
        <f t="shared" si="114"/>
        <v>1E-4</v>
      </c>
      <c r="AV89" s="120">
        <f t="shared" si="115"/>
        <v>2.0000000000000001E-4</v>
      </c>
      <c r="AW89" s="120">
        <f t="shared" si="116"/>
        <v>2.9999999999999997E-4</v>
      </c>
      <c r="AX89" s="120">
        <f t="shared" si="117"/>
        <v>4.0000000000000002E-4</v>
      </c>
      <c r="AY89" s="120">
        <f t="shared" si="118"/>
        <v>5.0000000000000001E-4</v>
      </c>
      <c r="AZ89" s="120">
        <f t="shared" si="119"/>
        <v>5.9999999999999995E-4</v>
      </c>
      <c r="BA89" s="120">
        <f t="shared" si="120"/>
        <v>6.9999999999999999E-4</v>
      </c>
      <c r="BB89" s="120">
        <f t="shared" si="121"/>
        <v>8.0000000000000004E-4</v>
      </c>
      <c r="BC89" s="120">
        <f t="shared" si="122"/>
        <v>8.9999999999999998E-4</v>
      </c>
      <c r="BD89" s="120">
        <f t="shared" si="123"/>
        <v>1E-3</v>
      </c>
      <c r="BI89" s="1018" t="e">
        <f t="shared" si="124"/>
        <v>#VALUE!</v>
      </c>
      <c r="BJ89" s="1018" t="e">
        <f t="shared" si="125"/>
        <v>#VALUE!</v>
      </c>
      <c r="BK89" s="1018" t="e">
        <f t="shared" si="126"/>
        <v>#VALUE!</v>
      </c>
      <c r="BL89" s="1018" t="e">
        <f t="shared" si="127"/>
        <v>#VALUE!</v>
      </c>
      <c r="BM89" s="1018" t="e">
        <f t="shared" si="128"/>
        <v>#VALUE!</v>
      </c>
      <c r="BN89" s="1018" t="e">
        <f t="shared" si="129"/>
        <v>#VALUE!</v>
      </c>
      <c r="BO89" s="1018" t="e">
        <f t="shared" si="130"/>
        <v>#VALUE!</v>
      </c>
      <c r="BP89" s="1018" t="e">
        <f t="shared" si="131"/>
        <v>#VALUE!</v>
      </c>
      <c r="BQ89" s="1018" t="e">
        <f t="shared" si="132"/>
        <v>#VALUE!</v>
      </c>
      <c r="BR89" s="1018" t="e">
        <f t="shared" si="133"/>
        <v>#VALUE!</v>
      </c>
    </row>
    <row r="90" spans="1:70" ht="12.75" hidden="1" customHeight="1" x14ac:dyDescent="0.2">
      <c r="A90" s="647" t="str">
        <f t="shared" si="90"/>
        <v/>
      </c>
      <c r="B90" s="99">
        <f t="shared" si="91"/>
        <v>108</v>
      </c>
      <c r="C90" s="409" t="str">
        <f t="shared" si="92"/>
        <v/>
      </c>
      <c r="D90" s="367">
        <f t="shared" si="93"/>
        <v>-892</v>
      </c>
      <c r="E90" s="100" t="str">
        <f t="shared" si="94"/>
        <v/>
      </c>
      <c r="F90" s="99">
        <f t="shared" si="95"/>
        <v>108</v>
      </c>
      <c r="G90" s="101" t="str">
        <f t="shared" si="96"/>
        <v/>
      </c>
      <c r="H90" s="99">
        <f t="shared" si="97"/>
        <v>-892</v>
      </c>
      <c r="I90" s="102" t="str">
        <f t="shared" si="98"/>
        <v/>
      </c>
      <c r="J90" s="103">
        <f t="shared" si="99"/>
        <v>108</v>
      </c>
      <c r="K90" s="71" t="str">
        <f t="shared" si="100"/>
        <v/>
      </c>
      <c r="L90" s="121" t="s">
        <v>327</v>
      </c>
      <c r="M90" s="105"/>
      <c r="N90" s="106" t="s">
        <v>105</v>
      </c>
      <c r="O90" s="138" t="s">
        <v>117</v>
      </c>
      <c r="P90" s="108"/>
      <c r="Q90" s="109" t="s">
        <v>88</v>
      </c>
      <c r="R90" s="110">
        <f>(IF(COUNT(Z90,AA90,AB90,AC90,AD90,AE90,AF90,AG90,AH90,AI90)&lt;10,SUM(Z90,AA90,AB90,AC90,AD90,AE90,AF90,AG90,AH90,AI90),SUM(LARGE((Z90,AA90,AB90,AC90,AD90,AE90,AF90,AG90,AH90,AI90),{1;2;3;4;5;6;7;8;9}))))</f>
        <v>0</v>
      </c>
      <c r="S90" s="111" t="str">
        <f>INDEX(ETAPP!B$1:B$32,MATCH(COUNTIF(BI90:BR90,1),ETAPP!A$1:A$32,0))&amp;INDEX(ETAPP!B$1:B$32,MATCH(COUNTIF(BI90:BR90,2),ETAPP!A$1:A$32,0))&amp;INDEX(ETAPP!B$1:B$32,MATCH(COUNTIF(BI90:BR90,3),ETAPP!A$1:A$32,0))&amp;INDEX(ETAPP!B$1:B$32,MATCH(COUNTIF(BI90:BR90,4),ETAPP!A$1:A$32,0))&amp;INDEX(ETAPP!B$1:B$32,MATCH(COUNTIF(BI90:BR90,5),ETAPP!A$1:A$32,0))&amp;INDEX(ETAPP!B$1:B$32,MATCH(COUNTIF(BI90:BR90,6),ETAPP!A$1:A$32,0))&amp;INDEX(ETAPP!B$1:B$32,MATCH(COUNTIF(BI90:BR90,7),ETAPP!A$1:A$32,0))&amp;INDEX(ETAPP!B$1:B$32,MATCH(COUNTIF(BI90:BR90,8),ETAPP!A$1:A$32,0))&amp;INDEX(ETAPP!B$1:B$32,MATCH(COUNTIF(BI90:BR90,9),ETAPP!A$1:A$32,0))&amp;INDEX(ETAPP!B$1:B$32,MATCH(COUNTIF(BI90:BR90,10),ETAPP!A$1:A$32,0))&amp;INDEX(ETAPP!B$1:B$32,MATCH(COUNTIF(BI90:BR90,11),ETAPP!A$1:A$32,0))&amp;INDEX(ETAPP!B$1:B$32,MATCH(COUNTIF(BI90:BR90,12),ETAPP!A$1:A$32,0))&amp;INDEX(ETAPP!B$1:B$32,MATCH(COUNTIF(BI90:BR90,13),ETAPP!A$1:A$32,0))&amp;INDEX(ETAPP!B$1:B$32,MATCH(COUNTIF(BI90:BR90,14),ETAPP!A$1:A$32,0))&amp;INDEX(ETAPP!B$1:B$32,MATCH(COUNTIF(BI90:BR90,15),ETAPP!A$1:A$32,0))&amp;INDEX(ETAPP!B$1:B$32,MATCH(COUNTIF(BI90:BR90,16),ETAPP!A$1:A$32,0))&amp;INDEX(ETAPP!B$1:B$32,MATCH(COUNTIF(BI90:BR90,17),ETAPP!A$1:A$32,0))&amp;INDEX(ETAPP!B$1:B$32,MATCH(COUNTIF(BI90:BR90,18),ETAPP!A$1:A$32,0))&amp;INDEX(ETAPP!B$1:B$32,MATCH(COUNTIF(BI90:BR90,19),ETAPP!A$1:A$32,0))&amp;INDEX(ETAPP!B$1:B$32,MATCH(COUNTIF(BI90:BR90,20),ETAPP!A$1:A$32,0))&amp;INDEX(ETAPP!B$1:B$32,MATCH(COUNTIF(BI90:BR90,21),ETAPP!A$1:A$32,0))</f>
        <v>000000000000000000000</v>
      </c>
      <c r="T90" s="111" t="str">
        <f t="shared" si="101"/>
        <v>000,0-000000000000000000000</v>
      </c>
      <c r="U90" s="111">
        <f t="shared" si="102"/>
        <v>108</v>
      </c>
      <c r="V90" s="111">
        <f t="shared" si="103"/>
        <v>48</v>
      </c>
      <c r="W90" s="111" t="str">
        <f t="shared" si="104"/>
        <v>000,0-000000000000000000000-048</v>
      </c>
      <c r="X90" s="111">
        <f t="shared" si="105"/>
        <v>84</v>
      </c>
      <c r="Y90" s="112">
        <f t="shared" si="106"/>
        <v>25</v>
      </c>
      <c r="Z90" s="113" t="str">
        <f>IFERROR(INDEX('V1'!C$300:C$400,MATCH("*"&amp;L90&amp;"*",'V1'!B$300:B$400,0)),"  ")</f>
        <v xml:space="preserve">  </v>
      </c>
      <c r="AA90" s="113" t="str">
        <f>IFERROR(INDEX('V2'!C$300:C$400,MATCH("*"&amp;L90&amp;"*",'V2'!B$300:B$400,0)),"  ")</f>
        <v xml:space="preserve">  </v>
      </c>
      <c r="AB90" s="113" t="str">
        <f>IFERROR(INDEX('V3'!C$300:C$400,MATCH("*"&amp;L90&amp;"*",'V3'!B$300:B$400,0)),"  ")</f>
        <v xml:space="preserve">  </v>
      </c>
      <c r="AC90" s="113" t="str">
        <f>IFERROR(INDEX('V4'!C$300:C$400,MATCH("*"&amp;L90&amp;"*",'V4'!B$300:B$400,0)),"  ")</f>
        <v xml:space="preserve">  </v>
      </c>
      <c r="AD90" s="113" t="str">
        <f>IFERROR(INDEX('V5'!C$300:C$400,MATCH("*"&amp;L90&amp;"*",'V5'!B$300:B$400,0)),"  ")</f>
        <v xml:space="preserve">  </v>
      </c>
      <c r="AE90" s="113" t="str">
        <f>IFERROR(INDEX('V6'!C$300:C$400,MATCH("*"&amp;L90&amp;"*",'V6'!B$300:B$400,0)),"  ")</f>
        <v xml:space="preserve">  </v>
      </c>
      <c r="AF90" s="113" t="str">
        <f>IFERROR(INDEX('V7'!C$300:C$400,MATCH("*"&amp;L90&amp;"*",'V7'!B$300:B$400,0)),"  ")</f>
        <v xml:space="preserve">  </v>
      </c>
      <c r="AG90" s="113" t="str">
        <f>IFERROR(INDEX('V8'!C$300:C$400,MATCH("*"&amp;L90&amp;"*",'V8'!B$300:B$400,0)),"  ")</f>
        <v xml:space="preserve">  </v>
      </c>
      <c r="AH90" s="113" t="str">
        <f>IFERROR(INDEX('V9'!C$300:C$399,MATCH("*"&amp;L90&amp;"*",'V9'!B$300:B$399,0)),"  ")</f>
        <v xml:space="preserve">  </v>
      </c>
      <c r="AI90" s="113" t="str">
        <f>IFERROR(INDEX('V10'!C$300:C$399,MATCH("*"&amp;L90&amp;"*",'V10'!B$300:B$399,0)),"  ")</f>
        <v xml:space="preserve">  </v>
      </c>
      <c r="AJ90" s="114" t="str">
        <f t="shared" si="107"/>
        <v/>
      </c>
      <c r="AK90" s="404">
        <f t="shared" si="108"/>
        <v>0</v>
      </c>
      <c r="AL90" s="115" t="str">
        <f t="shared" si="109"/>
        <v/>
      </c>
      <c r="AM90" s="116" t="str">
        <f>IFERROR(INDEX(#REF!,MATCH("*"&amp;L90&amp;"*",#REF!,0)),"  ")</f>
        <v xml:space="preserve">  </v>
      </c>
      <c r="AN90" s="117">
        <f t="shared" si="110"/>
        <v>0</v>
      </c>
      <c r="AO90" s="118">
        <f t="shared" si="111"/>
        <v>0</v>
      </c>
      <c r="AP90" s="118">
        <f t="shared" si="112"/>
        <v>0</v>
      </c>
      <c r="AQ90" s="49"/>
      <c r="AR90" s="1"/>
      <c r="AS90" s="1"/>
      <c r="AT90" s="119">
        <f t="shared" si="113"/>
        <v>1E-4</v>
      </c>
      <c r="AU90" s="120">
        <f t="shared" si="114"/>
        <v>1E-4</v>
      </c>
      <c r="AV90" s="120">
        <f t="shared" si="115"/>
        <v>2.0000000000000001E-4</v>
      </c>
      <c r="AW90" s="120">
        <f t="shared" si="116"/>
        <v>2.9999999999999997E-4</v>
      </c>
      <c r="AX90" s="120">
        <f t="shared" si="117"/>
        <v>4.0000000000000002E-4</v>
      </c>
      <c r="AY90" s="120">
        <f t="shared" si="118"/>
        <v>5.0000000000000001E-4</v>
      </c>
      <c r="AZ90" s="120">
        <f t="shared" si="119"/>
        <v>5.9999999999999995E-4</v>
      </c>
      <c r="BA90" s="120">
        <f t="shared" si="120"/>
        <v>6.9999999999999999E-4</v>
      </c>
      <c r="BB90" s="120">
        <f t="shared" si="121"/>
        <v>8.0000000000000004E-4</v>
      </c>
      <c r="BC90" s="120">
        <f t="shared" si="122"/>
        <v>8.9999999999999998E-4</v>
      </c>
      <c r="BD90" s="120">
        <f t="shared" si="123"/>
        <v>1E-3</v>
      </c>
      <c r="BI90" s="1018" t="e">
        <f t="shared" si="124"/>
        <v>#VALUE!</v>
      </c>
      <c r="BJ90" s="1018" t="e">
        <f t="shared" si="125"/>
        <v>#VALUE!</v>
      </c>
      <c r="BK90" s="1018" t="e">
        <f t="shared" si="126"/>
        <v>#VALUE!</v>
      </c>
      <c r="BL90" s="1018" t="e">
        <f t="shared" si="127"/>
        <v>#VALUE!</v>
      </c>
      <c r="BM90" s="1018" t="e">
        <f t="shared" si="128"/>
        <v>#VALUE!</v>
      </c>
      <c r="BN90" s="1018" t="e">
        <f t="shared" si="129"/>
        <v>#VALUE!</v>
      </c>
      <c r="BO90" s="1018" t="e">
        <f t="shared" si="130"/>
        <v>#VALUE!</v>
      </c>
      <c r="BP90" s="1018" t="e">
        <f t="shared" si="131"/>
        <v>#VALUE!</v>
      </c>
      <c r="BQ90" s="1018" t="e">
        <f t="shared" si="132"/>
        <v>#VALUE!</v>
      </c>
      <c r="BR90" s="1018" t="e">
        <f t="shared" si="133"/>
        <v>#VALUE!</v>
      </c>
    </row>
    <row r="91" spans="1:70" ht="12.75" hidden="1" customHeight="1" x14ac:dyDescent="0.2">
      <c r="A91" s="647" t="str">
        <f t="shared" si="90"/>
        <v/>
      </c>
      <c r="B91" s="99">
        <f t="shared" si="91"/>
        <v>-892</v>
      </c>
      <c r="C91" s="409" t="str">
        <f t="shared" si="92"/>
        <v/>
      </c>
      <c r="D91" s="367">
        <f t="shared" si="93"/>
        <v>-892</v>
      </c>
      <c r="E91" s="100" t="str">
        <f t="shared" si="94"/>
        <v/>
      </c>
      <c r="F91" s="99">
        <f t="shared" si="95"/>
        <v>-892</v>
      </c>
      <c r="G91" s="101" t="str">
        <f t="shared" si="96"/>
        <v/>
      </c>
      <c r="H91" s="99">
        <f t="shared" si="97"/>
        <v>108</v>
      </c>
      <c r="I91" s="102" t="str">
        <f t="shared" si="98"/>
        <v/>
      </c>
      <c r="J91" s="103">
        <f t="shared" si="99"/>
        <v>-892</v>
      </c>
      <c r="K91" s="71" t="str">
        <f t="shared" si="100"/>
        <v/>
      </c>
      <c r="L91" s="445" t="s">
        <v>329</v>
      </c>
      <c r="M91" s="446" t="s">
        <v>110</v>
      </c>
      <c r="N91" s="447"/>
      <c r="O91" s="453"/>
      <c r="P91" s="448"/>
      <c r="Q91" s="449" t="s">
        <v>346</v>
      </c>
      <c r="R91" s="110">
        <f>(IF(COUNT(Z91,AA91,AB91,AC91,AD91,AE91,AF91,AG91,AH91,AI91)&lt;10,SUM(Z91,AA91,AB91,AC91,AD91,AE91,AF91,AG91,AH91,AI91),SUM(LARGE((Z91,AA91,AB91,AC91,AD91,AE91,AF91,AG91,AH91,AI91),{1;2;3;4;5;6;7;8;9}))))</f>
        <v>0</v>
      </c>
      <c r="S91" s="111" t="str">
        <f>INDEX(ETAPP!B$1:B$32,MATCH(COUNTIF(BI91:BR91,1),ETAPP!A$1:A$32,0))&amp;INDEX(ETAPP!B$1:B$32,MATCH(COUNTIF(BI91:BR91,2),ETAPP!A$1:A$32,0))&amp;INDEX(ETAPP!B$1:B$32,MATCH(COUNTIF(BI91:BR91,3),ETAPP!A$1:A$32,0))&amp;INDEX(ETAPP!B$1:B$32,MATCH(COUNTIF(BI91:BR91,4),ETAPP!A$1:A$32,0))&amp;INDEX(ETAPP!B$1:B$32,MATCH(COUNTIF(BI91:BR91,5),ETAPP!A$1:A$32,0))&amp;INDEX(ETAPP!B$1:B$32,MATCH(COUNTIF(BI91:BR91,6),ETAPP!A$1:A$32,0))&amp;INDEX(ETAPP!B$1:B$32,MATCH(COUNTIF(BI91:BR91,7),ETAPP!A$1:A$32,0))&amp;INDEX(ETAPP!B$1:B$32,MATCH(COUNTIF(BI91:BR91,8),ETAPP!A$1:A$32,0))&amp;INDEX(ETAPP!B$1:B$32,MATCH(COUNTIF(BI91:BR91,9),ETAPP!A$1:A$32,0))&amp;INDEX(ETAPP!B$1:B$32,MATCH(COUNTIF(BI91:BR91,10),ETAPP!A$1:A$32,0))&amp;INDEX(ETAPP!B$1:B$32,MATCH(COUNTIF(BI91:BR91,11),ETAPP!A$1:A$32,0))&amp;INDEX(ETAPP!B$1:B$32,MATCH(COUNTIF(BI91:BR91,12),ETAPP!A$1:A$32,0))&amp;INDEX(ETAPP!B$1:B$32,MATCH(COUNTIF(BI91:BR91,13),ETAPP!A$1:A$32,0))&amp;INDEX(ETAPP!B$1:B$32,MATCH(COUNTIF(BI91:BR91,14),ETAPP!A$1:A$32,0))&amp;INDEX(ETAPP!B$1:B$32,MATCH(COUNTIF(BI91:BR91,15),ETAPP!A$1:A$32,0))&amp;INDEX(ETAPP!B$1:B$32,MATCH(COUNTIF(BI91:BR91,16),ETAPP!A$1:A$32,0))&amp;INDEX(ETAPP!B$1:B$32,MATCH(COUNTIF(BI91:BR91,17),ETAPP!A$1:A$32,0))&amp;INDEX(ETAPP!B$1:B$32,MATCH(COUNTIF(BI91:BR91,18),ETAPP!A$1:A$32,0))&amp;INDEX(ETAPP!B$1:B$32,MATCH(COUNTIF(BI91:BR91,19),ETAPP!A$1:A$32,0))&amp;INDEX(ETAPP!B$1:B$32,MATCH(COUNTIF(BI91:BR91,20),ETAPP!A$1:A$32,0))&amp;INDEX(ETAPP!B$1:B$32,MATCH(COUNTIF(BI91:BR91,21),ETAPP!A$1:A$32,0))</f>
        <v>000000000000000000000</v>
      </c>
      <c r="T91" s="111" t="str">
        <f t="shared" si="101"/>
        <v>000,0-000000000000000000000</v>
      </c>
      <c r="U91" s="111">
        <f t="shared" si="102"/>
        <v>108</v>
      </c>
      <c r="V91" s="111">
        <f t="shared" si="103"/>
        <v>46</v>
      </c>
      <c r="W91" s="111" t="str">
        <f t="shared" si="104"/>
        <v>000,0-000000000000000000000-046</v>
      </c>
      <c r="X91" s="111">
        <f t="shared" si="105"/>
        <v>85</v>
      </c>
      <c r="Y91" s="112">
        <f t="shared" si="106"/>
        <v>24</v>
      </c>
      <c r="Z91" s="113" t="str">
        <f>IFERROR(INDEX('V1'!C$300:C$400,MATCH("*"&amp;L91&amp;"*",'V1'!B$300:B$400,0)),"  ")</f>
        <v xml:space="preserve">  </v>
      </c>
      <c r="AA91" s="113" t="str">
        <f>IFERROR(INDEX('V2'!C$300:C$400,MATCH("*"&amp;L91&amp;"*",'V2'!B$300:B$400,0)),"  ")</f>
        <v xml:space="preserve">  </v>
      </c>
      <c r="AB91" s="113" t="str">
        <f>IFERROR(INDEX('V3'!C$300:C$400,MATCH("*"&amp;L91&amp;"*",'V3'!B$300:B$400,0)),"  ")</f>
        <v xml:space="preserve">  </v>
      </c>
      <c r="AC91" s="113" t="str">
        <f>IFERROR(INDEX('V4'!C$300:C$400,MATCH("*"&amp;L91&amp;"*",'V4'!B$300:B$400,0)),"  ")</f>
        <v xml:space="preserve">  </v>
      </c>
      <c r="AD91" s="113" t="str">
        <f>IFERROR(INDEX('V5'!C$300:C$400,MATCH("*"&amp;L91&amp;"*",'V5'!B$300:B$400,0)),"  ")</f>
        <v xml:space="preserve">  </v>
      </c>
      <c r="AE91" s="113" t="str">
        <f>IFERROR(INDEX('V6'!C$300:C$400,MATCH("*"&amp;L91&amp;"*",'V6'!B$300:B$400,0)),"  ")</f>
        <v xml:space="preserve">  </v>
      </c>
      <c r="AF91" s="113" t="str">
        <f>IFERROR(INDEX('V7'!C$300:C$400,MATCH("*"&amp;L91&amp;"*",'V7'!B$300:B$400,0)),"  ")</f>
        <v xml:space="preserve">  </v>
      </c>
      <c r="AG91" s="113" t="str">
        <f>IFERROR(INDEX('V8'!C$300:C$400,MATCH("*"&amp;L91&amp;"*",'V8'!B$300:B$400,0)),"  ")</f>
        <v xml:space="preserve">  </v>
      </c>
      <c r="AH91" s="113" t="str">
        <f>IFERROR(INDEX('V9'!C$300:C$399,MATCH("*"&amp;L91&amp;"*",'V9'!B$300:B$399,0)),"  ")</f>
        <v xml:space="preserve">  </v>
      </c>
      <c r="AI91" s="113" t="str">
        <f>IFERROR(INDEX('V10'!C$300:C$399,MATCH("*"&amp;L91&amp;"*",'V10'!B$300:B$399,0)),"  ")</f>
        <v xml:space="preserve">  </v>
      </c>
      <c r="AJ91" s="114" t="str">
        <f t="shared" si="107"/>
        <v/>
      </c>
      <c r="AK91" s="404">
        <f t="shared" si="108"/>
        <v>0</v>
      </c>
      <c r="AL91" s="115" t="str">
        <f t="shared" si="109"/>
        <v/>
      </c>
      <c r="AM91" s="116" t="str">
        <f>IFERROR(INDEX(#REF!,MATCH("*"&amp;L91&amp;"*",#REF!,0)),"  ")</f>
        <v xml:space="preserve">  </v>
      </c>
      <c r="AN91" s="117">
        <f t="shared" si="110"/>
        <v>0</v>
      </c>
      <c r="AO91" s="118">
        <f t="shared" si="111"/>
        <v>0</v>
      </c>
      <c r="AP91" s="118">
        <f t="shared" si="112"/>
        <v>0</v>
      </c>
      <c r="AQ91" s="49"/>
      <c r="AR91" s="1"/>
      <c r="AS91" s="1"/>
      <c r="AT91" s="119">
        <f t="shared" si="113"/>
        <v>1E-4</v>
      </c>
      <c r="AU91" s="120">
        <f t="shared" si="114"/>
        <v>1E-4</v>
      </c>
      <c r="AV91" s="120">
        <f t="shared" si="115"/>
        <v>2.0000000000000001E-4</v>
      </c>
      <c r="AW91" s="120">
        <f t="shared" si="116"/>
        <v>2.9999999999999997E-4</v>
      </c>
      <c r="AX91" s="120">
        <f t="shared" si="117"/>
        <v>4.0000000000000002E-4</v>
      </c>
      <c r="AY91" s="120">
        <f t="shared" si="118"/>
        <v>5.0000000000000001E-4</v>
      </c>
      <c r="AZ91" s="120">
        <f t="shared" si="119"/>
        <v>5.9999999999999995E-4</v>
      </c>
      <c r="BA91" s="120">
        <f t="shared" si="120"/>
        <v>6.9999999999999999E-4</v>
      </c>
      <c r="BB91" s="120">
        <f t="shared" si="121"/>
        <v>8.0000000000000004E-4</v>
      </c>
      <c r="BC91" s="120">
        <f t="shared" si="122"/>
        <v>8.9999999999999998E-4</v>
      </c>
      <c r="BD91" s="120">
        <f t="shared" si="123"/>
        <v>1E-3</v>
      </c>
      <c r="BI91" s="1018" t="e">
        <f t="shared" si="124"/>
        <v>#VALUE!</v>
      </c>
      <c r="BJ91" s="1018" t="e">
        <f t="shared" si="125"/>
        <v>#VALUE!</v>
      </c>
      <c r="BK91" s="1018" t="e">
        <f t="shared" si="126"/>
        <v>#VALUE!</v>
      </c>
      <c r="BL91" s="1018" t="e">
        <f t="shared" si="127"/>
        <v>#VALUE!</v>
      </c>
      <c r="BM91" s="1018" t="e">
        <f t="shared" si="128"/>
        <v>#VALUE!</v>
      </c>
      <c r="BN91" s="1018" t="e">
        <f t="shared" si="129"/>
        <v>#VALUE!</v>
      </c>
      <c r="BO91" s="1018" t="e">
        <f t="shared" si="130"/>
        <v>#VALUE!</v>
      </c>
      <c r="BP91" s="1018" t="e">
        <f t="shared" si="131"/>
        <v>#VALUE!</v>
      </c>
      <c r="BQ91" s="1018" t="e">
        <f t="shared" si="132"/>
        <v>#VALUE!</v>
      </c>
      <c r="BR91" s="1018" t="e">
        <f t="shared" si="133"/>
        <v>#VALUE!</v>
      </c>
    </row>
    <row r="92" spans="1:70" ht="12.75" hidden="1" customHeight="1" x14ac:dyDescent="0.2">
      <c r="A92" s="647" t="str">
        <f t="shared" si="90"/>
        <v/>
      </c>
      <c r="B92" s="99">
        <f t="shared" si="91"/>
        <v>-892</v>
      </c>
      <c r="C92" s="409" t="str">
        <f t="shared" si="92"/>
        <v/>
      </c>
      <c r="D92" s="367">
        <f t="shared" si="93"/>
        <v>108</v>
      </c>
      <c r="E92" s="100" t="str">
        <f t="shared" si="94"/>
        <v/>
      </c>
      <c r="F92" s="99">
        <f t="shared" si="95"/>
        <v>108</v>
      </c>
      <c r="G92" s="101" t="str">
        <f t="shared" si="96"/>
        <v/>
      </c>
      <c r="H92" s="99">
        <f t="shared" si="97"/>
        <v>-892</v>
      </c>
      <c r="I92" s="102" t="str">
        <f t="shared" si="98"/>
        <v/>
      </c>
      <c r="J92" s="103">
        <f t="shared" si="99"/>
        <v>-892</v>
      </c>
      <c r="K92" s="71" t="str">
        <f t="shared" si="100"/>
        <v/>
      </c>
      <c r="L92" s="123" t="s">
        <v>103</v>
      </c>
      <c r="M92" s="105"/>
      <c r="N92" s="106" t="str">
        <f>IF(M92="","m","")</f>
        <v>m</v>
      </c>
      <c r="O92" s="107"/>
      <c r="P92" s="108" t="s">
        <v>317</v>
      </c>
      <c r="Q92" s="109" t="s">
        <v>344</v>
      </c>
      <c r="R92" s="110">
        <f>(IF(COUNT(Z92,AA92,AB92,AC92,AD92,AE92,AF92,AG92,AH92,AI92)&lt;10,SUM(Z92,AA92,AB92,AC92,AD92,AE92,AF92,AG92,AH92,AI92),SUM(LARGE((Z92,AA92,AB92,AC92,AD92,AE92,AF92,AG92,AH92,AI92),{1;2;3;4;5;6;7;8;9}))))</f>
        <v>0</v>
      </c>
      <c r="S92" s="111" t="str">
        <f>INDEX(ETAPP!B$1:B$32,MATCH(COUNTIF(BI92:BR92,1),ETAPP!A$1:A$32,0))&amp;INDEX(ETAPP!B$1:B$32,MATCH(COUNTIF(BI92:BR92,2),ETAPP!A$1:A$32,0))&amp;INDEX(ETAPP!B$1:B$32,MATCH(COUNTIF(BI92:BR92,3),ETAPP!A$1:A$32,0))&amp;INDEX(ETAPP!B$1:B$32,MATCH(COUNTIF(BI92:BR92,4),ETAPP!A$1:A$32,0))&amp;INDEX(ETAPP!B$1:B$32,MATCH(COUNTIF(BI92:BR92,5),ETAPP!A$1:A$32,0))&amp;INDEX(ETAPP!B$1:B$32,MATCH(COUNTIF(BI92:BR92,6),ETAPP!A$1:A$32,0))&amp;INDEX(ETAPP!B$1:B$32,MATCH(COUNTIF(BI92:BR92,7),ETAPP!A$1:A$32,0))&amp;INDEX(ETAPP!B$1:B$32,MATCH(COUNTIF(BI92:BR92,8),ETAPP!A$1:A$32,0))&amp;INDEX(ETAPP!B$1:B$32,MATCH(COUNTIF(BI92:BR92,9),ETAPP!A$1:A$32,0))&amp;INDEX(ETAPP!B$1:B$32,MATCH(COUNTIF(BI92:BR92,10),ETAPP!A$1:A$32,0))&amp;INDEX(ETAPP!B$1:B$32,MATCH(COUNTIF(BI92:BR92,11),ETAPP!A$1:A$32,0))&amp;INDEX(ETAPP!B$1:B$32,MATCH(COUNTIF(BI92:BR92,12),ETAPP!A$1:A$32,0))&amp;INDEX(ETAPP!B$1:B$32,MATCH(COUNTIF(BI92:BR92,13),ETAPP!A$1:A$32,0))&amp;INDEX(ETAPP!B$1:B$32,MATCH(COUNTIF(BI92:BR92,14),ETAPP!A$1:A$32,0))&amp;INDEX(ETAPP!B$1:B$32,MATCH(COUNTIF(BI92:BR92,15),ETAPP!A$1:A$32,0))&amp;INDEX(ETAPP!B$1:B$32,MATCH(COUNTIF(BI92:BR92,16),ETAPP!A$1:A$32,0))&amp;INDEX(ETAPP!B$1:B$32,MATCH(COUNTIF(BI92:BR92,17),ETAPP!A$1:A$32,0))&amp;INDEX(ETAPP!B$1:B$32,MATCH(COUNTIF(BI92:BR92,18),ETAPP!A$1:A$32,0))&amp;INDEX(ETAPP!B$1:B$32,MATCH(COUNTIF(BI92:BR92,19),ETAPP!A$1:A$32,0))&amp;INDEX(ETAPP!B$1:B$32,MATCH(COUNTIF(BI92:BR92,20),ETAPP!A$1:A$32,0))&amp;INDEX(ETAPP!B$1:B$32,MATCH(COUNTIF(BI92:BR92,21),ETAPP!A$1:A$32,0))</f>
        <v>000000000000000000000</v>
      </c>
      <c r="T92" s="111" t="str">
        <f t="shared" si="101"/>
        <v>000,0-000000000000000000000</v>
      </c>
      <c r="U92" s="111">
        <f t="shared" si="102"/>
        <v>108</v>
      </c>
      <c r="V92" s="111">
        <f t="shared" si="103"/>
        <v>44</v>
      </c>
      <c r="W92" s="111" t="str">
        <f t="shared" si="104"/>
        <v>000,0-000000000000000000000-044</v>
      </c>
      <c r="X92" s="111">
        <f t="shared" si="105"/>
        <v>86</v>
      </c>
      <c r="Y92" s="112">
        <f t="shared" si="106"/>
        <v>23</v>
      </c>
      <c r="Z92" s="113" t="str">
        <f>IFERROR(INDEX('V1'!C$300:C$400,MATCH("*"&amp;L92&amp;"*",'V1'!B$300:B$400,0)),"  ")</f>
        <v xml:space="preserve">  </v>
      </c>
      <c r="AA92" s="113" t="str">
        <f>IFERROR(INDEX('V2'!C$300:C$400,MATCH("*"&amp;L92&amp;"*",'V2'!B$300:B$400,0)),"  ")</f>
        <v xml:space="preserve">  </v>
      </c>
      <c r="AB92" s="113" t="str">
        <f>IFERROR(INDEX('V3'!C$300:C$400,MATCH("*"&amp;L92&amp;"*",'V3'!B$300:B$400,0)),"  ")</f>
        <v xml:space="preserve">  </v>
      </c>
      <c r="AC92" s="113" t="str">
        <f>IFERROR(INDEX('V4'!C$300:C$400,MATCH("*"&amp;L92&amp;"*",'V4'!B$300:B$400,0)),"  ")</f>
        <v xml:space="preserve">  </v>
      </c>
      <c r="AD92" s="113" t="str">
        <f>IFERROR(INDEX('V5'!C$300:C$400,MATCH("*"&amp;L92&amp;"*",'V5'!B$300:B$400,0)),"  ")</f>
        <v xml:space="preserve">  </v>
      </c>
      <c r="AE92" s="113" t="str">
        <f>IFERROR(INDEX('V6'!C$300:C$400,MATCH("*"&amp;L92&amp;"*",'V6'!B$300:B$400,0)),"  ")</f>
        <v xml:space="preserve">  </v>
      </c>
      <c r="AF92" s="113" t="str">
        <f>IFERROR(INDEX('V7'!C$300:C$400,MATCH("*"&amp;L92&amp;"*",'V7'!B$300:B$400,0)),"  ")</f>
        <v xml:space="preserve">  </v>
      </c>
      <c r="AG92" s="113" t="str">
        <f>IFERROR(INDEX('V8'!C$300:C$400,MATCH("*"&amp;L92&amp;"*",'V8'!B$300:B$400,0)),"  ")</f>
        <v xml:space="preserve">  </v>
      </c>
      <c r="AH92" s="113" t="str">
        <f>IFERROR(INDEX('V9'!C$300:C$399,MATCH("*"&amp;L92&amp;"*",'V9'!B$300:B$399,0)),"  ")</f>
        <v xml:space="preserve">  </v>
      </c>
      <c r="AI92" s="113" t="str">
        <f>IFERROR(INDEX('V10'!C$300:C$399,MATCH("*"&amp;L92&amp;"*",'V10'!B$300:B$399,0)),"  ")</f>
        <v xml:space="preserve">  </v>
      </c>
      <c r="AJ92" s="114" t="str">
        <f t="shared" si="107"/>
        <v/>
      </c>
      <c r="AK92" s="404">
        <f t="shared" si="108"/>
        <v>0</v>
      </c>
      <c r="AL92" s="115" t="str">
        <f t="shared" si="109"/>
        <v/>
      </c>
      <c r="AM92" s="116" t="str">
        <f>IFERROR(INDEX(#REF!,MATCH("*"&amp;L92&amp;"*",#REF!,0)),"  ")</f>
        <v xml:space="preserve">  </v>
      </c>
      <c r="AN92" s="117">
        <f t="shared" si="110"/>
        <v>0</v>
      </c>
      <c r="AO92" s="118">
        <f t="shared" si="111"/>
        <v>0</v>
      </c>
      <c r="AP92" s="118">
        <f t="shared" si="112"/>
        <v>0</v>
      </c>
      <c r="AQ92" s="49"/>
      <c r="AR92" s="1"/>
      <c r="AS92" s="1"/>
      <c r="AT92" s="119">
        <f t="shared" si="113"/>
        <v>1E-4</v>
      </c>
      <c r="AU92" s="120">
        <f t="shared" si="114"/>
        <v>1E-4</v>
      </c>
      <c r="AV92" s="120">
        <f t="shared" si="115"/>
        <v>2.0000000000000001E-4</v>
      </c>
      <c r="AW92" s="120">
        <f t="shared" si="116"/>
        <v>2.9999999999999997E-4</v>
      </c>
      <c r="AX92" s="120">
        <f t="shared" si="117"/>
        <v>4.0000000000000002E-4</v>
      </c>
      <c r="AY92" s="120">
        <f t="shared" si="118"/>
        <v>5.0000000000000001E-4</v>
      </c>
      <c r="AZ92" s="120">
        <f t="shared" si="119"/>
        <v>5.9999999999999995E-4</v>
      </c>
      <c r="BA92" s="120">
        <f t="shared" si="120"/>
        <v>6.9999999999999999E-4</v>
      </c>
      <c r="BB92" s="120">
        <f t="shared" si="121"/>
        <v>8.0000000000000004E-4</v>
      </c>
      <c r="BC92" s="120">
        <f t="shared" si="122"/>
        <v>8.9999999999999998E-4</v>
      </c>
      <c r="BD92" s="120">
        <f t="shared" si="123"/>
        <v>1E-3</v>
      </c>
      <c r="BI92" s="1018" t="e">
        <f t="shared" si="124"/>
        <v>#VALUE!</v>
      </c>
      <c r="BJ92" s="1018" t="e">
        <f t="shared" si="125"/>
        <v>#VALUE!</v>
      </c>
      <c r="BK92" s="1018" t="e">
        <f t="shared" si="126"/>
        <v>#VALUE!</v>
      </c>
      <c r="BL92" s="1018" t="e">
        <f t="shared" si="127"/>
        <v>#VALUE!</v>
      </c>
      <c r="BM92" s="1018" t="e">
        <f t="shared" si="128"/>
        <v>#VALUE!</v>
      </c>
      <c r="BN92" s="1018" t="e">
        <f t="shared" si="129"/>
        <v>#VALUE!</v>
      </c>
      <c r="BO92" s="1018" t="e">
        <f t="shared" si="130"/>
        <v>#VALUE!</v>
      </c>
      <c r="BP92" s="1018" t="e">
        <f t="shared" si="131"/>
        <v>#VALUE!</v>
      </c>
      <c r="BQ92" s="1018" t="e">
        <f t="shared" si="132"/>
        <v>#VALUE!</v>
      </c>
      <c r="BR92" s="1018" t="e">
        <f t="shared" si="133"/>
        <v>#VALUE!</v>
      </c>
    </row>
    <row r="93" spans="1:70" ht="12.75" hidden="1" customHeight="1" x14ac:dyDescent="0.2">
      <c r="A93" s="647" t="str">
        <f t="shared" si="90"/>
        <v/>
      </c>
      <c r="B93" s="99">
        <f t="shared" si="91"/>
        <v>108</v>
      </c>
      <c r="C93" s="409" t="str">
        <f t="shared" si="92"/>
        <v/>
      </c>
      <c r="D93" s="367">
        <f t="shared" si="93"/>
        <v>108</v>
      </c>
      <c r="E93" s="100" t="str">
        <f t="shared" si="94"/>
        <v/>
      </c>
      <c r="F93" s="99">
        <f t="shared" si="95"/>
        <v>-892</v>
      </c>
      <c r="G93" s="101" t="str">
        <f t="shared" si="96"/>
        <v/>
      </c>
      <c r="H93" s="99">
        <f t="shared" si="97"/>
        <v>108</v>
      </c>
      <c r="I93" s="102" t="str">
        <f t="shared" si="98"/>
        <v/>
      </c>
      <c r="J93" s="103">
        <f t="shared" si="99"/>
        <v>-892</v>
      </c>
      <c r="K93" s="71" t="str">
        <f t="shared" si="100"/>
        <v/>
      </c>
      <c r="L93" s="376" t="s">
        <v>131</v>
      </c>
      <c r="M93" s="345" t="s">
        <v>110</v>
      </c>
      <c r="N93" s="346" t="str">
        <f>IF(M93="","m","")</f>
        <v/>
      </c>
      <c r="O93" s="347"/>
      <c r="P93" s="348" t="s">
        <v>317</v>
      </c>
      <c r="Q93" s="349" t="s">
        <v>88</v>
      </c>
      <c r="R93" s="110">
        <f>(IF(COUNT(Z93,AA93,AB93,AC93,AD93,AE93,AF93,AG93,AH93,AI93)&lt;10,SUM(Z93,AA93,AB93,AC93,AD93,AE93,AF93,AG93,AH93,AI93),SUM(LARGE((Z93,AA93,AB93,AC93,AD93,AE93,AF93,AG93,AH93,AI93),{1;2;3;4;5;6;7;8;9}))))</f>
        <v>0</v>
      </c>
      <c r="S93" s="111" t="str">
        <f>INDEX(ETAPP!B$1:B$32,MATCH(COUNTIF(BI93:BR93,1),ETAPP!A$1:A$32,0))&amp;INDEX(ETAPP!B$1:B$32,MATCH(COUNTIF(BI93:BR93,2),ETAPP!A$1:A$32,0))&amp;INDEX(ETAPP!B$1:B$32,MATCH(COUNTIF(BI93:BR93,3),ETAPP!A$1:A$32,0))&amp;INDEX(ETAPP!B$1:B$32,MATCH(COUNTIF(BI93:BR93,4),ETAPP!A$1:A$32,0))&amp;INDEX(ETAPP!B$1:B$32,MATCH(COUNTIF(BI93:BR93,5),ETAPP!A$1:A$32,0))&amp;INDEX(ETAPP!B$1:B$32,MATCH(COUNTIF(BI93:BR93,6),ETAPP!A$1:A$32,0))&amp;INDEX(ETAPP!B$1:B$32,MATCH(COUNTIF(BI93:BR93,7),ETAPP!A$1:A$32,0))&amp;INDEX(ETAPP!B$1:B$32,MATCH(COUNTIF(BI93:BR93,8),ETAPP!A$1:A$32,0))&amp;INDEX(ETAPP!B$1:B$32,MATCH(COUNTIF(BI93:BR93,9),ETAPP!A$1:A$32,0))&amp;INDEX(ETAPP!B$1:B$32,MATCH(COUNTIF(BI93:BR93,10),ETAPP!A$1:A$32,0))&amp;INDEX(ETAPP!B$1:B$32,MATCH(COUNTIF(BI93:BR93,11),ETAPP!A$1:A$32,0))&amp;INDEX(ETAPP!B$1:B$32,MATCH(COUNTIF(BI93:BR93,12),ETAPP!A$1:A$32,0))&amp;INDEX(ETAPP!B$1:B$32,MATCH(COUNTIF(BI93:BR93,13),ETAPP!A$1:A$32,0))&amp;INDEX(ETAPP!B$1:B$32,MATCH(COUNTIF(BI93:BR93,14),ETAPP!A$1:A$32,0))&amp;INDEX(ETAPP!B$1:B$32,MATCH(COUNTIF(BI93:BR93,15),ETAPP!A$1:A$32,0))&amp;INDEX(ETAPP!B$1:B$32,MATCH(COUNTIF(BI93:BR93,16),ETAPP!A$1:A$32,0))&amp;INDEX(ETAPP!B$1:B$32,MATCH(COUNTIF(BI93:BR93,17),ETAPP!A$1:A$32,0))&amp;INDEX(ETAPP!B$1:B$32,MATCH(COUNTIF(BI93:BR93,18),ETAPP!A$1:A$32,0))&amp;INDEX(ETAPP!B$1:B$32,MATCH(COUNTIF(BI93:BR93,19),ETAPP!A$1:A$32,0))&amp;INDEX(ETAPP!B$1:B$32,MATCH(COUNTIF(BI93:BR93,20),ETAPP!A$1:A$32,0))&amp;INDEX(ETAPP!B$1:B$32,MATCH(COUNTIF(BI93:BR93,21),ETAPP!A$1:A$32,0))</f>
        <v>000000000000000000000</v>
      </c>
      <c r="T93" s="111" t="str">
        <f t="shared" si="101"/>
        <v>000,0-000000000000000000000</v>
      </c>
      <c r="U93" s="111">
        <f t="shared" si="102"/>
        <v>108</v>
      </c>
      <c r="V93" s="111">
        <f t="shared" si="103"/>
        <v>43</v>
      </c>
      <c r="W93" s="111" t="str">
        <f t="shared" si="104"/>
        <v>000,0-000000000000000000000-043</v>
      </c>
      <c r="X93" s="111">
        <f t="shared" si="105"/>
        <v>87</v>
      </c>
      <c r="Y93" s="112">
        <f t="shared" si="106"/>
        <v>22</v>
      </c>
      <c r="Z93" s="113" t="str">
        <f>IFERROR(INDEX('V1'!C$300:C$400,MATCH("*"&amp;L93&amp;"*",'V1'!B$300:B$400,0)),"  ")</f>
        <v xml:space="preserve">  </v>
      </c>
      <c r="AA93" s="113" t="str">
        <f>IFERROR(INDEX('V2'!C$300:C$400,MATCH("*"&amp;L93&amp;"*",'V2'!B$300:B$400,0)),"  ")</f>
        <v xml:space="preserve">  </v>
      </c>
      <c r="AB93" s="113" t="str">
        <f>IFERROR(INDEX('V3'!C$300:C$400,MATCH("*"&amp;L93&amp;"*",'V3'!B$300:B$400,0)),"  ")</f>
        <v xml:space="preserve">  </v>
      </c>
      <c r="AC93" s="113" t="str">
        <f>IFERROR(INDEX('V4'!C$300:C$400,MATCH("*"&amp;L93&amp;"*",'V4'!B$300:B$400,0)),"  ")</f>
        <v xml:space="preserve">  </v>
      </c>
      <c r="AD93" s="113" t="str">
        <f>IFERROR(INDEX('V5'!C$300:C$400,MATCH("*"&amp;L93&amp;"*",'V5'!B$300:B$400,0)),"  ")</f>
        <v xml:space="preserve">  </v>
      </c>
      <c r="AE93" s="113" t="str">
        <f>IFERROR(INDEX('V6'!C$300:C$400,MATCH("*"&amp;L93&amp;"*",'V6'!B$300:B$400,0)),"  ")</f>
        <v xml:space="preserve">  </v>
      </c>
      <c r="AF93" s="113" t="str">
        <f>IFERROR(INDEX('V7'!C$300:C$400,MATCH("*"&amp;L93&amp;"*",'V7'!B$300:B$400,0)),"  ")</f>
        <v xml:space="preserve">  </v>
      </c>
      <c r="AG93" s="113" t="str">
        <f>IFERROR(INDEX('V8'!C$300:C$400,MATCH("*"&amp;L93&amp;"*",'V8'!B$300:B$400,0)),"  ")</f>
        <v xml:space="preserve">  </v>
      </c>
      <c r="AH93" s="113" t="str">
        <f>IFERROR(INDEX('V9'!C$300:C$399,MATCH("*"&amp;L93&amp;"*",'V9'!B$300:B$399,0)),"  ")</f>
        <v xml:space="preserve">  </v>
      </c>
      <c r="AI93" s="113" t="str">
        <f>IFERROR(INDEX('V10'!C$300:C$399,MATCH("*"&amp;L93&amp;"*",'V10'!B$300:B$399,0)),"  ")</f>
        <v xml:space="preserve">  </v>
      </c>
      <c r="AJ93" s="114" t="str">
        <f t="shared" si="107"/>
        <v/>
      </c>
      <c r="AK93" s="404">
        <f t="shared" si="108"/>
        <v>0</v>
      </c>
      <c r="AL93" s="115" t="str">
        <f t="shared" si="109"/>
        <v/>
      </c>
      <c r="AM93" s="116" t="str">
        <f>IFERROR(INDEX(#REF!,MATCH("*"&amp;L93&amp;"*",#REF!,0)),"  ")</f>
        <v xml:space="preserve">  </v>
      </c>
      <c r="AN93" s="117">
        <f t="shared" si="110"/>
        <v>0</v>
      </c>
      <c r="AO93" s="118">
        <f t="shared" si="111"/>
        <v>0</v>
      </c>
      <c r="AP93" s="118">
        <f t="shared" si="112"/>
        <v>0</v>
      </c>
      <c r="AQ93" s="49"/>
      <c r="AR93" s="1"/>
      <c r="AS93" s="1"/>
      <c r="AT93" s="119">
        <f t="shared" si="113"/>
        <v>1E-4</v>
      </c>
      <c r="AU93" s="120">
        <f t="shared" si="114"/>
        <v>1E-4</v>
      </c>
      <c r="AV93" s="120">
        <f t="shared" si="115"/>
        <v>2.0000000000000001E-4</v>
      </c>
      <c r="AW93" s="120">
        <f t="shared" si="116"/>
        <v>2.9999999999999997E-4</v>
      </c>
      <c r="AX93" s="120">
        <f t="shared" si="117"/>
        <v>4.0000000000000002E-4</v>
      </c>
      <c r="AY93" s="120">
        <f t="shared" si="118"/>
        <v>5.0000000000000001E-4</v>
      </c>
      <c r="AZ93" s="120">
        <f t="shared" si="119"/>
        <v>5.9999999999999995E-4</v>
      </c>
      <c r="BA93" s="120">
        <f t="shared" si="120"/>
        <v>6.9999999999999999E-4</v>
      </c>
      <c r="BB93" s="120">
        <f t="shared" si="121"/>
        <v>8.0000000000000004E-4</v>
      </c>
      <c r="BC93" s="120">
        <f t="shared" si="122"/>
        <v>8.9999999999999998E-4</v>
      </c>
      <c r="BD93" s="120">
        <f t="shared" si="123"/>
        <v>1E-3</v>
      </c>
      <c r="BI93" s="1018" t="e">
        <f t="shared" si="124"/>
        <v>#VALUE!</v>
      </c>
      <c r="BJ93" s="1018" t="e">
        <f t="shared" si="125"/>
        <v>#VALUE!</v>
      </c>
      <c r="BK93" s="1018" t="e">
        <f t="shared" si="126"/>
        <v>#VALUE!</v>
      </c>
      <c r="BL93" s="1018" t="e">
        <f t="shared" si="127"/>
        <v>#VALUE!</v>
      </c>
      <c r="BM93" s="1018" t="e">
        <f t="shared" si="128"/>
        <v>#VALUE!</v>
      </c>
      <c r="BN93" s="1018" t="e">
        <f t="shared" si="129"/>
        <v>#VALUE!</v>
      </c>
      <c r="BO93" s="1018" t="e">
        <f t="shared" si="130"/>
        <v>#VALUE!</v>
      </c>
      <c r="BP93" s="1018" t="e">
        <f t="shared" si="131"/>
        <v>#VALUE!</v>
      </c>
      <c r="BQ93" s="1018" t="e">
        <f t="shared" si="132"/>
        <v>#VALUE!</v>
      </c>
      <c r="BR93" s="1018" t="e">
        <f t="shared" si="133"/>
        <v>#VALUE!</v>
      </c>
    </row>
    <row r="94" spans="1:70" ht="12.75" hidden="1" customHeight="1" x14ac:dyDescent="0.2">
      <c r="A94" s="647" t="str">
        <f t="shared" si="90"/>
        <v/>
      </c>
      <c r="B94" s="99">
        <f t="shared" si="91"/>
        <v>-892</v>
      </c>
      <c r="C94" s="409" t="str">
        <f t="shared" si="92"/>
        <v/>
      </c>
      <c r="D94" s="367">
        <f t="shared" si="93"/>
        <v>-892</v>
      </c>
      <c r="E94" s="100" t="str">
        <f t="shared" si="94"/>
        <v/>
      </c>
      <c r="F94" s="99">
        <f t="shared" si="95"/>
        <v>108</v>
      </c>
      <c r="G94" s="101" t="str">
        <f t="shared" si="96"/>
        <v/>
      </c>
      <c r="H94" s="99">
        <f t="shared" si="97"/>
        <v>-892</v>
      </c>
      <c r="I94" s="102" t="str">
        <f t="shared" si="98"/>
        <v/>
      </c>
      <c r="J94" s="103">
        <f t="shared" si="99"/>
        <v>-892</v>
      </c>
      <c r="K94" s="71" t="str">
        <f t="shared" si="100"/>
        <v/>
      </c>
      <c r="L94" s="121" t="s">
        <v>141</v>
      </c>
      <c r="M94" s="105"/>
      <c r="N94" s="106" t="s">
        <v>105</v>
      </c>
      <c r="O94" s="107"/>
      <c r="P94" s="108"/>
      <c r="Q94" s="109" t="s">
        <v>346</v>
      </c>
      <c r="R94" s="110">
        <f>(IF(COUNT(Z94,AA94,AB94,AC94,AD94,AE94,AF94,AG94,AH94,AI94)&lt;10,SUM(Z94,AA94,AB94,AC94,AD94,AE94,AF94,AG94,AH94,AI94),SUM(LARGE((Z94,AA94,AB94,AC94,AD94,AE94,AF94,AG94,AH94,AI94),{1;2;3;4;5;6;7;8;9}))))</f>
        <v>0</v>
      </c>
      <c r="S94" s="111" t="str">
        <f>INDEX(ETAPP!B$1:B$32,MATCH(COUNTIF(BI94:BR94,1),ETAPP!A$1:A$32,0))&amp;INDEX(ETAPP!B$1:B$32,MATCH(COUNTIF(BI94:BR94,2),ETAPP!A$1:A$32,0))&amp;INDEX(ETAPP!B$1:B$32,MATCH(COUNTIF(BI94:BR94,3),ETAPP!A$1:A$32,0))&amp;INDEX(ETAPP!B$1:B$32,MATCH(COUNTIF(BI94:BR94,4),ETAPP!A$1:A$32,0))&amp;INDEX(ETAPP!B$1:B$32,MATCH(COUNTIF(BI94:BR94,5),ETAPP!A$1:A$32,0))&amp;INDEX(ETAPP!B$1:B$32,MATCH(COUNTIF(BI94:BR94,6),ETAPP!A$1:A$32,0))&amp;INDEX(ETAPP!B$1:B$32,MATCH(COUNTIF(BI94:BR94,7),ETAPP!A$1:A$32,0))&amp;INDEX(ETAPP!B$1:B$32,MATCH(COUNTIF(BI94:BR94,8),ETAPP!A$1:A$32,0))&amp;INDEX(ETAPP!B$1:B$32,MATCH(COUNTIF(BI94:BR94,9),ETAPP!A$1:A$32,0))&amp;INDEX(ETAPP!B$1:B$32,MATCH(COUNTIF(BI94:BR94,10),ETAPP!A$1:A$32,0))&amp;INDEX(ETAPP!B$1:B$32,MATCH(COUNTIF(BI94:BR94,11),ETAPP!A$1:A$32,0))&amp;INDEX(ETAPP!B$1:B$32,MATCH(COUNTIF(BI94:BR94,12),ETAPP!A$1:A$32,0))&amp;INDEX(ETAPP!B$1:B$32,MATCH(COUNTIF(BI94:BR94,13),ETAPP!A$1:A$32,0))&amp;INDEX(ETAPP!B$1:B$32,MATCH(COUNTIF(BI94:BR94,14),ETAPP!A$1:A$32,0))&amp;INDEX(ETAPP!B$1:B$32,MATCH(COUNTIF(BI94:BR94,15),ETAPP!A$1:A$32,0))&amp;INDEX(ETAPP!B$1:B$32,MATCH(COUNTIF(BI94:BR94,16),ETAPP!A$1:A$32,0))&amp;INDEX(ETAPP!B$1:B$32,MATCH(COUNTIF(BI94:BR94,17),ETAPP!A$1:A$32,0))&amp;INDEX(ETAPP!B$1:B$32,MATCH(COUNTIF(BI94:BR94,18),ETAPP!A$1:A$32,0))&amp;INDEX(ETAPP!B$1:B$32,MATCH(COUNTIF(BI94:BR94,19),ETAPP!A$1:A$32,0))&amp;INDEX(ETAPP!B$1:B$32,MATCH(COUNTIF(BI94:BR94,20),ETAPP!A$1:A$32,0))&amp;INDEX(ETAPP!B$1:B$32,MATCH(COUNTIF(BI94:BR94,21),ETAPP!A$1:A$32,0))</f>
        <v>000000000000000000000</v>
      </c>
      <c r="T94" s="111" t="str">
        <f t="shared" si="101"/>
        <v>000,0-000000000000000000000</v>
      </c>
      <c r="U94" s="111">
        <f t="shared" si="102"/>
        <v>108</v>
      </c>
      <c r="V94" s="111">
        <f t="shared" si="103"/>
        <v>42</v>
      </c>
      <c r="W94" s="111" t="str">
        <f t="shared" si="104"/>
        <v>000,0-000000000000000000000-042</v>
      </c>
      <c r="X94" s="111">
        <f t="shared" si="105"/>
        <v>88</v>
      </c>
      <c r="Y94" s="112">
        <f t="shared" si="106"/>
        <v>21</v>
      </c>
      <c r="Z94" s="113" t="str">
        <f>IFERROR(INDEX('V1'!C$300:C$400,MATCH("*"&amp;L94&amp;"*",'V1'!B$300:B$400,0)),"  ")</f>
        <v xml:space="preserve">  </v>
      </c>
      <c r="AA94" s="113" t="str">
        <f>IFERROR(INDEX('V2'!C$300:C$400,MATCH("*"&amp;L94&amp;"*",'V2'!B$300:B$400,0)),"  ")</f>
        <v xml:space="preserve">  </v>
      </c>
      <c r="AB94" s="113" t="str">
        <f>IFERROR(INDEX('V3'!C$300:C$400,MATCH("*"&amp;L94&amp;"*",'V3'!B$300:B$400,0)),"  ")</f>
        <v xml:space="preserve">  </v>
      </c>
      <c r="AC94" s="113" t="str">
        <f>IFERROR(INDEX('V4'!C$300:C$400,MATCH("*"&amp;L94&amp;"*",'V4'!B$300:B$400,0)),"  ")</f>
        <v xml:space="preserve">  </v>
      </c>
      <c r="AD94" s="113" t="str">
        <f>IFERROR(INDEX('V5'!C$300:C$400,MATCH("*"&amp;L94&amp;"*",'V5'!B$300:B$400,0)),"  ")</f>
        <v xml:space="preserve">  </v>
      </c>
      <c r="AE94" s="113" t="str">
        <f>IFERROR(INDEX('V6'!C$300:C$400,MATCH("*"&amp;L94&amp;"*",'V6'!B$300:B$400,0)),"  ")</f>
        <v xml:space="preserve">  </v>
      </c>
      <c r="AF94" s="113" t="str">
        <f>IFERROR(INDEX('V7'!C$300:C$400,MATCH("*"&amp;L94&amp;"*",'V7'!B$300:B$400,0)),"  ")</f>
        <v xml:space="preserve">  </v>
      </c>
      <c r="AG94" s="113" t="str">
        <f>IFERROR(INDEX('V8'!C$300:C$400,MATCH("*"&amp;L94&amp;"*",'V8'!B$300:B$400,0)),"  ")</f>
        <v xml:space="preserve">  </v>
      </c>
      <c r="AH94" s="113" t="str">
        <f>IFERROR(INDEX('V9'!C$300:C$399,MATCH("*"&amp;L94&amp;"*",'V9'!B$300:B$399,0)),"  ")</f>
        <v xml:space="preserve">  </v>
      </c>
      <c r="AI94" s="113" t="str">
        <f>IFERROR(INDEX('V10'!C$300:C$399,MATCH("*"&amp;L94&amp;"*",'V10'!B$300:B$399,0)),"  ")</f>
        <v xml:space="preserve">  </v>
      </c>
      <c r="AJ94" s="114" t="str">
        <f t="shared" si="107"/>
        <v/>
      </c>
      <c r="AK94" s="404">
        <f t="shared" si="108"/>
        <v>0</v>
      </c>
      <c r="AL94" s="115" t="str">
        <f t="shared" si="109"/>
        <v/>
      </c>
      <c r="AM94" s="116" t="str">
        <f>IFERROR(INDEX(#REF!,MATCH("*"&amp;L94&amp;"*",#REF!,0)),"  ")</f>
        <v xml:space="preserve">  </v>
      </c>
      <c r="AN94" s="117">
        <f t="shared" si="110"/>
        <v>0</v>
      </c>
      <c r="AO94" s="118">
        <f t="shared" si="111"/>
        <v>0</v>
      </c>
      <c r="AP94" s="118">
        <f t="shared" si="112"/>
        <v>0</v>
      </c>
      <c r="AQ94" s="49"/>
      <c r="AR94" s="1"/>
      <c r="AS94" s="1"/>
      <c r="AT94" s="119">
        <f t="shared" si="113"/>
        <v>1E-4</v>
      </c>
      <c r="AU94" s="120">
        <f t="shared" si="114"/>
        <v>1E-4</v>
      </c>
      <c r="AV94" s="120">
        <f t="shared" si="115"/>
        <v>2.0000000000000001E-4</v>
      </c>
      <c r="AW94" s="120">
        <f t="shared" si="116"/>
        <v>2.9999999999999997E-4</v>
      </c>
      <c r="AX94" s="120">
        <f t="shared" si="117"/>
        <v>4.0000000000000002E-4</v>
      </c>
      <c r="AY94" s="120">
        <f t="shared" si="118"/>
        <v>5.0000000000000001E-4</v>
      </c>
      <c r="AZ94" s="120">
        <f t="shared" si="119"/>
        <v>5.9999999999999995E-4</v>
      </c>
      <c r="BA94" s="120">
        <f t="shared" si="120"/>
        <v>6.9999999999999999E-4</v>
      </c>
      <c r="BB94" s="120">
        <f t="shared" si="121"/>
        <v>8.0000000000000004E-4</v>
      </c>
      <c r="BC94" s="120">
        <f t="shared" si="122"/>
        <v>8.9999999999999998E-4</v>
      </c>
      <c r="BD94" s="120">
        <f t="shared" si="123"/>
        <v>1E-3</v>
      </c>
      <c r="BI94" s="1018" t="e">
        <f t="shared" si="124"/>
        <v>#VALUE!</v>
      </c>
      <c r="BJ94" s="1018" t="e">
        <f t="shared" si="125"/>
        <v>#VALUE!</v>
      </c>
      <c r="BK94" s="1018" t="e">
        <f t="shared" si="126"/>
        <v>#VALUE!</v>
      </c>
      <c r="BL94" s="1018" t="e">
        <f t="shared" si="127"/>
        <v>#VALUE!</v>
      </c>
      <c r="BM94" s="1018" t="e">
        <f t="shared" si="128"/>
        <v>#VALUE!</v>
      </c>
      <c r="BN94" s="1018" t="e">
        <f t="shared" si="129"/>
        <v>#VALUE!</v>
      </c>
      <c r="BO94" s="1018" t="e">
        <f t="shared" si="130"/>
        <v>#VALUE!</v>
      </c>
      <c r="BP94" s="1018" t="e">
        <f t="shared" si="131"/>
        <v>#VALUE!</v>
      </c>
      <c r="BQ94" s="1018" t="e">
        <f t="shared" si="132"/>
        <v>#VALUE!</v>
      </c>
      <c r="BR94" s="1018" t="e">
        <f t="shared" si="133"/>
        <v>#VALUE!</v>
      </c>
    </row>
    <row r="95" spans="1:70" ht="12.75" hidden="1" customHeight="1" x14ac:dyDescent="0.2">
      <c r="A95" s="647" t="str">
        <f t="shared" si="90"/>
        <v/>
      </c>
      <c r="B95" s="99">
        <f t="shared" si="91"/>
        <v>-892</v>
      </c>
      <c r="C95" s="409" t="str">
        <f t="shared" si="92"/>
        <v/>
      </c>
      <c r="D95" s="367">
        <f t="shared" si="93"/>
        <v>-892</v>
      </c>
      <c r="E95" s="100" t="str">
        <f t="shared" si="94"/>
        <v/>
      </c>
      <c r="F95" s="99">
        <f t="shared" si="95"/>
        <v>-892</v>
      </c>
      <c r="G95" s="101" t="str">
        <f t="shared" si="96"/>
        <v/>
      </c>
      <c r="H95" s="99">
        <f t="shared" si="97"/>
        <v>108</v>
      </c>
      <c r="I95" s="102" t="str">
        <f t="shared" si="98"/>
        <v/>
      </c>
      <c r="J95" s="103">
        <f t="shared" si="99"/>
        <v>-892</v>
      </c>
      <c r="K95" s="71" t="str">
        <f t="shared" si="100"/>
        <v/>
      </c>
      <c r="L95" s="898" t="s">
        <v>164</v>
      </c>
      <c r="M95" s="105" t="s">
        <v>110</v>
      </c>
      <c r="N95" s="106" t="str">
        <f>IF(M95="","m","")</f>
        <v/>
      </c>
      <c r="O95" s="107"/>
      <c r="P95" s="108"/>
      <c r="Q95" s="109"/>
      <c r="R95" s="110">
        <f>(IF(COUNT(Z95,AA95,AB95,AC95,AD95,AE95,AF95,AG95,AH95,AI95)&lt;10,SUM(Z95,AA95,AB95,AC95,AD95,AE95,AF95,AG95,AH95,AI95),SUM(LARGE((Z95,AA95,AB95,AC95,AD95,AE95,AF95,AG95,AH95,AI95),{1;2;3;4;5;6;7;8;9}))))</f>
        <v>0</v>
      </c>
      <c r="S95" s="111" t="str">
        <f>INDEX(ETAPP!B$1:B$32,MATCH(COUNTIF(BI95:BR95,1),ETAPP!A$1:A$32,0))&amp;INDEX(ETAPP!B$1:B$32,MATCH(COUNTIF(BI95:BR95,2),ETAPP!A$1:A$32,0))&amp;INDEX(ETAPP!B$1:B$32,MATCH(COUNTIF(BI95:BR95,3),ETAPP!A$1:A$32,0))&amp;INDEX(ETAPP!B$1:B$32,MATCH(COUNTIF(BI95:BR95,4),ETAPP!A$1:A$32,0))&amp;INDEX(ETAPP!B$1:B$32,MATCH(COUNTIF(BI95:BR95,5),ETAPP!A$1:A$32,0))&amp;INDEX(ETAPP!B$1:B$32,MATCH(COUNTIF(BI95:BR95,6),ETAPP!A$1:A$32,0))&amp;INDEX(ETAPP!B$1:B$32,MATCH(COUNTIF(BI95:BR95,7),ETAPP!A$1:A$32,0))&amp;INDEX(ETAPP!B$1:B$32,MATCH(COUNTIF(BI95:BR95,8),ETAPP!A$1:A$32,0))&amp;INDEX(ETAPP!B$1:B$32,MATCH(COUNTIF(BI95:BR95,9),ETAPP!A$1:A$32,0))&amp;INDEX(ETAPP!B$1:B$32,MATCH(COUNTIF(BI95:BR95,10),ETAPP!A$1:A$32,0))&amp;INDEX(ETAPP!B$1:B$32,MATCH(COUNTIF(BI95:BR95,11),ETAPP!A$1:A$32,0))&amp;INDEX(ETAPP!B$1:B$32,MATCH(COUNTIF(BI95:BR95,12),ETAPP!A$1:A$32,0))&amp;INDEX(ETAPP!B$1:B$32,MATCH(COUNTIF(BI95:BR95,13),ETAPP!A$1:A$32,0))&amp;INDEX(ETAPP!B$1:B$32,MATCH(COUNTIF(BI95:BR95,14),ETAPP!A$1:A$32,0))&amp;INDEX(ETAPP!B$1:B$32,MATCH(COUNTIF(BI95:BR95,15),ETAPP!A$1:A$32,0))&amp;INDEX(ETAPP!B$1:B$32,MATCH(COUNTIF(BI95:BR95,16),ETAPP!A$1:A$32,0))&amp;INDEX(ETAPP!B$1:B$32,MATCH(COUNTIF(BI95:BR95,17),ETAPP!A$1:A$32,0))&amp;INDEX(ETAPP!B$1:B$32,MATCH(COUNTIF(BI95:BR95,18),ETAPP!A$1:A$32,0))&amp;INDEX(ETAPP!B$1:B$32,MATCH(COUNTIF(BI95:BR95,19),ETAPP!A$1:A$32,0))&amp;INDEX(ETAPP!B$1:B$32,MATCH(COUNTIF(BI95:BR95,20),ETAPP!A$1:A$32,0))&amp;INDEX(ETAPP!B$1:B$32,MATCH(COUNTIF(BI95:BR95,21),ETAPP!A$1:A$32,0))</f>
        <v>000000000000000000000</v>
      </c>
      <c r="T95" s="111" t="str">
        <f t="shared" si="101"/>
        <v>000,0-000000000000000000000</v>
      </c>
      <c r="U95" s="111">
        <f t="shared" si="102"/>
        <v>108</v>
      </c>
      <c r="V95" s="111">
        <f t="shared" si="103"/>
        <v>41</v>
      </c>
      <c r="W95" s="111" t="str">
        <f t="shared" si="104"/>
        <v>000,0-000000000000000000000-041</v>
      </c>
      <c r="X95" s="111">
        <f t="shared" si="105"/>
        <v>89</v>
      </c>
      <c r="Y95" s="112">
        <f t="shared" si="106"/>
        <v>20</v>
      </c>
      <c r="Z95" s="113" t="str">
        <f>IFERROR(INDEX('V1'!C$300:C$400,MATCH("*"&amp;L95&amp;"*",'V1'!B$300:B$400,0)),"  ")</f>
        <v xml:space="preserve">  </v>
      </c>
      <c r="AA95" s="113" t="str">
        <f>IFERROR(INDEX('V2'!C$300:C$400,MATCH("*"&amp;L95&amp;"*",'V2'!B$300:B$400,0)),"  ")</f>
        <v xml:space="preserve">  </v>
      </c>
      <c r="AB95" s="113" t="str">
        <f>IFERROR(INDEX('V3'!C$300:C$400,MATCH("*"&amp;L95&amp;"*",'V3'!B$300:B$400,0)),"  ")</f>
        <v xml:space="preserve">  </v>
      </c>
      <c r="AC95" s="113" t="str">
        <f>IFERROR(INDEX('V4'!C$300:C$400,MATCH("*"&amp;L95&amp;"*",'V4'!B$300:B$400,0)),"  ")</f>
        <v xml:space="preserve">  </v>
      </c>
      <c r="AD95" s="113" t="str">
        <f>IFERROR(INDEX('V5'!C$300:C$400,MATCH("*"&amp;L95&amp;"*",'V5'!B$300:B$400,0)),"  ")</f>
        <v xml:space="preserve">  </v>
      </c>
      <c r="AE95" s="113" t="str">
        <f>IFERROR(INDEX('V6'!C$300:C$400,MATCH("*"&amp;L95&amp;"*",'V6'!B$300:B$400,0)),"  ")</f>
        <v xml:space="preserve">  </v>
      </c>
      <c r="AF95" s="113" t="str">
        <f>IFERROR(INDEX('V7'!C$300:C$400,MATCH("*"&amp;L95&amp;"*",'V7'!B$300:B$400,0)),"  ")</f>
        <v xml:space="preserve">  </v>
      </c>
      <c r="AG95" s="113" t="str">
        <f>IFERROR(INDEX('V8'!C$300:C$400,MATCH("*"&amp;L95&amp;"*",'V8'!B$300:B$400,0)),"  ")</f>
        <v xml:space="preserve">  </v>
      </c>
      <c r="AH95" s="113" t="str">
        <f>IFERROR(INDEX('V9'!C$300:C$399,MATCH("*"&amp;L95&amp;"*",'V9'!B$300:B$399,0)),"  ")</f>
        <v xml:space="preserve">  </v>
      </c>
      <c r="AI95" s="113" t="str">
        <f>IFERROR(INDEX('V10'!C$300:C$399,MATCH("*"&amp;L95&amp;"*",'V10'!B$300:B$399,0)),"  ")</f>
        <v xml:space="preserve">  </v>
      </c>
      <c r="AJ95" s="114" t="str">
        <f t="shared" si="107"/>
        <v/>
      </c>
      <c r="AK95" s="404">
        <f t="shared" si="108"/>
        <v>0</v>
      </c>
      <c r="AL95" s="115" t="str">
        <f t="shared" si="109"/>
        <v/>
      </c>
      <c r="AM95" s="116" t="str">
        <f>IFERROR(INDEX(#REF!,MATCH("*"&amp;L95&amp;"*",#REF!,0)),"  ")</f>
        <v xml:space="preserve">  </v>
      </c>
      <c r="AN95" s="117">
        <f t="shared" si="110"/>
        <v>0</v>
      </c>
      <c r="AO95" s="118">
        <f t="shared" si="111"/>
        <v>0</v>
      </c>
      <c r="AP95" s="118">
        <f t="shared" si="112"/>
        <v>0</v>
      </c>
      <c r="AQ95" s="49"/>
      <c r="AR95" s="1018"/>
      <c r="AS95" s="1018"/>
      <c r="AT95" s="119">
        <f t="shared" si="113"/>
        <v>1E-4</v>
      </c>
      <c r="AU95" s="120">
        <f t="shared" si="114"/>
        <v>1E-4</v>
      </c>
      <c r="AV95" s="120">
        <f t="shared" si="115"/>
        <v>2.0000000000000001E-4</v>
      </c>
      <c r="AW95" s="120">
        <f t="shared" si="116"/>
        <v>2.9999999999999997E-4</v>
      </c>
      <c r="AX95" s="120">
        <f t="shared" si="117"/>
        <v>4.0000000000000002E-4</v>
      </c>
      <c r="AY95" s="120">
        <f t="shared" si="118"/>
        <v>5.0000000000000001E-4</v>
      </c>
      <c r="AZ95" s="120">
        <f t="shared" si="119"/>
        <v>5.9999999999999995E-4</v>
      </c>
      <c r="BA95" s="120">
        <f t="shared" si="120"/>
        <v>6.9999999999999999E-4</v>
      </c>
      <c r="BB95" s="120">
        <f t="shared" si="121"/>
        <v>8.0000000000000004E-4</v>
      </c>
      <c r="BC95" s="120">
        <f t="shared" si="122"/>
        <v>8.9999999999999998E-4</v>
      </c>
      <c r="BD95" s="120">
        <f t="shared" si="123"/>
        <v>1E-3</v>
      </c>
      <c r="BE95" s="1018"/>
      <c r="BI95" s="1018" t="e">
        <f t="shared" si="124"/>
        <v>#VALUE!</v>
      </c>
      <c r="BJ95" s="1018" t="e">
        <f t="shared" si="125"/>
        <v>#VALUE!</v>
      </c>
      <c r="BK95" s="1018" t="e">
        <f t="shared" si="126"/>
        <v>#VALUE!</v>
      </c>
      <c r="BL95" s="1018" t="e">
        <f t="shared" si="127"/>
        <v>#VALUE!</v>
      </c>
      <c r="BM95" s="1018" t="e">
        <f t="shared" si="128"/>
        <v>#VALUE!</v>
      </c>
      <c r="BN95" s="1018" t="e">
        <f t="shared" si="129"/>
        <v>#VALUE!</v>
      </c>
      <c r="BO95" s="1018" t="e">
        <f t="shared" si="130"/>
        <v>#VALUE!</v>
      </c>
      <c r="BP95" s="1018" t="e">
        <f t="shared" si="131"/>
        <v>#VALUE!</v>
      </c>
      <c r="BQ95" s="1018" t="e">
        <f t="shared" si="132"/>
        <v>#VALUE!</v>
      </c>
      <c r="BR95" s="1018" t="e">
        <f t="shared" si="133"/>
        <v>#VALUE!</v>
      </c>
    </row>
    <row r="96" spans="1:70" ht="12.75" hidden="1" customHeight="1" x14ac:dyDescent="0.2">
      <c r="A96" s="647" t="str">
        <f t="shared" si="90"/>
        <v/>
      </c>
      <c r="B96" s="99">
        <f t="shared" si="91"/>
        <v>108</v>
      </c>
      <c r="C96" s="409" t="str">
        <f t="shared" si="92"/>
        <v/>
      </c>
      <c r="D96" s="367">
        <f t="shared" si="93"/>
        <v>-892</v>
      </c>
      <c r="E96" s="100" t="str">
        <f t="shared" si="94"/>
        <v/>
      </c>
      <c r="F96" s="99">
        <f t="shared" si="95"/>
        <v>-892</v>
      </c>
      <c r="G96" s="101" t="str">
        <f t="shared" si="96"/>
        <v/>
      </c>
      <c r="H96" s="99">
        <f t="shared" si="97"/>
        <v>108</v>
      </c>
      <c r="I96" s="102" t="str">
        <f t="shared" si="98"/>
        <v/>
      </c>
      <c r="J96" s="103">
        <f t="shared" si="99"/>
        <v>-892</v>
      </c>
      <c r="K96" s="71" t="str">
        <f t="shared" si="100"/>
        <v/>
      </c>
      <c r="L96" s="121" t="s">
        <v>137</v>
      </c>
      <c r="M96" s="105" t="s">
        <v>110</v>
      </c>
      <c r="N96" s="106"/>
      <c r="O96" s="107"/>
      <c r="P96" s="108"/>
      <c r="Q96" s="109" t="s">
        <v>88</v>
      </c>
      <c r="R96" s="110">
        <f>(IF(COUNT(Z96,AA96,AB96,AC96,AD96,AE96,AF96,AG96,AH96,AI96)&lt;10,SUM(Z96,AA96,AB96,AC96,AD96,AE96,AF96,AG96,AH96,AI96),SUM(LARGE((Z96,AA96,AB96,AC96,AD96,AE96,AF96,AG96,AH96,AI96),{1;2;3;4;5;6;7;8;9}))))</f>
        <v>0</v>
      </c>
      <c r="S96" s="111" t="str">
        <f>INDEX(ETAPP!B$1:B$32,MATCH(COUNTIF(BI96:BR96,1),ETAPP!A$1:A$32,0))&amp;INDEX(ETAPP!B$1:B$32,MATCH(COUNTIF(BI96:BR96,2),ETAPP!A$1:A$32,0))&amp;INDEX(ETAPP!B$1:B$32,MATCH(COUNTIF(BI96:BR96,3),ETAPP!A$1:A$32,0))&amp;INDEX(ETAPP!B$1:B$32,MATCH(COUNTIF(BI96:BR96,4),ETAPP!A$1:A$32,0))&amp;INDEX(ETAPP!B$1:B$32,MATCH(COUNTIF(BI96:BR96,5),ETAPP!A$1:A$32,0))&amp;INDEX(ETAPP!B$1:B$32,MATCH(COUNTIF(BI96:BR96,6),ETAPP!A$1:A$32,0))&amp;INDEX(ETAPP!B$1:B$32,MATCH(COUNTIF(BI96:BR96,7),ETAPP!A$1:A$32,0))&amp;INDEX(ETAPP!B$1:B$32,MATCH(COUNTIF(BI96:BR96,8),ETAPP!A$1:A$32,0))&amp;INDEX(ETAPP!B$1:B$32,MATCH(COUNTIF(BI96:BR96,9),ETAPP!A$1:A$32,0))&amp;INDEX(ETAPP!B$1:B$32,MATCH(COUNTIF(BI96:BR96,10),ETAPP!A$1:A$32,0))&amp;INDEX(ETAPP!B$1:B$32,MATCH(COUNTIF(BI96:BR96,11),ETAPP!A$1:A$32,0))&amp;INDEX(ETAPP!B$1:B$32,MATCH(COUNTIF(BI96:BR96,12),ETAPP!A$1:A$32,0))&amp;INDEX(ETAPP!B$1:B$32,MATCH(COUNTIF(BI96:BR96,13),ETAPP!A$1:A$32,0))&amp;INDEX(ETAPP!B$1:B$32,MATCH(COUNTIF(BI96:BR96,14),ETAPP!A$1:A$32,0))&amp;INDEX(ETAPP!B$1:B$32,MATCH(COUNTIF(BI96:BR96,15),ETAPP!A$1:A$32,0))&amp;INDEX(ETAPP!B$1:B$32,MATCH(COUNTIF(BI96:BR96,16),ETAPP!A$1:A$32,0))&amp;INDEX(ETAPP!B$1:B$32,MATCH(COUNTIF(BI96:BR96,17),ETAPP!A$1:A$32,0))&amp;INDEX(ETAPP!B$1:B$32,MATCH(COUNTIF(BI96:BR96,18),ETAPP!A$1:A$32,0))&amp;INDEX(ETAPP!B$1:B$32,MATCH(COUNTIF(BI96:BR96,19),ETAPP!A$1:A$32,0))&amp;INDEX(ETAPP!B$1:B$32,MATCH(COUNTIF(BI96:BR96,20),ETAPP!A$1:A$32,0))&amp;INDEX(ETAPP!B$1:B$32,MATCH(COUNTIF(BI96:BR96,21),ETAPP!A$1:A$32,0))</f>
        <v>000000000000000000000</v>
      </c>
      <c r="T96" s="111" t="str">
        <f t="shared" si="101"/>
        <v>000,0-000000000000000000000</v>
      </c>
      <c r="U96" s="111">
        <f t="shared" si="102"/>
        <v>108</v>
      </c>
      <c r="V96" s="111">
        <f t="shared" si="103"/>
        <v>40</v>
      </c>
      <c r="W96" s="111" t="str">
        <f t="shared" si="104"/>
        <v>000,0-000000000000000000000-040</v>
      </c>
      <c r="X96" s="111">
        <f t="shared" si="105"/>
        <v>90</v>
      </c>
      <c r="Y96" s="112">
        <f t="shared" si="106"/>
        <v>19</v>
      </c>
      <c r="Z96" s="113" t="str">
        <f>IFERROR(INDEX('V1'!C$300:C$400,MATCH("*"&amp;L96&amp;"*",'V1'!B$300:B$400,0)),"  ")</f>
        <v xml:space="preserve">  </v>
      </c>
      <c r="AA96" s="113" t="str">
        <f>IFERROR(INDEX('V2'!C$300:C$400,MATCH("*"&amp;L96&amp;"*",'V2'!B$300:B$400,0)),"  ")</f>
        <v xml:space="preserve">  </v>
      </c>
      <c r="AB96" s="113" t="str">
        <f>IFERROR(INDEX('V3'!C$300:C$400,MATCH("*"&amp;L96&amp;"*",'V3'!B$300:B$400,0)),"  ")</f>
        <v xml:space="preserve">  </v>
      </c>
      <c r="AC96" s="113" t="str">
        <f>IFERROR(INDEX('V4'!C$300:C$400,MATCH("*"&amp;L96&amp;"*",'V4'!B$300:B$400,0)),"  ")</f>
        <v xml:space="preserve">  </v>
      </c>
      <c r="AD96" s="113" t="str">
        <f>IFERROR(INDEX('V5'!C$300:C$400,MATCH("*"&amp;L96&amp;"*",'V5'!B$300:B$400,0)),"  ")</f>
        <v xml:space="preserve">  </v>
      </c>
      <c r="AE96" s="113" t="str">
        <f>IFERROR(INDEX('V6'!C$300:C$400,MATCH("*"&amp;L96&amp;"*",'V6'!B$300:B$400,0)),"  ")</f>
        <v xml:space="preserve">  </v>
      </c>
      <c r="AF96" s="113" t="str">
        <f>IFERROR(INDEX('V7'!C$300:C$400,MATCH("*"&amp;L96&amp;"*",'V7'!B$300:B$400,0)),"  ")</f>
        <v xml:space="preserve">  </v>
      </c>
      <c r="AG96" s="113" t="str">
        <f>IFERROR(INDEX('V8'!C$300:C$400,MATCH("*"&amp;L96&amp;"*",'V8'!B$300:B$400,0)),"  ")</f>
        <v xml:space="preserve">  </v>
      </c>
      <c r="AH96" s="113" t="str">
        <f>IFERROR(INDEX('V9'!C$300:C$399,MATCH("*"&amp;L96&amp;"*",'V9'!B$300:B$399,0)),"  ")</f>
        <v xml:space="preserve">  </v>
      </c>
      <c r="AI96" s="113" t="str">
        <f>IFERROR(INDEX('V10'!C$300:C$399,MATCH("*"&amp;L96&amp;"*",'V10'!B$300:B$399,0)),"  ")</f>
        <v xml:space="preserve">  </v>
      </c>
      <c r="AJ96" s="114" t="str">
        <f t="shared" si="107"/>
        <v/>
      </c>
      <c r="AK96" s="404">
        <f t="shared" si="108"/>
        <v>0</v>
      </c>
      <c r="AL96" s="115" t="str">
        <f t="shared" si="109"/>
        <v/>
      </c>
      <c r="AM96" s="116" t="str">
        <f>IFERROR(INDEX(#REF!,MATCH("*"&amp;L96&amp;"*",#REF!,0)),"  ")</f>
        <v xml:space="preserve">  </v>
      </c>
      <c r="AN96" s="117">
        <f t="shared" si="110"/>
        <v>0</v>
      </c>
      <c r="AO96" s="118">
        <f t="shared" si="111"/>
        <v>0</v>
      </c>
      <c r="AP96" s="118">
        <f t="shared" si="112"/>
        <v>0</v>
      </c>
      <c r="AQ96" s="122"/>
      <c r="AR96" s="122"/>
      <c r="AS96" s="122"/>
      <c r="AT96" s="119">
        <f t="shared" si="113"/>
        <v>1E-4</v>
      </c>
      <c r="AU96" s="120">
        <f t="shared" si="114"/>
        <v>1E-4</v>
      </c>
      <c r="AV96" s="120">
        <f t="shared" si="115"/>
        <v>2.0000000000000001E-4</v>
      </c>
      <c r="AW96" s="120">
        <f t="shared" si="116"/>
        <v>2.9999999999999997E-4</v>
      </c>
      <c r="AX96" s="120">
        <f t="shared" si="117"/>
        <v>4.0000000000000002E-4</v>
      </c>
      <c r="AY96" s="120">
        <f t="shared" si="118"/>
        <v>5.0000000000000001E-4</v>
      </c>
      <c r="AZ96" s="120">
        <f t="shared" si="119"/>
        <v>5.9999999999999995E-4</v>
      </c>
      <c r="BA96" s="120">
        <f t="shared" si="120"/>
        <v>6.9999999999999999E-4</v>
      </c>
      <c r="BB96" s="120">
        <f t="shared" si="121"/>
        <v>8.0000000000000004E-4</v>
      </c>
      <c r="BC96" s="120">
        <f t="shared" si="122"/>
        <v>8.9999999999999998E-4</v>
      </c>
      <c r="BD96" s="120">
        <f t="shared" si="123"/>
        <v>1E-3</v>
      </c>
      <c r="BE96" s="122"/>
      <c r="BF96" s="122"/>
      <c r="BG96" s="122"/>
      <c r="BH96" s="122"/>
      <c r="BI96" s="1018" t="e">
        <f t="shared" si="124"/>
        <v>#VALUE!</v>
      </c>
      <c r="BJ96" s="1018" t="e">
        <f t="shared" si="125"/>
        <v>#VALUE!</v>
      </c>
      <c r="BK96" s="1018" t="e">
        <f t="shared" si="126"/>
        <v>#VALUE!</v>
      </c>
      <c r="BL96" s="1018" t="e">
        <f t="shared" si="127"/>
        <v>#VALUE!</v>
      </c>
      <c r="BM96" s="1018" t="e">
        <f t="shared" si="128"/>
        <v>#VALUE!</v>
      </c>
      <c r="BN96" s="1018" t="e">
        <f t="shared" si="129"/>
        <v>#VALUE!</v>
      </c>
      <c r="BO96" s="1018" t="e">
        <f t="shared" si="130"/>
        <v>#VALUE!</v>
      </c>
      <c r="BP96" s="1018" t="e">
        <f t="shared" si="131"/>
        <v>#VALUE!</v>
      </c>
      <c r="BQ96" s="1018" t="e">
        <f t="shared" si="132"/>
        <v>#VALUE!</v>
      </c>
      <c r="BR96" s="1018" t="e">
        <f t="shared" si="133"/>
        <v>#VALUE!</v>
      </c>
    </row>
    <row r="97" spans="1:70" ht="12.75" hidden="1" customHeight="1" x14ac:dyDescent="0.2">
      <c r="A97" s="647" t="str">
        <f t="shared" si="90"/>
        <v/>
      </c>
      <c r="B97" s="99">
        <f t="shared" si="91"/>
        <v>-892</v>
      </c>
      <c r="C97" s="409" t="str">
        <f t="shared" si="92"/>
        <v/>
      </c>
      <c r="D97" s="367">
        <f t="shared" si="93"/>
        <v>-892</v>
      </c>
      <c r="E97" s="100" t="str">
        <f t="shared" si="94"/>
        <v/>
      </c>
      <c r="F97" s="99">
        <f t="shared" si="95"/>
        <v>108</v>
      </c>
      <c r="G97" s="101" t="str">
        <f t="shared" si="96"/>
        <v/>
      </c>
      <c r="H97" s="99">
        <f t="shared" si="97"/>
        <v>-892</v>
      </c>
      <c r="I97" s="102" t="str">
        <f t="shared" si="98"/>
        <v/>
      </c>
      <c r="J97" s="103">
        <f t="shared" si="99"/>
        <v>108</v>
      </c>
      <c r="K97" s="71"/>
      <c r="L97" s="1023" t="s">
        <v>331</v>
      </c>
      <c r="M97" s="446"/>
      <c r="N97" s="447" t="s">
        <v>105</v>
      </c>
      <c r="O97" s="453" t="s">
        <v>117</v>
      </c>
      <c r="P97" s="448"/>
      <c r="Q97" s="449"/>
      <c r="R97" s="110">
        <f>(IF(COUNT(Z97,AA97,AB97,AC97,AD97,AE97,AF97,AG97,AH97,AI97)&lt;10,SUM(Z97,AA97,AB97,AC97,AD97,AE97,AF97,AG97,AH97,AI97),SUM(LARGE((Z97,AA97,AB97,AC97,AD97,AE97,AF97,AG97,AH97,AI97),{1;2;3;4;5;6;7;8;9}))))</f>
        <v>0</v>
      </c>
      <c r="S97" s="111" t="str">
        <f>INDEX(ETAPP!B$1:B$32,MATCH(COUNTIF(BI97:BR97,1),ETAPP!A$1:A$32,0))&amp;INDEX(ETAPP!B$1:B$32,MATCH(COUNTIF(BI97:BR97,2),ETAPP!A$1:A$32,0))&amp;INDEX(ETAPP!B$1:B$32,MATCH(COUNTIF(BI97:BR97,3),ETAPP!A$1:A$32,0))&amp;INDEX(ETAPP!B$1:B$32,MATCH(COUNTIF(BI97:BR97,4),ETAPP!A$1:A$32,0))&amp;INDEX(ETAPP!B$1:B$32,MATCH(COUNTIF(BI97:BR97,5),ETAPP!A$1:A$32,0))&amp;INDEX(ETAPP!B$1:B$32,MATCH(COUNTIF(BI97:BR97,6),ETAPP!A$1:A$32,0))&amp;INDEX(ETAPP!B$1:B$32,MATCH(COUNTIF(BI97:BR97,7),ETAPP!A$1:A$32,0))&amp;INDEX(ETAPP!B$1:B$32,MATCH(COUNTIF(BI97:BR97,8),ETAPP!A$1:A$32,0))&amp;INDEX(ETAPP!B$1:B$32,MATCH(COUNTIF(BI97:BR97,9),ETAPP!A$1:A$32,0))&amp;INDEX(ETAPP!B$1:B$32,MATCH(COUNTIF(BI97:BR97,10),ETAPP!A$1:A$32,0))&amp;INDEX(ETAPP!B$1:B$32,MATCH(COUNTIF(BI97:BR97,11),ETAPP!A$1:A$32,0))&amp;INDEX(ETAPP!B$1:B$32,MATCH(COUNTIF(BI97:BR97,12),ETAPP!A$1:A$32,0))&amp;INDEX(ETAPP!B$1:B$32,MATCH(COUNTIF(BI97:BR97,13),ETAPP!A$1:A$32,0))&amp;INDEX(ETAPP!B$1:B$32,MATCH(COUNTIF(BI97:BR97,14),ETAPP!A$1:A$32,0))&amp;INDEX(ETAPP!B$1:B$32,MATCH(COUNTIF(BI97:BR97,15),ETAPP!A$1:A$32,0))&amp;INDEX(ETAPP!B$1:B$32,MATCH(COUNTIF(BI97:BR97,16),ETAPP!A$1:A$32,0))&amp;INDEX(ETAPP!B$1:B$32,MATCH(COUNTIF(BI97:BR97,17),ETAPP!A$1:A$32,0))&amp;INDEX(ETAPP!B$1:B$32,MATCH(COUNTIF(BI97:BR97,18),ETAPP!A$1:A$32,0))&amp;INDEX(ETAPP!B$1:B$32,MATCH(COUNTIF(BI97:BR97,19),ETAPP!A$1:A$32,0))&amp;INDEX(ETAPP!B$1:B$32,MATCH(COUNTIF(BI97:BR97,20),ETAPP!A$1:A$32,0))&amp;INDEX(ETAPP!B$1:B$32,MATCH(COUNTIF(BI97:BR97,21),ETAPP!A$1:A$32,0))</f>
        <v>000000000000000000000</v>
      </c>
      <c r="T97" s="111" t="str">
        <f t="shared" si="101"/>
        <v>000,0-000000000000000000000</v>
      </c>
      <c r="U97" s="111">
        <f t="shared" si="102"/>
        <v>108</v>
      </c>
      <c r="V97" s="111">
        <f t="shared" si="103"/>
        <v>35</v>
      </c>
      <c r="W97" s="111" t="str">
        <f t="shared" si="104"/>
        <v>000,0-000000000000000000000-035</v>
      </c>
      <c r="X97" s="111">
        <f t="shared" si="105"/>
        <v>91</v>
      </c>
      <c r="Y97" s="112">
        <f t="shared" si="106"/>
        <v>18</v>
      </c>
      <c r="Z97" s="113" t="str">
        <f>IFERROR(INDEX('V1'!C$300:C$400,MATCH("*"&amp;L97&amp;"*",'V1'!B$300:B$400,0)),"  ")</f>
        <v xml:space="preserve">  </v>
      </c>
      <c r="AA97" s="113" t="str">
        <f>IFERROR(INDEX('V2'!C$300:C$400,MATCH("*"&amp;L97&amp;"*",'V2'!B$300:B$400,0)),"  ")</f>
        <v xml:space="preserve">  </v>
      </c>
      <c r="AB97" s="113" t="str">
        <f>IFERROR(INDEX('V3'!C$300:C$400,MATCH("*"&amp;L97&amp;"*",'V3'!B$300:B$400,0)),"  ")</f>
        <v xml:space="preserve">  </v>
      </c>
      <c r="AC97" s="113" t="str">
        <f>IFERROR(INDEX('V4'!C$300:C$400,MATCH("*"&amp;L97&amp;"*",'V4'!B$300:B$400,0)),"  ")</f>
        <v xml:space="preserve">  </v>
      </c>
      <c r="AD97" s="113" t="str">
        <f>IFERROR(INDEX('V5'!C$300:C$400,MATCH("*"&amp;L97&amp;"*",'V5'!B$300:B$400,0)),"  ")</f>
        <v xml:space="preserve">  </v>
      </c>
      <c r="AE97" s="113" t="str">
        <f>IFERROR(INDEX('V6'!C$300:C$400,MATCH("*"&amp;L97&amp;"*",'V6'!B$300:B$400,0)),"  ")</f>
        <v xml:space="preserve">  </v>
      </c>
      <c r="AF97" s="113" t="str">
        <f>IFERROR(INDEX('V7'!C$300:C$400,MATCH("*"&amp;L97&amp;"*",'V7'!B$300:B$400,0)),"  ")</f>
        <v xml:space="preserve">  </v>
      </c>
      <c r="AG97" s="113" t="str">
        <f>IFERROR(INDEX('V8'!C$300:C$400,MATCH("*"&amp;L97&amp;"*",'V8'!B$300:B$400,0)),"  ")</f>
        <v xml:space="preserve">  </v>
      </c>
      <c r="AH97" s="113" t="str">
        <f>IFERROR(INDEX('V9'!C$300:C$399,MATCH("*"&amp;L97&amp;"*",'V9'!B$300:B$399,0)),"  ")</f>
        <v xml:space="preserve">  </v>
      </c>
      <c r="AI97" s="113" t="str">
        <f>IFERROR(INDEX('V10'!C$300:C$399,MATCH("*"&amp;L97&amp;"*",'V10'!B$300:B$399,0)),"  ")</f>
        <v xml:space="preserve">  </v>
      </c>
      <c r="AJ97" s="114" t="str">
        <f t="shared" si="107"/>
        <v/>
      </c>
      <c r="AK97" s="404">
        <f t="shared" si="108"/>
        <v>0</v>
      </c>
      <c r="AL97" s="115">
        <f t="shared" si="109"/>
        <v>0</v>
      </c>
      <c r="AM97" s="116" t="str">
        <f>IFERROR(INDEX(#REF!,MATCH("*"&amp;L97&amp;"*",#REF!,0)),"  ")</f>
        <v xml:space="preserve">  </v>
      </c>
      <c r="AN97" s="117">
        <f t="shared" si="110"/>
        <v>0</v>
      </c>
      <c r="AO97" s="118">
        <f t="shared" si="111"/>
        <v>0</v>
      </c>
      <c r="AP97" s="118">
        <f t="shared" si="112"/>
        <v>0</v>
      </c>
      <c r="AQ97" s="49"/>
      <c r="AR97" s="1"/>
      <c r="AS97" s="1"/>
      <c r="AT97" s="119">
        <f t="shared" si="113"/>
        <v>1E-4</v>
      </c>
      <c r="AU97" s="120">
        <f t="shared" si="114"/>
        <v>1E-4</v>
      </c>
      <c r="AV97" s="120">
        <f t="shared" si="115"/>
        <v>2.0000000000000001E-4</v>
      </c>
      <c r="AW97" s="120">
        <f t="shared" si="116"/>
        <v>2.9999999999999997E-4</v>
      </c>
      <c r="AX97" s="120">
        <f t="shared" si="117"/>
        <v>4.0000000000000002E-4</v>
      </c>
      <c r="AY97" s="120">
        <f t="shared" si="118"/>
        <v>5.0000000000000001E-4</v>
      </c>
      <c r="AZ97" s="120">
        <f t="shared" si="119"/>
        <v>5.9999999999999995E-4</v>
      </c>
      <c r="BA97" s="120">
        <f t="shared" si="120"/>
        <v>6.9999999999999999E-4</v>
      </c>
      <c r="BB97" s="120">
        <f t="shared" si="121"/>
        <v>8.0000000000000004E-4</v>
      </c>
      <c r="BC97" s="120">
        <f t="shared" si="122"/>
        <v>8.9999999999999998E-4</v>
      </c>
      <c r="BD97" s="120">
        <f t="shared" si="123"/>
        <v>1E-3</v>
      </c>
      <c r="BI97" s="1018" t="e">
        <f t="shared" si="124"/>
        <v>#VALUE!</v>
      </c>
      <c r="BJ97" s="1018" t="e">
        <f t="shared" si="125"/>
        <v>#VALUE!</v>
      </c>
      <c r="BK97" s="1018" t="e">
        <f t="shared" si="126"/>
        <v>#VALUE!</v>
      </c>
      <c r="BL97" s="1018" t="e">
        <f t="shared" si="127"/>
        <v>#VALUE!</v>
      </c>
      <c r="BM97" s="1018" t="e">
        <f t="shared" si="128"/>
        <v>#VALUE!</v>
      </c>
      <c r="BN97" s="1018" t="e">
        <f t="shared" si="129"/>
        <v>#VALUE!</v>
      </c>
      <c r="BO97" s="1018" t="e">
        <f t="shared" si="130"/>
        <v>#VALUE!</v>
      </c>
      <c r="BP97" s="1018" t="e">
        <f t="shared" si="131"/>
        <v>#VALUE!</v>
      </c>
      <c r="BQ97" s="1018" t="e">
        <f t="shared" si="132"/>
        <v>#VALUE!</v>
      </c>
      <c r="BR97" s="1018" t="e">
        <f t="shared" si="133"/>
        <v>#VALUE!</v>
      </c>
    </row>
    <row r="98" spans="1:70" ht="12.75" hidden="1" customHeight="1" x14ac:dyDescent="0.2">
      <c r="A98" s="647" t="str">
        <f t="shared" si="90"/>
        <v/>
      </c>
      <c r="B98" s="99">
        <f t="shared" si="91"/>
        <v>-892</v>
      </c>
      <c r="C98" s="409" t="str">
        <f t="shared" si="92"/>
        <v/>
      </c>
      <c r="D98" s="367">
        <f t="shared" si="93"/>
        <v>-892</v>
      </c>
      <c r="E98" s="100" t="str">
        <f t="shared" si="94"/>
        <v/>
      </c>
      <c r="F98" s="99">
        <f t="shared" si="95"/>
        <v>108</v>
      </c>
      <c r="G98" s="101" t="str">
        <f t="shared" si="96"/>
        <v/>
      </c>
      <c r="H98" s="99">
        <f t="shared" si="97"/>
        <v>-892</v>
      </c>
      <c r="I98" s="102" t="str">
        <f t="shared" si="98"/>
        <v/>
      </c>
      <c r="J98" s="103">
        <f t="shared" si="99"/>
        <v>-892</v>
      </c>
      <c r="K98" s="71" t="str">
        <f t="shared" ref="K98:K114" si="134">IF(R98&gt;0,RANK(U98,U$7:U$114,1),"")</f>
        <v/>
      </c>
      <c r="L98" s="897" t="s">
        <v>165</v>
      </c>
      <c r="M98" s="446"/>
      <c r="N98" s="447" t="str">
        <f>IF(M98="","m","")</f>
        <v>m</v>
      </c>
      <c r="O98" s="450"/>
      <c r="P98" s="448"/>
      <c r="Q98" s="109"/>
      <c r="R98" s="110">
        <f>(IF(COUNT(Z98,AA98,AB98,AC98,AD98,AE98,AF98,AG98,AH98,AI98)&lt;10,SUM(Z98,AA98,AB98,AC98,AD98,AE98,AF98,AG98,AH98,AI98),SUM(LARGE((Z98,AA98,AB98,AC98,AD98,AE98,AF98,AG98,AH98,AI98),{1;2;3;4;5;6;7;8;9}))))</f>
        <v>0</v>
      </c>
      <c r="S98" s="111" t="str">
        <f>INDEX(ETAPP!B$1:B$32,MATCH(COUNTIF(BI98:BR98,1),ETAPP!A$1:A$32,0))&amp;INDEX(ETAPP!B$1:B$32,MATCH(COUNTIF(BI98:BR98,2),ETAPP!A$1:A$32,0))&amp;INDEX(ETAPP!B$1:B$32,MATCH(COUNTIF(BI98:BR98,3),ETAPP!A$1:A$32,0))&amp;INDEX(ETAPP!B$1:B$32,MATCH(COUNTIF(BI98:BR98,4),ETAPP!A$1:A$32,0))&amp;INDEX(ETAPP!B$1:B$32,MATCH(COUNTIF(BI98:BR98,5),ETAPP!A$1:A$32,0))&amp;INDEX(ETAPP!B$1:B$32,MATCH(COUNTIF(BI98:BR98,6),ETAPP!A$1:A$32,0))&amp;INDEX(ETAPP!B$1:B$32,MATCH(COUNTIF(BI98:BR98,7),ETAPP!A$1:A$32,0))&amp;INDEX(ETAPP!B$1:B$32,MATCH(COUNTIF(BI98:BR98,8),ETAPP!A$1:A$32,0))&amp;INDEX(ETAPP!B$1:B$32,MATCH(COUNTIF(BI98:BR98,9),ETAPP!A$1:A$32,0))&amp;INDEX(ETAPP!B$1:B$32,MATCH(COUNTIF(BI98:BR98,10),ETAPP!A$1:A$32,0))&amp;INDEX(ETAPP!B$1:B$32,MATCH(COUNTIF(BI98:BR98,11),ETAPP!A$1:A$32,0))&amp;INDEX(ETAPP!B$1:B$32,MATCH(COUNTIF(BI98:BR98,12),ETAPP!A$1:A$32,0))&amp;INDEX(ETAPP!B$1:B$32,MATCH(COUNTIF(BI98:BR98,13),ETAPP!A$1:A$32,0))&amp;INDEX(ETAPP!B$1:B$32,MATCH(COUNTIF(BI98:BR98,14),ETAPP!A$1:A$32,0))&amp;INDEX(ETAPP!B$1:B$32,MATCH(COUNTIF(BI98:BR98,15),ETAPP!A$1:A$32,0))&amp;INDEX(ETAPP!B$1:B$32,MATCH(COUNTIF(BI98:BR98,16),ETAPP!A$1:A$32,0))&amp;INDEX(ETAPP!B$1:B$32,MATCH(COUNTIF(BI98:BR98,17),ETAPP!A$1:A$32,0))&amp;INDEX(ETAPP!B$1:B$32,MATCH(COUNTIF(BI98:BR98,18),ETAPP!A$1:A$32,0))&amp;INDEX(ETAPP!B$1:B$32,MATCH(COUNTIF(BI98:BR98,19),ETAPP!A$1:A$32,0))&amp;INDEX(ETAPP!B$1:B$32,MATCH(COUNTIF(BI98:BR98,20),ETAPP!A$1:A$32,0))&amp;INDEX(ETAPP!B$1:B$32,MATCH(COUNTIF(BI98:BR98,21),ETAPP!A$1:A$32,0))</f>
        <v>000000000000000000000</v>
      </c>
      <c r="T98" s="111" t="str">
        <f t="shared" si="101"/>
        <v>000,0-000000000000000000000</v>
      </c>
      <c r="U98" s="111">
        <f t="shared" si="102"/>
        <v>108</v>
      </c>
      <c r="V98" s="111">
        <f t="shared" si="103"/>
        <v>32</v>
      </c>
      <c r="W98" s="111" t="str">
        <f t="shared" si="104"/>
        <v>000,0-000000000000000000000-032</v>
      </c>
      <c r="X98" s="111">
        <f t="shared" si="105"/>
        <v>92</v>
      </c>
      <c r="Y98" s="112">
        <f t="shared" si="106"/>
        <v>17</v>
      </c>
      <c r="Z98" s="113" t="str">
        <f>IFERROR(INDEX('V1'!C$300:C$400,MATCH("*"&amp;L98&amp;"*",'V1'!B$300:B$400,0)),"  ")</f>
        <v xml:space="preserve">  </v>
      </c>
      <c r="AA98" s="113" t="str">
        <f>IFERROR(INDEX('V2'!C$300:C$400,MATCH("*"&amp;L98&amp;"*",'V2'!B$300:B$400,0)),"  ")</f>
        <v xml:space="preserve">  </v>
      </c>
      <c r="AB98" s="113" t="str">
        <f>IFERROR(INDEX('V3'!C$300:C$400,MATCH("*"&amp;L98&amp;"*",'V3'!B$300:B$400,0)),"  ")</f>
        <v xml:space="preserve">  </v>
      </c>
      <c r="AC98" s="113" t="str">
        <f>IFERROR(INDEX('V4'!C$300:C$400,MATCH("*"&amp;L98&amp;"*",'V4'!B$300:B$400,0)),"  ")</f>
        <v xml:space="preserve">  </v>
      </c>
      <c r="AD98" s="113" t="str">
        <f>IFERROR(INDEX('V5'!C$300:C$400,MATCH("*"&amp;L98&amp;"*",'V5'!B$300:B$400,0)),"  ")</f>
        <v xml:space="preserve">  </v>
      </c>
      <c r="AE98" s="113" t="str">
        <f>IFERROR(INDEX('V6'!C$300:C$400,MATCH("*"&amp;L98&amp;"*",'V6'!B$300:B$400,0)),"  ")</f>
        <v xml:space="preserve">  </v>
      </c>
      <c r="AF98" s="113" t="str">
        <f>IFERROR(INDEX('V7'!C$300:C$400,MATCH("*"&amp;L98&amp;"*",'V7'!B$300:B$400,0)),"  ")</f>
        <v xml:space="preserve">  </v>
      </c>
      <c r="AG98" s="113" t="str">
        <f>IFERROR(INDEX('V8'!C$300:C$400,MATCH("*"&amp;L98&amp;"*",'V8'!B$300:B$400,0)),"  ")</f>
        <v xml:space="preserve">  </v>
      </c>
      <c r="AH98" s="113" t="str">
        <f>IFERROR(INDEX('V9'!C$300:C$399,MATCH("*"&amp;L98&amp;"*",'V9'!B$300:B$399,0)),"  ")</f>
        <v xml:space="preserve">  </v>
      </c>
      <c r="AI98" s="113" t="str">
        <f>IFERROR(INDEX('V10'!C$300:C$399,MATCH("*"&amp;L98&amp;"*",'V10'!B$300:B$399,0)),"  ")</f>
        <v xml:space="preserve">  </v>
      </c>
      <c r="AJ98" s="114" t="str">
        <f t="shared" si="107"/>
        <v/>
      </c>
      <c r="AK98" s="404">
        <f t="shared" si="108"/>
        <v>0</v>
      </c>
      <c r="AL98" s="115" t="str">
        <f t="shared" si="109"/>
        <v/>
      </c>
      <c r="AM98" s="116" t="str">
        <f>IFERROR(INDEX(#REF!,MATCH("*"&amp;L98&amp;"*",#REF!,0)),"  ")</f>
        <v xml:space="preserve">  </v>
      </c>
      <c r="AN98" s="117">
        <f t="shared" si="110"/>
        <v>0</v>
      </c>
      <c r="AO98" s="118">
        <f t="shared" si="111"/>
        <v>0</v>
      </c>
      <c r="AP98" s="118">
        <f t="shared" si="112"/>
        <v>0</v>
      </c>
      <c r="AQ98" s="49"/>
      <c r="AR98" s="1"/>
      <c r="AS98" s="1"/>
      <c r="AT98" s="119">
        <f t="shared" si="113"/>
        <v>1E-4</v>
      </c>
      <c r="AU98" s="120">
        <f t="shared" si="114"/>
        <v>1E-4</v>
      </c>
      <c r="AV98" s="120">
        <f t="shared" si="115"/>
        <v>2.0000000000000001E-4</v>
      </c>
      <c r="AW98" s="120">
        <f t="shared" si="116"/>
        <v>2.9999999999999997E-4</v>
      </c>
      <c r="AX98" s="120">
        <f t="shared" si="117"/>
        <v>4.0000000000000002E-4</v>
      </c>
      <c r="AY98" s="120">
        <f t="shared" si="118"/>
        <v>5.0000000000000001E-4</v>
      </c>
      <c r="AZ98" s="120">
        <f t="shared" si="119"/>
        <v>5.9999999999999995E-4</v>
      </c>
      <c r="BA98" s="120">
        <f t="shared" si="120"/>
        <v>6.9999999999999999E-4</v>
      </c>
      <c r="BB98" s="120">
        <f t="shared" si="121"/>
        <v>8.0000000000000004E-4</v>
      </c>
      <c r="BC98" s="120">
        <f t="shared" si="122"/>
        <v>8.9999999999999998E-4</v>
      </c>
      <c r="BD98" s="120">
        <f t="shared" si="123"/>
        <v>1E-3</v>
      </c>
      <c r="BI98" s="1018" t="e">
        <f t="shared" si="124"/>
        <v>#VALUE!</v>
      </c>
      <c r="BJ98" s="1018" t="e">
        <f t="shared" si="125"/>
        <v>#VALUE!</v>
      </c>
      <c r="BK98" s="1018" t="e">
        <f t="shared" si="126"/>
        <v>#VALUE!</v>
      </c>
      <c r="BL98" s="1018" t="e">
        <f t="shared" si="127"/>
        <v>#VALUE!</v>
      </c>
      <c r="BM98" s="1018" t="e">
        <f t="shared" si="128"/>
        <v>#VALUE!</v>
      </c>
      <c r="BN98" s="1018" t="e">
        <f t="shared" si="129"/>
        <v>#VALUE!</v>
      </c>
      <c r="BO98" s="1018" t="e">
        <f t="shared" si="130"/>
        <v>#VALUE!</v>
      </c>
      <c r="BP98" s="1018" t="e">
        <f t="shared" si="131"/>
        <v>#VALUE!</v>
      </c>
      <c r="BQ98" s="1018" t="e">
        <f t="shared" si="132"/>
        <v>#VALUE!</v>
      </c>
      <c r="BR98" s="1018" t="e">
        <f t="shared" si="133"/>
        <v>#VALUE!</v>
      </c>
    </row>
    <row r="99" spans="1:70" ht="12.75" hidden="1" customHeight="1" x14ac:dyDescent="0.2">
      <c r="A99" s="647" t="str">
        <f t="shared" si="90"/>
        <v/>
      </c>
      <c r="B99" s="99">
        <f t="shared" si="91"/>
        <v>108</v>
      </c>
      <c r="C99" s="409" t="str">
        <f t="shared" si="92"/>
        <v/>
      </c>
      <c r="D99" s="367">
        <f t="shared" si="93"/>
        <v>-892</v>
      </c>
      <c r="E99" s="100" t="str">
        <f t="shared" si="94"/>
        <v/>
      </c>
      <c r="F99" s="99">
        <f t="shared" si="95"/>
        <v>108</v>
      </c>
      <c r="G99" s="101" t="str">
        <f t="shared" si="96"/>
        <v/>
      </c>
      <c r="H99" s="99">
        <f t="shared" si="97"/>
        <v>-892</v>
      </c>
      <c r="I99" s="102" t="str">
        <f t="shared" si="98"/>
        <v/>
      </c>
      <c r="J99" s="103">
        <f t="shared" si="99"/>
        <v>108</v>
      </c>
      <c r="K99" s="71" t="str">
        <f t="shared" si="134"/>
        <v/>
      </c>
      <c r="L99" s="375" t="s">
        <v>133</v>
      </c>
      <c r="M99" s="345"/>
      <c r="N99" s="346" t="s">
        <v>105</v>
      </c>
      <c r="O99" s="401" t="s">
        <v>117</v>
      </c>
      <c r="P99" s="348"/>
      <c r="Q99" s="349" t="s">
        <v>88</v>
      </c>
      <c r="R99" s="110">
        <f>(IF(COUNT(Z99,AA99,AB99,AC99,AD99,AE99,AF99,AG99,AH99,AI99)&lt;10,SUM(Z99,AA99,AB99,AC99,AD99,AE99,AF99,AG99,AH99,AI99),SUM(LARGE((Z99,AA99,AB99,AC99,AD99,AE99,AF99,AG99,AH99,AI99),{1;2;3;4;5;6;7;8;9}))))</f>
        <v>0</v>
      </c>
      <c r="S99" s="111" t="str">
        <f>INDEX(ETAPP!B$1:B$32,MATCH(COUNTIF(BI99:BR99,1),ETAPP!A$1:A$32,0))&amp;INDEX(ETAPP!B$1:B$32,MATCH(COUNTIF(BI99:BR99,2),ETAPP!A$1:A$32,0))&amp;INDEX(ETAPP!B$1:B$32,MATCH(COUNTIF(BI99:BR99,3),ETAPP!A$1:A$32,0))&amp;INDEX(ETAPP!B$1:B$32,MATCH(COUNTIF(BI99:BR99,4),ETAPP!A$1:A$32,0))&amp;INDEX(ETAPP!B$1:B$32,MATCH(COUNTIF(BI99:BR99,5),ETAPP!A$1:A$32,0))&amp;INDEX(ETAPP!B$1:B$32,MATCH(COUNTIF(BI99:BR99,6),ETAPP!A$1:A$32,0))&amp;INDEX(ETAPP!B$1:B$32,MATCH(COUNTIF(BI99:BR99,7),ETAPP!A$1:A$32,0))&amp;INDEX(ETAPP!B$1:B$32,MATCH(COUNTIF(BI99:BR99,8),ETAPP!A$1:A$32,0))&amp;INDEX(ETAPP!B$1:B$32,MATCH(COUNTIF(BI99:BR99,9),ETAPP!A$1:A$32,0))&amp;INDEX(ETAPP!B$1:B$32,MATCH(COUNTIF(BI99:BR99,10),ETAPP!A$1:A$32,0))&amp;INDEX(ETAPP!B$1:B$32,MATCH(COUNTIF(BI99:BR99,11),ETAPP!A$1:A$32,0))&amp;INDEX(ETAPP!B$1:B$32,MATCH(COUNTIF(BI99:BR99,12),ETAPP!A$1:A$32,0))&amp;INDEX(ETAPP!B$1:B$32,MATCH(COUNTIF(BI99:BR99,13),ETAPP!A$1:A$32,0))&amp;INDEX(ETAPP!B$1:B$32,MATCH(COUNTIF(BI99:BR99,14),ETAPP!A$1:A$32,0))&amp;INDEX(ETAPP!B$1:B$32,MATCH(COUNTIF(BI99:BR99,15),ETAPP!A$1:A$32,0))&amp;INDEX(ETAPP!B$1:B$32,MATCH(COUNTIF(BI99:BR99,16),ETAPP!A$1:A$32,0))&amp;INDEX(ETAPP!B$1:B$32,MATCH(COUNTIF(BI99:BR99,17),ETAPP!A$1:A$32,0))&amp;INDEX(ETAPP!B$1:B$32,MATCH(COUNTIF(BI99:BR99,18),ETAPP!A$1:A$32,0))&amp;INDEX(ETAPP!B$1:B$32,MATCH(COUNTIF(BI99:BR99,19),ETAPP!A$1:A$32,0))&amp;INDEX(ETAPP!B$1:B$32,MATCH(COUNTIF(BI99:BR99,20),ETAPP!A$1:A$32,0))&amp;INDEX(ETAPP!B$1:B$32,MATCH(COUNTIF(BI99:BR99,21),ETAPP!A$1:A$32,0))</f>
        <v>000000000000000000000</v>
      </c>
      <c r="T99" s="111" t="str">
        <f t="shared" si="101"/>
        <v>000,0-000000000000000000000</v>
      </c>
      <c r="U99" s="111">
        <f t="shared" si="102"/>
        <v>108</v>
      </c>
      <c r="V99" s="111">
        <f t="shared" si="103"/>
        <v>31</v>
      </c>
      <c r="W99" s="111" t="str">
        <f t="shared" si="104"/>
        <v>000,0-000000000000000000000-031</v>
      </c>
      <c r="X99" s="111">
        <f t="shared" si="105"/>
        <v>93</v>
      </c>
      <c r="Y99" s="112">
        <f t="shared" si="106"/>
        <v>16</v>
      </c>
      <c r="Z99" s="113" t="str">
        <f>IFERROR(INDEX('V1'!C$300:C$400,MATCH("*"&amp;L99&amp;"*",'V1'!B$300:B$400,0)),"  ")</f>
        <v xml:space="preserve">  </v>
      </c>
      <c r="AA99" s="113" t="str">
        <f>IFERROR(INDEX('V2'!C$300:C$400,MATCH("*"&amp;L99&amp;"*",'V2'!B$300:B$400,0)),"  ")</f>
        <v xml:space="preserve">  </v>
      </c>
      <c r="AB99" s="113" t="str">
        <f>IFERROR(INDEX('V3'!C$300:C$400,MATCH("*"&amp;L99&amp;"*",'V3'!B$300:B$400,0)),"  ")</f>
        <v xml:space="preserve">  </v>
      </c>
      <c r="AC99" s="113" t="str">
        <f>IFERROR(INDEX('V4'!C$300:C$400,MATCH("*"&amp;L99&amp;"*",'V4'!B$300:B$400,0)),"  ")</f>
        <v xml:space="preserve">  </v>
      </c>
      <c r="AD99" s="113" t="str">
        <f>IFERROR(INDEX('V5'!C$300:C$400,MATCH("*"&amp;L99&amp;"*",'V5'!B$300:B$400,0)),"  ")</f>
        <v xml:space="preserve">  </v>
      </c>
      <c r="AE99" s="113" t="str">
        <f>IFERROR(INDEX('V6'!C$300:C$400,MATCH("*"&amp;L99&amp;"*",'V6'!B$300:B$400,0)),"  ")</f>
        <v xml:space="preserve">  </v>
      </c>
      <c r="AF99" s="113" t="str">
        <f>IFERROR(INDEX('V7'!C$300:C$400,MATCH("*"&amp;L99&amp;"*",'V7'!B$300:B$400,0)),"  ")</f>
        <v xml:space="preserve">  </v>
      </c>
      <c r="AG99" s="113" t="str">
        <f>IFERROR(INDEX('V8'!C$300:C$400,MATCH("*"&amp;L99&amp;"*",'V8'!B$300:B$400,0)),"  ")</f>
        <v xml:space="preserve">  </v>
      </c>
      <c r="AH99" s="113" t="str">
        <f>IFERROR(INDEX('V9'!C$300:C$399,MATCH("*"&amp;L99&amp;"*",'V9'!B$300:B$399,0)),"  ")</f>
        <v xml:space="preserve">  </v>
      </c>
      <c r="AI99" s="113" t="str">
        <f>IFERROR(INDEX('V10'!C$300:C$399,MATCH("*"&amp;L99&amp;"*",'V10'!B$300:B$399,0)),"  ")</f>
        <v xml:space="preserve">  </v>
      </c>
      <c r="AJ99" s="114" t="str">
        <f t="shared" si="107"/>
        <v/>
      </c>
      <c r="AK99" s="404">
        <f t="shared" si="108"/>
        <v>0</v>
      </c>
      <c r="AL99" s="115" t="str">
        <f t="shared" si="109"/>
        <v/>
      </c>
      <c r="AM99" s="116" t="str">
        <f>IFERROR(INDEX(#REF!,MATCH("*"&amp;L99&amp;"*",#REF!,0)),"  ")</f>
        <v xml:space="preserve">  </v>
      </c>
      <c r="AN99" s="117">
        <f t="shared" si="110"/>
        <v>0</v>
      </c>
      <c r="AO99" s="118">
        <f t="shared" si="111"/>
        <v>0</v>
      </c>
      <c r="AP99" s="118">
        <f t="shared" si="112"/>
        <v>0</v>
      </c>
      <c r="AQ99" s="49"/>
      <c r="AR99" s="1"/>
      <c r="AS99" s="1"/>
      <c r="AT99" s="119">
        <f t="shared" si="113"/>
        <v>1E-4</v>
      </c>
      <c r="AU99" s="120">
        <f t="shared" si="114"/>
        <v>1E-4</v>
      </c>
      <c r="AV99" s="120">
        <f t="shared" si="115"/>
        <v>2.0000000000000001E-4</v>
      </c>
      <c r="AW99" s="120">
        <f t="shared" si="116"/>
        <v>2.9999999999999997E-4</v>
      </c>
      <c r="AX99" s="120">
        <f t="shared" si="117"/>
        <v>4.0000000000000002E-4</v>
      </c>
      <c r="AY99" s="120">
        <f t="shared" si="118"/>
        <v>5.0000000000000001E-4</v>
      </c>
      <c r="AZ99" s="120">
        <f t="shared" si="119"/>
        <v>5.9999999999999995E-4</v>
      </c>
      <c r="BA99" s="120">
        <f t="shared" si="120"/>
        <v>6.9999999999999999E-4</v>
      </c>
      <c r="BB99" s="120">
        <f t="shared" si="121"/>
        <v>8.0000000000000004E-4</v>
      </c>
      <c r="BC99" s="120">
        <f t="shared" si="122"/>
        <v>8.9999999999999998E-4</v>
      </c>
      <c r="BD99" s="120">
        <f t="shared" si="123"/>
        <v>1E-3</v>
      </c>
      <c r="BI99" s="1018" t="e">
        <f t="shared" si="124"/>
        <v>#VALUE!</v>
      </c>
      <c r="BJ99" s="1018" t="e">
        <f t="shared" si="125"/>
        <v>#VALUE!</v>
      </c>
      <c r="BK99" s="1018" t="e">
        <f t="shared" si="126"/>
        <v>#VALUE!</v>
      </c>
      <c r="BL99" s="1018" t="e">
        <f t="shared" si="127"/>
        <v>#VALUE!</v>
      </c>
      <c r="BM99" s="1018" t="e">
        <f t="shared" si="128"/>
        <v>#VALUE!</v>
      </c>
      <c r="BN99" s="1018" t="e">
        <f t="shared" si="129"/>
        <v>#VALUE!</v>
      </c>
      <c r="BO99" s="1018" t="e">
        <f t="shared" si="130"/>
        <v>#VALUE!</v>
      </c>
      <c r="BP99" s="1018" t="e">
        <f t="shared" si="131"/>
        <v>#VALUE!</v>
      </c>
      <c r="BQ99" s="1018" t="e">
        <f t="shared" si="132"/>
        <v>#VALUE!</v>
      </c>
      <c r="BR99" s="1018" t="e">
        <f t="shared" si="133"/>
        <v>#VALUE!</v>
      </c>
    </row>
    <row r="100" spans="1:70" ht="12.75" hidden="1" customHeight="1" x14ac:dyDescent="0.2">
      <c r="A100" s="647" t="str">
        <f t="shared" si="90"/>
        <v/>
      </c>
      <c r="B100" s="99">
        <f t="shared" si="91"/>
        <v>-892</v>
      </c>
      <c r="C100" s="409" t="str">
        <f t="shared" si="92"/>
        <v/>
      </c>
      <c r="D100" s="367">
        <f t="shared" si="93"/>
        <v>-892</v>
      </c>
      <c r="E100" s="100" t="str">
        <f t="shared" si="94"/>
        <v/>
      </c>
      <c r="F100" s="99">
        <f t="shared" si="95"/>
        <v>108</v>
      </c>
      <c r="G100" s="101" t="str">
        <f t="shared" si="96"/>
        <v/>
      </c>
      <c r="H100" s="99">
        <f t="shared" si="97"/>
        <v>-892</v>
      </c>
      <c r="I100" s="102" t="str">
        <f t="shared" si="98"/>
        <v/>
      </c>
      <c r="J100" s="103">
        <f t="shared" si="99"/>
        <v>108</v>
      </c>
      <c r="K100" s="71" t="str">
        <f t="shared" si="134"/>
        <v/>
      </c>
      <c r="L100" s="445" t="s">
        <v>325</v>
      </c>
      <c r="M100" s="446"/>
      <c r="N100" s="447" t="s">
        <v>105</v>
      </c>
      <c r="O100" s="453" t="s">
        <v>117</v>
      </c>
      <c r="P100" s="448"/>
      <c r="Q100" s="449"/>
      <c r="R100" s="110">
        <f>(IF(COUNT(Z100,AA100,AB100,AC100,AD100,AE100,AF100,AG100,AH100,AI100)&lt;10,SUM(Z100,AA100,AB100,AC100,AD100,AE100,AF100,AG100,AH100,AI100),SUM(LARGE((Z100,AA100,AB100,AC100,AD100,AE100,AF100,AG100,AH100,AI100),{1;2;3;4;5;6;7;8;9}))))</f>
        <v>0</v>
      </c>
      <c r="S100" s="111" t="str">
        <f>INDEX(ETAPP!B$1:B$32,MATCH(COUNTIF(BI100:BR100,1),ETAPP!A$1:A$32,0))&amp;INDEX(ETAPP!B$1:B$32,MATCH(COUNTIF(BI100:BR100,2),ETAPP!A$1:A$32,0))&amp;INDEX(ETAPP!B$1:B$32,MATCH(COUNTIF(BI100:BR100,3),ETAPP!A$1:A$32,0))&amp;INDEX(ETAPP!B$1:B$32,MATCH(COUNTIF(BI100:BR100,4),ETAPP!A$1:A$32,0))&amp;INDEX(ETAPP!B$1:B$32,MATCH(COUNTIF(BI100:BR100,5),ETAPP!A$1:A$32,0))&amp;INDEX(ETAPP!B$1:B$32,MATCH(COUNTIF(BI100:BR100,6),ETAPP!A$1:A$32,0))&amp;INDEX(ETAPP!B$1:B$32,MATCH(COUNTIF(BI100:BR100,7),ETAPP!A$1:A$32,0))&amp;INDEX(ETAPP!B$1:B$32,MATCH(COUNTIF(BI100:BR100,8),ETAPP!A$1:A$32,0))&amp;INDEX(ETAPP!B$1:B$32,MATCH(COUNTIF(BI100:BR100,9),ETAPP!A$1:A$32,0))&amp;INDEX(ETAPP!B$1:B$32,MATCH(COUNTIF(BI100:BR100,10),ETAPP!A$1:A$32,0))&amp;INDEX(ETAPP!B$1:B$32,MATCH(COUNTIF(BI100:BR100,11),ETAPP!A$1:A$32,0))&amp;INDEX(ETAPP!B$1:B$32,MATCH(COUNTIF(BI100:BR100,12),ETAPP!A$1:A$32,0))&amp;INDEX(ETAPP!B$1:B$32,MATCH(COUNTIF(BI100:BR100,13),ETAPP!A$1:A$32,0))&amp;INDEX(ETAPP!B$1:B$32,MATCH(COUNTIF(BI100:BR100,14),ETAPP!A$1:A$32,0))&amp;INDEX(ETAPP!B$1:B$32,MATCH(COUNTIF(BI100:BR100,15),ETAPP!A$1:A$32,0))&amp;INDEX(ETAPP!B$1:B$32,MATCH(COUNTIF(BI100:BR100,16),ETAPP!A$1:A$32,0))&amp;INDEX(ETAPP!B$1:B$32,MATCH(COUNTIF(BI100:BR100,17),ETAPP!A$1:A$32,0))&amp;INDEX(ETAPP!B$1:B$32,MATCH(COUNTIF(BI100:BR100,18),ETAPP!A$1:A$32,0))&amp;INDEX(ETAPP!B$1:B$32,MATCH(COUNTIF(BI100:BR100,19),ETAPP!A$1:A$32,0))&amp;INDEX(ETAPP!B$1:B$32,MATCH(COUNTIF(BI100:BR100,20),ETAPP!A$1:A$32,0))&amp;INDEX(ETAPP!B$1:B$32,MATCH(COUNTIF(BI100:BR100,21),ETAPP!A$1:A$32,0))</f>
        <v>000000000000000000000</v>
      </c>
      <c r="T100" s="111" t="str">
        <f t="shared" si="101"/>
        <v>000,0-000000000000000000000</v>
      </c>
      <c r="U100" s="111">
        <f t="shared" si="102"/>
        <v>108</v>
      </c>
      <c r="V100" s="111">
        <f t="shared" si="103"/>
        <v>30</v>
      </c>
      <c r="W100" s="111" t="str">
        <f t="shared" si="104"/>
        <v>000,0-000000000000000000000-030</v>
      </c>
      <c r="X100" s="111">
        <f t="shared" si="105"/>
        <v>94</v>
      </c>
      <c r="Y100" s="112">
        <f t="shared" si="106"/>
        <v>15</v>
      </c>
      <c r="Z100" s="113" t="str">
        <f>IFERROR(INDEX('V1'!C$300:C$400,MATCH("*"&amp;L100&amp;"*",'V1'!B$300:B$400,0)),"  ")</f>
        <v xml:space="preserve">  </v>
      </c>
      <c r="AA100" s="113" t="str">
        <f>IFERROR(INDEX('V2'!C$300:C$400,MATCH("*"&amp;L100&amp;"*",'V2'!B$300:B$400,0)),"  ")</f>
        <v xml:space="preserve">  </v>
      </c>
      <c r="AB100" s="113" t="str">
        <f>IFERROR(INDEX('V3'!C$300:C$400,MATCH("*"&amp;L100&amp;"*",'V3'!B$300:B$400,0)),"  ")</f>
        <v xml:space="preserve">  </v>
      </c>
      <c r="AC100" s="113" t="str">
        <f>IFERROR(INDEX('V4'!C$300:C$400,MATCH("*"&amp;L100&amp;"*",'V4'!B$300:B$400,0)),"  ")</f>
        <v xml:space="preserve">  </v>
      </c>
      <c r="AD100" s="113" t="str">
        <f>IFERROR(INDEX('V5'!C$300:C$400,MATCH("*"&amp;L100&amp;"*",'V5'!B$300:B$400,0)),"  ")</f>
        <v xml:space="preserve">  </v>
      </c>
      <c r="AE100" s="113" t="str">
        <f>IFERROR(INDEX('V6'!C$300:C$400,MATCH("*"&amp;L100&amp;"*",'V6'!B$300:B$400,0)),"  ")</f>
        <v xml:space="preserve">  </v>
      </c>
      <c r="AF100" s="113" t="str">
        <f>IFERROR(INDEX('V7'!C$300:C$400,MATCH("*"&amp;L100&amp;"*",'V7'!B$300:B$400,0)),"  ")</f>
        <v xml:space="preserve">  </v>
      </c>
      <c r="AG100" s="113" t="str">
        <f>IFERROR(INDEX('V8'!C$300:C$400,MATCH("*"&amp;L100&amp;"*",'V8'!B$300:B$400,0)),"  ")</f>
        <v xml:space="preserve">  </v>
      </c>
      <c r="AH100" s="113" t="str">
        <f>IFERROR(INDEX('V9'!C$300:C$399,MATCH("*"&amp;L100&amp;"*",'V9'!B$300:B$399,0)),"  ")</f>
        <v xml:space="preserve">  </v>
      </c>
      <c r="AI100" s="113" t="str">
        <f>IFERROR(INDEX('V10'!C$300:C$399,MATCH("*"&amp;L100&amp;"*",'V10'!B$300:B$399,0)),"  ")</f>
        <v xml:space="preserve">  </v>
      </c>
      <c r="AJ100" s="114" t="str">
        <f t="shared" si="107"/>
        <v/>
      </c>
      <c r="AK100" s="404">
        <f t="shared" si="108"/>
        <v>0</v>
      </c>
      <c r="AL100" s="115" t="str">
        <f t="shared" si="109"/>
        <v/>
      </c>
      <c r="AM100" s="116" t="str">
        <f>IFERROR(INDEX(#REF!,MATCH("*"&amp;L100&amp;"*",#REF!,0)),"  ")</f>
        <v xml:space="preserve">  </v>
      </c>
      <c r="AN100" s="117">
        <f t="shared" si="110"/>
        <v>0</v>
      </c>
      <c r="AO100" s="118">
        <f t="shared" si="111"/>
        <v>0</v>
      </c>
      <c r="AP100" s="118">
        <f t="shared" si="112"/>
        <v>0</v>
      </c>
      <c r="AQ100" s="49"/>
      <c r="AR100" s="1"/>
      <c r="AS100" s="1"/>
      <c r="AT100" s="119">
        <f t="shared" si="113"/>
        <v>1E-4</v>
      </c>
      <c r="AU100" s="120">
        <f t="shared" si="114"/>
        <v>1E-4</v>
      </c>
      <c r="AV100" s="120">
        <f t="shared" si="115"/>
        <v>2.0000000000000001E-4</v>
      </c>
      <c r="AW100" s="120">
        <f t="shared" si="116"/>
        <v>2.9999999999999997E-4</v>
      </c>
      <c r="AX100" s="120">
        <f t="shared" si="117"/>
        <v>4.0000000000000002E-4</v>
      </c>
      <c r="AY100" s="120">
        <f t="shared" si="118"/>
        <v>5.0000000000000001E-4</v>
      </c>
      <c r="AZ100" s="120">
        <f t="shared" si="119"/>
        <v>5.9999999999999995E-4</v>
      </c>
      <c r="BA100" s="120">
        <f t="shared" si="120"/>
        <v>6.9999999999999999E-4</v>
      </c>
      <c r="BB100" s="120">
        <f t="shared" si="121"/>
        <v>8.0000000000000004E-4</v>
      </c>
      <c r="BC100" s="120">
        <f t="shared" si="122"/>
        <v>8.9999999999999998E-4</v>
      </c>
      <c r="BD100" s="120">
        <f t="shared" si="123"/>
        <v>1E-3</v>
      </c>
      <c r="BI100" s="1018" t="e">
        <f t="shared" si="124"/>
        <v>#VALUE!</v>
      </c>
      <c r="BJ100" s="1018" t="e">
        <f t="shared" si="125"/>
        <v>#VALUE!</v>
      </c>
      <c r="BK100" s="1018" t="e">
        <f t="shared" si="126"/>
        <v>#VALUE!</v>
      </c>
      <c r="BL100" s="1018" t="e">
        <f t="shared" si="127"/>
        <v>#VALUE!</v>
      </c>
      <c r="BM100" s="1018" t="e">
        <f t="shared" si="128"/>
        <v>#VALUE!</v>
      </c>
      <c r="BN100" s="1018" t="e">
        <f t="shared" si="129"/>
        <v>#VALUE!</v>
      </c>
      <c r="BO100" s="1018" t="e">
        <f t="shared" si="130"/>
        <v>#VALUE!</v>
      </c>
      <c r="BP100" s="1018" t="e">
        <f t="shared" si="131"/>
        <v>#VALUE!</v>
      </c>
      <c r="BQ100" s="1018" t="e">
        <f t="shared" si="132"/>
        <v>#VALUE!</v>
      </c>
      <c r="BR100" s="1018" t="e">
        <f t="shared" si="133"/>
        <v>#VALUE!</v>
      </c>
    </row>
    <row r="101" spans="1:70" ht="12.75" hidden="1" customHeight="1" x14ac:dyDescent="0.2">
      <c r="A101" s="647" t="str">
        <f t="shared" si="90"/>
        <v/>
      </c>
      <c r="B101" s="99">
        <f t="shared" si="91"/>
        <v>-892</v>
      </c>
      <c r="C101" s="409" t="str">
        <f t="shared" si="92"/>
        <v/>
      </c>
      <c r="D101" s="367">
        <f t="shared" si="93"/>
        <v>-892</v>
      </c>
      <c r="E101" s="100" t="str">
        <f t="shared" si="94"/>
        <v/>
      </c>
      <c r="F101" s="99">
        <f t="shared" si="95"/>
        <v>108</v>
      </c>
      <c r="G101" s="101" t="str">
        <f t="shared" si="96"/>
        <v/>
      </c>
      <c r="H101" s="99">
        <f t="shared" si="97"/>
        <v>-892</v>
      </c>
      <c r="I101" s="102" t="str">
        <f t="shared" si="98"/>
        <v/>
      </c>
      <c r="J101" s="103">
        <f t="shared" si="99"/>
        <v>108</v>
      </c>
      <c r="K101" s="71" t="str">
        <f t="shared" si="134"/>
        <v/>
      </c>
      <c r="L101" s="121" t="s">
        <v>134</v>
      </c>
      <c r="M101" s="105"/>
      <c r="N101" s="106" t="s">
        <v>105</v>
      </c>
      <c r="O101" s="138" t="s">
        <v>117</v>
      </c>
      <c r="P101" s="108"/>
      <c r="Q101" s="109" t="s">
        <v>344</v>
      </c>
      <c r="R101" s="110">
        <f>(IF(COUNT(Z101,AA101,AB101,AC101,AD101,AE101,AF101,AG101,AH101,AI101)&lt;10,SUM(Z101,AA101,AB101,AC101,AD101,AE101,AF101,AG101,AH101,AI101),SUM(LARGE((Z101,AA101,AB101,AC101,AD101,AE101,AF101,AG101,AH101,AI101),{1;2;3;4;5;6;7;8;9}))))</f>
        <v>0</v>
      </c>
      <c r="S101" s="111" t="str">
        <f>INDEX(ETAPP!B$1:B$32,MATCH(COUNTIF(BI101:BR101,1),ETAPP!A$1:A$32,0))&amp;INDEX(ETAPP!B$1:B$32,MATCH(COUNTIF(BI101:BR101,2),ETAPP!A$1:A$32,0))&amp;INDEX(ETAPP!B$1:B$32,MATCH(COUNTIF(BI101:BR101,3),ETAPP!A$1:A$32,0))&amp;INDEX(ETAPP!B$1:B$32,MATCH(COUNTIF(BI101:BR101,4),ETAPP!A$1:A$32,0))&amp;INDEX(ETAPP!B$1:B$32,MATCH(COUNTIF(BI101:BR101,5),ETAPP!A$1:A$32,0))&amp;INDEX(ETAPP!B$1:B$32,MATCH(COUNTIF(BI101:BR101,6),ETAPP!A$1:A$32,0))&amp;INDEX(ETAPP!B$1:B$32,MATCH(COUNTIF(BI101:BR101,7),ETAPP!A$1:A$32,0))&amp;INDEX(ETAPP!B$1:B$32,MATCH(COUNTIF(BI101:BR101,8),ETAPP!A$1:A$32,0))&amp;INDEX(ETAPP!B$1:B$32,MATCH(COUNTIF(BI101:BR101,9),ETAPP!A$1:A$32,0))&amp;INDEX(ETAPP!B$1:B$32,MATCH(COUNTIF(BI101:BR101,10),ETAPP!A$1:A$32,0))&amp;INDEX(ETAPP!B$1:B$32,MATCH(COUNTIF(BI101:BR101,11),ETAPP!A$1:A$32,0))&amp;INDEX(ETAPP!B$1:B$32,MATCH(COUNTIF(BI101:BR101,12),ETAPP!A$1:A$32,0))&amp;INDEX(ETAPP!B$1:B$32,MATCH(COUNTIF(BI101:BR101,13),ETAPP!A$1:A$32,0))&amp;INDEX(ETAPP!B$1:B$32,MATCH(COUNTIF(BI101:BR101,14),ETAPP!A$1:A$32,0))&amp;INDEX(ETAPP!B$1:B$32,MATCH(COUNTIF(BI101:BR101,15),ETAPP!A$1:A$32,0))&amp;INDEX(ETAPP!B$1:B$32,MATCH(COUNTIF(BI101:BR101,16),ETAPP!A$1:A$32,0))&amp;INDEX(ETAPP!B$1:B$32,MATCH(COUNTIF(BI101:BR101,17),ETAPP!A$1:A$32,0))&amp;INDEX(ETAPP!B$1:B$32,MATCH(COUNTIF(BI101:BR101,18),ETAPP!A$1:A$32,0))&amp;INDEX(ETAPP!B$1:B$32,MATCH(COUNTIF(BI101:BR101,19),ETAPP!A$1:A$32,0))&amp;INDEX(ETAPP!B$1:B$32,MATCH(COUNTIF(BI101:BR101,20),ETAPP!A$1:A$32,0))&amp;INDEX(ETAPP!B$1:B$32,MATCH(COUNTIF(BI101:BR101,21),ETAPP!A$1:A$32,0))</f>
        <v>000000000000000000000</v>
      </c>
      <c r="T101" s="111" t="str">
        <f t="shared" si="101"/>
        <v>000,0-000000000000000000000</v>
      </c>
      <c r="U101" s="111">
        <f t="shared" si="102"/>
        <v>108</v>
      </c>
      <c r="V101" s="111">
        <f t="shared" si="103"/>
        <v>29</v>
      </c>
      <c r="W101" s="111" t="str">
        <f t="shared" si="104"/>
        <v>000,0-000000000000000000000-029</v>
      </c>
      <c r="X101" s="111">
        <f t="shared" si="105"/>
        <v>95</v>
      </c>
      <c r="Y101" s="112">
        <f t="shared" si="106"/>
        <v>14</v>
      </c>
      <c r="Z101" s="113" t="str">
        <f>IFERROR(INDEX('V1'!C$300:C$400,MATCH("*"&amp;L101&amp;"*",'V1'!B$300:B$400,0)),"  ")</f>
        <v xml:space="preserve">  </v>
      </c>
      <c r="AA101" s="113" t="str">
        <f>IFERROR(INDEX('V2'!C$300:C$400,MATCH("*"&amp;L101&amp;"*",'V2'!B$300:B$400,0)),"  ")</f>
        <v xml:space="preserve">  </v>
      </c>
      <c r="AB101" s="113" t="str">
        <f>IFERROR(INDEX('V3'!C$300:C$400,MATCH("*"&amp;L101&amp;"*",'V3'!B$300:B$400,0)),"  ")</f>
        <v xml:space="preserve">  </v>
      </c>
      <c r="AC101" s="113" t="str">
        <f>IFERROR(INDEX('V4'!C$300:C$400,MATCH("*"&amp;L101&amp;"*",'V4'!B$300:B$400,0)),"  ")</f>
        <v xml:space="preserve">  </v>
      </c>
      <c r="AD101" s="113" t="str">
        <f>IFERROR(INDEX('V5'!C$300:C$400,MATCH("*"&amp;L101&amp;"*",'V5'!B$300:B$400,0)),"  ")</f>
        <v xml:space="preserve">  </v>
      </c>
      <c r="AE101" s="113" t="str">
        <f>IFERROR(INDEX('V6'!C$300:C$400,MATCH("*"&amp;L101&amp;"*",'V6'!B$300:B$400,0)),"  ")</f>
        <v xml:space="preserve">  </v>
      </c>
      <c r="AF101" s="113" t="str">
        <f>IFERROR(INDEX('V7'!C$300:C$400,MATCH("*"&amp;L101&amp;"*",'V7'!B$300:B$400,0)),"  ")</f>
        <v xml:space="preserve">  </v>
      </c>
      <c r="AG101" s="113" t="str">
        <f>IFERROR(INDEX('V8'!C$300:C$400,MATCH("*"&amp;L101&amp;"*",'V8'!B$300:B$400,0)),"  ")</f>
        <v xml:space="preserve">  </v>
      </c>
      <c r="AH101" s="113" t="str">
        <f>IFERROR(INDEX('V9'!C$300:C$399,MATCH("*"&amp;L101&amp;"*",'V9'!B$300:B$399,0)),"  ")</f>
        <v xml:space="preserve">  </v>
      </c>
      <c r="AI101" s="113" t="str">
        <f>IFERROR(INDEX('V10'!C$300:C$399,MATCH("*"&amp;L101&amp;"*",'V10'!B$300:B$399,0)),"  ")</f>
        <v xml:space="preserve">  </v>
      </c>
      <c r="AJ101" s="114" t="str">
        <f t="shared" si="107"/>
        <v/>
      </c>
      <c r="AK101" s="404">
        <f t="shared" si="108"/>
        <v>0</v>
      </c>
      <c r="AL101" s="115" t="str">
        <f t="shared" si="109"/>
        <v/>
      </c>
      <c r="AM101" s="116" t="str">
        <f>IFERROR(INDEX(#REF!,MATCH("*"&amp;L101&amp;"*",#REF!,0)),"  ")</f>
        <v xml:space="preserve">  </v>
      </c>
      <c r="AN101" s="117">
        <f t="shared" si="110"/>
        <v>0</v>
      </c>
      <c r="AO101" s="118">
        <f t="shared" si="111"/>
        <v>0</v>
      </c>
      <c r="AP101" s="118">
        <f t="shared" si="112"/>
        <v>0</v>
      </c>
      <c r="AQ101" s="49"/>
      <c r="AR101" s="1"/>
      <c r="AS101" s="1"/>
      <c r="AT101" s="119">
        <f t="shared" si="113"/>
        <v>1E-4</v>
      </c>
      <c r="AU101" s="120">
        <f t="shared" si="114"/>
        <v>1E-4</v>
      </c>
      <c r="AV101" s="120">
        <f t="shared" si="115"/>
        <v>2.0000000000000001E-4</v>
      </c>
      <c r="AW101" s="120">
        <f t="shared" si="116"/>
        <v>2.9999999999999997E-4</v>
      </c>
      <c r="AX101" s="120">
        <f t="shared" si="117"/>
        <v>4.0000000000000002E-4</v>
      </c>
      <c r="AY101" s="120">
        <f t="shared" si="118"/>
        <v>5.0000000000000001E-4</v>
      </c>
      <c r="AZ101" s="120">
        <f t="shared" si="119"/>
        <v>5.9999999999999995E-4</v>
      </c>
      <c r="BA101" s="120">
        <f t="shared" si="120"/>
        <v>6.9999999999999999E-4</v>
      </c>
      <c r="BB101" s="120">
        <f t="shared" si="121"/>
        <v>8.0000000000000004E-4</v>
      </c>
      <c r="BC101" s="120">
        <f t="shared" si="122"/>
        <v>8.9999999999999998E-4</v>
      </c>
      <c r="BD101" s="120">
        <f t="shared" si="123"/>
        <v>1E-3</v>
      </c>
      <c r="BI101" s="1018" t="e">
        <f t="shared" si="124"/>
        <v>#VALUE!</v>
      </c>
      <c r="BJ101" s="1018" t="e">
        <f t="shared" si="125"/>
        <v>#VALUE!</v>
      </c>
      <c r="BK101" s="1018" t="e">
        <f t="shared" si="126"/>
        <v>#VALUE!</v>
      </c>
      <c r="BL101" s="1018" t="e">
        <f t="shared" si="127"/>
        <v>#VALUE!</v>
      </c>
      <c r="BM101" s="1018" t="e">
        <f t="shared" si="128"/>
        <v>#VALUE!</v>
      </c>
      <c r="BN101" s="1018" t="e">
        <f t="shared" si="129"/>
        <v>#VALUE!</v>
      </c>
      <c r="BO101" s="1018" t="e">
        <f t="shared" si="130"/>
        <v>#VALUE!</v>
      </c>
      <c r="BP101" s="1018" t="e">
        <f t="shared" si="131"/>
        <v>#VALUE!</v>
      </c>
      <c r="BQ101" s="1018" t="e">
        <f t="shared" si="132"/>
        <v>#VALUE!</v>
      </c>
      <c r="BR101" s="1018" t="e">
        <f t="shared" si="133"/>
        <v>#VALUE!</v>
      </c>
    </row>
    <row r="102" spans="1:70" ht="12.75" hidden="1" customHeight="1" x14ac:dyDescent="0.2">
      <c r="A102" s="647" t="str">
        <f t="shared" si="90"/>
        <v/>
      </c>
      <c r="B102" s="99">
        <f t="shared" si="91"/>
        <v>108</v>
      </c>
      <c r="C102" s="409" t="str">
        <f t="shared" si="92"/>
        <v/>
      </c>
      <c r="D102" s="367">
        <f t="shared" si="93"/>
        <v>108</v>
      </c>
      <c r="E102" s="100" t="str">
        <f t="shared" si="94"/>
        <v/>
      </c>
      <c r="F102" s="99">
        <f t="shared" si="95"/>
        <v>108</v>
      </c>
      <c r="G102" s="101" t="str">
        <f t="shared" si="96"/>
        <v/>
      </c>
      <c r="H102" s="99">
        <f t="shared" si="97"/>
        <v>-892</v>
      </c>
      <c r="I102" s="102" t="str">
        <f t="shared" si="98"/>
        <v/>
      </c>
      <c r="J102" s="103">
        <f t="shared" si="99"/>
        <v>108</v>
      </c>
      <c r="K102" s="71" t="str">
        <f t="shared" si="134"/>
        <v/>
      </c>
      <c r="L102" s="658" t="s">
        <v>222</v>
      </c>
      <c r="M102" s="209"/>
      <c r="N102" s="210" t="s">
        <v>105</v>
      </c>
      <c r="O102" s="1025" t="s">
        <v>117</v>
      </c>
      <c r="P102" s="212" t="s">
        <v>317</v>
      </c>
      <c r="Q102" s="213" t="s">
        <v>88</v>
      </c>
      <c r="R102" s="110">
        <f>(IF(COUNT(Z102,AA102,AB102,AC102,AD102,AE102,AF102,AG102,AH102,AI102)&lt;10,SUM(Z102,AA102,AB102,AC102,AD102,AE102,AF102,AG102,AH102,AI102),SUM(LARGE((Z102,AA102,AB102,AC102,AD102,AE102,AF102,AG102,AH102,AI102),{1;2;3;4;5;6;7;8;9}))))</f>
        <v>0</v>
      </c>
      <c r="S102" s="111" t="str">
        <f>INDEX(ETAPP!B$1:B$32,MATCH(COUNTIF(BI102:BR102,1),ETAPP!A$1:A$32,0))&amp;INDEX(ETAPP!B$1:B$32,MATCH(COUNTIF(BI102:BR102,2),ETAPP!A$1:A$32,0))&amp;INDEX(ETAPP!B$1:B$32,MATCH(COUNTIF(BI102:BR102,3),ETAPP!A$1:A$32,0))&amp;INDEX(ETAPP!B$1:B$32,MATCH(COUNTIF(BI102:BR102,4),ETAPP!A$1:A$32,0))&amp;INDEX(ETAPP!B$1:B$32,MATCH(COUNTIF(BI102:BR102,5),ETAPP!A$1:A$32,0))&amp;INDEX(ETAPP!B$1:B$32,MATCH(COUNTIF(BI102:BR102,6),ETAPP!A$1:A$32,0))&amp;INDEX(ETAPP!B$1:B$32,MATCH(COUNTIF(BI102:BR102,7),ETAPP!A$1:A$32,0))&amp;INDEX(ETAPP!B$1:B$32,MATCH(COUNTIF(BI102:BR102,8),ETAPP!A$1:A$32,0))&amp;INDEX(ETAPP!B$1:B$32,MATCH(COUNTIF(BI102:BR102,9),ETAPP!A$1:A$32,0))&amp;INDEX(ETAPP!B$1:B$32,MATCH(COUNTIF(BI102:BR102,10),ETAPP!A$1:A$32,0))&amp;INDEX(ETAPP!B$1:B$32,MATCH(COUNTIF(BI102:BR102,11),ETAPP!A$1:A$32,0))&amp;INDEX(ETAPP!B$1:B$32,MATCH(COUNTIF(BI102:BR102,12),ETAPP!A$1:A$32,0))&amp;INDEX(ETAPP!B$1:B$32,MATCH(COUNTIF(BI102:BR102,13),ETAPP!A$1:A$32,0))&amp;INDEX(ETAPP!B$1:B$32,MATCH(COUNTIF(BI102:BR102,14),ETAPP!A$1:A$32,0))&amp;INDEX(ETAPP!B$1:B$32,MATCH(COUNTIF(BI102:BR102,15),ETAPP!A$1:A$32,0))&amp;INDEX(ETAPP!B$1:B$32,MATCH(COUNTIF(BI102:BR102,16),ETAPP!A$1:A$32,0))&amp;INDEX(ETAPP!B$1:B$32,MATCH(COUNTIF(BI102:BR102,17),ETAPP!A$1:A$32,0))&amp;INDEX(ETAPP!B$1:B$32,MATCH(COUNTIF(BI102:BR102,18),ETAPP!A$1:A$32,0))&amp;INDEX(ETAPP!B$1:B$32,MATCH(COUNTIF(BI102:BR102,19),ETAPP!A$1:A$32,0))&amp;INDEX(ETAPP!B$1:B$32,MATCH(COUNTIF(BI102:BR102,20),ETAPP!A$1:A$32,0))&amp;INDEX(ETAPP!B$1:B$32,MATCH(COUNTIF(BI102:BR102,21),ETAPP!A$1:A$32,0))</f>
        <v>000000000000000000000</v>
      </c>
      <c r="T102" s="111" t="str">
        <f t="shared" si="101"/>
        <v>000,0-000000000000000000000</v>
      </c>
      <c r="U102" s="111">
        <f t="shared" si="102"/>
        <v>108</v>
      </c>
      <c r="V102" s="111">
        <f t="shared" si="103"/>
        <v>28</v>
      </c>
      <c r="W102" s="111" t="str">
        <f t="shared" si="104"/>
        <v>000,0-000000000000000000000-028</v>
      </c>
      <c r="X102" s="111">
        <f t="shared" si="105"/>
        <v>96</v>
      </c>
      <c r="Y102" s="112">
        <f t="shared" si="106"/>
        <v>13</v>
      </c>
      <c r="Z102" s="113" t="str">
        <f>IFERROR(INDEX('V1'!C$300:C$400,MATCH("*"&amp;L102&amp;"*",'V1'!B$300:B$400,0)),"  ")</f>
        <v xml:space="preserve">  </v>
      </c>
      <c r="AA102" s="113" t="str">
        <f>IFERROR(INDEX('V2'!C$300:C$400,MATCH("*"&amp;L102&amp;"*",'V2'!B$300:B$400,0)),"  ")</f>
        <v xml:space="preserve">  </v>
      </c>
      <c r="AB102" s="113" t="str">
        <f>IFERROR(INDEX('V3'!C$300:C$400,MATCH("*"&amp;L102&amp;"*",'V3'!B$300:B$400,0)),"  ")</f>
        <v xml:space="preserve">  </v>
      </c>
      <c r="AC102" s="113" t="str">
        <f>IFERROR(INDEX('V4'!C$300:C$400,MATCH("*"&amp;L102&amp;"*",'V4'!B$300:B$400,0)),"  ")</f>
        <v xml:space="preserve">  </v>
      </c>
      <c r="AD102" s="113" t="str">
        <f>IFERROR(INDEX('V5'!C$300:C$400,MATCH("*"&amp;L102&amp;"*",'V5'!B$300:B$400,0)),"  ")</f>
        <v xml:space="preserve">  </v>
      </c>
      <c r="AE102" s="113" t="str">
        <f>IFERROR(INDEX('V6'!C$300:C$400,MATCH("*"&amp;L102&amp;"*",'V6'!B$300:B$400,0)),"  ")</f>
        <v xml:space="preserve">  </v>
      </c>
      <c r="AF102" s="113" t="str">
        <f>IFERROR(INDEX('V7'!C$300:C$400,MATCH("*"&amp;L102&amp;"*",'V7'!B$300:B$400,0)),"  ")</f>
        <v xml:space="preserve">  </v>
      </c>
      <c r="AG102" s="113" t="str">
        <f>IFERROR(INDEX('V8'!C$300:C$400,MATCH("*"&amp;L102&amp;"*",'V8'!B$300:B$400,0)),"  ")</f>
        <v xml:space="preserve">  </v>
      </c>
      <c r="AH102" s="113" t="str">
        <f>IFERROR(INDEX('V9'!C$300:C$399,MATCH("*"&amp;L102&amp;"*",'V9'!B$300:B$399,0)),"  ")</f>
        <v xml:space="preserve">  </v>
      </c>
      <c r="AI102" s="113" t="str">
        <f>IFERROR(INDEX('V10'!C$300:C$399,MATCH("*"&amp;L102&amp;"*",'V10'!B$300:B$399,0)),"  ")</f>
        <v xml:space="preserve">  </v>
      </c>
      <c r="AJ102" s="114" t="str">
        <f t="shared" si="107"/>
        <v/>
      </c>
      <c r="AK102" s="404">
        <f t="shared" si="108"/>
        <v>0</v>
      </c>
      <c r="AL102" s="115" t="str">
        <f t="shared" si="109"/>
        <v/>
      </c>
      <c r="AM102" s="116" t="str">
        <f>IFERROR(INDEX(#REF!,MATCH("*"&amp;L102&amp;"*",#REF!,0)),"  ")</f>
        <v xml:space="preserve">  </v>
      </c>
      <c r="AN102" s="117">
        <f t="shared" si="110"/>
        <v>0</v>
      </c>
      <c r="AO102" s="118">
        <f t="shared" si="111"/>
        <v>0</v>
      </c>
      <c r="AP102" s="118">
        <f t="shared" si="112"/>
        <v>0</v>
      </c>
      <c r="AQ102" s="49"/>
      <c r="AR102" s="1"/>
      <c r="AS102" s="1"/>
      <c r="AT102" s="119">
        <f t="shared" si="113"/>
        <v>1E-4</v>
      </c>
      <c r="AU102" s="120">
        <f t="shared" si="114"/>
        <v>1E-4</v>
      </c>
      <c r="AV102" s="120">
        <f t="shared" si="115"/>
        <v>2.0000000000000001E-4</v>
      </c>
      <c r="AW102" s="120">
        <f t="shared" si="116"/>
        <v>2.9999999999999997E-4</v>
      </c>
      <c r="AX102" s="120">
        <f t="shared" si="117"/>
        <v>4.0000000000000002E-4</v>
      </c>
      <c r="AY102" s="120">
        <f t="shared" si="118"/>
        <v>5.0000000000000001E-4</v>
      </c>
      <c r="AZ102" s="120">
        <f t="shared" si="119"/>
        <v>5.9999999999999995E-4</v>
      </c>
      <c r="BA102" s="120">
        <f t="shared" si="120"/>
        <v>6.9999999999999999E-4</v>
      </c>
      <c r="BB102" s="120">
        <f t="shared" si="121"/>
        <v>8.0000000000000004E-4</v>
      </c>
      <c r="BC102" s="120">
        <f t="shared" si="122"/>
        <v>8.9999999999999998E-4</v>
      </c>
      <c r="BD102" s="120">
        <f t="shared" si="123"/>
        <v>1E-3</v>
      </c>
      <c r="BI102" s="1018" t="e">
        <f t="shared" si="124"/>
        <v>#VALUE!</v>
      </c>
      <c r="BJ102" s="1018" t="e">
        <f t="shared" si="125"/>
        <v>#VALUE!</v>
      </c>
      <c r="BK102" s="1018" t="e">
        <f t="shared" si="126"/>
        <v>#VALUE!</v>
      </c>
      <c r="BL102" s="1018" t="e">
        <f t="shared" si="127"/>
        <v>#VALUE!</v>
      </c>
      <c r="BM102" s="1018" t="e">
        <f t="shared" si="128"/>
        <v>#VALUE!</v>
      </c>
      <c r="BN102" s="1018" t="e">
        <f t="shared" si="129"/>
        <v>#VALUE!</v>
      </c>
      <c r="BO102" s="1018" t="e">
        <f t="shared" si="130"/>
        <v>#VALUE!</v>
      </c>
      <c r="BP102" s="1018" t="e">
        <f t="shared" si="131"/>
        <v>#VALUE!</v>
      </c>
      <c r="BQ102" s="1018" t="e">
        <f t="shared" si="132"/>
        <v>#VALUE!</v>
      </c>
      <c r="BR102" s="1018" t="e">
        <f t="shared" si="133"/>
        <v>#VALUE!</v>
      </c>
    </row>
    <row r="103" spans="1:70" ht="12.75" hidden="1" customHeight="1" x14ac:dyDescent="0.2">
      <c r="A103" s="647" t="str">
        <f t="shared" ref="A103:A114" si="135">IF(R103&gt;0,IF(Q103="Viru SK",RANK(B103,B$7:B$114,1)-COUNTIF((Q$7:Q$114),"&lt;&gt;Viru SK"),""),"")</f>
        <v/>
      </c>
      <c r="B103" s="99">
        <f t="shared" ref="B103:B114" si="136">IF((Q103="Viru SK"),U103,U103-1000)</f>
        <v>-892</v>
      </c>
      <c r="C103" s="409" t="str">
        <f t="shared" ref="C103:C114" si="137">IF(R103&gt;0,IF(P103="t",RANK(D103,D$7:D$114,1)-COUNTBLANK(P$7:P$114),""),"")</f>
        <v/>
      </c>
      <c r="D103" s="367">
        <f t="shared" ref="D103:D114" si="138">IF((P103="t"),U103,U103-1000)</f>
        <v>-892</v>
      </c>
      <c r="E103" s="100" t="str">
        <f t="shared" ref="E103:E114" si="139">IF(R103&gt;0,IF(N103="m",RANK(F103,F$7:F$114,1)-COUNTBLANK(N$7:N$114),""),"")</f>
        <v/>
      </c>
      <c r="F103" s="99">
        <f t="shared" ref="F103:F114" si="140">IF((N103="m"),U103,U103-1000)</f>
        <v>-892</v>
      </c>
      <c r="G103" s="101" t="str">
        <f t="shared" ref="G103:G114" si="141">IF(R103&gt;0,IF(M103="n",RANK(H103,H$7:H$114,1)-COUNTBLANK(M$7:M$114),""),"")</f>
        <v/>
      </c>
      <c r="H103" s="99">
        <f t="shared" ref="H103:H114" si="142">IF((M103="n"),U103,U103-1000)</f>
        <v>108</v>
      </c>
      <c r="I103" s="102" t="str">
        <f t="shared" ref="I103:I114" si="143">IF(R103&gt;0,IF(O103="j",RANK(J103,J$7:J$114,1)-COUNTBLANK(O$7:O$114),""),"")</f>
        <v/>
      </c>
      <c r="J103" s="103">
        <f t="shared" ref="J103:J114" si="144">IF((O103="j"),U103,U103-1000)</f>
        <v>-892</v>
      </c>
      <c r="K103" s="71" t="str">
        <f t="shared" si="134"/>
        <v/>
      </c>
      <c r="L103" s="375" t="s">
        <v>148</v>
      </c>
      <c r="M103" s="345" t="s">
        <v>110</v>
      </c>
      <c r="N103" s="346"/>
      <c r="O103" s="347"/>
      <c r="P103" s="348"/>
      <c r="Q103" s="349" t="s">
        <v>344</v>
      </c>
      <c r="R103" s="110">
        <f>(IF(COUNT(Z103,AA103,AB103,AC103,AD103,AE103,AF103,AG103,AH103,AI103)&lt;10,SUM(Z103,AA103,AB103,AC103,AD103,AE103,AF103,AG103,AH103,AI103),SUM(LARGE((Z103,AA103,AB103,AC103,AD103,AE103,AF103,AG103,AH103,AI103),{1;2;3;4;5;6;7;8;9}))))</f>
        <v>0</v>
      </c>
      <c r="S103" s="111" t="str">
        <f>INDEX(ETAPP!B$1:B$32,MATCH(COUNTIF(BI103:BR103,1),ETAPP!A$1:A$32,0))&amp;INDEX(ETAPP!B$1:B$32,MATCH(COUNTIF(BI103:BR103,2),ETAPP!A$1:A$32,0))&amp;INDEX(ETAPP!B$1:B$32,MATCH(COUNTIF(BI103:BR103,3),ETAPP!A$1:A$32,0))&amp;INDEX(ETAPP!B$1:B$32,MATCH(COUNTIF(BI103:BR103,4),ETAPP!A$1:A$32,0))&amp;INDEX(ETAPP!B$1:B$32,MATCH(COUNTIF(BI103:BR103,5),ETAPP!A$1:A$32,0))&amp;INDEX(ETAPP!B$1:B$32,MATCH(COUNTIF(BI103:BR103,6),ETAPP!A$1:A$32,0))&amp;INDEX(ETAPP!B$1:B$32,MATCH(COUNTIF(BI103:BR103,7),ETAPP!A$1:A$32,0))&amp;INDEX(ETAPP!B$1:B$32,MATCH(COUNTIF(BI103:BR103,8),ETAPP!A$1:A$32,0))&amp;INDEX(ETAPP!B$1:B$32,MATCH(COUNTIF(BI103:BR103,9),ETAPP!A$1:A$32,0))&amp;INDEX(ETAPP!B$1:B$32,MATCH(COUNTIF(BI103:BR103,10),ETAPP!A$1:A$32,0))&amp;INDEX(ETAPP!B$1:B$32,MATCH(COUNTIF(BI103:BR103,11),ETAPP!A$1:A$32,0))&amp;INDEX(ETAPP!B$1:B$32,MATCH(COUNTIF(BI103:BR103,12),ETAPP!A$1:A$32,0))&amp;INDEX(ETAPP!B$1:B$32,MATCH(COUNTIF(BI103:BR103,13),ETAPP!A$1:A$32,0))&amp;INDEX(ETAPP!B$1:B$32,MATCH(COUNTIF(BI103:BR103,14),ETAPP!A$1:A$32,0))&amp;INDEX(ETAPP!B$1:B$32,MATCH(COUNTIF(BI103:BR103,15),ETAPP!A$1:A$32,0))&amp;INDEX(ETAPP!B$1:B$32,MATCH(COUNTIF(BI103:BR103,16),ETAPP!A$1:A$32,0))&amp;INDEX(ETAPP!B$1:B$32,MATCH(COUNTIF(BI103:BR103,17),ETAPP!A$1:A$32,0))&amp;INDEX(ETAPP!B$1:B$32,MATCH(COUNTIF(BI103:BR103,18),ETAPP!A$1:A$32,0))&amp;INDEX(ETAPP!B$1:B$32,MATCH(COUNTIF(BI103:BR103,19),ETAPP!A$1:A$32,0))&amp;INDEX(ETAPP!B$1:B$32,MATCH(COUNTIF(BI103:BR103,20),ETAPP!A$1:A$32,0))&amp;INDEX(ETAPP!B$1:B$32,MATCH(COUNTIF(BI103:BR103,21),ETAPP!A$1:A$32,0))</f>
        <v>000000000000000000000</v>
      </c>
      <c r="T103" s="111" t="str">
        <f t="shared" ref="T103:T114" si="145">TEXT(R103,"000,0")&amp;"-"&amp;S103</f>
        <v>000,0-000000000000000000000</v>
      </c>
      <c r="U103" s="111">
        <f t="shared" ref="U103:U114" si="146">COUNTIF(T$7:T$114,"&gt;="&amp;T103)</f>
        <v>108</v>
      </c>
      <c r="V103" s="111">
        <f t="shared" ref="V103:V114" si="147">COUNTIF(L$7:L$114,"&gt;="&amp;L103)</f>
        <v>27</v>
      </c>
      <c r="W103" s="111" t="str">
        <f t="shared" ref="W103:W114" si="148">TEXT(R103,"000,0")&amp;"-"&amp;S103&amp;"-"&amp;TEXT(V103,"000")</f>
        <v>000,0-000000000000000000000-027</v>
      </c>
      <c r="X103" s="111">
        <f t="shared" ref="X103:X114" si="149">COUNTIF(W$7:W$114,"&gt;="&amp;W103)</f>
        <v>97</v>
      </c>
      <c r="Y103" s="112">
        <f t="shared" ref="Y103:Y114" si="150">RANK(X103,X$7:X$114,0)</f>
        <v>12</v>
      </c>
      <c r="Z103" s="113" t="str">
        <f>IFERROR(INDEX('V1'!C$300:C$400,MATCH("*"&amp;L103&amp;"*",'V1'!B$300:B$400,0)),"  ")</f>
        <v xml:space="preserve">  </v>
      </c>
      <c r="AA103" s="113" t="str">
        <f>IFERROR(INDEX('V2'!C$300:C$400,MATCH("*"&amp;L103&amp;"*",'V2'!B$300:B$400,0)),"  ")</f>
        <v xml:space="preserve">  </v>
      </c>
      <c r="AB103" s="113" t="str">
        <f>IFERROR(INDEX('V3'!C$300:C$400,MATCH("*"&amp;L103&amp;"*",'V3'!B$300:B$400,0)),"  ")</f>
        <v xml:space="preserve">  </v>
      </c>
      <c r="AC103" s="113" t="str">
        <f>IFERROR(INDEX('V4'!C$300:C$400,MATCH("*"&amp;L103&amp;"*",'V4'!B$300:B$400,0)),"  ")</f>
        <v xml:space="preserve">  </v>
      </c>
      <c r="AD103" s="113" t="str">
        <f>IFERROR(INDEX('V5'!C$300:C$400,MATCH("*"&amp;L103&amp;"*",'V5'!B$300:B$400,0)),"  ")</f>
        <v xml:space="preserve">  </v>
      </c>
      <c r="AE103" s="113" t="str">
        <f>IFERROR(INDEX('V6'!C$300:C$400,MATCH("*"&amp;L103&amp;"*",'V6'!B$300:B$400,0)),"  ")</f>
        <v xml:space="preserve">  </v>
      </c>
      <c r="AF103" s="113" t="str">
        <f>IFERROR(INDEX('V7'!C$300:C$400,MATCH("*"&amp;L103&amp;"*",'V7'!B$300:B$400,0)),"  ")</f>
        <v xml:space="preserve">  </v>
      </c>
      <c r="AG103" s="113" t="str">
        <f>IFERROR(INDEX('V8'!C$300:C$400,MATCH("*"&amp;L103&amp;"*",'V8'!B$300:B$400,0)),"  ")</f>
        <v xml:space="preserve">  </v>
      </c>
      <c r="AH103" s="113" t="str">
        <f>IFERROR(INDEX('V9'!C$300:C$399,MATCH("*"&amp;L103&amp;"*",'V9'!B$300:B$399,0)),"  ")</f>
        <v xml:space="preserve">  </v>
      </c>
      <c r="AI103" s="113" t="str">
        <f>IFERROR(INDEX('V10'!C$300:C$399,MATCH("*"&amp;L103&amp;"*",'V10'!B$300:B$399,0)),"  ")</f>
        <v xml:space="preserve">  </v>
      </c>
      <c r="AJ103" s="114" t="str">
        <f t="shared" ref="AJ103:AJ114" si="151">IF(AN103&gt;(AT$2-1),K103,"")</f>
        <v/>
      </c>
      <c r="AK103" s="404">
        <f t="shared" ref="AK103:AK114" si="152">SUM(Z103:AI103)</f>
        <v>0</v>
      </c>
      <c r="AL103" s="115" t="str">
        <f t="shared" ref="AL103:AL114" si="153">IFERROR("edasi "&amp;RANK(AJ103,AJ$7:AJ$114,1),K103)</f>
        <v/>
      </c>
      <c r="AM103" s="116" t="str">
        <f>IFERROR(INDEX(#REF!,MATCH("*"&amp;L103&amp;"*",#REF!,0)),"  ")</f>
        <v xml:space="preserve">  </v>
      </c>
      <c r="AN103" s="117">
        <f t="shared" ref="AN103:AN114" si="154">COUNTIF(Z103:AI103,"&gt;=0")</f>
        <v>0</v>
      </c>
      <c r="AO103" s="118">
        <f t="shared" ref="AO103:AO114" si="155">IFERROR(IF(Z103+1&gt;LARGE(Z$7:Z$114,1)-2*LEN(Z$5),1),0)+IFERROR(IF(AA103+1&gt;LARGE(AA$7:AA$114,1)-2*LEN(AA$5),1),0)+IFERROR(IF(AB103+1&gt;LARGE(AB$7:AB$114,1)-2*LEN(AB$5),1),0)+IFERROR(IF(AC103+1&gt;LARGE(AC$7:AC$114,1)-2*LEN(AC$5),1),0)+IFERROR(IF(AD103+1&gt;LARGE(AD$7:AD$114,1)-2*LEN(AD$5),1),0)+IFERROR(IF(AE103+1&gt;LARGE(AE$7:AE$114,1)-2*LEN(AE$5),1),0)+IFERROR(IF(AF103+1&gt;LARGE(AF$7:AF$114,1)-2*LEN(AF$5),1),0)+IFERROR(IF(AG103+1&gt;LARGE(AG$7:AG$114,1)-2*LEN(AG$5),1),0)+IFERROR(IF(AH103+1&gt;LARGE(AH$7:AH$114,1)-2*LEN(AH$5),1),0)+IFERROR(IF(AI103+1&gt;LARGE(AI$7:AI$114,1)-2*LEN(AI$5),1),0)</f>
        <v>0</v>
      </c>
      <c r="AP103" s="118">
        <f t="shared" ref="AP103:AP114" si="156">IF(Z103=0,0,IF(Z103=IFERROR(LARGE(Z$7:Z$114,1),0),1,0))+IF(AA103=0,0,IF(AA103=IFERROR(LARGE(AA$7:AA$114,1),0),1,0))+IF(AB103=0,0,IF(AB103=IFERROR(LARGE(AB$7:AB$114,1),0),1,0))+IF(AC103=0,0,IF(AC103=IFERROR(LARGE(AC$7:AC$114,1),0),1,0))+IF(AD103=0,0,IF(AD103=IFERROR(LARGE(AD$7:AD$114,1),0),1,0))+IF(AE103=0,0,IF(AE103=IFERROR(LARGE(AE$7:AE$114,1),0),1,0))+IF(AF103=0,0,IF(AF103=IFERROR(LARGE(AF$7:AF$114,1),0),1,0))+IF(AG103=0,0,IF(AG103=IFERROR(LARGE(AG$7:AG$114,1),0),1,0))+IF(AH103=0,0,IF(AH103=IFERROR(LARGE(AH$7:AH$114,1),0),1,0))+IF(AI103=0,0,IF(AI103=IFERROR(LARGE(AI$7:AI$114,1),0),1,0))</f>
        <v>0</v>
      </c>
      <c r="AQ103" s="49"/>
      <c r="AR103" s="1"/>
      <c r="AS103" s="1"/>
      <c r="AT103" s="119">
        <f t="shared" ref="AT103:AT114" si="157">SMALL(AU103:BD103,AT$3)</f>
        <v>1E-4</v>
      </c>
      <c r="AU103" s="120">
        <f t="shared" ref="AU103:AU114" si="158">IF(Z103="  ",0+MID(Z$6,FIND("V",Z$6)+1,256)/10000,Z103+MID(Z$6,FIND("V",Z$6)+1,256)/10000)</f>
        <v>1E-4</v>
      </c>
      <c r="AV103" s="120">
        <f t="shared" ref="AV103:AV114" si="159">IF(AA103="  ",0+MID(AA$6,FIND("V",AA$6)+1,256)/10000,AA103+MID(AA$6,FIND("V",AA$6)+1,256)/10000)</f>
        <v>2.0000000000000001E-4</v>
      </c>
      <c r="AW103" s="120">
        <f t="shared" ref="AW103:AW114" si="160">IF(AB103="  ",0+MID(AB$6,FIND("V",AB$6)+1,256)/10000,AB103+MID(AB$6,FIND("V",AB$6)+1,256)/10000)</f>
        <v>2.9999999999999997E-4</v>
      </c>
      <c r="AX103" s="120">
        <f t="shared" ref="AX103:AX114" si="161">IF(AC103="  ",0+MID(AC$6,FIND("V",AC$6)+1,256)/10000,AC103+MID(AC$6,FIND("V",AC$6)+1,256)/10000)</f>
        <v>4.0000000000000002E-4</v>
      </c>
      <c r="AY103" s="120">
        <f t="shared" ref="AY103:AY114" si="162">IF(AD103="  ",0+MID(AD$6,FIND("V",AD$6)+1,256)/10000,AD103+MID(AD$6,FIND("V",AD$6)+1,256)/10000)</f>
        <v>5.0000000000000001E-4</v>
      </c>
      <c r="AZ103" s="120">
        <f t="shared" ref="AZ103:AZ114" si="163">IF(AE103="  ",0+MID(AE$6,FIND("V",AE$6)+1,256)/10000,AE103+MID(AE$6,FIND("V",AE$6)+1,256)/10000)</f>
        <v>5.9999999999999995E-4</v>
      </c>
      <c r="BA103" s="120">
        <f t="shared" ref="BA103:BA114" si="164">IF(AF103="  ",0+MID(AF$6,FIND("V",AF$6)+1,256)/10000,AF103+MID(AF$6,FIND("V",AF$6)+1,256)/10000)</f>
        <v>6.9999999999999999E-4</v>
      </c>
      <c r="BB103" s="120">
        <f t="shared" ref="BB103:BB114" si="165">IF(AG103="  ",0+MID(AG$6,FIND("V",AG$6)+1,256)/10000,AG103+MID(AG$6,FIND("V",AG$6)+1,256)/10000)</f>
        <v>8.0000000000000004E-4</v>
      </c>
      <c r="BC103" s="120">
        <f t="shared" ref="BC103:BC114" si="166">IF(AH103="  ",0+MID(AH$6,FIND("V",AH$6)+1,256)/10000,AH103+MID(AH$6,FIND("V",AH$6)+1,256)/10000)</f>
        <v>8.9999999999999998E-4</v>
      </c>
      <c r="BD103" s="120">
        <f t="shared" ref="BD103:BD114" si="167">IF(AI103="  ",0+MID(AI$6,FIND("V",AI$6)+1,256)/10000,AI103+MID(AI$6,FIND("V",AI$6)+1,256)/10000)</f>
        <v>1E-3</v>
      </c>
      <c r="BI103" s="1018" t="e">
        <f t="shared" ref="BI103:BI114" si="168">(LARGE(Z$7:Z$114,1)-Z103)/2+1</f>
        <v>#VALUE!</v>
      </c>
      <c r="BJ103" s="1018" t="e">
        <f t="shared" ref="BJ103:BJ114" si="169">(LARGE(AA$7:AA$114,1)-AA103)/2+1</f>
        <v>#VALUE!</v>
      </c>
      <c r="BK103" s="1018" t="e">
        <f t="shared" ref="BK103:BK114" si="170">(LARGE(AB$7:AB$114,1)-AB103)/2+1</f>
        <v>#VALUE!</v>
      </c>
      <c r="BL103" s="1018" t="e">
        <f t="shared" ref="BL103:BL114" si="171">(LARGE(AC$7:AC$114,1)-AC103)/2+1</f>
        <v>#VALUE!</v>
      </c>
      <c r="BM103" s="1018" t="e">
        <f t="shared" ref="BM103:BM114" si="172">(LARGE(AD$7:AD$114,1)-AD103)/2+1</f>
        <v>#VALUE!</v>
      </c>
      <c r="BN103" s="1018" t="e">
        <f t="shared" ref="BN103:BN114" si="173">(LARGE(AE$7:AE$114,1)-AE103)/2+1</f>
        <v>#VALUE!</v>
      </c>
      <c r="BO103" s="1018" t="e">
        <f t="shared" ref="BO103:BO114" si="174">(LARGE(AF$7:AF$114,1)-AF103)/2+1</f>
        <v>#VALUE!</v>
      </c>
      <c r="BP103" s="1018" t="e">
        <f t="shared" ref="BP103:BP114" si="175">(LARGE(AG$7:AG$114,1)-AG103)/2+1</f>
        <v>#VALUE!</v>
      </c>
      <c r="BQ103" s="1018" t="e">
        <f t="shared" ref="BQ103:BQ114" si="176">(LARGE(AH$7:AH$114,1)-AH103)/2+1</f>
        <v>#VALUE!</v>
      </c>
      <c r="BR103" s="1018" t="e">
        <f t="shared" ref="BR103:BR114" si="177">(LARGE(AI$7:AI$114,1)-AI103)/2+1</f>
        <v>#VALUE!</v>
      </c>
    </row>
    <row r="104" spans="1:70" ht="12.75" hidden="1" customHeight="1" x14ac:dyDescent="0.2">
      <c r="A104" s="647" t="str">
        <f t="shared" si="135"/>
        <v/>
      </c>
      <c r="B104" s="99">
        <f t="shared" si="136"/>
        <v>108</v>
      </c>
      <c r="C104" s="409" t="str">
        <f t="shared" si="137"/>
        <v/>
      </c>
      <c r="D104" s="367">
        <f t="shared" si="138"/>
        <v>-892</v>
      </c>
      <c r="E104" s="100" t="str">
        <f t="shared" si="139"/>
        <v/>
      </c>
      <c r="F104" s="99">
        <f t="shared" si="140"/>
        <v>-892</v>
      </c>
      <c r="G104" s="101" t="str">
        <f t="shared" si="141"/>
        <v/>
      </c>
      <c r="H104" s="99">
        <f t="shared" si="142"/>
        <v>108</v>
      </c>
      <c r="I104" s="102" t="str">
        <f t="shared" si="143"/>
        <v/>
      </c>
      <c r="J104" s="103">
        <f t="shared" si="144"/>
        <v>-892</v>
      </c>
      <c r="K104" s="71" t="str">
        <f t="shared" si="134"/>
        <v/>
      </c>
      <c r="L104" s="123" t="s">
        <v>139</v>
      </c>
      <c r="M104" s="105" t="s">
        <v>110</v>
      </c>
      <c r="N104" s="106"/>
      <c r="O104" s="107"/>
      <c r="P104" s="108"/>
      <c r="Q104" s="109" t="s">
        <v>88</v>
      </c>
      <c r="R104" s="110">
        <f>(IF(COUNT(Z104,AA104,AB104,AC104,AD104,AE104,AF104,AG104,AH104,AI104)&lt;10,SUM(Z104,AA104,AB104,AC104,AD104,AE104,AF104,AG104,AH104,AI104),SUM(LARGE((Z104,AA104,AB104,AC104,AD104,AE104,AF104,AG104,AH104,AI104),{1;2;3;4;5;6;7;8;9}))))</f>
        <v>0</v>
      </c>
      <c r="S104" s="111" t="str">
        <f>INDEX(ETAPP!B$1:B$32,MATCH(COUNTIF(BI104:BR104,1),ETAPP!A$1:A$32,0))&amp;INDEX(ETAPP!B$1:B$32,MATCH(COUNTIF(BI104:BR104,2),ETAPP!A$1:A$32,0))&amp;INDEX(ETAPP!B$1:B$32,MATCH(COUNTIF(BI104:BR104,3),ETAPP!A$1:A$32,0))&amp;INDEX(ETAPP!B$1:B$32,MATCH(COUNTIF(BI104:BR104,4),ETAPP!A$1:A$32,0))&amp;INDEX(ETAPP!B$1:B$32,MATCH(COUNTIF(BI104:BR104,5),ETAPP!A$1:A$32,0))&amp;INDEX(ETAPP!B$1:B$32,MATCH(COUNTIF(BI104:BR104,6),ETAPP!A$1:A$32,0))&amp;INDEX(ETAPP!B$1:B$32,MATCH(COUNTIF(BI104:BR104,7),ETAPP!A$1:A$32,0))&amp;INDEX(ETAPP!B$1:B$32,MATCH(COUNTIF(BI104:BR104,8),ETAPP!A$1:A$32,0))&amp;INDEX(ETAPP!B$1:B$32,MATCH(COUNTIF(BI104:BR104,9),ETAPP!A$1:A$32,0))&amp;INDEX(ETAPP!B$1:B$32,MATCH(COUNTIF(BI104:BR104,10),ETAPP!A$1:A$32,0))&amp;INDEX(ETAPP!B$1:B$32,MATCH(COUNTIF(BI104:BR104,11),ETAPP!A$1:A$32,0))&amp;INDEX(ETAPP!B$1:B$32,MATCH(COUNTIF(BI104:BR104,12),ETAPP!A$1:A$32,0))&amp;INDEX(ETAPP!B$1:B$32,MATCH(COUNTIF(BI104:BR104,13),ETAPP!A$1:A$32,0))&amp;INDEX(ETAPP!B$1:B$32,MATCH(COUNTIF(BI104:BR104,14),ETAPP!A$1:A$32,0))&amp;INDEX(ETAPP!B$1:B$32,MATCH(COUNTIF(BI104:BR104,15),ETAPP!A$1:A$32,0))&amp;INDEX(ETAPP!B$1:B$32,MATCH(COUNTIF(BI104:BR104,16),ETAPP!A$1:A$32,0))&amp;INDEX(ETAPP!B$1:B$32,MATCH(COUNTIF(BI104:BR104,17),ETAPP!A$1:A$32,0))&amp;INDEX(ETAPP!B$1:B$32,MATCH(COUNTIF(BI104:BR104,18),ETAPP!A$1:A$32,0))&amp;INDEX(ETAPP!B$1:B$32,MATCH(COUNTIF(BI104:BR104,19),ETAPP!A$1:A$32,0))&amp;INDEX(ETAPP!B$1:B$32,MATCH(COUNTIF(BI104:BR104,20),ETAPP!A$1:A$32,0))&amp;INDEX(ETAPP!B$1:B$32,MATCH(COUNTIF(BI104:BR104,21),ETAPP!A$1:A$32,0))</f>
        <v>000000000000000000000</v>
      </c>
      <c r="T104" s="111" t="str">
        <f t="shared" si="145"/>
        <v>000,0-000000000000000000000</v>
      </c>
      <c r="U104" s="111">
        <f t="shared" si="146"/>
        <v>108</v>
      </c>
      <c r="V104" s="111">
        <f t="shared" si="147"/>
        <v>24</v>
      </c>
      <c r="W104" s="111" t="str">
        <f t="shared" si="148"/>
        <v>000,0-000000000000000000000-024</v>
      </c>
      <c r="X104" s="111">
        <f t="shared" si="149"/>
        <v>98</v>
      </c>
      <c r="Y104" s="112">
        <f t="shared" si="150"/>
        <v>11</v>
      </c>
      <c r="Z104" s="113" t="str">
        <f>IFERROR(INDEX('V1'!C$300:C$400,MATCH("*"&amp;L104&amp;"*",'V1'!B$300:B$400,0)),"  ")</f>
        <v xml:space="preserve">  </v>
      </c>
      <c r="AA104" s="113" t="str">
        <f>IFERROR(INDEX('V2'!C$300:C$400,MATCH("*"&amp;L104&amp;"*",'V2'!B$300:B$400,0)),"  ")</f>
        <v xml:space="preserve">  </v>
      </c>
      <c r="AB104" s="113" t="str">
        <f>IFERROR(INDEX('V3'!C$300:C$400,MATCH("*"&amp;L104&amp;"*",'V3'!B$300:B$400,0)),"  ")</f>
        <v xml:space="preserve">  </v>
      </c>
      <c r="AC104" s="113" t="str">
        <f>IFERROR(INDEX('V4'!C$300:C$400,MATCH("*"&amp;L104&amp;"*",'V4'!B$300:B$400,0)),"  ")</f>
        <v xml:space="preserve">  </v>
      </c>
      <c r="AD104" s="113" t="str">
        <f>IFERROR(INDEX('V5'!C$300:C$400,MATCH("*"&amp;L104&amp;"*",'V5'!B$300:B$400,0)),"  ")</f>
        <v xml:space="preserve">  </v>
      </c>
      <c r="AE104" s="113" t="str">
        <f>IFERROR(INDEX('V6'!C$300:C$400,MATCH("*"&amp;L104&amp;"*",'V6'!B$300:B$400,0)),"  ")</f>
        <v xml:space="preserve">  </v>
      </c>
      <c r="AF104" s="113" t="str">
        <f>IFERROR(INDEX('V7'!C$300:C$400,MATCH("*"&amp;L104&amp;"*",'V7'!B$300:B$400,0)),"  ")</f>
        <v xml:space="preserve">  </v>
      </c>
      <c r="AG104" s="113" t="str">
        <f>IFERROR(INDEX('V8'!C$300:C$400,MATCH("*"&amp;L104&amp;"*",'V8'!B$300:B$400,0)),"  ")</f>
        <v xml:space="preserve">  </v>
      </c>
      <c r="AH104" s="113" t="str">
        <f>IFERROR(INDEX('V9'!C$300:C$399,MATCH("*"&amp;L104&amp;"*",'V9'!B$300:B$399,0)),"  ")</f>
        <v xml:space="preserve">  </v>
      </c>
      <c r="AI104" s="113" t="str">
        <f>IFERROR(INDEX('V10'!C$300:C$399,MATCH("*"&amp;L104&amp;"*",'V10'!B$300:B$399,0)),"  ")</f>
        <v xml:space="preserve">  </v>
      </c>
      <c r="AJ104" s="114" t="str">
        <f t="shared" si="151"/>
        <v/>
      </c>
      <c r="AK104" s="404">
        <f t="shared" si="152"/>
        <v>0</v>
      </c>
      <c r="AL104" s="115" t="str">
        <f t="shared" si="153"/>
        <v/>
      </c>
      <c r="AM104" s="116" t="str">
        <f>IFERROR(INDEX(#REF!,MATCH("*"&amp;L104&amp;"*",#REF!,0)),"  ")</f>
        <v xml:space="preserve">  </v>
      </c>
      <c r="AN104" s="117">
        <f t="shared" si="154"/>
        <v>0</v>
      </c>
      <c r="AO104" s="118">
        <f t="shared" si="155"/>
        <v>0</v>
      </c>
      <c r="AP104" s="118">
        <f t="shared" si="156"/>
        <v>0</v>
      </c>
      <c r="AQ104" s="49"/>
      <c r="AR104" s="1"/>
      <c r="AS104" s="1"/>
      <c r="AT104" s="119">
        <f t="shared" si="157"/>
        <v>1E-4</v>
      </c>
      <c r="AU104" s="120">
        <f t="shared" si="158"/>
        <v>1E-4</v>
      </c>
      <c r="AV104" s="120">
        <f t="shared" si="159"/>
        <v>2.0000000000000001E-4</v>
      </c>
      <c r="AW104" s="120">
        <f t="shared" si="160"/>
        <v>2.9999999999999997E-4</v>
      </c>
      <c r="AX104" s="120">
        <f t="shared" si="161"/>
        <v>4.0000000000000002E-4</v>
      </c>
      <c r="AY104" s="120">
        <f t="shared" si="162"/>
        <v>5.0000000000000001E-4</v>
      </c>
      <c r="AZ104" s="120">
        <f t="shared" si="163"/>
        <v>5.9999999999999995E-4</v>
      </c>
      <c r="BA104" s="120">
        <f t="shared" si="164"/>
        <v>6.9999999999999999E-4</v>
      </c>
      <c r="BB104" s="120">
        <f t="shared" si="165"/>
        <v>8.0000000000000004E-4</v>
      </c>
      <c r="BC104" s="120">
        <f t="shared" si="166"/>
        <v>8.9999999999999998E-4</v>
      </c>
      <c r="BD104" s="120">
        <f t="shared" si="167"/>
        <v>1E-3</v>
      </c>
      <c r="BI104" s="1018" t="e">
        <f t="shared" si="168"/>
        <v>#VALUE!</v>
      </c>
      <c r="BJ104" s="1018" t="e">
        <f t="shared" si="169"/>
        <v>#VALUE!</v>
      </c>
      <c r="BK104" s="1018" t="e">
        <f t="shared" si="170"/>
        <v>#VALUE!</v>
      </c>
      <c r="BL104" s="1018" t="e">
        <f t="shared" si="171"/>
        <v>#VALUE!</v>
      </c>
      <c r="BM104" s="1018" t="e">
        <f t="shared" si="172"/>
        <v>#VALUE!</v>
      </c>
      <c r="BN104" s="1018" t="e">
        <f t="shared" si="173"/>
        <v>#VALUE!</v>
      </c>
      <c r="BO104" s="1018" t="e">
        <f t="shared" si="174"/>
        <v>#VALUE!</v>
      </c>
      <c r="BP104" s="1018" t="e">
        <f t="shared" si="175"/>
        <v>#VALUE!</v>
      </c>
      <c r="BQ104" s="1018" t="e">
        <f t="shared" si="176"/>
        <v>#VALUE!</v>
      </c>
      <c r="BR104" s="1018" t="e">
        <f t="shared" si="177"/>
        <v>#VALUE!</v>
      </c>
    </row>
    <row r="105" spans="1:70" ht="12.75" hidden="1" customHeight="1" x14ac:dyDescent="0.2">
      <c r="A105" s="647" t="str">
        <f t="shared" si="135"/>
        <v/>
      </c>
      <c r="B105" s="99">
        <f t="shared" si="136"/>
        <v>-892</v>
      </c>
      <c r="C105" s="409" t="str">
        <f t="shared" si="137"/>
        <v/>
      </c>
      <c r="D105" s="367">
        <f t="shared" si="138"/>
        <v>-892</v>
      </c>
      <c r="E105" s="100" t="str">
        <f t="shared" si="139"/>
        <v/>
      </c>
      <c r="F105" s="99">
        <f t="shared" si="140"/>
        <v>108</v>
      </c>
      <c r="G105" s="101" t="str">
        <f t="shared" si="141"/>
        <v/>
      </c>
      <c r="H105" s="99">
        <f t="shared" si="142"/>
        <v>-892</v>
      </c>
      <c r="I105" s="102" t="str">
        <f t="shared" si="143"/>
        <v/>
      </c>
      <c r="J105" s="103">
        <f t="shared" si="144"/>
        <v>-892</v>
      </c>
      <c r="K105" s="71" t="str">
        <f t="shared" si="134"/>
        <v/>
      </c>
      <c r="L105" s="121" t="s">
        <v>149</v>
      </c>
      <c r="M105" s="105"/>
      <c r="N105" s="106" t="s">
        <v>105</v>
      </c>
      <c r="O105" s="107"/>
      <c r="P105" s="108"/>
      <c r="Q105" s="109" t="s">
        <v>346</v>
      </c>
      <c r="R105" s="110">
        <f>(IF(COUNT(Z105,AA105,AB105,AC105,AD105,AE105,AF105,AG105,AH105,AI105)&lt;10,SUM(Z105,AA105,AB105,AC105,AD105,AE105,AF105,AG105,AH105,AI105),SUM(LARGE((Z105,AA105,AB105,AC105,AD105,AE105,AF105,AG105,AH105,AI105),{1;2;3;4;5;6;7;8;9}))))</f>
        <v>0</v>
      </c>
      <c r="S105" s="111" t="str">
        <f>INDEX(ETAPP!B$1:B$32,MATCH(COUNTIF(BI105:BR105,1),ETAPP!A$1:A$32,0))&amp;INDEX(ETAPP!B$1:B$32,MATCH(COUNTIF(BI105:BR105,2),ETAPP!A$1:A$32,0))&amp;INDEX(ETAPP!B$1:B$32,MATCH(COUNTIF(BI105:BR105,3),ETAPP!A$1:A$32,0))&amp;INDEX(ETAPP!B$1:B$32,MATCH(COUNTIF(BI105:BR105,4),ETAPP!A$1:A$32,0))&amp;INDEX(ETAPP!B$1:B$32,MATCH(COUNTIF(BI105:BR105,5),ETAPP!A$1:A$32,0))&amp;INDEX(ETAPP!B$1:B$32,MATCH(COUNTIF(BI105:BR105,6),ETAPP!A$1:A$32,0))&amp;INDEX(ETAPP!B$1:B$32,MATCH(COUNTIF(BI105:BR105,7),ETAPP!A$1:A$32,0))&amp;INDEX(ETAPP!B$1:B$32,MATCH(COUNTIF(BI105:BR105,8),ETAPP!A$1:A$32,0))&amp;INDEX(ETAPP!B$1:B$32,MATCH(COUNTIF(BI105:BR105,9),ETAPP!A$1:A$32,0))&amp;INDEX(ETAPP!B$1:B$32,MATCH(COUNTIF(BI105:BR105,10),ETAPP!A$1:A$32,0))&amp;INDEX(ETAPP!B$1:B$32,MATCH(COUNTIF(BI105:BR105,11),ETAPP!A$1:A$32,0))&amp;INDEX(ETAPP!B$1:B$32,MATCH(COUNTIF(BI105:BR105,12),ETAPP!A$1:A$32,0))&amp;INDEX(ETAPP!B$1:B$32,MATCH(COUNTIF(BI105:BR105,13),ETAPP!A$1:A$32,0))&amp;INDEX(ETAPP!B$1:B$32,MATCH(COUNTIF(BI105:BR105,14),ETAPP!A$1:A$32,0))&amp;INDEX(ETAPP!B$1:B$32,MATCH(COUNTIF(BI105:BR105,15),ETAPP!A$1:A$32,0))&amp;INDEX(ETAPP!B$1:B$32,MATCH(COUNTIF(BI105:BR105,16),ETAPP!A$1:A$32,0))&amp;INDEX(ETAPP!B$1:B$32,MATCH(COUNTIF(BI105:BR105,17),ETAPP!A$1:A$32,0))&amp;INDEX(ETAPP!B$1:B$32,MATCH(COUNTIF(BI105:BR105,18),ETAPP!A$1:A$32,0))&amp;INDEX(ETAPP!B$1:B$32,MATCH(COUNTIF(BI105:BR105,19),ETAPP!A$1:A$32,0))&amp;INDEX(ETAPP!B$1:B$32,MATCH(COUNTIF(BI105:BR105,20),ETAPP!A$1:A$32,0))&amp;INDEX(ETAPP!B$1:B$32,MATCH(COUNTIF(BI105:BR105,21),ETAPP!A$1:A$32,0))</f>
        <v>000000000000000000000</v>
      </c>
      <c r="T105" s="111" t="str">
        <f t="shared" si="145"/>
        <v>000,0-000000000000000000000</v>
      </c>
      <c r="U105" s="111">
        <f t="shared" si="146"/>
        <v>108</v>
      </c>
      <c r="V105" s="111">
        <f t="shared" si="147"/>
        <v>23</v>
      </c>
      <c r="W105" s="111" t="str">
        <f t="shared" si="148"/>
        <v>000,0-000000000000000000000-023</v>
      </c>
      <c r="X105" s="111">
        <f t="shared" si="149"/>
        <v>99</v>
      </c>
      <c r="Y105" s="112">
        <f t="shared" si="150"/>
        <v>10</v>
      </c>
      <c r="Z105" s="113" t="str">
        <f>IFERROR(INDEX('V1'!C$300:C$400,MATCH("*"&amp;L105&amp;"*",'V1'!B$300:B$400,0)),"  ")</f>
        <v xml:space="preserve">  </v>
      </c>
      <c r="AA105" s="113" t="str">
        <f>IFERROR(INDEX('V2'!C$300:C$400,MATCH("*"&amp;L105&amp;"*",'V2'!B$300:B$400,0)),"  ")</f>
        <v xml:space="preserve">  </v>
      </c>
      <c r="AB105" s="113" t="str">
        <f>IFERROR(INDEX('V3'!C$300:C$400,MATCH("*"&amp;L105&amp;"*",'V3'!B$300:B$400,0)),"  ")</f>
        <v xml:space="preserve">  </v>
      </c>
      <c r="AC105" s="113" t="str">
        <f>IFERROR(INDEX('V4'!C$300:C$400,MATCH("*"&amp;L105&amp;"*",'V4'!B$300:B$400,0)),"  ")</f>
        <v xml:space="preserve">  </v>
      </c>
      <c r="AD105" s="113" t="str">
        <f>IFERROR(INDEX('V5'!C$300:C$400,MATCH("*"&amp;L105&amp;"*",'V5'!B$300:B$400,0)),"  ")</f>
        <v xml:space="preserve">  </v>
      </c>
      <c r="AE105" s="113" t="str">
        <f>IFERROR(INDEX('V6'!C$300:C$400,MATCH("*"&amp;L105&amp;"*",'V6'!B$300:B$400,0)),"  ")</f>
        <v xml:space="preserve">  </v>
      </c>
      <c r="AF105" s="113" t="str">
        <f>IFERROR(INDEX('V7'!C$300:C$400,MATCH("*"&amp;L105&amp;"*",'V7'!B$300:B$400,0)),"  ")</f>
        <v xml:space="preserve">  </v>
      </c>
      <c r="AG105" s="113" t="str">
        <f>IFERROR(INDEX('V8'!C$300:C$400,MATCH("*"&amp;L105&amp;"*",'V8'!B$300:B$400,0)),"  ")</f>
        <v xml:space="preserve">  </v>
      </c>
      <c r="AH105" s="113" t="str">
        <f>IFERROR(INDEX('V9'!C$300:C$399,MATCH("*"&amp;L105&amp;"*",'V9'!B$300:B$399,0)),"  ")</f>
        <v xml:space="preserve">  </v>
      </c>
      <c r="AI105" s="113" t="str">
        <f>IFERROR(INDEX('V10'!C$300:C$399,MATCH("*"&amp;L105&amp;"*",'V10'!B$300:B$399,0)),"  ")</f>
        <v xml:space="preserve">  </v>
      </c>
      <c r="AJ105" s="114" t="str">
        <f t="shared" si="151"/>
        <v/>
      </c>
      <c r="AK105" s="404">
        <f t="shared" si="152"/>
        <v>0</v>
      </c>
      <c r="AL105" s="115" t="str">
        <f t="shared" si="153"/>
        <v/>
      </c>
      <c r="AM105" s="116" t="str">
        <f>IFERROR(INDEX(#REF!,MATCH("*"&amp;L105&amp;"*",#REF!,0)),"  ")</f>
        <v xml:space="preserve">  </v>
      </c>
      <c r="AN105" s="117">
        <f t="shared" si="154"/>
        <v>0</v>
      </c>
      <c r="AO105" s="118">
        <f t="shared" si="155"/>
        <v>0</v>
      </c>
      <c r="AP105" s="118">
        <f t="shared" si="156"/>
        <v>0</v>
      </c>
      <c r="AQ105" s="49"/>
      <c r="AR105" s="1"/>
      <c r="AS105" s="1"/>
      <c r="AT105" s="119">
        <f t="shared" si="157"/>
        <v>1E-4</v>
      </c>
      <c r="AU105" s="120">
        <f t="shared" si="158"/>
        <v>1E-4</v>
      </c>
      <c r="AV105" s="120">
        <f t="shared" si="159"/>
        <v>2.0000000000000001E-4</v>
      </c>
      <c r="AW105" s="120">
        <f t="shared" si="160"/>
        <v>2.9999999999999997E-4</v>
      </c>
      <c r="AX105" s="120">
        <f t="shared" si="161"/>
        <v>4.0000000000000002E-4</v>
      </c>
      <c r="AY105" s="120">
        <f t="shared" si="162"/>
        <v>5.0000000000000001E-4</v>
      </c>
      <c r="AZ105" s="120">
        <f t="shared" si="163"/>
        <v>5.9999999999999995E-4</v>
      </c>
      <c r="BA105" s="120">
        <f t="shared" si="164"/>
        <v>6.9999999999999999E-4</v>
      </c>
      <c r="BB105" s="120">
        <f t="shared" si="165"/>
        <v>8.0000000000000004E-4</v>
      </c>
      <c r="BC105" s="120">
        <f t="shared" si="166"/>
        <v>8.9999999999999998E-4</v>
      </c>
      <c r="BD105" s="120">
        <f t="shared" si="167"/>
        <v>1E-3</v>
      </c>
      <c r="BI105" s="1018" t="e">
        <f t="shared" si="168"/>
        <v>#VALUE!</v>
      </c>
      <c r="BJ105" s="1018" t="e">
        <f t="shared" si="169"/>
        <v>#VALUE!</v>
      </c>
      <c r="BK105" s="1018" t="e">
        <f t="shared" si="170"/>
        <v>#VALUE!</v>
      </c>
      <c r="BL105" s="1018" t="e">
        <f t="shared" si="171"/>
        <v>#VALUE!</v>
      </c>
      <c r="BM105" s="1018" t="e">
        <f t="shared" si="172"/>
        <v>#VALUE!</v>
      </c>
      <c r="BN105" s="1018" t="e">
        <f t="shared" si="173"/>
        <v>#VALUE!</v>
      </c>
      <c r="BO105" s="1018" t="e">
        <f t="shared" si="174"/>
        <v>#VALUE!</v>
      </c>
      <c r="BP105" s="1018" t="e">
        <f t="shared" si="175"/>
        <v>#VALUE!</v>
      </c>
      <c r="BQ105" s="1018" t="e">
        <f t="shared" si="176"/>
        <v>#VALUE!</v>
      </c>
      <c r="BR105" s="1018" t="e">
        <f t="shared" si="177"/>
        <v>#VALUE!</v>
      </c>
    </row>
    <row r="106" spans="1:70" ht="12.75" hidden="1" customHeight="1" x14ac:dyDescent="0.2">
      <c r="A106" s="647" t="str">
        <f t="shared" si="135"/>
        <v/>
      </c>
      <c r="B106" s="99">
        <f t="shared" si="136"/>
        <v>-892</v>
      </c>
      <c r="C106" s="409" t="str">
        <f t="shared" si="137"/>
        <v/>
      </c>
      <c r="D106" s="367">
        <f t="shared" si="138"/>
        <v>-892</v>
      </c>
      <c r="E106" s="100" t="str">
        <f t="shared" si="139"/>
        <v/>
      </c>
      <c r="F106" s="99">
        <f t="shared" si="140"/>
        <v>-892</v>
      </c>
      <c r="G106" s="101" t="str">
        <f t="shared" si="141"/>
        <v/>
      </c>
      <c r="H106" s="99">
        <f t="shared" si="142"/>
        <v>108</v>
      </c>
      <c r="I106" s="102" t="str">
        <f t="shared" si="143"/>
        <v/>
      </c>
      <c r="J106" s="103">
        <f t="shared" si="144"/>
        <v>-892</v>
      </c>
      <c r="K106" s="71" t="str">
        <f t="shared" si="134"/>
        <v/>
      </c>
      <c r="L106" s="407" t="s">
        <v>67</v>
      </c>
      <c r="M106" s="345" t="s">
        <v>110</v>
      </c>
      <c r="N106" s="346"/>
      <c r="O106" s="347"/>
      <c r="P106" s="348"/>
      <c r="Q106" s="349" t="s">
        <v>344</v>
      </c>
      <c r="R106" s="110">
        <f>(IF(COUNT(Z106,AA106,AB106,AC106,AD106,AE106,AF106,AG106,AH106,AI106)&lt;10,SUM(Z106,AA106,AB106,AC106,AD106,AE106,AF106,AG106,AH106,AI106),SUM(LARGE((Z106,AA106,AB106,AC106,AD106,AE106,AF106,AG106,AH106,AI106),{1;2;3;4;5;6;7;8;9}))))</f>
        <v>0</v>
      </c>
      <c r="S106" s="111" t="str">
        <f>INDEX(ETAPP!B$1:B$32,MATCH(COUNTIF(BI106:BR106,1),ETAPP!A$1:A$32,0))&amp;INDEX(ETAPP!B$1:B$32,MATCH(COUNTIF(BI106:BR106,2),ETAPP!A$1:A$32,0))&amp;INDEX(ETAPP!B$1:B$32,MATCH(COUNTIF(BI106:BR106,3),ETAPP!A$1:A$32,0))&amp;INDEX(ETAPP!B$1:B$32,MATCH(COUNTIF(BI106:BR106,4),ETAPP!A$1:A$32,0))&amp;INDEX(ETAPP!B$1:B$32,MATCH(COUNTIF(BI106:BR106,5),ETAPP!A$1:A$32,0))&amp;INDEX(ETAPP!B$1:B$32,MATCH(COUNTIF(BI106:BR106,6),ETAPP!A$1:A$32,0))&amp;INDEX(ETAPP!B$1:B$32,MATCH(COUNTIF(BI106:BR106,7),ETAPP!A$1:A$32,0))&amp;INDEX(ETAPP!B$1:B$32,MATCH(COUNTIF(BI106:BR106,8),ETAPP!A$1:A$32,0))&amp;INDEX(ETAPP!B$1:B$32,MATCH(COUNTIF(BI106:BR106,9),ETAPP!A$1:A$32,0))&amp;INDEX(ETAPP!B$1:B$32,MATCH(COUNTIF(BI106:BR106,10),ETAPP!A$1:A$32,0))&amp;INDEX(ETAPP!B$1:B$32,MATCH(COUNTIF(BI106:BR106,11),ETAPP!A$1:A$32,0))&amp;INDEX(ETAPP!B$1:B$32,MATCH(COUNTIF(BI106:BR106,12),ETAPP!A$1:A$32,0))&amp;INDEX(ETAPP!B$1:B$32,MATCH(COUNTIF(BI106:BR106,13),ETAPP!A$1:A$32,0))&amp;INDEX(ETAPP!B$1:B$32,MATCH(COUNTIF(BI106:BR106,14),ETAPP!A$1:A$32,0))&amp;INDEX(ETAPP!B$1:B$32,MATCH(COUNTIF(BI106:BR106,15),ETAPP!A$1:A$32,0))&amp;INDEX(ETAPP!B$1:B$32,MATCH(COUNTIF(BI106:BR106,16),ETAPP!A$1:A$32,0))&amp;INDEX(ETAPP!B$1:B$32,MATCH(COUNTIF(BI106:BR106,17),ETAPP!A$1:A$32,0))&amp;INDEX(ETAPP!B$1:B$32,MATCH(COUNTIF(BI106:BR106,18),ETAPP!A$1:A$32,0))&amp;INDEX(ETAPP!B$1:B$32,MATCH(COUNTIF(BI106:BR106,19),ETAPP!A$1:A$32,0))&amp;INDEX(ETAPP!B$1:B$32,MATCH(COUNTIF(BI106:BR106,20),ETAPP!A$1:A$32,0))&amp;INDEX(ETAPP!B$1:B$32,MATCH(COUNTIF(BI106:BR106,21),ETAPP!A$1:A$32,0))</f>
        <v>000000000000000000000</v>
      </c>
      <c r="T106" s="111" t="str">
        <f t="shared" si="145"/>
        <v>000,0-000000000000000000000</v>
      </c>
      <c r="U106" s="111">
        <f t="shared" si="146"/>
        <v>108</v>
      </c>
      <c r="V106" s="111">
        <f t="shared" si="147"/>
        <v>21</v>
      </c>
      <c r="W106" s="111" t="str">
        <f t="shared" si="148"/>
        <v>000,0-000000000000000000000-021</v>
      </c>
      <c r="X106" s="111">
        <f t="shared" si="149"/>
        <v>100</v>
      </c>
      <c r="Y106" s="112">
        <f t="shared" si="150"/>
        <v>9</v>
      </c>
      <c r="Z106" s="113" t="str">
        <f>IFERROR(INDEX('V1'!C$300:C$400,MATCH("*"&amp;L106&amp;"*",'V1'!B$300:B$400,0)),"  ")</f>
        <v xml:space="preserve">  </v>
      </c>
      <c r="AA106" s="113" t="str">
        <f>IFERROR(INDEX('V2'!C$300:C$400,MATCH("*"&amp;L106&amp;"*",'V2'!B$300:B$400,0)),"  ")</f>
        <v xml:space="preserve">  </v>
      </c>
      <c r="AB106" s="113" t="str">
        <f>IFERROR(INDEX('V3'!C$300:C$400,MATCH("*"&amp;L106&amp;"*",'V3'!B$300:B$400,0)),"  ")</f>
        <v xml:space="preserve">  </v>
      </c>
      <c r="AC106" s="113" t="str">
        <f>IFERROR(INDEX('V4'!C$300:C$400,MATCH("*"&amp;L106&amp;"*",'V4'!B$300:B$400,0)),"  ")</f>
        <v xml:space="preserve">  </v>
      </c>
      <c r="AD106" s="113" t="str">
        <f>IFERROR(INDEX('V5'!C$300:C$400,MATCH("*"&amp;L106&amp;"*",'V5'!B$300:B$400,0)),"  ")</f>
        <v xml:space="preserve">  </v>
      </c>
      <c r="AE106" s="113" t="str">
        <f>IFERROR(INDEX('V6'!C$300:C$400,MATCH("*"&amp;L106&amp;"*",'V6'!B$300:B$400,0)),"  ")</f>
        <v xml:space="preserve">  </v>
      </c>
      <c r="AF106" s="113" t="str">
        <f>IFERROR(INDEX('V7'!C$300:C$400,MATCH("*"&amp;L106&amp;"*",'V7'!B$300:B$400,0)),"  ")</f>
        <v xml:space="preserve">  </v>
      </c>
      <c r="AG106" s="113" t="str">
        <f>IFERROR(INDEX('V8'!C$300:C$400,MATCH("*"&amp;L106&amp;"*",'V8'!B$300:B$400,0)),"  ")</f>
        <v xml:space="preserve">  </v>
      </c>
      <c r="AH106" s="113" t="str">
        <f>IFERROR(INDEX('V9'!C$300:C$399,MATCH("*"&amp;L106&amp;"*",'V9'!B$300:B$399,0)),"  ")</f>
        <v xml:space="preserve">  </v>
      </c>
      <c r="AI106" s="113" t="str">
        <f>IFERROR(INDEX('V10'!C$300:C$399,MATCH("*"&amp;L106&amp;"*",'V10'!B$300:B$399,0)),"  ")</f>
        <v xml:space="preserve">  </v>
      </c>
      <c r="AJ106" s="114" t="str">
        <f t="shared" si="151"/>
        <v/>
      </c>
      <c r="AK106" s="404">
        <f t="shared" si="152"/>
        <v>0</v>
      </c>
      <c r="AL106" s="115" t="str">
        <f t="shared" si="153"/>
        <v/>
      </c>
      <c r="AM106" s="116" t="str">
        <f>IFERROR(INDEX(#REF!,MATCH("*"&amp;L106&amp;"*",#REF!,0)),"  ")</f>
        <v xml:space="preserve">  </v>
      </c>
      <c r="AN106" s="117">
        <f t="shared" si="154"/>
        <v>0</v>
      </c>
      <c r="AO106" s="118">
        <f t="shared" si="155"/>
        <v>0</v>
      </c>
      <c r="AP106" s="118">
        <f t="shared" si="156"/>
        <v>0</v>
      </c>
      <c r="AQ106" s="122"/>
      <c r="AR106" s="1"/>
      <c r="AS106" s="1"/>
      <c r="AT106" s="119">
        <f t="shared" si="157"/>
        <v>1E-4</v>
      </c>
      <c r="AU106" s="120">
        <f t="shared" si="158"/>
        <v>1E-4</v>
      </c>
      <c r="AV106" s="120">
        <f t="shared" si="159"/>
        <v>2.0000000000000001E-4</v>
      </c>
      <c r="AW106" s="120">
        <f t="shared" si="160"/>
        <v>2.9999999999999997E-4</v>
      </c>
      <c r="AX106" s="120">
        <f t="shared" si="161"/>
        <v>4.0000000000000002E-4</v>
      </c>
      <c r="AY106" s="120">
        <f t="shared" si="162"/>
        <v>5.0000000000000001E-4</v>
      </c>
      <c r="AZ106" s="120">
        <f t="shared" si="163"/>
        <v>5.9999999999999995E-4</v>
      </c>
      <c r="BA106" s="120">
        <f t="shared" si="164"/>
        <v>6.9999999999999999E-4</v>
      </c>
      <c r="BB106" s="120">
        <f t="shared" si="165"/>
        <v>8.0000000000000004E-4</v>
      </c>
      <c r="BC106" s="120">
        <f t="shared" si="166"/>
        <v>8.9999999999999998E-4</v>
      </c>
      <c r="BD106" s="120">
        <f t="shared" si="167"/>
        <v>1E-3</v>
      </c>
      <c r="BI106" s="1018" t="e">
        <f t="shared" si="168"/>
        <v>#VALUE!</v>
      </c>
      <c r="BJ106" s="1018" t="e">
        <f t="shared" si="169"/>
        <v>#VALUE!</v>
      </c>
      <c r="BK106" s="1018" t="e">
        <f t="shared" si="170"/>
        <v>#VALUE!</v>
      </c>
      <c r="BL106" s="1018" t="e">
        <f t="shared" si="171"/>
        <v>#VALUE!</v>
      </c>
      <c r="BM106" s="1018" t="e">
        <f t="shared" si="172"/>
        <v>#VALUE!</v>
      </c>
      <c r="BN106" s="1018" t="e">
        <f t="shared" si="173"/>
        <v>#VALUE!</v>
      </c>
      <c r="BO106" s="1018" t="e">
        <f t="shared" si="174"/>
        <v>#VALUE!</v>
      </c>
      <c r="BP106" s="1018" t="e">
        <f t="shared" si="175"/>
        <v>#VALUE!</v>
      </c>
      <c r="BQ106" s="1018" t="e">
        <f t="shared" si="176"/>
        <v>#VALUE!</v>
      </c>
      <c r="BR106" s="1018" t="e">
        <f t="shared" si="177"/>
        <v>#VALUE!</v>
      </c>
    </row>
    <row r="107" spans="1:70" ht="12.75" hidden="1" customHeight="1" x14ac:dyDescent="0.2">
      <c r="A107" s="647" t="str">
        <f t="shared" si="135"/>
        <v/>
      </c>
      <c r="B107" s="99">
        <f t="shared" si="136"/>
        <v>-892</v>
      </c>
      <c r="C107" s="409" t="str">
        <f t="shared" si="137"/>
        <v/>
      </c>
      <c r="D107" s="367">
        <f t="shared" si="138"/>
        <v>108</v>
      </c>
      <c r="E107" s="100" t="str">
        <f t="shared" si="139"/>
        <v/>
      </c>
      <c r="F107" s="99">
        <f t="shared" si="140"/>
        <v>108</v>
      </c>
      <c r="G107" s="101" t="str">
        <f t="shared" si="141"/>
        <v/>
      </c>
      <c r="H107" s="99">
        <f t="shared" si="142"/>
        <v>-892</v>
      </c>
      <c r="I107" s="102" t="str">
        <f t="shared" si="143"/>
        <v/>
      </c>
      <c r="J107" s="103">
        <f t="shared" si="144"/>
        <v>-892</v>
      </c>
      <c r="K107" s="71" t="str">
        <f t="shared" si="134"/>
        <v/>
      </c>
      <c r="L107" s="1022" t="s">
        <v>166</v>
      </c>
      <c r="M107" s="440"/>
      <c r="N107" s="441" t="str">
        <f>IF(M107="","m","")</f>
        <v>m</v>
      </c>
      <c r="O107" s="442"/>
      <c r="P107" s="443" t="s">
        <v>317</v>
      </c>
      <c r="Q107" s="444"/>
      <c r="R107" s="110">
        <f>(IF(COUNT(Z107,AA107,AB107,AC107,AD107,AE107,AF107,AG107,AH107,AI107)&lt;10,SUM(Z107,AA107,AB107,AC107,AD107,AE107,AF107,AG107,AH107,AI107),SUM(LARGE((Z107,AA107,AB107,AC107,AD107,AE107,AF107,AG107,AH107,AI107),{1;2;3;4;5;6;7;8;9}))))</f>
        <v>0</v>
      </c>
      <c r="S107" s="111" t="str">
        <f>INDEX(ETAPP!B$1:B$32,MATCH(COUNTIF(BI107:BR107,1),ETAPP!A$1:A$32,0))&amp;INDEX(ETAPP!B$1:B$32,MATCH(COUNTIF(BI107:BR107,2),ETAPP!A$1:A$32,0))&amp;INDEX(ETAPP!B$1:B$32,MATCH(COUNTIF(BI107:BR107,3),ETAPP!A$1:A$32,0))&amp;INDEX(ETAPP!B$1:B$32,MATCH(COUNTIF(BI107:BR107,4),ETAPP!A$1:A$32,0))&amp;INDEX(ETAPP!B$1:B$32,MATCH(COUNTIF(BI107:BR107,5),ETAPP!A$1:A$32,0))&amp;INDEX(ETAPP!B$1:B$32,MATCH(COUNTIF(BI107:BR107,6),ETAPP!A$1:A$32,0))&amp;INDEX(ETAPP!B$1:B$32,MATCH(COUNTIF(BI107:BR107,7),ETAPP!A$1:A$32,0))&amp;INDEX(ETAPP!B$1:B$32,MATCH(COUNTIF(BI107:BR107,8),ETAPP!A$1:A$32,0))&amp;INDEX(ETAPP!B$1:B$32,MATCH(COUNTIF(BI107:BR107,9),ETAPP!A$1:A$32,0))&amp;INDEX(ETAPP!B$1:B$32,MATCH(COUNTIF(BI107:BR107,10),ETAPP!A$1:A$32,0))&amp;INDEX(ETAPP!B$1:B$32,MATCH(COUNTIF(BI107:BR107,11),ETAPP!A$1:A$32,0))&amp;INDEX(ETAPP!B$1:B$32,MATCH(COUNTIF(BI107:BR107,12),ETAPP!A$1:A$32,0))&amp;INDEX(ETAPP!B$1:B$32,MATCH(COUNTIF(BI107:BR107,13),ETAPP!A$1:A$32,0))&amp;INDEX(ETAPP!B$1:B$32,MATCH(COUNTIF(BI107:BR107,14),ETAPP!A$1:A$32,0))&amp;INDEX(ETAPP!B$1:B$32,MATCH(COUNTIF(BI107:BR107,15),ETAPP!A$1:A$32,0))&amp;INDEX(ETAPP!B$1:B$32,MATCH(COUNTIF(BI107:BR107,16),ETAPP!A$1:A$32,0))&amp;INDEX(ETAPP!B$1:B$32,MATCH(COUNTIF(BI107:BR107,17),ETAPP!A$1:A$32,0))&amp;INDEX(ETAPP!B$1:B$32,MATCH(COUNTIF(BI107:BR107,18),ETAPP!A$1:A$32,0))&amp;INDEX(ETAPP!B$1:B$32,MATCH(COUNTIF(BI107:BR107,19),ETAPP!A$1:A$32,0))&amp;INDEX(ETAPP!B$1:B$32,MATCH(COUNTIF(BI107:BR107,20),ETAPP!A$1:A$32,0))&amp;INDEX(ETAPP!B$1:B$32,MATCH(COUNTIF(BI107:BR107,21),ETAPP!A$1:A$32,0))</f>
        <v>000000000000000000000</v>
      </c>
      <c r="T107" s="111" t="str">
        <f t="shared" si="145"/>
        <v>000,0-000000000000000000000</v>
      </c>
      <c r="U107" s="111">
        <f t="shared" si="146"/>
        <v>108</v>
      </c>
      <c r="V107" s="111">
        <f t="shared" si="147"/>
        <v>19</v>
      </c>
      <c r="W107" s="111" t="str">
        <f t="shared" si="148"/>
        <v>000,0-000000000000000000000-019</v>
      </c>
      <c r="X107" s="111">
        <f t="shared" si="149"/>
        <v>101</v>
      </c>
      <c r="Y107" s="112">
        <f t="shared" si="150"/>
        <v>8</v>
      </c>
      <c r="Z107" s="113" t="str">
        <f>IFERROR(INDEX('V1'!C$300:C$400,MATCH("*"&amp;L107&amp;"*",'V1'!B$300:B$400,0)),"  ")</f>
        <v xml:space="preserve">  </v>
      </c>
      <c r="AA107" s="113" t="str">
        <f>IFERROR(INDEX('V2'!C$300:C$400,MATCH("*"&amp;L107&amp;"*",'V2'!B$300:B$400,0)),"  ")</f>
        <v xml:space="preserve">  </v>
      </c>
      <c r="AB107" s="113" t="str">
        <f>IFERROR(INDEX('V3'!C$300:C$400,MATCH("*"&amp;L107&amp;"*",'V3'!B$300:B$400,0)),"  ")</f>
        <v xml:space="preserve">  </v>
      </c>
      <c r="AC107" s="113" t="str">
        <f>IFERROR(INDEX('V4'!C$300:C$400,MATCH("*"&amp;L107&amp;"*",'V4'!B$300:B$400,0)),"  ")</f>
        <v xml:space="preserve">  </v>
      </c>
      <c r="AD107" s="113" t="str">
        <f>IFERROR(INDEX('V5'!C$300:C$400,MATCH("*"&amp;L107&amp;"*",'V5'!B$300:B$400,0)),"  ")</f>
        <v xml:space="preserve">  </v>
      </c>
      <c r="AE107" s="113" t="str">
        <f>IFERROR(INDEX('V6'!C$300:C$400,MATCH("*"&amp;L107&amp;"*",'V6'!B$300:B$400,0)),"  ")</f>
        <v xml:space="preserve">  </v>
      </c>
      <c r="AF107" s="113" t="str">
        <f>IFERROR(INDEX('V7'!C$300:C$400,MATCH("*"&amp;L107&amp;"*",'V7'!B$300:B$400,0)),"  ")</f>
        <v xml:space="preserve">  </v>
      </c>
      <c r="AG107" s="113" t="str">
        <f>IFERROR(INDEX('V8'!C$300:C$400,MATCH("*"&amp;L107&amp;"*",'V8'!B$300:B$400,0)),"  ")</f>
        <v xml:space="preserve">  </v>
      </c>
      <c r="AH107" s="113" t="str">
        <f>IFERROR(INDEX('V9'!C$300:C$399,MATCH("*"&amp;L107&amp;"*",'V9'!B$300:B$399,0)),"  ")</f>
        <v xml:space="preserve">  </v>
      </c>
      <c r="AI107" s="113" t="str">
        <f>IFERROR(INDEX('V10'!C$300:C$399,MATCH("*"&amp;L107&amp;"*",'V10'!B$300:B$399,0)),"  ")</f>
        <v xml:space="preserve">  </v>
      </c>
      <c r="AJ107" s="114" t="str">
        <f t="shared" si="151"/>
        <v/>
      </c>
      <c r="AK107" s="404">
        <f t="shared" si="152"/>
        <v>0</v>
      </c>
      <c r="AL107" s="115" t="str">
        <f t="shared" si="153"/>
        <v/>
      </c>
      <c r="AM107" s="116" t="str">
        <f>IFERROR(INDEX(#REF!,MATCH("*"&amp;L107&amp;"*",#REF!,0)),"  ")</f>
        <v xml:space="preserve">  </v>
      </c>
      <c r="AN107" s="117">
        <f t="shared" si="154"/>
        <v>0</v>
      </c>
      <c r="AO107" s="118">
        <f t="shared" si="155"/>
        <v>0</v>
      </c>
      <c r="AP107" s="118">
        <f t="shared" si="156"/>
        <v>0</v>
      </c>
      <c r="AQ107" s="49"/>
      <c r="AR107" s="1"/>
      <c r="AS107" s="1"/>
      <c r="AT107" s="119">
        <f t="shared" si="157"/>
        <v>1E-4</v>
      </c>
      <c r="AU107" s="120">
        <f t="shared" si="158"/>
        <v>1E-4</v>
      </c>
      <c r="AV107" s="120">
        <f t="shared" si="159"/>
        <v>2.0000000000000001E-4</v>
      </c>
      <c r="AW107" s="120">
        <f t="shared" si="160"/>
        <v>2.9999999999999997E-4</v>
      </c>
      <c r="AX107" s="120">
        <f t="shared" si="161"/>
        <v>4.0000000000000002E-4</v>
      </c>
      <c r="AY107" s="120">
        <f t="shared" si="162"/>
        <v>5.0000000000000001E-4</v>
      </c>
      <c r="AZ107" s="120">
        <f t="shared" si="163"/>
        <v>5.9999999999999995E-4</v>
      </c>
      <c r="BA107" s="120">
        <f t="shared" si="164"/>
        <v>6.9999999999999999E-4</v>
      </c>
      <c r="BB107" s="120">
        <f t="shared" si="165"/>
        <v>8.0000000000000004E-4</v>
      </c>
      <c r="BC107" s="120">
        <f t="shared" si="166"/>
        <v>8.9999999999999998E-4</v>
      </c>
      <c r="BD107" s="120">
        <f t="shared" si="167"/>
        <v>1E-3</v>
      </c>
      <c r="BI107" s="1018" t="e">
        <f t="shared" si="168"/>
        <v>#VALUE!</v>
      </c>
      <c r="BJ107" s="1018" t="e">
        <f t="shared" si="169"/>
        <v>#VALUE!</v>
      </c>
      <c r="BK107" s="1018" t="e">
        <f t="shared" si="170"/>
        <v>#VALUE!</v>
      </c>
      <c r="BL107" s="1018" t="e">
        <f t="shared" si="171"/>
        <v>#VALUE!</v>
      </c>
      <c r="BM107" s="1018" t="e">
        <f t="shared" si="172"/>
        <v>#VALUE!</v>
      </c>
      <c r="BN107" s="1018" t="e">
        <f t="shared" si="173"/>
        <v>#VALUE!</v>
      </c>
      <c r="BO107" s="1018" t="e">
        <f t="shared" si="174"/>
        <v>#VALUE!</v>
      </c>
      <c r="BP107" s="1018" t="e">
        <f t="shared" si="175"/>
        <v>#VALUE!</v>
      </c>
      <c r="BQ107" s="1018" t="e">
        <f t="shared" si="176"/>
        <v>#VALUE!</v>
      </c>
      <c r="BR107" s="1018" t="e">
        <f t="shared" si="177"/>
        <v>#VALUE!</v>
      </c>
    </row>
    <row r="108" spans="1:70" ht="12.75" hidden="1" customHeight="1" x14ac:dyDescent="0.2">
      <c r="A108" s="647" t="str">
        <f t="shared" si="135"/>
        <v/>
      </c>
      <c r="B108" s="99">
        <f t="shared" si="136"/>
        <v>-892</v>
      </c>
      <c r="C108" s="409" t="str">
        <f t="shared" si="137"/>
        <v/>
      </c>
      <c r="D108" s="367">
        <f t="shared" si="138"/>
        <v>108</v>
      </c>
      <c r="E108" s="100" t="str">
        <f t="shared" si="139"/>
        <v/>
      </c>
      <c r="F108" s="99">
        <f t="shared" si="140"/>
        <v>108</v>
      </c>
      <c r="G108" s="101" t="str">
        <f t="shared" si="141"/>
        <v/>
      </c>
      <c r="H108" s="99">
        <f t="shared" si="142"/>
        <v>-892</v>
      </c>
      <c r="I108" s="102" t="str">
        <f t="shared" si="143"/>
        <v/>
      </c>
      <c r="J108" s="103">
        <f t="shared" si="144"/>
        <v>-892</v>
      </c>
      <c r="K108" s="71" t="str">
        <f t="shared" si="134"/>
        <v/>
      </c>
      <c r="L108" s="648" t="s">
        <v>167</v>
      </c>
      <c r="M108" s="345"/>
      <c r="N108" s="346" t="str">
        <f>IF(M108="","m","")</f>
        <v>m</v>
      </c>
      <c r="O108" s="347"/>
      <c r="P108" s="348" t="s">
        <v>317</v>
      </c>
      <c r="Q108" s="349"/>
      <c r="R108" s="110">
        <f>(IF(COUNT(Z108,AA108,AB108,AC108,AD108,AE108,AF108,AG108,AH108,AI108)&lt;10,SUM(Z108,AA108,AB108,AC108,AD108,AE108,AF108,AG108,AH108,AI108),SUM(LARGE((Z108,AA108,AB108,AC108,AD108,AE108,AF108,AG108,AH108,AI108),{1;2;3;4;5;6;7;8;9}))))</f>
        <v>0</v>
      </c>
      <c r="S108" s="111" t="str">
        <f>INDEX(ETAPP!B$1:B$32,MATCH(COUNTIF(BI108:BR108,1),ETAPP!A$1:A$32,0))&amp;INDEX(ETAPP!B$1:B$32,MATCH(COUNTIF(BI108:BR108,2),ETAPP!A$1:A$32,0))&amp;INDEX(ETAPP!B$1:B$32,MATCH(COUNTIF(BI108:BR108,3),ETAPP!A$1:A$32,0))&amp;INDEX(ETAPP!B$1:B$32,MATCH(COUNTIF(BI108:BR108,4),ETAPP!A$1:A$32,0))&amp;INDEX(ETAPP!B$1:B$32,MATCH(COUNTIF(BI108:BR108,5),ETAPP!A$1:A$32,0))&amp;INDEX(ETAPP!B$1:B$32,MATCH(COUNTIF(BI108:BR108,6),ETAPP!A$1:A$32,0))&amp;INDEX(ETAPP!B$1:B$32,MATCH(COUNTIF(BI108:BR108,7),ETAPP!A$1:A$32,0))&amp;INDEX(ETAPP!B$1:B$32,MATCH(COUNTIF(BI108:BR108,8),ETAPP!A$1:A$32,0))&amp;INDEX(ETAPP!B$1:B$32,MATCH(COUNTIF(BI108:BR108,9),ETAPP!A$1:A$32,0))&amp;INDEX(ETAPP!B$1:B$32,MATCH(COUNTIF(BI108:BR108,10),ETAPP!A$1:A$32,0))&amp;INDEX(ETAPP!B$1:B$32,MATCH(COUNTIF(BI108:BR108,11),ETAPP!A$1:A$32,0))&amp;INDEX(ETAPP!B$1:B$32,MATCH(COUNTIF(BI108:BR108,12),ETAPP!A$1:A$32,0))&amp;INDEX(ETAPP!B$1:B$32,MATCH(COUNTIF(BI108:BR108,13),ETAPP!A$1:A$32,0))&amp;INDEX(ETAPP!B$1:B$32,MATCH(COUNTIF(BI108:BR108,14),ETAPP!A$1:A$32,0))&amp;INDEX(ETAPP!B$1:B$32,MATCH(COUNTIF(BI108:BR108,15),ETAPP!A$1:A$32,0))&amp;INDEX(ETAPP!B$1:B$32,MATCH(COUNTIF(BI108:BR108,16),ETAPP!A$1:A$32,0))&amp;INDEX(ETAPP!B$1:B$32,MATCH(COUNTIF(BI108:BR108,17),ETAPP!A$1:A$32,0))&amp;INDEX(ETAPP!B$1:B$32,MATCH(COUNTIF(BI108:BR108,18),ETAPP!A$1:A$32,0))&amp;INDEX(ETAPP!B$1:B$32,MATCH(COUNTIF(BI108:BR108,19),ETAPP!A$1:A$32,0))&amp;INDEX(ETAPP!B$1:B$32,MATCH(COUNTIF(BI108:BR108,20),ETAPP!A$1:A$32,0))&amp;INDEX(ETAPP!B$1:B$32,MATCH(COUNTIF(BI108:BR108,21),ETAPP!A$1:A$32,0))</f>
        <v>000000000000000000000</v>
      </c>
      <c r="T108" s="111" t="str">
        <f t="shared" si="145"/>
        <v>000,0-000000000000000000000</v>
      </c>
      <c r="U108" s="111">
        <f t="shared" si="146"/>
        <v>108</v>
      </c>
      <c r="V108" s="111">
        <f t="shared" si="147"/>
        <v>17</v>
      </c>
      <c r="W108" s="111" t="str">
        <f t="shared" si="148"/>
        <v>000,0-000000000000000000000-017</v>
      </c>
      <c r="X108" s="111">
        <f t="shared" si="149"/>
        <v>102</v>
      </c>
      <c r="Y108" s="112">
        <f t="shared" si="150"/>
        <v>7</v>
      </c>
      <c r="Z108" s="113" t="str">
        <f>IFERROR(INDEX('V1'!C$300:C$400,MATCH("*"&amp;L108&amp;"*",'V1'!B$300:B$400,0)),"  ")</f>
        <v xml:space="preserve">  </v>
      </c>
      <c r="AA108" s="113" t="str">
        <f>IFERROR(INDEX('V2'!C$300:C$400,MATCH("*"&amp;L108&amp;"*",'V2'!B$300:B$400,0)),"  ")</f>
        <v xml:space="preserve">  </v>
      </c>
      <c r="AB108" s="113" t="str">
        <f>IFERROR(INDEX('V3'!C$300:C$400,MATCH("*"&amp;L108&amp;"*",'V3'!B$300:B$400,0)),"  ")</f>
        <v xml:space="preserve">  </v>
      </c>
      <c r="AC108" s="113" t="str">
        <f>IFERROR(INDEX('V4'!C$300:C$400,MATCH("*"&amp;L108&amp;"*",'V4'!B$300:B$400,0)),"  ")</f>
        <v xml:space="preserve">  </v>
      </c>
      <c r="AD108" s="113" t="str">
        <f>IFERROR(INDEX('V5'!C$300:C$400,MATCH("*"&amp;L108&amp;"*",'V5'!B$300:B$400,0)),"  ")</f>
        <v xml:space="preserve">  </v>
      </c>
      <c r="AE108" s="113" t="str">
        <f>IFERROR(INDEX('V6'!C$300:C$400,MATCH("*"&amp;L108&amp;"*",'V6'!B$300:B$400,0)),"  ")</f>
        <v xml:space="preserve">  </v>
      </c>
      <c r="AF108" s="113" t="str">
        <f>IFERROR(INDEX('V7'!C$300:C$400,MATCH("*"&amp;L108&amp;"*",'V7'!B$300:B$400,0)),"  ")</f>
        <v xml:space="preserve">  </v>
      </c>
      <c r="AG108" s="113" t="str">
        <f>IFERROR(INDEX('V8'!C$300:C$400,MATCH("*"&amp;L108&amp;"*",'V8'!B$300:B$400,0)),"  ")</f>
        <v xml:space="preserve">  </v>
      </c>
      <c r="AH108" s="113" t="str">
        <f>IFERROR(INDEX('V9'!C$300:C$399,MATCH("*"&amp;L108&amp;"*",'V9'!B$300:B$399,0)),"  ")</f>
        <v xml:space="preserve">  </v>
      </c>
      <c r="AI108" s="113" t="str">
        <f>IFERROR(INDEX('V10'!C$300:C$399,MATCH("*"&amp;L108&amp;"*",'V10'!B$300:B$399,0)),"  ")</f>
        <v xml:space="preserve">  </v>
      </c>
      <c r="AJ108" s="114" t="str">
        <f t="shared" si="151"/>
        <v/>
      </c>
      <c r="AK108" s="404">
        <f t="shared" si="152"/>
        <v>0</v>
      </c>
      <c r="AL108" s="115" t="str">
        <f t="shared" si="153"/>
        <v/>
      </c>
      <c r="AM108" s="116" t="str">
        <f>IFERROR(INDEX(#REF!,MATCH("*"&amp;L108&amp;"*",#REF!,0)),"  ")</f>
        <v xml:space="preserve">  </v>
      </c>
      <c r="AN108" s="117">
        <f t="shared" si="154"/>
        <v>0</v>
      </c>
      <c r="AO108" s="118">
        <f t="shared" si="155"/>
        <v>0</v>
      </c>
      <c r="AP108" s="118">
        <f t="shared" si="156"/>
        <v>0</v>
      </c>
      <c r="AQ108" s="49"/>
      <c r="AR108" s="1"/>
      <c r="AS108" s="1"/>
      <c r="AT108" s="119">
        <f t="shared" si="157"/>
        <v>1E-4</v>
      </c>
      <c r="AU108" s="120">
        <f t="shared" si="158"/>
        <v>1E-4</v>
      </c>
      <c r="AV108" s="120">
        <f t="shared" si="159"/>
        <v>2.0000000000000001E-4</v>
      </c>
      <c r="AW108" s="120">
        <f t="shared" si="160"/>
        <v>2.9999999999999997E-4</v>
      </c>
      <c r="AX108" s="120">
        <f t="shared" si="161"/>
        <v>4.0000000000000002E-4</v>
      </c>
      <c r="AY108" s="120">
        <f t="shared" si="162"/>
        <v>5.0000000000000001E-4</v>
      </c>
      <c r="AZ108" s="120">
        <f t="shared" si="163"/>
        <v>5.9999999999999995E-4</v>
      </c>
      <c r="BA108" s="120">
        <f t="shared" si="164"/>
        <v>6.9999999999999999E-4</v>
      </c>
      <c r="BB108" s="120">
        <f t="shared" si="165"/>
        <v>8.0000000000000004E-4</v>
      </c>
      <c r="BC108" s="120">
        <f t="shared" si="166"/>
        <v>8.9999999999999998E-4</v>
      </c>
      <c r="BD108" s="120">
        <f t="shared" si="167"/>
        <v>1E-3</v>
      </c>
      <c r="BI108" s="1018" t="e">
        <f t="shared" si="168"/>
        <v>#VALUE!</v>
      </c>
      <c r="BJ108" s="1018" t="e">
        <f t="shared" si="169"/>
        <v>#VALUE!</v>
      </c>
      <c r="BK108" s="1018" t="e">
        <f t="shared" si="170"/>
        <v>#VALUE!</v>
      </c>
      <c r="BL108" s="1018" t="e">
        <f t="shared" si="171"/>
        <v>#VALUE!</v>
      </c>
      <c r="BM108" s="1018" t="e">
        <f t="shared" si="172"/>
        <v>#VALUE!</v>
      </c>
      <c r="BN108" s="1018" t="e">
        <f t="shared" si="173"/>
        <v>#VALUE!</v>
      </c>
      <c r="BO108" s="1018" t="e">
        <f t="shared" si="174"/>
        <v>#VALUE!</v>
      </c>
      <c r="BP108" s="1018" t="e">
        <f t="shared" si="175"/>
        <v>#VALUE!</v>
      </c>
      <c r="BQ108" s="1018" t="e">
        <f t="shared" si="176"/>
        <v>#VALUE!</v>
      </c>
      <c r="BR108" s="1018" t="e">
        <f t="shared" si="177"/>
        <v>#VALUE!</v>
      </c>
    </row>
    <row r="109" spans="1:70" ht="12.75" hidden="1" customHeight="1" x14ac:dyDescent="0.2">
      <c r="A109" s="647" t="str">
        <f t="shared" si="135"/>
        <v/>
      </c>
      <c r="B109" s="99">
        <f t="shared" si="136"/>
        <v>108</v>
      </c>
      <c r="C109" s="409" t="str">
        <f t="shared" si="137"/>
        <v/>
      </c>
      <c r="D109" s="367">
        <f t="shared" si="138"/>
        <v>108</v>
      </c>
      <c r="E109" s="100" t="str">
        <f t="shared" si="139"/>
        <v/>
      </c>
      <c r="F109" s="99">
        <f t="shared" si="140"/>
        <v>108</v>
      </c>
      <c r="G109" s="101" t="str">
        <f t="shared" si="141"/>
        <v/>
      </c>
      <c r="H109" s="99">
        <f t="shared" si="142"/>
        <v>-892</v>
      </c>
      <c r="I109" s="102" t="str">
        <f t="shared" si="143"/>
        <v/>
      </c>
      <c r="J109" s="103">
        <f t="shared" si="144"/>
        <v>-892</v>
      </c>
      <c r="K109" s="71" t="str">
        <f t="shared" si="134"/>
        <v/>
      </c>
      <c r="L109" s="648" t="s">
        <v>132</v>
      </c>
      <c r="M109" s="345"/>
      <c r="N109" s="346" t="str">
        <f>IF(M109="","m","")</f>
        <v>m</v>
      </c>
      <c r="O109" s="347"/>
      <c r="P109" s="348" t="s">
        <v>317</v>
      </c>
      <c r="Q109" s="349" t="s">
        <v>88</v>
      </c>
      <c r="R109" s="110">
        <f>(IF(COUNT(Z109,AA109,AB109,AC109,AD109,AE109,AF109,AG109,AH109,AI109)&lt;10,SUM(Z109,AA109,AB109,AC109,AD109,AE109,AF109,AG109,AH109,AI109),SUM(LARGE((Z109,AA109,AB109,AC109,AD109,AE109,AF109,AG109,AH109,AI109),{1;2;3;4;5;6;7;8;9}))))</f>
        <v>0</v>
      </c>
      <c r="S109" s="111" t="str">
        <f>INDEX(ETAPP!B$1:B$32,MATCH(COUNTIF(BI109:BR109,1),ETAPP!A$1:A$32,0))&amp;INDEX(ETAPP!B$1:B$32,MATCH(COUNTIF(BI109:BR109,2),ETAPP!A$1:A$32,0))&amp;INDEX(ETAPP!B$1:B$32,MATCH(COUNTIF(BI109:BR109,3),ETAPP!A$1:A$32,0))&amp;INDEX(ETAPP!B$1:B$32,MATCH(COUNTIF(BI109:BR109,4),ETAPP!A$1:A$32,0))&amp;INDEX(ETAPP!B$1:B$32,MATCH(COUNTIF(BI109:BR109,5),ETAPP!A$1:A$32,0))&amp;INDEX(ETAPP!B$1:B$32,MATCH(COUNTIF(BI109:BR109,6),ETAPP!A$1:A$32,0))&amp;INDEX(ETAPP!B$1:B$32,MATCH(COUNTIF(BI109:BR109,7),ETAPP!A$1:A$32,0))&amp;INDEX(ETAPP!B$1:B$32,MATCH(COUNTIF(BI109:BR109,8),ETAPP!A$1:A$32,0))&amp;INDEX(ETAPP!B$1:B$32,MATCH(COUNTIF(BI109:BR109,9),ETAPP!A$1:A$32,0))&amp;INDEX(ETAPP!B$1:B$32,MATCH(COUNTIF(BI109:BR109,10),ETAPP!A$1:A$32,0))&amp;INDEX(ETAPP!B$1:B$32,MATCH(COUNTIF(BI109:BR109,11),ETAPP!A$1:A$32,0))&amp;INDEX(ETAPP!B$1:B$32,MATCH(COUNTIF(BI109:BR109,12),ETAPP!A$1:A$32,0))&amp;INDEX(ETAPP!B$1:B$32,MATCH(COUNTIF(BI109:BR109,13),ETAPP!A$1:A$32,0))&amp;INDEX(ETAPP!B$1:B$32,MATCH(COUNTIF(BI109:BR109,14),ETAPP!A$1:A$32,0))&amp;INDEX(ETAPP!B$1:B$32,MATCH(COUNTIF(BI109:BR109,15),ETAPP!A$1:A$32,0))&amp;INDEX(ETAPP!B$1:B$32,MATCH(COUNTIF(BI109:BR109,16),ETAPP!A$1:A$32,0))&amp;INDEX(ETAPP!B$1:B$32,MATCH(COUNTIF(BI109:BR109,17),ETAPP!A$1:A$32,0))&amp;INDEX(ETAPP!B$1:B$32,MATCH(COUNTIF(BI109:BR109,18),ETAPP!A$1:A$32,0))&amp;INDEX(ETAPP!B$1:B$32,MATCH(COUNTIF(BI109:BR109,19),ETAPP!A$1:A$32,0))&amp;INDEX(ETAPP!B$1:B$32,MATCH(COUNTIF(BI109:BR109,20),ETAPP!A$1:A$32,0))&amp;INDEX(ETAPP!B$1:B$32,MATCH(COUNTIF(BI109:BR109,21),ETAPP!A$1:A$32,0))</f>
        <v>000000000000000000000</v>
      </c>
      <c r="T109" s="111" t="str">
        <f t="shared" si="145"/>
        <v>000,0-000000000000000000000</v>
      </c>
      <c r="U109" s="111">
        <f t="shared" si="146"/>
        <v>108</v>
      </c>
      <c r="V109" s="111">
        <f t="shared" si="147"/>
        <v>16</v>
      </c>
      <c r="W109" s="111" t="str">
        <f t="shared" si="148"/>
        <v>000,0-000000000000000000000-016</v>
      </c>
      <c r="X109" s="111">
        <f t="shared" si="149"/>
        <v>103</v>
      </c>
      <c r="Y109" s="112">
        <f t="shared" si="150"/>
        <v>6</v>
      </c>
      <c r="Z109" s="113" t="str">
        <f>IFERROR(INDEX('V1'!C$300:C$400,MATCH("*"&amp;L109&amp;"*",'V1'!B$300:B$400,0)),"  ")</f>
        <v xml:space="preserve">  </v>
      </c>
      <c r="AA109" s="113" t="str">
        <f>IFERROR(INDEX('V2'!C$300:C$400,MATCH("*"&amp;L109&amp;"*",'V2'!B$300:B$400,0)),"  ")</f>
        <v xml:space="preserve">  </v>
      </c>
      <c r="AB109" s="113" t="str">
        <f>IFERROR(INDEX('V3'!C$300:C$400,MATCH("*"&amp;L109&amp;"*",'V3'!B$300:B$400,0)),"  ")</f>
        <v xml:space="preserve">  </v>
      </c>
      <c r="AC109" s="113" t="str">
        <f>IFERROR(INDEX('V4'!C$300:C$400,MATCH("*"&amp;L109&amp;"*",'V4'!B$300:B$400,0)),"  ")</f>
        <v xml:space="preserve">  </v>
      </c>
      <c r="AD109" s="113" t="str">
        <f>IFERROR(INDEX('V5'!C$300:C$400,MATCH("*"&amp;L109&amp;"*",'V5'!B$300:B$400,0)),"  ")</f>
        <v xml:space="preserve">  </v>
      </c>
      <c r="AE109" s="113" t="str">
        <f>IFERROR(INDEX('V6'!C$300:C$400,MATCH("*"&amp;L109&amp;"*",'V6'!B$300:B$400,0)),"  ")</f>
        <v xml:space="preserve">  </v>
      </c>
      <c r="AF109" s="113" t="str">
        <f>IFERROR(INDEX('V7'!C$300:C$400,MATCH("*"&amp;L109&amp;"*",'V7'!B$300:B$400,0)),"  ")</f>
        <v xml:space="preserve">  </v>
      </c>
      <c r="AG109" s="113" t="str">
        <f>IFERROR(INDEX('V8'!C$300:C$400,MATCH("*"&amp;L109&amp;"*",'V8'!B$300:B$400,0)),"  ")</f>
        <v xml:space="preserve">  </v>
      </c>
      <c r="AH109" s="113" t="str">
        <f>IFERROR(INDEX('V9'!C$300:C$399,MATCH("*"&amp;L109&amp;"*",'V9'!B$300:B$399,0)),"  ")</f>
        <v xml:space="preserve">  </v>
      </c>
      <c r="AI109" s="113" t="str">
        <f>IFERROR(INDEX('V10'!C$300:C$399,MATCH("*"&amp;L109&amp;"*",'V10'!B$300:B$399,0)),"  ")</f>
        <v xml:space="preserve">  </v>
      </c>
      <c r="AJ109" s="114" t="str">
        <f t="shared" si="151"/>
        <v/>
      </c>
      <c r="AK109" s="404">
        <f t="shared" si="152"/>
        <v>0</v>
      </c>
      <c r="AL109" s="115" t="str">
        <f t="shared" si="153"/>
        <v/>
      </c>
      <c r="AM109" s="116" t="str">
        <f>IFERROR(INDEX(#REF!,MATCH("*"&amp;L109&amp;"*",#REF!,0)),"  ")</f>
        <v xml:space="preserve">  </v>
      </c>
      <c r="AN109" s="117">
        <f t="shared" si="154"/>
        <v>0</v>
      </c>
      <c r="AO109" s="118">
        <f t="shared" si="155"/>
        <v>0</v>
      </c>
      <c r="AP109" s="118">
        <f t="shared" si="156"/>
        <v>0</v>
      </c>
      <c r="AQ109" s="49"/>
      <c r="AR109" s="1"/>
      <c r="AS109" s="1"/>
      <c r="AT109" s="119">
        <f t="shared" si="157"/>
        <v>1E-4</v>
      </c>
      <c r="AU109" s="120">
        <f t="shared" si="158"/>
        <v>1E-4</v>
      </c>
      <c r="AV109" s="120">
        <f t="shared" si="159"/>
        <v>2.0000000000000001E-4</v>
      </c>
      <c r="AW109" s="120">
        <f t="shared" si="160"/>
        <v>2.9999999999999997E-4</v>
      </c>
      <c r="AX109" s="120">
        <f t="shared" si="161"/>
        <v>4.0000000000000002E-4</v>
      </c>
      <c r="AY109" s="120">
        <f t="shared" si="162"/>
        <v>5.0000000000000001E-4</v>
      </c>
      <c r="AZ109" s="120">
        <f t="shared" si="163"/>
        <v>5.9999999999999995E-4</v>
      </c>
      <c r="BA109" s="120">
        <f t="shared" si="164"/>
        <v>6.9999999999999999E-4</v>
      </c>
      <c r="BB109" s="120">
        <f t="shared" si="165"/>
        <v>8.0000000000000004E-4</v>
      </c>
      <c r="BC109" s="120">
        <f t="shared" si="166"/>
        <v>8.9999999999999998E-4</v>
      </c>
      <c r="BD109" s="120">
        <f t="shared" si="167"/>
        <v>1E-3</v>
      </c>
      <c r="BI109" s="1018" t="e">
        <f t="shared" si="168"/>
        <v>#VALUE!</v>
      </c>
      <c r="BJ109" s="1018" t="e">
        <f t="shared" si="169"/>
        <v>#VALUE!</v>
      </c>
      <c r="BK109" s="1018" t="e">
        <f t="shared" si="170"/>
        <v>#VALUE!</v>
      </c>
      <c r="BL109" s="1018" t="e">
        <f t="shared" si="171"/>
        <v>#VALUE!</v>
      </c>
      <c r="BM109" s="1018" t="e">
        <f t="shared" si="172"/>
        <v>#VALUE!</v>
      </c>
      <c r="BN109" s="1018" t="e">
        <f t="shared" si="173"/>
        <v>#VALUE!</v>
      </c>
      <c r="BO109" s="1018" t="e">
        <f t="shared" si="174"/>
        <v>#VALUE!</v>
      </c>
      <c r="BP109" s="1018" t="e">
        <f t="shared" si="175"/>
        <v>#VALUE!</v>
      </c>
      <c r="BQ109" s="1018" t="e">
        <f t="shared" si="176"/>
        <v>#VALUE!</v>
      </c>
      <c r="BR109" s="1018" t="e">
        <f t="shared" si="177"/>
        <v>#VALUE!</v>
      </c>
    </row>
    <row r="110" spans="1:70" ht="12.75" hidden="1" customHeight="1" x14ac:dyDescent="0.2">
      <c r="A110" s="647" t="str">
        <f t="shared" si="135"/>
        <v/>
      </c>
      <c r="B110" s="99">
        <f t="shared" si="136"/>
        <v>-892</v>
      </c>
      <c r="C110" s="409" t="str">
        <f t="shared" si="137"/>
        <v/>
      </c>
      <c r="D110" s="367">
        <f t="shared" si="138"/>
        <v>-892</v>
      </c>
      <c r="E110" s="100" t="str">
        <f t="shared" si="139"/>
        <v/>
      </c>
      <c r="F110" s="99">
        <f t="shared" si="140"/>
        <v>108</v>
      </c>
      <c r="G110" s="101" t="str">
        <f t="shared" si="141"/>
        <v/>
      </c>
      <c r="H110" s="99">
        <f t="shared" si="142"/>
        <v>-892</v>
      </c>
      <c r="I110" s="102" t="str">
        <f t="shared" si="143"/>
        <v/>
      </c>
      <c r="J110" s="103">
        <f t="shared" si="144"/>
        <v>-892</v>
      </c>
      <c r="K110" s="71" t="str">
        <f t="shared" si="134"/>
        <v/>
      </c>
      <c r="L110" s="375" t="s">
        <v>323</v>
      </c>
      <c r="M110" s="345"/>
      <c r="N110" s="346" t="s">
        <v>105</v>
      </c>
      <c r="O110" s="347"/>
      <c r="P110" s="348"/>
      <c r="Q110" s="349"/>
      <c r="R110" s="110">
        <f>(IF(COUNT(Z110,AA110,AB110,AC110,AD110,AE110,AF110,AG110,AH110,AI110)&lt;10,SUM(Z110,AA110,AB110,AC110,AD110,AE110,AF110,AG110,AH110,AI110),SUM(LARGE((Z110,AA110,AB110,AC110,AD110,AE110,AF110,AG110,AH110,AI110),{1;2;3;4;5;6;7;8;9}))))</f>
        <v>0</v>
      </c>
      <c r="S110" s="111" t="str">
        <f>INDEX(ETAPP!B$1:B$32,MATCH(COUNTIF(BI110:BR110,1),ETAPP!A$1:A$32,0))&amp;INDEX(ETAPP!B$1:B$32,MATCH(COUNTIF(BI110:BR110,2),ETAPP!A$1:A$32,0))&amp;INDEX(ETAPP!B$1:B$32,MATCH(COUNTIF(BI110:BR110,3),ETAPP!A$1:A$32,0))&amp;INDEX(ETAPP!B$1:B$32,MATCH(COUNTIF(BI110:BR110,4),ETAPP!A$1:A$32,0))&amp;INDEX(ETAPP!B$1:B$32,MATCH(COUNTIF(BI110:BR110,5),ETAPP!A$1:A$32,0))&amp;INDEX(ETAPP!B$1:B$32,MATCH(COUNTIF(BI110:BR110,6),ETAPP!A$1:A$32,0))&amp;INDEX(ETAPP!B$1:B$32,MATCH(COUNTIF(BI110:BR110,7),ETAPP!A$1:A$32,0))&amp;INDEX(ETAPP!B$1:B$32,MATCH(COUNTIF(BI110:BR110,8),ETAPP!A$1:A$32,0))&amp;INDEX(ETAPP!B$1:B$32,MATCH(COUNTIF(BI110:BR110,9),ETAPP!A$1:A$32,0))&amp;INDEX(ETAPP!B$1:B$32,MATCH(COUNTIF(BI110:BR110,10),ETAPP!A$1:A$32,0))&amp;INDEX(ETAPP!B$1:B$32,MATCH(COUNTIF(BI110:BR110,11),ETAPP!A$1:A$32,0))&amp;INDEX(ETAPP!B$1:B$32,MATCH(COUNTIF(BI110:BR110,12),ETAPP!A$1:A$32,0))&amp;INDEX(ETAPP!B$1:B$32,MATCH(COUNTIF(BI110:BR110,13),ETAPP!A$1:A$32,0))&amp;INDEX(ETAPP!B$1:B$32,MATCH(COUNTIF(BI110:BR110,14),ETAPP!A$1:A$32,0))&amp;INDEX(ETAPP!B$1:B$32,MATCH(COUNTIF(BI110:BR110,15),ETAPP!A$1:A$32,0))&amp;INDEX(ETAPP!B$1:B$32,MATCH(COUNTIF(BI110:BR110,16),ETAPP!A$1:A$32,0))&amp;INDEX(ETAPP!B$1:B$32,MATCH(COUNTIF(BI110:BR110,17),ETAPP!A$1:A$32,0))&amp;INDEX(ETAPP!B$1:B$32,MATCH(COUNTIF(BI110:BR110,18),ETAPP!A$1:A$32,0))&amp;INDEX(ETAPP!B$1:B$32,MATCH(COUNTIF(BI110:BR110,19),ETAPP!A$1:A$32,0))&amp;INDEX(ETAPP!B$1:B$32,MATCH(COUNTIF(BI110:BR110,20),ETAPP!A$1:A$32,0))&amp;INDEX(ETAPP!B$1:B$32,MATCH(COUNTIF(BI110:BR110,21),ETAPP!A$1:A$32,0))</f>
        <v>000000000000000000000</v>
      </c>
      <c r="T110" s="111" t="str">
        <f t="shared" si="145"/>
        <v>000,0-000000000000000000000</v>
      </c>
      <c r="U110" s="111">
        <f t="shared" si="146"/>
        <v>108</v>
      </c>
      <c r="V110" s="111">
        <f t="shared" si="147"/>
        <v>15</v>
      </c>
      <c r="W110" s="111" t="str">
        <f t="shared" si="148"/>
        <v>000,0-000000000000000000000-015</v>
      </c>
      <c r="X110" s="111">
        <f t="shared" si="149"/>
        <v>104</v>
      </c>
      <c r="Y110" s="112">
        <f t="shared" si="150"/>
        <v>5</v>
      </c>
      <c r="Z110" s="113" t="str">
        <f>IFERROR(INDEX('V1'!C$300:C$400,MATCH("*"&amp;L110&amp;"*",'V1'!B$300:B$400,0)),"  ")</f>
        <v xml:space="preserve">  </v>
      </c>
      <c r="AA110" s="113" t="str">
        <f>IFERROR(INDEX('V2'!C$300:C$400,MATCH("*"&amp;L110&amp;"*",'V2'!B$300:B$400,0)),"  ")</f>
        <v xml:space="preserve">  </v>
      </c>
      <c r="AB110" s="113" t="str">
        <f>IFERROR(INDEX('V3'!C$300:C$400,MATCH("*"&amp;L110&amp;"*",'V3'!B$300:B$400,0)),"  ")</f>
        <v xml:space="preserve">  </v>
      </c>
      <c r="AC110" s="113" t="str">
        <f>IFERROR(INDEX('V4'!C$300:C$400,MATCH("*"&amp;L110&amp;"*",'V4'!B$300:B$400,0)),"  ")</f>
        <v xml:space="preserve">  </v>
      </c>
      <c r="AD110" s="113" t="str">
        <f>IFERROR(INDEX('V5'!C$300:C$400,MATCH("*"&amp;L110&amp;"*",'V5'!B$300:B$400,0)),"  ")</f>
        <v xml:space="preserve">  </v>
      </c>
      <c r="AE110" s="113" t="str">
        <f>IFERROR(INDEX('V6'!C$300:C$400,MATCH("*"&amp;L110&amp;"*",'V6'!B$300:B$400,0)),"  ")</f>
        <v xml:space="preserve">  </v>
      </c>
      <c r="AF110" s="113" t="str">
        <f>IFERROR(INDEX('V7'!C$300:C$400,MATCH("*"&amp;L110&amp;"*",'V7'!B$300:B$400,0)),"  ")</f>
        <v xml:space="preserve">  </v>
      </c>
      <c r="AG110" s="113" t="str">
        <f>IFERROR(INDEX('V8'!C$300:C$400,MATCH("*"&amp;L110&amp;"*",'V8'!B$300:B$400,0)),"  ")</f>
        <v xml:space="preserve">  </v>
      </c>
      <c r="AH110" s="113" t="str">
        <f>IFERROR(INDEX('V9'!C$300:C$399,MATCH("*"&amp;L110&amp;"*",'V9'!B$300:B$399,0)),"  ")</f>
        <v xml:space="preserve">  </v>
      </c>
      <c r="AI110" s="113" t="str">
        <f>IFERROR(INDEX('V10'!C$300:C$399,MATCH("*"&amp;L110&amp;"*",'V10'!B$300:B$399,0)),"  ")</f>
        <v xml:space="preserve">  </v>
      </c>
      <c r="AJ110" s="114" t="str">
        <f t="shared" si="151"/>
        <v/>
      </c>
      <c r="AK110" s="404">
        <f t="shared" si="152"/>
        <v>0</v>
      </c>
      <c r="AL110" s="115" t="str">
        <f t="shared" si="153"/>
        <v/>
      </c>
      <c r="AM110" s="116" t="str">
        <f>IFERROR(INDEX(#REF!,MATCH("*"&amp;L110&amp;"*",#REF!,0)),"  ")</f>
        <v xml:space="preserve">  </v>
      </c>
      <c r="AN110" s="117">
        <f t="shared" si="154"/>
        <v>0</v>
      </c>
      <c r="AO110" s="118">
        <f t="shared" si="155"/>
        <v>0</v>
      </c>
      <c r="AP110" s="118">
        <f t="shared" si="156"/>
        <v>0</v>
      </c>
      <c r="AQ110" s="49"/>
      <c r="AR110" s="1"/>
      <c r="AS110" s="1"/>
      <c r="AT110" s="119">
        <f t="shared" si="157"/>
        <v>1E-4</v>
      </c>
      <c r="AU110" s="120">
        <f t="shared" si="158"/>
        <v>1E-4</v>
      </c>
      <c r="AV110" s="120">
        <f t="shared" si="159"/>
        <v>2.0000000000000001E-4</v>
      </c>
      <c r="AW110" s="120">
        <f t="shared" si="160"/>
        <v>2.9999999999999997E-4</v>
      </c>
      <c r="AX110" s="120">
        <f t="shared" si="161"/>
        <v>4.0000000000000002E-4</v>
      </c>
      <c r="AY110" s="120">
        <f t="shared" si="162"/>
        <v>5.0000000000000001E-4</v>
      </c>
      <c r="AZ110" s="120">
        <f t="shared" si="163"/>
        <v>5.9999999999999995E-4</v>
      </c>
      <c r="BA110" s="120">
        <f t="shared" si="164"/>
        <v>6.9999999999999999E-4</v>
      </c>
      <c r="BB110" s="120">
        <f t="shared" si="165"/>
        <v>8.0000000000000004E-4</v>
      </c>
      <c r="BC110" s="120">
        <f t="shared" si="166"/>
        <v>8.9999999999999998E-4</v>
      </c>
      <c r="BD110" s="120">
        <f t="shared" si="167"/>
        <v>1E-3</v>
      </c>
      <c r="BI110" s="1018" t="e">
        <f t="shared" si="168"/>
        <v>#VALUE!</v>
      </c>
      <c r="BJ110" s="1018" t="e">
        <f t="shared" si="169"/>
        <v>#VALUE!</v>
      </c>
      <c r="BK110" s="1018" t="e">
        <f t="shared" si="170"/>
        <v>#VALUE!</v>
      </c>
      <c r="BL110" s="1018" t="e">
        <f t="shared" si="171"/>
        <v>#VALUE!</v>
      </c>
      <c r="BM110" s="1018" t="e">
        <f t="shared" si="172"/>
        <v>#VALUE!</v>
      </c>
      <c r="BN110" s="1018" t="e">
        <f t="shared" si="173"/>
        <v>#VALUE!</v>
      </c>
      <c r="BO110" s="1018" t="e">
        <f t="shared" si="174"/>
        <v>#VALUE!</v>
      </c>
      <c r="BP110" s="1018" t="e">
        <f t="shared" si="175"/>
        <v>#VALUE!</v>
      </c>
      <c r="BQ110" s="1018" t="e">
        <f t="shared" si="176"/>
        <v>#VALUE!</v>
      </c>
      <c r="BR110" s="1018" t="e">
        <f t="shared" si="177"/>
        <v>#VALUE!</v>
      </c>
    </row>
    <row r="111" spans="1:70" ht="12.75" hidden="1" customHeight="1" x14ac:dyDescent="0.2">
      <c r="A111" s="647" t="str">
        <f t="shared" si="135"/>
        <v/>
      </c>
      <c r="B111" s="99">
        <f t="shared" si="136"/>
        <v>-892</v>
      </c>
      <c r="C111" s="409" t="str">
        <f t="shared" si="137"/>
        <v/>
      </c>
      <c r="D111" s="367">
        <f t="shared" si="138"/>
        <v>-892</v>
      </c>
      <c r="E111" s="100" t="str">
        <f t="shared" si="139"/>
        <v/>
      </c>
      <c r="F111" s="99">
        <f t="shared" si="140"/>
        <v>108</v>
      </c>
      <c r="G111" s="101" t="str">
        <f t="shared" si="141"/>
        <v/>
      </c>
      <c r="H111" s="99">
        <f t="shared" si="142"/>
        <v>-892</v>
      </c>
      <c r="I111" s="102" t="str">
        <f t="shared" si="143"/>
        <v/>
      </c>
      <c r="J111" s="103">
        <f t="shared" si="144"/>
        <v>-892</v>
      </c>
      <c r="K111" s="71" t="str">
        <f t="shared" si="134"/>
        <v/>
      </c>
      <c r="L111" s="445" t="s">
        <v>142</v>
      </c>
      <c r="M111" s="446"/>
      <c r="N111" s="447" t="s">
        <v>105</v>
      </c>
      <c r="O111" s="450"/>
      <c r="P111" s="448"/>
      <c r="Q111" s="449" t="s">
        <v>346</v>
      </c>
      <c r="R111" s="110">
        <f>(IF(COUNT(Z111,AA111,AB111,AC111,AD111,AE111,AF111,AG111,AH111,AI111)&lt;10,SUM(Z111,AA111,AB111,AC111,AD111,AE111,AF111,AG111,AH111,AI111),SUM(LARGE((Z111,AA111,AB111,AC111,AD111,AE111,AF111,AG111,AH111,AI111),{1;2;3;4;5;6;7;8;9}))))</f>
        <v>0</v>
      </c>
      <c r="S111" s="111" t="str">
        <f>INDEX(ETAPP!B$1:B$32,MATCH(COUNTIF(BI111:BR111,1),ETAPP!A$1:A$32,0))&amp;INDEX(ETAPP!B$1:B$32,MATCH(COUNTIF(BI111:BR111,2),ETAPP!A$1:A$32,0))&amp;INDEX(ETAPP!B$1:B$32,MATCH(COUNTIF(BI111:BR111,3),ETAPP!A$1:A$32,0))&amp;INDEX(ETAPP!B$1:B$32,MATCH(COUNTIF(BI111:BR111,4),ETAPP!A$1:A$32,0))&amp;INDEX(ETAPP!B$1:B$32,MATCH(COUNTIF(BI111:BR111,5),ETAPP!A$1:A$32,0))&amp;INDEX(ETAPP!B$1:B$32,MATCH(COUNTIF(BI111:BR111,6),ETAPP!A$1:A$32,0))&amp;INDEX(ETAPP!B$1:B$32,MATCH(COUNTIF(BI111:BR111,7),ETAPP!A$1:A$32,0))&amp;INDEX(ETAPP!B$1:B$32,MATCH(COUNTIF(BI111:BR111,8),ETAPP!A$1:A$32,0))&amp;INDEX(ETAPP!B$1:B$32,MATCH(COUNTIF(BI111:BR111,9),ETAPP!A$1:A$32,0))&amp;INDEX(ETAPP!B$1:B$32,MATCH(COUNTIF(BI111:BR111,10),ETAPP!A$1:A$32,0))&amp;INDEX(ETAPP!B$1:B$32,MATCH(COUNTIF(BI111:BR111,11),ETAPP!A$1:A$32,0))&amp;INDEX(ETAPP!B$1:B$32,MATCH(COUNTIF(BI111:BR111,12),ETAPP!A$1:A$32,0))&amp;INDEX(ETAPP!B$1:B$32,MATCH(COUNTIF(BI111:BR111,13),ETAPP!A$1:A$32,0))&amp;INDEX(ETAPP!B$1:B$32,MATCH(COUNTIF(BI111:BR111,14),ETAPP!A$1:A$32,0))&amp;INDEX(ETAPP!B$1:B$32,MATCH(COUNTIF(BI111:BR111,15),ETAPP!A$1:A$32,0))&amp;INDEX(ETAPP!B$1:B$32,MATCH(COUNTIF(BI111:BR111,16),ETAPP!A$1:A$32,0))&amp;INDEX(ETAPP!B$1:B$32,MATCH(COUNTIF(BI111:BR111,17),ETAPP!A$1:A$32,0))&amp;INDEX(ETAPP!B$1:B$32,MATCH(COUNTIF(BI111:BR111,18),ETAPP!A$1:A$32,0))&amp;INDEX(ETAPP!B$1:B$32,MATCH(COUNTIF(BI111:BR111,19),ETAPP!A$1:A$32,0))&amp;INDEX(ETAPP!B$1:B$32,MATCH(COUNTIF(BI111:BR111,20),ETAPP!A$1:A$32,0))&amp;INDEX(ETAPP!B$1:B$32,MATCH(COUNTIF(BI111:BR111,21),ETAPP!A$1:A$32,0))</f>
        <v>000000000000000000000</v>
      </c>
      <c r="T111" s="111" t="str">
        <f t="shared" si="145"/>
        <v>000,0-000000000000000000000</v>
      </c>
      <c r="U111" s="111">
        <f t="shared" si="146"/>
        <v>108</v>
      </c>
      <c r="V111" s="111">
        <f t="shared" si="147"/>
        <v>12</v>
      </c>
      <c r="W111" s="111" t="str">
        <f t="shared" si="148"/>
        <v>000,0-000000000000000000000-012</v>
      </c>
      <c r="X111" s="111">
        <f t="shared" si="149"/>
        <v>105</v>
      </c>
      <c r="Y111" s="112">
        <f t="shared" si="150"/>
        <v>4</v>
      </c>
      <c r="Z111" s="113" t="str">
        <f>IFERROR(INDEX('V1'!C$300:C$400,MATCH("*"&amp;L111&amp;"*",'V1'!B$300:B$400,0)),"  ")</f>
        <v xml:space="preserve">  </v>
      </c>
      <c r="AA111" s="113" t="str">
        <f>IFERROR(INDEX('V2'!C$300:C$400,MATCH("*"&amp;L111&amp;"*",'V2'!B$300:B$400,0)),"  ")</f>
        <v xml:space="preserve">  </v>
      </c>
      <c r="AB111" s="113" t="str">
        <f>IFERROR(INDEX('V3'!C$300:C$400,MATCH("*"&amp;L111&amp;"*",'V3'!B$300:B$400,0)),"  ")</f>
        <v xml:space="preserve">  </v>
      </c>
      <c r="AC111" s="113" t="str">
        <f>IFERROR(INDEX('V4'!C$300:C$400,MATCH("*"&amp;L111&amp;"*",'V4'!B$300:B$400,0)),"  ")</f>
        <v xml:space="preserve">  </v>
      </c>
      <c r="AD111" s="113" t="str">
        <f>IFERROR(INDEX('V5'!C$300:C$400,MATCH("*"&amp;L111&amp;"*",'V5'!B$300:B$400,0)),"  ")</f>
        <v xml:space="preserve">  </v>
      </c>
      <c r="AE111" s="113" t="str">
        <f>IFERROR(INDEX('V6'!C$300:C$400,MATCH("*"&amp;L111&amp;"*",'V6'!B$300:B$400,0)),"  ")</f>
        <v xml:space="preserve">  </v>
      </c>
      <c r="AF111" s="113" t="str">
        <f>IFERROR(INDEX('V7'!C$300:C$400,MATCH("*"&amp;L111&amp;"*",'V7'!B$300:B$400,0)),"  ")</f>
        <v xml:space="preserve">  </v>
      </c>
      <c r="AG111" s="113" t="str">
        <f>IFERROR(INDEX('V8'!C$300:C$400,MATCH("*"&amp;L111&amp;"*",'V8'!B$300:B$400,0)),"  ")</f>
        <v xml:space="preserve">  </v>
      </c>
      <c r="AH111" s="113" t="str">
        <f>IFERROR(INDEX('V9'!C$300:C$399,MATCH("*"&amp;L111&amp;"*",'V9'!B$300:B$399,0)),"  ")</f>
        <v xml:space="preserve">  </v>
      </c>
      <c r="AI111" s="113" t="str">
        <f>IFERROR(INDEX('V10'!C$300:C$399,MATCH("*"&amp;L111&amp;"*",'V10'!B$300:B$399,0)),"  ")</f>
        <v xml:space="preserve">  </v>
      </c>
      <c r="AJ111" s="114" t="str">
        <f t="shared" si="151"/>
        <v/>
      </c>
      <c r="AK111" s="404">
        <f t="shared" si="152"/>
        <v>0</v>
      </c>
      <c r="AL111" s="115" t="str">
        <f t="shared" si="153"/>
        <v/>
      </c>
      <c r="AM111" s="116" t="str">
        <f>IFERROR(INDEX(#REF!,MATCH("*"&amp;L111&amp;"*",#REF!,0)),"  ")</f>
        <v xml:space="preserve">  </v>
      </c>
      <c r="AN111" s="117">
        <f t="shared" si="154"/>
        <v>0</v>
      </c>
      <c r="AO111" s="118">
        <f t="shared" si="155"/>
        <v>0</v>
      </c>
      <c r="AP111" s="118">
        <f t="shared" si="156"/>
        <v>0</v>
      </c>
      <c r="AQ111" s="49"/>
      <c r="AR111" s="1"/>
      <c r="AS111" s="1"/>
      <c r="AT111" s="119">
        <f t="shared" si="157"/>
        <v>1E-4</v>
      </c>
      <c r="AU111" s="120">
        <f t="shared" si="158"/>
        <v>1E-4</v>
      </c>
      <c r="AV111" s="120">
        <f t="shared" si="159"/>
        <v>2.0000000000000001E-4</v>
      </c>
      <c r="AW111" s="120">
        <f t="shared" si="160"/>
        <v>2.9999999999999997E-4</v>
      </c>
      <c r="AX111" s="120">
        <f t="shared" si="161"/>
        <v>4.0000000000000002E-4</v>
      </c>
      <c r="AY111" s="120">
        <f t="shared" si="162"/>
        <v>5.0000000000000001E-4</v>
      </c>
      <c r="AZ111" s="120">
        <f t="shared" si="163"/>
        <v>5.9999999999999995E-4</v>
      </c>
      <c r="BA111" s="120">
        <f t="shared" si="164"/>
        <v>6.9999999999999999E-4</v>
      </c>
      <c r="BB111" s="120">
        <f t="shared" si="165"/>
        <v>8.0000000000000004E-4</v>
      </c>
      <c r="BC111" s="120">
        <f t="shared" si="166"/>
        <v>8.9999999999999998E-4</v>
      </c>
      <c r="BD111" s="120">
        <f t="shared" si="167"/>
        <v>1E-3</v>
      </c>
      <c r="BI111" s="1018" t="e">
        <f t="shared" si="168"/>
        <v>#VALUE!</v>
      </c>
      <c r="BJ111" s="1018" t="e">
        <f t="shared" si="169"/>
        <v>#VALUE!</v>
      </c>
      <c r="BK111" s="1018" t="e">
        <f t="shared" si="170"/>
        <v>#VALUE!</v>
      </c>
      <c r="BL111" s="1018" t="e">
        <f t="shared" si="171"/>
        <v>#VALUE!</v>
      </c>
      <c r="BM111" s="1018" t="e">
        <f t="shared" si="172"/>
        <v>#VALUE!</v>
      </c>
      <c r="BN111" s="1018" t="e">
        <f t="shared" si="173"/>
        <v>#VALUE!</v>
      </c>
      <c r="BO111" s="1018" t="e">
        <f t="shared" si="174"/>
        <v>#VALUE!</v>
      </c>
      <c r="BP111" s="1018" t="e">
        <f t="shared" si="175"/>
        <v>#VALUE!</v>
      </c>
      <c r="BQ111" s="1018" t="e">
        <f t="shared" si="176"/>
        <v>#VALUE!</v>
      </c>
      <c r="BR111" s="1018" t="e">
        <f t="shared" si="177"/>
        <v>#VALUE!</v>
      </c>
    </row>
    <row r="112" spans="1:70" ht="12.75" hidden="1" customHeight="1" x14ac:dyDescent="0.2">
      <c r="A112" s="647" t="str">
        <f t="shared" si="135"/>
        <v/>
      </c>
      <c r="B112" s="99">
        <f t="shared" si="136"/>
        <v>108</v>
      </c>
      <c r="C112" s="409" t="str">
        <f t="shared" si="137"/>
        <v/>
      </c>
      <c r="D112" s="367">
        <f t="shared" si="138"/>
        <v>-892</v>
      </c>
      <c r="E112" s="100" t="str">
        <f t="shared" si="139"/>
        <v/>
      </c>
      <c r="F112" s="99">
        <f t="shared" si="140"/>
        <v>-892</v>
      </c>
      <c r="G112" s="101" t="str">
        <f t="shared" si="141"/>
        <v/>
      </c>
      <c r="H112" s="99">
        <f t="shared" si="142"/>
        <v>108</v>
      </c>
      <c r="I112" s="102" t="str">
        <f t="shared" si="143"/>
        <v/>
      </c>
      <c r="J112" s="103">
        <f t="shared" si="144"/>
        <v>-892</v>
      </c>
      <c r="K112" s="71" t="str">
        <f t="shared" si="134"/>
        <v/>
      </c>
      <c r="L112" s="1011" t="s">
        <v>138</v>
      </c>
      <c r="M112" s="1012" t="s">
        <v>110</v>
      </c>
      <c r="N112" s="1013" t="str">
        <f>IF(M112="","m","")</f>
        <v/>
      </c>
      <c r="O112" s="1014"/>
      <c r="P112" s="1015"/>
      <c r="Q112" s="1016" t="s">
        <v>88</v>
      </c>
      <c r="R112" s="110">
        <f>(IF(COUNT(Z112,AA112,AB112,AC112,AD112,AE112,AF112,AG112,AH112,AI112)&lt;10,SUM(Z112,AA112,AB112,AC112,AD112,AE112,AF112,AG112,AH112,AI112),SUM(LARGE((Z112,AA112,AB112,AC112,AD112,AE112,AF112,AG112,AH112,AI112),{1;2;3;4;5;6;7;8;9}))))</f>
        <v>0</v>
      </c>
      <c r="S112" s="111" t="str">
        <f>INDEX(ETAPP!B$1:B$32,MATCH(COUNTIF(BI112:BR112,1),ETAPP!A$1:A$32,0))&amp;INDEX(ETAPP!B$1:B$32,MATCH(COUNTIF(BI112:BR112,2),ETAPP!A$1:A$32,0))&amp;INDEX(ETAPP!B$1:B$32,MATCH(COUNTIF(BI112:BR112,3),ETAPP!A$1:A$32,0))&amp;INDEX(ETAPP!B$1:B$32,MATCH(COUNTIF(BI112:BR112,4),ETAPP!A$1:A$32,0))&amp;INDEX(ETAPP!B$1:B$32,MATCH(COUNTIF(BI112:BR112,5),ETAPP!A$1:A$32,0))&amp;INDEX(ETAPP!B$1:B$32,MATCH(COUNTIF(BI112:BR112,6),ETAPP!A$1:A$32,0))&amp;INDEX(ETAPP!B$1:B$32,MATCH(COUNTIF(BI112:BR112,7),ETAPP!A$1:A$32,0))&amp;INDEX(ETAPP!B$1:B$32,MATCH(COUNTIF(BI112:BR112,8),ETAPP!A$1:A$32,0))&amp;INDEX(ETAPP!B$1:B$32,MATCH(COUNTIF(BI112:BR112,9),ETAPP!A$1:A$32,0))&amp;INDEX(ETAPP!B$1:B$32,MATCH(COUNTIF(BI112:BR112,10),ETAPP!A$1:A$32,0))&amp;INDEX(ETAPP!B$1:B$32,MATCH(COUNTIF(BI112:BR112,11),ETAPP!A$1:A$32,0))&amp;INDEX(ETAPP!B$1:B$32,MATCH(COUNTIF(BI112:BR112,12),ETAPP!A$1:A$32,0))&amp;INDEX(ETAPP!B$1:B$32,MATCH(COUNTIF(BI112:BR112,13),ETAPP!A$1:A$32,0))&amp;INDEX(ETAPP!B$1:B$32,MATCH(COUNTIF(BI112:BR112,14),ETAPP!A$1:A$32,0))&amp;INDEX(ETAPP!B$1:B$32,MATCH(COUNTIF(BI112:BR112,15),ETAPP!A$1:A$32,0))&amp;INDEX(ETAPP!B$1:B$32,MATCH(COUNTIF(BI112:BR112,16),ETAPP!A$1:A$32,0))&amp;INDEX(ETAPP!B$1:B$32,MATCH(COUNTIF(BI112:BR112,17),ETAPP!A$1:A$32,0))&amp;INDEX(ETAPP!B$1:B$32,MATCH(COUNTIF(BI112:BR112,18),ETAPP!A$1:A$32,0))&amp;INDEX(ETAPP!B$1:B$32,MATCH(COUNTIF(BI112:BR112,19),ETAPP!A$1:A$32,0))&amp;INDEX(ETAPP!B$1:B$32,MATCH(COUNTIF(BI112:BR112,20),ETAPP!A$1:A$32,0))&amp;INDEX(ETAPP!B$1:B$32,MATCH(COUNTIF(BI112:BR112,21),ETAPP!A$1:A$32,0))</f>
        <v>000000000000000000000</v>
      </c>
      <c r="T112" s="111" t="str">
        <f t="shared" si="145"/>
        <v>000,0-000000000000000000000</v>
      </c>
      <c r="U112" s="111">
        <f t="shared" si="146"/>
        <v>108</v>
      </c>
      <c r="V112" s="111">
        <f t="shared" si="147"/>
        <v>6</v>
      </c>
      <c r="W112" s="111" t="str">
        <f t="shared" si="148"/>
        <v>000,0-000000000000000000000-006</v>
      </c>
      <c r="X112" s="111">
        <f t="shared" si="149"/>
        <v>106</v>
      </c>
      <c r="Y112" s="112">
        <f t="shared" si="150"/>
        <v>3</v>
      </c>
      <c r="Z112" s="113" t="str">
        <f>IFERROR(INDEX('V1'!C$300:C$400,MATCH("*"&amp;L112&amp;"*",'V1'!B$300:B$400,0)),"  ")</f>
        <v xml:space="preserve">  </v>
      </c>
      <c r="AA112" s="113" t="str">
        <f>IFERROR(INDEX('V2'!C$300:C$400,MATCH("*"&amp;L112&amp;"*",'V2'!B$300:B$400,0)),"  ")</f>
        <v xml:space="preserve">  </v>
      </c>
      <c r="AB112" s="113" t="str">
        <f>IFERROR(INDEX('V3'!C$300:C$400,MATCH("*"&amp;L112&amp;"*",'V3'!B$300:B$400,0)),"  ")</f>
        <v xml:space="preserve">  </v>
      </c>
      <c r="AC112" s="113" t="str">
        <f>IFERROR(INDEX('V4'!C$300:C$400,MATCH("*"&amp;L112&amp;"*",'V4'!B$300:B$400,0)),"  ")</f>
        <v xml:space="preserve">  </v>
      </c>
      <c r="AD112" s="113" t="str">
        <f>IFERROR(INDEX('V5'!C$300:C$400,MATCH("*"&amp;L112&amp;"*",'V5'!B$300:B$400,0)),"  ")</f>
        <v xml:space="preserve">  </v>
      </c>
      <c r="AE112" s="113" t="str">
        <f>IFERROR(INDEX('V6'!C$300:C$400,MATCH("*"&amp;L112&amp;"*",'V6'!B$300:B$400,0)),"  ")</f>
        <v xml:space="preserve">  </v>
      </c>
      <c r="AF112" s="113" t="str">
        <f>IFERROR(INDEX('V7'!C$300:C$400,MATCH("*"&amp;L112&amp;"*",'V7'!B$300:B$400,0)),"  ")</f>
        <v xml:space="preserve">  </v>
      </c>
      <c r="AG112" s="113" t="str">
        <f>IFERROR(INDEX('V8'!C$300:C$400,MATCH("*"&amp;L112&amp;"*",'V8'!B$300:B$400,0)),"  ")</f>
        <v xml:space="preserve">  </v>
      </c>
      <c r="AH112" s="113" t="str">
        <f>IFERROR(INDEX('V9'!C$300:C$399,MATCH("*"&amp;L112&amp;"*",'V9'!B$300:B$399,0)),"  ")</f>
        <v xml:space="preserve">  </v>
      </c>
      <c r="AI112" s="113" t="str">
        <f>IFERROR(INDEX('V10'!C$300:C$399,MATCH("*"&amp;L112&amp;"*",'V10'!B$300:B$399,0)),"  ")</f>
        <v xml:space="preserve">  </v>
      </c>
      <c r="AJ112" s="114" t="str">
        <f t="shared" si="151"/>
        <v/>
      </c>
      <c r="AK112" s="404">
        <f t="shared" si="152"/>
        <v>0</v>
      </c>
      <c r="AL112" s="115" t="str">
        <f t="shared" si="153"/>
        <v/>
      </c>
      <c r="AM112" s="116" t="str">
        <f>IFERROR(INDEX(#REF!,MATCH("*"&amp;L112&amp;"*",#REF!,0)),"  ")</f>
        <v xml:space="preserve">  </v>
      </c>
      <c r="AN112" s="117">
        <f t="shared" si="154"/>
        <v>0</v>
      </c>
      <c r="AO112" s="118">
        <f t="shared" si="155"/>
        <v>0</v>
      </c>
      <c r="AP112" s="118">
        <f t="shared" si="156"/>
        <v>0</v>
      </c>
      <c r="AQ112" s="49"/>
      <c r="AR112" s="1"/>
      <c r="AS112" s="1"/>
      <c r="AT112" s="119">
        <f t="shared" si="157"/>
        <v>1E-4</v>
      </c>
      <c r="AU112" s="120">
        <f t="shared" si="158"/>
        <v>1E-4</v>
      </c>
      <c r="AV112" s="120">
        <f t="shared" si="159"/>
        <v>2.0000000000000001E-4</v>
      </c>
      <c r="AW112" s="120">
        <f t="shared" si="160"/>
        <v>2.9999999999999997E-4</v>
      </c>
      <c r="AX112" s="120">
        <f t="shared" si="161"/>
        <v>4.0000000000000002E-4</v>
      </c>
      <c r="AY112" s="120">
        <f t="shared" si="162"/>
        <v>5.0000000000000001E-4</v>
      </c>
      <c r="AZ112" s="120">
        <f t="shared" si="163"/>
        <v>5.9999999999999995E-4</v>
      </c>
      <c r="BA112" s="120">
        <f t="shared" si="164"/>
        <v>6.9999999999999999E-4</v>
      </c>
      <c r="BB112" s="120">
        <f t="shared" si="165"/>
        <v>8.0000000000000004E-4</v>
      </c>
      <c r="BC112" s="120">
        <f t="shared" si="166"/>
        <v>8.9999999999999998E-4</v>
      </c>
      <c r="BD112" s="120">
        <f t="shared" si="167"/>
        <v>1E-3</v>
      </c>
      <c r="BI112" s="1018" t="e">
        <f t="shared" si="168"/>
        <v>#VALUE!</v>
      </c>
      <c r="BJ112" s="1018" t="e">
        <f t="shared" si="169"/>
        <v>#VALUE!</v>
      </c>
      <c r="BK112" s="1018" t="e">
        <f t="shared" si="170"/>
        <v>#VALUE!</v>
      </c>
      <c r="BL112" s="1018" t="e">
        <f t="shared" si="171"/>
        <v>#VALUE!</v>
      </c>
      <c r="BM112" s="1018" t="e">
        <f t="shared" si="172"/>
        <v>#VALUE!</v>
      </c>
      <c r="BN112" s="1018" t="e">
        <f t="shared" si="173"/>
        <v>#VALUE!</v>
      </c>
      <c r="BO112" s="1018" t="e">
        <f t="shared" si="174"/>
        <v>#VALUE!</v>
      </c>
      <c r="BP112" s="1018" t="e">
        <f t="shared" si="175"/>
        <v>#VALUE!</v>
      </c>
      <c r="BQ112" s="1018" t="e">
        <f t="shared" si="176"/>
        <v>#VALUE!</v>
      </c>
      <c r="BR112" s="1018" t="e">
        <f t="shared" si="177"/>
        <v>#VALUE!</v>
      </c>
    </row>
    <row r="113" spans="1:70" ht="12.75" hidden="1" customHeight="1" x14ac:dyDescent="0.2">
      <c r="A113" s="647" t="str">
        <f t="shared" si="135"/>
        <v/>
      </c>
      <c r="B113" s="99">
        <f t="shared" si="136"/>
        <v>-892</v>
      </c>
      <c r="C113" s="409" t="str">
        <f t="shared" si="137"/>
        <v/>
      </c>
      <c r="D113" s="367">
        <f t="shared" si="138"/>
        <v>-892</v>
      </c>
      <c r="E113" s="100" t="str">
        <f t="shared" si="139"/>
        <v/>
      </c>
      <c r="F113" s="99">
        <f t="shared" si="140"/>
        <v>108</v>
      </c>
      <c r="G113" s="101" t="str">
        <f t="shared" si="141"/>
        <v/>
      </c>
      <c r="H113" s="99">
        <f t="shared" si="142"/>
        <v>-892</v>
      </c>
      <c r="I113" s="102" t="str">
        <f t="shared" si="143"/>
        <v/>
      </c>
      <c r="J113" s="103">
        <f t="shared" si="144"/>
        <v>108</v>
      </c>
      <c r="K113" s="71" t="str">
        <f t="shared" si="134"/>
        <v/>
      </c>
      <c r="L113" s="439" t="s">
        <v>255</v>
      </c>
      <c r="M113" s="440"/>
      <c r="N113" s="441" t="s">
        <v>105</v>
      </c>
      <c r="O113" s="463" t="s">
        <v>117</v>
      </c>
      <c r="P113" s="443"/>
      <c r="Q113" s="109"/>
      <c r="R113" s="110">
        <f>(IF(COUNT(Z113,AA113,AB113,AC113,AD113,AE113,AF113,AG113,AH113,AI113)&lt;10,SUM(Z113,AA113,AB113,AC113,AD113,AE113,AF113,AG113,AH113,AI113),SUM(LARGE((Z113,AA113,AB113,AC113,AD113,AE113,AF113,AG113,AH113,AI113),{1;2;3;4;5;6;7;8;9}))))</f>
        <v>0</v>
      </c>
      <c r="S113" s="111" t="str">
        <f>INDEX(ETAPP!B$1:B$32,MATCH(COUNTIF(BI113:BR113,1),ETAPP!A$1:A$32,0))&amp;INDEX(ETAPP!B$1:B$32,MATCH(COUNTIF(BI113:BR113,2),ETAPP!A$1:A$32,0))&amp;INDEX(ETAPP!B$1:B$32,MATCH(COUNTIF(BI113:BR113,3),ETAPP!A$1:A$32,0))&amp;INDEX(ETAPP!B$1:B$32,MATCH(COUNTIF(BI113:BR113,4),ETAPP!A$1:A$32,0))&amp;INDEX(ETAPP!B$1:B$32,MATCH(COUNTIF(BI113:BR113,5),ETAPP!A$1:A$32,0))&amp;INDEX(ETAPP!B$1:B$32,MATCH(COUNTIF(BI113:BR113,6),ETAPP!A$1:A$32,0))&amp;INDEX(ETAPP!B$1:B$32,MATCH(COUNTIF(BI113:BR113,7),ETAPP!A$1:A$32,0))&amp;INDEX(ETAPP!B$1:B$32,MATCH(COUNTIF(BI113:BR113,8),ETAPP!A$1:A$32,0))&amp;INDEX(ETAPP!B$1:B$32,MATCH(COUNTIF(BI113:BR113,9),ETAPP!A$1:A$32,0))&amp;INDEX(ETAPP!B$1:B$32,MATCH(COUNTIF(BI113:BR113,10),ETAPP!A$1:A$32,0))&amp;INDEX(ETAPP!B$1:B$32,MATCH(COUNTIF(BI113:BR113,11),ETAPP!A$1:A$32,0))&amp;INDEX(ETAPP!B$1:B$32,MATCH(COUNTIF(BI113:BR113,12),ETAPP!A$1:A$32,0))&amp;INDEX(ETAPP!B$1:B$32,MATCH(COUNTIF(BI113:BR113,13),ETAPP!A$1:A$32,0))&amp;INDEX(ETAPP!B$1:B$32,MATCH(COUNTIF(BI113:BR113,14),ETAPP!A$1:A$32,0))&amp;INDEX(ETAPP!B$1:B$32,MATCH(COUNTIF(BI113:BR113,15),ETAPP!A$1:A$32,0))&amp;INDEX(ETAPP!B$1:B$32,MATCH(COUNTIF(BI113:BR113,16),ETAPP!A$1:A$32,0))&amp;INDEX(ETAPP!B$1:B$32,MATCH(COUNTIF(BI113:BR113,17),ETAPP!A$1:A$32,0))&amp;INDEX(ETAPP!B$1:B$32,MATCH(COUNTIF(BI113:BR113,18),ETAPP!A$1:A$32,0))&amp;INDEX(ETAPP!B$1:B$32,MATCH(COUNTIF(BI113:BR113,19),ETAPP!A$1:A$32,0))&amp;INDEX(ETAPP!B$1:B$32,MATCH(COUNTIF(BI113:BR113,20),ETAPP!A$1:A$32,0))&amp;INDEX(ETAPP!B$1:B$32,MATCH(COUNTIF(BI113:BR113,21),ETAPP!A$1:A$32,0))</f>
        <v>000000000000000000000</v>
      </c>
      <c r="T113" s="111" t="str">
        <f t="shared" si="145"/>
        <v>000,0-000000000000000000000</v>
      </c>
      <c r="U113" s="111">
        <f t="shared" si="146"/>
        <v>108</v>
      </c>
      <c r="V113" s="111">
        <f t="shared" si="147"/>
        <v>3</v>
      </c>
      <c r="W113" s="111" t="str">
        <f t="shared" si="148"/>
        <v>000,0-000000000000000000000-003</v>
      </c>
      <c r="X113" s="111">
        <f t="shared" si="149"/>
        <v>107</v>
      </c>
      <c r="Y113" s="112">
        <f t="shared" si="150"/>
        <v>2</v>
      </c>
      <c r="Z113" s="113" t="str">
        <f>IFERROR(INDEX('V1'!C$300:C$400,MATCH("*"&amp;L113&amp;"*",'V1'!B$300:B$400,0)),"  ")</f>
        <v xml:space="preserve">  </v>
      </c>
      <c r="AA113" s="113" t="str">
        <f>IFERROR(INDEX('V2'!C$300:C$400,MATCH("*"&amp;L113&amp;"*",'V2'!B$300:B$400,0)),"  ")</f>
        <v xml:space="preserve">  </v>
      </c>
      <c r="AB113" s="113" t="str">
        <f>IFERROR(INDEX('V3'!C$300:C$400,MATCH("*"&amp;L113&amp;"*",'V3'!B$300:B$400,0)),"  ")</f>
        <v xml:space="preserve">  </v>
      </c>
      <c r="AC113" s="113" t="str">
        <f>IFERROR(INDEX('V4'!C$300:C$400,MATCH("*"&amp;L113&amp;"*",'V4'!B$300:B$400,0)),"  ")</f>
        <v xml:space="preserve">  </v>
      </c>
      <c r="AD113" s="113" t="str">
        <f>IFERROR(INDEX('V5'!C$300:C$400,MATCH("*"&amp;L113&amp;"*",'V5'!B$300:B$400,0)),"  ")</f>
        <v xml:space="preserve">  </v>
      </c>
      <c r="AE113" s="113" t="str">
        <f>IFERROR(INDEX('V6'!C$300:C$400,MATCH("*"&amp;L113&amp;"*",'V6'!B$300:B$400,0)),"  ")</f>
        <v xml:space="preserve">  </v>
      </c>
      <c r="AF113" s="113" t="str">
        <f>IFERROR(INDEX('V7'!C$300:C$400,MATCH("*"&amp;L113&amp;"*",'V7'!B$300:B$400,0)),"  ")</f>
        <v xml:space="preserve">  </v>
      </c>
      <c r="AG113" s="113" t="str">
        <f>IFERROR(INDEX('V8'!C$300:C$400,MATCH("*"&amp;L113&amp;"*",'V8'!B$300:B$400,0)),"  ")</f>
        <v xml:space="preserve">  </v>
      </c>
      <c r="AH113" s="113" t="str">
        <f>IFERROR(INDEX('V9'!C$300:C$399,MATCH("*"&amp;L113&amp;"*",'V9'!B$300:B$399,0)),"  ")</f>
        <v xml:space="preserve">  </v>
      </c>
      <c r="AI113" s="113" t="str">
        <f>IFERROR(INDEX('V10'!C$300:C$399,MATCH("*"&amp;L113&amp;"*",'V10'!B$300:B$399,0)),"  ")</f>
        <v xml:space="preserve">  </v>
      </c>
      <c r="AJ113" s="114" t="str">
        <f t="shared" si="151"/>
        <v/>
      </c>
      <c r="AK113" s="404">
        <f t="shared" si="152"/>
        <v>0</v>
      </c>
      <c r="AL113" s="115" t="str">
        <f t="shared" si="153"/>
        <v/>
      </c>
      <c r="AM113" s="116" t="str">
        <f>IFERROR(INDEX(#REF!,MATCH("*"&amp;L113&amp;"*",#REF!,0)),"  ")</f>
        <v xml:space="preserve">  </v>
      </c>
      <c r="AN113" s="117">
        <f t="shared" si="154"/>
        <v>0</v>
      </c>
      <c r="AO113" s="118">
        <f t="shared" si="155"/>
        <v>0</v>
      </c>
      <c r="AP113" s="118">
        <f t="shared" si="156"/>
        <v>0</v>
      </c>
      <c r="AQ113" s="49"/>
      <c r="AR113" s="1"/>
      <c r="AS113" s="1"/>
      <c r="AT113" s="119">
        <f t="shared" si="157"/>
        <v>1E-4</v>
      </c>
      <c r="AU113" s="120">
        <f t="shared" si="158"/>
        <v>1E-4</v>
      </c>
      <c r="AV113" s="120">
        <f t="shared" si="159"/>
        <v>2.0000000000000001E-4</v>
      </c>
      <c r="AW113" s="120">
        <f t="shared" si="160"/>
        <v>2.9999999999999997E-4</v>
      </c>
      <c r="AX113" s="120">
        <f t="shared" si="161"/>
        <v>4.0000000000000002E-4</v>
      </c>
      <c r="AY113" s="120">
        <f t="shared" si="162"/>
        <v>5.0000000000000001E-4</v>
      </c>
      <c r="AZ113" s="120">
        <f t="shared" si="163"/>
        <v>5.9999999999999995E-4</v>
      </c>
      <c r="BA113" s="120">
        <f t="shared" si="164"/>
        <v>6.9999999999999999E-4</v>
      </c>
      <c r="BB113" s="120">
        <f t="shared" si="165"/>
        <v>8.0000000000000004E-4</v>
      </c>
      <c r="BC113" s="120">
        <f t="shared" si="166"/>
        <v>8.9999999999999998E-4</v>
      </c>
      <c r="BD113" s="120">
        <f t="shared" si="167"/>
        <v>1E-3</v>
      </c>
      <c r="BI113" s="1018" t="e">
        <f t="shared" si="168"/>
        <v>#VALUE!</v>
      </c>
      <c r="BJ113" s="1018" t="e">
        <f t="shared" si="169"/>
        <v>#VALUE!</v>
      </c>
      <c r="BK113" s="1018" t="e">
        <f t="shared" si="170"/>
        <v>#VALUE!</v>
      </c>
      <c r="BL113" s="1018" t="e">
        <f t="shared" si="171"/>
        <v>#VALUE!</v>
      </c>
      <c r="BM113" s="1018" t="e">
        <f t="shared" si="172"/>
        <v>#VALUE!</v>
      </c>
      <c r="BN113" s="1018" t="e">
        <f t="shared" si="173"/>
        <v>#VALUE!</v>
      </c>
      <c r="BO113" s="1018" t="e">
        <f t="shared" si="174"/>
        <v>#VALUE!</v>
      </c>
      <c r="BP113" s="1018" t="e">
        <f t="shared" si="175"/>
        <v>#VALUE!</v>
      </c>
      <c r="BQ113" s="1018" t="e">
        <f t="shared" si="176"/>
        <v>#VALUE!</v>
      </c>
      <c r="BR113" s="1018" t="e">
        <f t="shared" si="177"/>
        <v>#VALUE!</v>
      </c>
    </row>
    <row r="114" spans="1:70" ht="12.75" hidden="1" customHeight="1" x14ac:dyDescent="0.2">
      <c r="A114" s="647" t="str">
        <f t="shared" si="135"/>
        <v/>
      </c>
      <c r="B114" s="99">
        <f t="shared" si="136"/>
        <v>-892</v>
      </c>
      <c r="C114" s="409" t="str">
        <f t="shared" si="137"/>
        <v/>
      </c>
      <c r="D114" s="367">
        <f t="shared" si="138"/>
        <v>108</v>
      </c>
      <c r="E114" s="100" t="str">
        <f t="shared" si="139"/>
        <v/>
      </c>
      <c r="F114" s="99">
        <f t="shared" si="140"/>
        <v>108</v>
      </c>
      <c r="G114" s="101" t="str">
        <f t="shared" si="141"/>
        <v/>
      </c>
      <c r="H114" s="99">
        <f t="shared" si="142"/>
        <v>-892</v>
      </c>
      <c r="I114" s="102" t="str">
        <f t="shared" si="143"/>
        <v/>
      </c>
      <c r="J114" s="103">
        <f t="shared" si="144"/>
        <v>-892</v>
      </c>
      <c r="K114" s="71" t="str">
        <f t="shared" si="134"/>
        <v/>
      </c>
      <c r="L114" s="376" t="s">
        <v>168</v>
      </c>
      <c r="M114" s="345"/>
      <c r="N114" s="346" t="str">
        <f>IF(M114="","m","")</f>
        <v>m</v>
      </c>
      <c r="O114" s="347"/>
      <c r="P114" s="348" t="s">
        <v>317</v>
      </c>
      <c r="Q114" s="349"/>
      <c r="R114" s="110">
        <f>(IF(COUNT(Z114,AA114,AB114,AC114,AD114,AE114,AF114,AG114,AH114,AI114)&lt;10,SUM(Z114,AA114,AB114,AC114,AD114,AE114,AF114,AG114,AH114,AI114),SUM(LARGE((Z114,AA114,AB114,AC114,AD114,AE114,AF114,AG114,AH114,AI114),{1;2;3;4;5;6;7;8;9}))))</f>
        <v>0</v>
      </c>
      <c r="S114" s="111" t="str">
        <f>INDEX(ETAPP!B$1:B$32,MATCH(COUNTIF(BI114:BR114,1),ETAPP!A$1:A$32,0))&amp;INDEX(ETAPP!B$1:B$32,MATCH(COUNTIF(BI114:BR114,2),ETAPP!A$1:A$32,0))&amp;INDEX(ETAPP!B$1:B$32,MATCH(COUNTIF(BI114:BR114,3),ETAPP!A$1:A$32,0))&amp;INDEX(ETAPP!B$1:B$32,MATCH(COUNTIF(BI114:BR114,4),ETAPP!A$1:A$32,0))&amp;INDEX(ETAPP!B$1:B$32,MATCH(COUNTIF(BI114:BR114,5),ETAPP!A$1:A$32,0))&amp;INDEX(ETAPP!B$1:B$32,MATCH(COUNTIF(BI114:BR114,6),ETAPP!A$1:A$32,0))&amp;INDEX(ETAPP!B$1:B$32,MATCH(COUNTIF(BI114:BR114,7),ETAPP!A$1:A$32,0))&amp;INDEX(ETAPP!B$1:B$32,MATCH(COUNTIF(BI114:BR114,8),ETAPP!A$1:A$32,0))&amp;INDEX(ETAPP!B$1:B$32,MATCH(COUNTIF(BI114:BR114,9),ETAPP!A$1:A$32,0))&amp;INDEX(ETAPP!B$1:B$32,MATCH(COUNTIF(BI114:BR114,10),ETAPP!A$1:A$32,0))&amp;INDEX(ETAPP!B$1:B$32,MATCH(COUNTIF(BI114:BR114,11),ETAPP!A$1:A$32,0))&amp;INDEX(ETAPP!B$1:B$32,MATCH(COUNTIF(BI114:BR114,12),ETAPP!A$1:A$32,0))&amp;INDEX(ETAPP!B$1:B$32,MATCH(COUNTIF(BI114:BR114,13),ETAPP!A$1:A$32,0))&amp;INDEX(ETAPP!B$1:B$32,MATCH(COUNTIF(BI114:BR114,14),ETAPP!A$1:A$32,0))&amp;INDEX(ETAPP!B$1:B$32,MATCH(COUNTIF(BI114:BR114,15),ETAPP!A$1:A$32,0))&amp;INDEX(ETAPP!B$1:B$32,MATCH(COUNTIF(BI114:BR114,16),ETAPP!A$1:A$32,0))&amp;INDEX(ETAPP!B$1:B$32,MATCH(COUNTIF(BI114:BR114,17),ETAPP!A$1:A$32,0))&amp;INDEX(ETAPP!B$1:B$32,MATCH(COUNTIF(BI114:BR114,18),ETAPP!A$1:A$32,0))&amp;INDEX(ETAPP!B$1:B$32,MATCH(COUNTIF(BI114:BR114,19),ETAPP!A$1:A$32,0))&amp;INDEX(ETAPP!B$1:B$32,MATCH(COUNTIF(BI114:BR114,20),ETAPP!A$1:A$32,0))&amp;INDEX(ETAPP!B$1:B$32,MATCH(COUNTIF(BI114:BR114,21),ETAPP!A$1:A$32,0))</f>
        <v>000000000000000000000</v>
      </c>
      <c r="T114" s="111" t="str">
        <f t="shared" si="145"/>
        <v>000,0-000000000000000000000</v>
      </c>
      <c r="U114" s="111">
        <f t="shared" si="146"/>
        <v>108</v>
      </c>
      <c r="V114" s="111">
        <f t="shared" si="147"/>
        <v>1</v>
      </c>
      <c r="W114" s="111" t="str">
        <f t="shared" si="148"/>
        <v>000,0-000000000000000000000-001</v>
      </c>
      <c r="X114" s="111">
        <f t="shared" si="149"/>
        <v>108</v>
      </c>
      <c r="Y114" s="112">
        <f t="shared" si="150"/>
        <v>1</v>
      </c>
      <c r="Z114" s="113" t="str">
        <f>IFERROR(INDEX('V1'!C$300:C$400,MATCH("*"&amp;L114&amp;"*",'V1'!B$300:B$400,0)),"  ")</f>
        <v xml:space="preserve">  </v>
      </c>
      <c r="AA114" s="113" t="str">
        <f>IFERROR(INDEX('V2'!C$300:C$400,MATCH("*"&amp;L114&amp;"*",'V2'!B$300:B$400,0)),"  ")</f>
        <v xml:space="preserve">  </v>
      </c>
      <c r="AB114" s="113" t="str">
        <f>IFERROR(INDEX('V3'!C$300:C$400,MATCH("*"&amp;L114&amp;"*",'V3'!B$300:B$400,0)),"  ")</f>
        <v xml:space="preserve">  </v>
      </c>
      <c r="AC114" s="113" t="str">
        <f>IFERROR(INDEX('V4'!C$300:C$400,MATCH("*"&amp;L114&amp;"*",'V4'!B$300:B$400,0)),"  ")</f>
        <v xml:space="preserve">  </v>
      </c>
      <c r="AD114" s="113" t="str">
        <f>IFERROR(INDEX('V5'!C$300:C$400,MATCH("*"&amp;L114&amp;"*",'V5'!B$300:B$400,0)),"  ")</f>
        <v xml:space="preserve">  </v>
      </c>
      <c r="AE114" s="113" t="str">
        <f>IFERROR(INDEX('V6'!C$300:C$400,MATCH("*"&amp;L114&amp;"*",'V6'!B$300:B$400,0)),"  ")</f>
        <v xml:space="preserve">  </v>
      </c>
      <c r="AF114" s="113" t="str">
        <f>IFERROR(INDEX('V7'!C$300:C$400,MATCH("*"&amp;L114&amp;"*",'V7'!B$300:B$400,0)),"  ")</f>
        <v xml:space="preserve">  </v>
      </c>
      <c r="AG114" s="113" t="str">
        <f>IFERROR(INDEX('V8'!C$300:C$400,MATCH("*"&amp;L114&amp;"*",'V8'!B$300:B$400,0)),"  ")</f>
        <v xml:space="preserve">  </v>
      </c>
      <c r="AH114" s="113" t="str">
        <f>IFERROR(INDEX('V9'!C$300:C$399,MATCH("*"&amp;L114&amp;"*",'V9'!B$300:B$399,0)),"  ")</f>
        <v xml:space="preserve">  </v>
      </c>
      <c r="AI114" s="113" t="str">
        <f>IFERROR(INDEX('V10'!C$300:C$399,MATCH("*"&amp;L114&amp;"*",'V10'!B$300:B$399,0)),"  ")</f>
        <v xml:space="preserve">  </v>
      </c>
      <c r="AJ114" s="114" t="str">
        <f t="shared" si="151"/>
        <v/>
      </c>
      <c r="AK114" s="404">
        <f t="shared" si="152"/>
        <v>0</v>
      </c>
      <c r="AL114" s="115" t="str">
        <f t="shared" si="153"/>
        <v/>
      </c>
      <c r="AM114" s="116" t="str">
        <f>IFERROR(INDEX(#REF!,MATCH("*"&amp;L114&amp;"*",#REF!,0)),"  ")</f>
        <v xml:space="preserve">  </v>
      </c>
      <c r="AN114" s="117">
        <f t="shared" si="154"/>
        <v>0</v>
      </c>
      <c r="AO114" s="118">
        <f t="shared" si="155"/>
        <v>0</v>
      </c>
      <c r="AP114" s="118">
        <f t="shared" si="156"/>
        <v>0</v>
      </c>
      <c r="AQ114" s="49"/>
      <c r="AR114" s="1"/>
      <c r="AS114" s="1"/>
      <c r="AT114" s="119">
        <f t="shared" si="157"/>
        <v>1E-4</v>
      </c>
      <c r="AU114" s="120">
        <f t="shared" si="158"/>
        <v>1E-4</v>
      </c>
      <c r="AV114" s="120">
        <f t="shared" si="159"/>
        <v>2.0000000000000001E-4</v>
      </c>
      <c r="AW114" s="120">
        <f t="shared" si="160"/>
        <v>2.9999999999999997E-4</v>
      </c>
      <c r="AX114" s="120">
        <f t="shared" si="161"/>
        <v>4.0000000000000002E-4</v>
      </c>
      <c r="AY114" s="120">
        <f t="shared" si="162"/>
        <v>5.0000000000000001E-4</v>
      </c>
      <c r="AZ114" s="120">
        <f t="shared" si="163"/>
        <v>5.9999999999999995E-4</v>
      </c>
      <c r="BA114" s="120">
        <f t="shared" si="164"/>
        <v>6.9999999999999999E-4</v>
      </c>
      <c r="BB114" s="120">
        <f t="shared" si="165"/>
        <v>8.0000000000000004E-4</v>
      </c>
      <c r="BC114" s="120">
        <f t="shared" si="166"/>
        <v>8.9999999999999998E-4</v>
      </c>
      <c r="BD114" s="120">
        <f t="shared" si="167"/>
        <v>1E-3</v>
      </c>
      <c r="BI114" s="1018" t="e">
        <f t="shared" si="168"/>
        <v>#VALUE!</v>
      </c>
      <c r="BJ114" s="1018" t="e">
        <f t="shared" si="169"/>
        <v>#VALUE!</v>
      </c>
      <c r="BK114" s="1018" t="e">
        <f t="shared" si="170"/>
        <v>#VALUE!</v>
      </c>
      <c r="BL114" s="1018" t="e">
        <f t="shared" si="171"/>
        <v>#VALUE!</v>
      </c>
      <c r="BM114" s="1018" t="e">
        <f t="shared" si="172"/>
        <v>#VALUE!</v>
      </c>
      <c r="BN114" s="1018" t="e">
        <f t="shared" si="173"/>
        <v>#VALUE!</v>
      </c>
      <c r="BO114" s="1018" t="e">
        <f t="shared" si="174"/>
        <v>#VALUE!</v>
      </c>
      <c r="BP114" s="1018" t="e">
        <f t="shared" si="175"/>
        <v>#VALUE!</v>
      </c>
      <c r="BQ114" s="1018" t="e">
        <f t="shared" si="176"/>
        <v>#VALUE!</v>
      </c>
      <c r="BR114" s="1018" t="e">
        <f t="shared" si="177"/>
        <v>#VALUE!</v>
      </c>
    </row>
    <row r="115" spans="1:70" x14ac:dyDescent="0.2">
      <c r="A115" s="139">
        <f>COUNTIF(A7:A114,"&gt;0")</f>
        <v>31</v>
      </c>
      <c r="B115" s="140"/>
      <c r="C115" s="141">
        <f>COUNTIF(C7:C105,"&gt;0")</f>
        <v>15</v>
      </c>
      <c r="D115" s="140"/>
      <c r="E115" s="142">
        <f>COUNTIF(E7:E105,"&gt;0")</f>
        <v>33</v>
      </c>
      <c r="F115" s="140"/>
      <c r="G115" s="143">
        <f>COUNTIF(G7:G114,"&gt;0")</f>
        <v>10</v>
      </c>
      <c r="H115" s="140"/>
      <c r="I115" s="144">
        <f>COUNTIF(I7:I114,"&gt;0")</f>
        <v>2</v>
      </c>
      <c r="J115" s="140"/>
      <c r="K115" s="140">
        <f>COUNT(K7:K114)</f>
        <v>44</v>
      </c>
      <c r="L115" s="145" t="s">
        <v>68</v>
      </c>
      <c r="M115" s="419">
        <f>COUNTIF(M7:M114,"n")</f>
        <v>32</v>
      </c>
      <c r="N115" s="420">
        <f>COUNTIF(N7:N114,"m")</f>
        <v>72</v>
      </c>
      <c r="O115" s="421">
        <f>COUNTIF(O7:O114,"j")</f>
        <v>14</v>
      </c>
      <c r="P115" s="422">
        <f>COUNTIF(P7:P114,"t")</f>
        <v>33</v>
      </c>
      <c r="Q115" s="423">
        <f>COUNTIF(Q7:Q114,"Viru SK")</f>
        <v>53</v>
      </c>
      <c r="R115" s="146"/>
      <c r="S115" s="146"/>
      <c r="T115" s="146"/>
      <c r="U115" s="146"/>
      <c r="V115" s="146"/>
      <c r="W115" s="146"/>
      <c r="X115" s="146"/>
      <c r="Y115" s="146"/>
      <c r="Z115" s="461">
        <f t="shared" ref="Z115:AI115" si="178">COUNTIF(Z7:Z114,"&gt;0")</f>
        <v>18</v>
      </c>
      <c r="AA115" s="147">
        <f t="shared" si="178"/>
        <v>21</v>
      </c>
      <c r="AB115" s="147">
        <f t="shared" si="178"/>
        <v>16</v>
      </c>
      <c r="AC115" s="147">
        <f t="shared" si="178"/>
        <v>16</v>
      </c>
      <c r="AD115" s="147">
        <f t="shared" si="178"/>
        <v>24</v>
      </c>
      <c r="AE115" s="147">
        <f t="shared" si="178"/>
        <v>26</v>
      </c>
      <c r="AF115" s="147">
        <f t="shared" si="178"/>
        <v>26</v>
      </c>
      <c r="AG115" s="147">
        <f t="shared" si="178"/>
        <v>21</v>
      </c>
      <c r="AH115" s="147">
        <f t="shared" si="178"/>
        <v>25</v>
      </c>
      <c r="AI115" s="147">
        <f t="shared" si="178"/>
        <v>26</v>
      </c>
      <c r="AJ115" s="147"/>
      <c r="AK115" s="147"/>
      <c r="AL115" s="147"/>
      <c r="AM115" s="148">
        <f>COUNTIF(AM7:AM114,"&gt;0")</f>
        <v>0</v>
      </c>
      <c r="AN115" s="47"/>
      <c r="AO115" s="149"/>
      <c r="AP115" s="149"/>
      <c r="AQ115" s="49"/>
      <c r="AR115" s="1"/>
      <c r="AS115" s="1"/>
      <c r="AT115" s="49"/>
      <c r="AU115" s="49"/>
      <c r="AV115" s="49"/>
      <c r="AW115" s="49"/>
      <c r="AX115" s="49"/>
      <c r="AY115" s="49"/>
      <c r="AZ115" s="49"/>
      <c r="BA115" s="49"/>
      <c r="BB115" s="49"/>
      <c r="BC115" s="49"/>
      <c r="BD115" s="49"/>
    </row>
    <row r="116" spans="1:70" x14ac:dyDescent="0.2">
      <c r="A116" s="50"/>
      <c r="B116" s="50"/>
      <c r="C116" s="50"/>
      <c r="D116" s="50"/>
      <c r="E116" s="50"/>
      <c r="F116" s="50"/>
      <c r="G116" s="50"/>
      <c r="H116" s="50"/>
      <c r="I116" s="50"/>
      <c r="J116" s="50"/>
      <c r="K116" s="50"/>
      <c r="L116" s="145" t="s">
        <v>169</v>
      </c>
      <c r="M116" s="146"/>
      <c r="N116" s="146"/>
      <c r="O116" s="146"/>
      <c r="P116" s="146"/>
      <c r="Q116" s="146"/>
      <c r="R116" s="146"/>
      <c r="S116" s="146"/>
      <c r="T116" s="146"/>
      <c r="U116" s="146"/>
      <c r="V116" s="146"/>
      <c r="W116" s="146"/>
      <c r="X116" s="146"/>
      <c r="Y116" s="146"/>
      <c r="Z116" s="460">
        <f t="shared" ref="Z116:AI116" si="179">IF((Z115/(LEN(Z5)-LEN(SUBSTITUTE(Z5,"*","")))-0.5)&lt;0,"",Z115/(LEN(Z5)-LEN(SUBSTITUTE(Z5,"*","")))-0.5)</f>
        <v>8.5</v>
      </c>
      <c r="AA116" s="150">
        <f t="shared" si="179"/>
        <v>10</v>
      </c>
      <c r="AB116" s="150">
        <f t="shared" si="179"/>
        <v>7.5</v>
      </c>
      <c r="AC116" s="150">
        <f t="shared" si="179"/>
        <v>7.5</v>
      </c>
      <c r="AD116" s="150">
        <f t="shared" si="179"/>
        <v>11.5</v>
      </c>
      <c r="AE116" s="150">
        <f t="shared" si="179"/>
        <v>12.5</v>
      </c>
      <c r="AF116" s="150">
        <f t="shared" si="179"/>
        <v>12.5</v>
      </c>
      <c r="AG116" s="150">
        <f t="shared" si="179"/>
        <v>10</v>
      </c>
      <c r="AH116" s="150">
        <f t="shared" si="179"/>
        <v>12</v>
      </c>
      <c r="AI116" s="150">
        <f t="shared" si="179"/>
        <v>12.5</v>
      </c>
      <c r="AJ116" s="150"/>
      <c r="AK116" s="150"/>
      <c r="AL116" s="150"/>
      <c r="AM116" s="151" t="str">
        <f>IF((AM115/(LEN(AM5)-LEN(SUBSTITUTE(AM5,"*","")))-0.5)&lt;0,"",AM115/(LEN(AM5)-LEN(SUBSTITUTE(AM5,"*","")))-0.5)</f>
        <v/>
      </c>
      <c r="AN116" s="47"/>
      <c r="AO116" s="47"/>
      <c r="AP116" s="47"/>
      <c r="AQ116" s="49"/>
      <c r="AR116" s="1"/>
      <c r="AS116" s="1"/>
      <c r="AT116" s="49"/>
      <c r="AU116" s="49"/>
      <c r="AV116" s="49"/>
      <c r="AW116" s="49"/>
      <c r="AX116" s="49"/>
      <c r="AY116" s="49"/>
      <c r="AZ116" s="49"/>
      <c r="BA116" s="49"/>
      <c r="BB116" s="49"/>
      <c r="BC116" s="49"/>
      <c r="BD116" s="49"/>
    </row>
    <row r="117" spans="1:70" x14ac:dyDescent="0.2">
      <c r="A117" s="49"/>
      <c r="B117" s="49"/>
      <c r="C117" s="51"/>
      <c r="D117" s="51"/>
      <c r="E117" s="51"/>
      <c r="F117" s="51"/>
      <c r="G117" s="51"/>
      <c r="H117" s="51"/>
      <c r="I117" s="51"/>
      <c r="J117" s="51"/>
      <c r="K117" s="51"/>
      <c r="M117" s="51"/>
      <c r="N117" s="51"/>
      <c r="O117" s="51"/>
      <c r="P117" s="152"/>
      <c r="Q117" s="152"/>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49"/>
      <c r="AO117" s="49"/>
      <c r="AP117" s="49"/>
      <c r="AQ117" s="49"/>
      <c r="AR117" s="1"/>
      <c r="AS117" s="1"/>
      <c r="AT117" s="49"/>
      <c r="AU117" s="49"/>
      <c r="AV117" s="49"/>
      <c r="AW117" s="49"/>
      <c r="AX117" s="49"/>
      <c r="AY117" s="49"/>
      <c r="AZ117" s="49"/>
      <c r="BA117" s="49"/>
      <c r="BB117" s="49"/>
      <c r="BC117" s="49"/>
      <c r="BD117" s="49"/>
    </row>
    <row r="118" spans="1:70" x14ac:dyDescent="0.2">
      <c r="A118" s="49"/>
      <c r="B118" s="49"/>
      <c r="C118" s="51"/>
      <c r="D118" s="51"/>
      <c r="E118" s="51"/>
      <c r="F118" s="51"/>
      <c r="G118" s="51"/>
      <c r="H118" s="51"/>
      <c r="I118" s="51"/>
      <c r="J118" s="51"/>
      <c r="K118" s="51"/>
      <c r="M118" s="51"/>
      <c r="N118" s="51"/>
      <c r="O118" s="51"/>
      <c r="P118" s="152"/>
      <c r="Q118" s="152"/>
      <c r="S118" s="51"/>
      <c r="T118" s="51"/>
      <c r="U118" s="51"/>
      <c r="V118" s="51"/>
      <c r="W118" s="51"/>
      <c r="X118" s="51"/>
      <c r="Y118" s="51"/>
      <c r="Z118" s="51"/>
      <c r="AA118" s="51"/>
      <c r="AB118" s="51"/>
      <c r="AC118" s="51"/>
      <c r="AD118" s="51"/>
      <c r="AE118" s="51"/>
      <c r="AF118" s="51"/>
      <c r="AG118" s="51"/>
      <c r="AH118" s="51"/>
      <c r="AI118" s="51"/>
      <c r="AJ118" s="51"/>
      <c r="AK118" s="51"/>
      <c r="AL118" s="51"/>
      <c r="AM118" s="51"/>
      <c r="AN118" s="49"/>
      <c r="AO118" s="49"/>
      <c r="AP118" s="49"/>
      <c r="AQ118" s="49"/>
      <c r="AR118" s="1"/>
      <c r="AS118" s="1"/>
      <c r="AT118" s="49"/>
      <c r="AU118" s="49"/>
      <c r="AV118" s="49"/>
      <c r="AW118" s="49"/>
      <c r="AX118" s="49"/>
      <c r="AY118" s="49"/>
      <c r="AZ118" s="49"/>
      <c r="BA118" s="49"/>
      <c r="BB118" s="49"/>
      <c r="BC118" s="49"/>
      <c r="BD118" s="49"/>
    </row>
    <row r="119" spans="1:70" x14ac:dyDescent="0.2">
      <c r="A119" s="49"/>
      <c r="B119" s="49"/>
      <c r="C119" s="51"/>
      <c r="D119" s="51"/>
      <c r="E119" s="51"/>
      <c r="F119" s="51"/>
      <c r="G119" s="51"/>
      <c r="H119" s="51"/>
      <c r="I119" s="51"/>
      <c r="J119" s="51"/>
      <c r="K119" s="51"/>
      <c r="L119" s="49"/>
      <c r="M119" s="152"/>
      <c r="N119" s="152"/>
      <c r="O119" s="152"/>
      <c r="P119" s="152"/>
      <c r="Q119" s="152"/>
      <c r="R119" s="152"/>
      <c r="S119" s="152"/>
      <c r="T119" s="152"/>
      <c r="U119" s="152"/>
      <c r="V119" s="152"/>
      <c r="W119" s="152"/>
      <c r="X119" s="152"/>
      <c r="Y119" s="152"/>
      <c r="Z119" s="51"/>
      <c r="AA119" s="51"/>
      <c r="AB119" s="51"/>
      <c r="AC119" s="51"/>
      <c r="AD119" s="51"/>
      <c r="AE119" s="51"/>
      <c r="AF119" s="51"/>
      <c r="AG119" s="51"/>
      <c r="AH119" s="51"/>
      <c r="AI119" s="51"/>
      <c r="AJ119" s="51"/>
      <c r="AK119" s="51"/>
      <c r="AL119" s="51"/>
      <c r="AM119" s="51"/>
      <c r="AN119" s="49"/>
      <c r="AO119" s="49"/>
      <c r="AP119" s="49"/>
      <c r="AQ119" s="49"/>
      <c r="AR119" s="1"/>
      <c r="AS119" s="1"/>
      <c r="AT119" s="49"/>
      <c r="AU119" s="49"/>
      <c r="AV119" s="49"/>
      <c r="AW119" s="49"/>
      <c r="AX119" s="49"/>
      <c r="AY119" s="49"/>
      <c r="AZ119" s="49"/>
      <c r="BA119" s="49"/>
      <c r="BB119" s="49"/>
      <c r="BC119" s="49"/>
      <c r="BD119" s="49"/>
    </row>
  </sheetData>
  <sortState ref="A7:BR114">
    <sortCondition descending="1" ref="Y7:Y114"/>
  </sortState>
  <mergeCells count="3">
    <mergeCell ref="AN4:AN6"/>
    <mergeCell ref="AO4:AO6"/>
    <mergeCell ref="AP4:AP6"/>
  </mergeCells>
  <conditionalFormatting sqref="AM7:AM114">
    <cfRule type="expression" dxfId="2097" priority="34">
      <formula>AM7=3</formula>
    </cfRule>
    <cfRule type="expression" dxfId="2096" priority="35">
      <formula>AM7=2</formula>
    </cfRule>
    <cfRule type="expression" dxfId="2095" priority="36">
      <formula>AM7=1</formula>
    </cfRule>
  </conditionalFormatting>
  <conditionalFormatting sqref="K68">
    <cfRule type="duplicateValues" dxfId="2094" priority="54"/>
  </conditionalFormatting>
  <conditionalFormatting sqref="AL68">
    <cfRule type="containsText" dxfId="2093" priority="53" operator="containsText" text="puudu">
      <formula>NOT(ISERROR(SEARCH("puudu",AL68)))</formula>
    </cfRule>
  </conditionalFormatting>
  <conditionalFormatting sqref="AL68">
    <cfRule type="notContainsText" dxfId="2092" priority="52" operator="notContains" text="edasi">
      <formula>ISERROR(SEARCH("edasi",AL68))</formula>
    </cfRule>
  </conditionalFormatting>
  <conditionalFormatting sqref="K82:K89">
    <cfRule type="duplicateValues" dxfId="2091" priority="51"/>
  </conditionalFormatting>
  <conditionalFormatting sqref="AL82:AL89">
    <cfRule type="containsText" dxfId="2090" priority="49" operator="containsText" text="puudu">
      <formula>NOT(ISERROR(SEARCH("puudu",AL82)))</formula>
    </cfRule>
  </conditionalFormatting>
  <conditionalFormatting sqref="AL82:AL89">
    <cfRule type="notContainsText" dxfId="2089" priority="48" operator="notContains" text="edasi">
      <formula>ISERROR(SEARCH("edasi",AL82))</formula>
    </cfRule>
  </conditionalFormatting>
  <conditionalFormatting sqref="Z115:AI115">
    <cfRule type="top10" dxfId="2088" priority="1171" stopIfTrue="1" rank="1"/>
  </conditionalFormatting>
  <conditionalFormatting sqref="Z116:AI116">
    <cfRule type="top10" dxfId="2087" priority="1176" rank="1"/>
  </conditionalFormatting>
  <conditionalFormatting sqref="K69:K81 K7:K67 K90:K114">
    <cfRule type="duplicateValues" dxfId="2086" priority="1426"/>
  </conditionalFormatting>
  <conditionalFormatting sqref="AO7:AO114">
    <cfRule type="top10" dxfId="2085" priority="1430" stopIfTrue="1" rank="1"/>
  </conditionalFormatting>
  <conditionalFormatting sqref="AP7:AP114">
    <cfRule type="top10" dxfId="2084" priority="1432" stopIfTrue="1" rank="1"/>
  </conditionalFormatting>
  <conditionalFormatting sqref="R7:R114">
    <cfRule type="duplicateValues" dxfId="2083" priority="1434"/>
  </conditionalFormatting>
  <conditionalFormatting sqref="AN7:AN114">
    <cfRule type="top10" dxfId="2082" priority="1436" stopIfTrue="1" rank="1"/>
  </conditionalFormatting>
  <conditionalFormatting sqref="AL7:AL114">
    <cfRule type="expression" dxfId="2081" priority="1438">
      <formula>0=COUNT(#REF!)</formula>
    </cfRule>
    <cfRule type="duplicateValues" dxfId="2080" priority="1439"/>
    <cfRule type="notContainsText" dxfId="2079" priority="1440" operator="notContains" text="edasi">
      <formula>ISERROR(SEARCH("edasi",AL7))</formula>
    </cfRule>
  </conditionalFormatting>
  <conditionalFormatting sqref="AB7:AB114">
    <cfRule type="top10" dxfId="2078" priority="1444" rank="1"/>
    <cfRule type="top10" dxfId="2077" priority="1445" rank="3"/>
    <cfRule type="top10" dxfId="2076" priority="1446" rank="5"/>
  </conditionalFormatting>
  <conditionalFormatting sqref="AC7:AC114">
    <cfRule type="top10" dxfId="2075" priority="1450" rank="1"/>
    <cfRule type="top10" dxfId="2074" priority="1451" rank="3"/>
    <cfRule type="top10" dxfId="2073" priority="1452" rank="5"/>
  </conditionalFormatting>
  <conditionalFormatting sqref="AA7:AA114">
    <cfRule type="top10" dxfId="2072" priority="1456" rank="1"/>
    <cfRule type="top10" dxfId="2071" priority="1457" rank="3"/>
    <cfRule type="top10" dxfId="2070" priority="1458" rank="5"/>
  </conditionalFormatting>
  <conditionalFormatting sqref="L7:L114">
    <cfRule type="expression" dxfId="2069" priority="1462">
      <formula>AND(K7=SMALL(K$7:K$114,3),COUNT($AI$7:$AI$114)&gt;0)</formula>
    </cfRule>
    <cfRule type="expression" dxfId="2068" priority="1463">
      <formula>AND(K7=SMALL(K$7:K$114,2),COUNT($AI$7:$AI$114)&gt;0)</formula>
    </cfRule>
    <cfRule type="expression" dxfId="2067" priority="1464">
      <formula>AND(K7=SMALL(K$7:K$114,1),COUNT($AI$7:$AI$114)&gt;0)</formula>
    </cfRule>
    <cfRule type="expression" dxfId="2066" priority="1465">
      <formula>M7="n"</formula>
    </cfRule>
    <cfRule type="expression" dxfId="2065" priority="1466">
      <formula>O7="j"</formula>
    </cfRule>
    <cfRule type="duplicateValues" dxfId="2064" priority="1467" stopIfTrue="1"/>
  </conditionalFormatting>
  <conditionalFormatting sqref="A7:A114 C7:C114 G7:G114 I7:I114">
    <cfRule type="expression" dxfId="2063" priority="1474">
      <formula>AND(A7=SMALL(A$7:A$114,1),COUNT($AI$7:$AI$114)&gt;0)</formula>
    </cfRule>
  </conditionalFormatting>
  <conditionalFormatting sqref="Z7:AI114">
    <cfRule type="expression" dxfId="2062" priority="1498">
      <formula>IF(COUNT(Z$7:Z$114)=0,TRUE)</formula>
    </cfRule>
    <cfRule type="expression" dxfId="2061" priority="1499">
      <formula>MID(Z$6,FIND("V",Z$6)+1,256)/10000+IF(Z7="  ",FALSE,Z7)&lt;=$AT7</formula>
    </cfRule>
  </conditionalFormatting>
  <conditionalFormatting sqref="AD7:AD114">
    <cfRule type="top10" dxfId="2060" priority="1510" rank="1"/>
    <cfRule type="top10" dxfId="2059" priority="1511" rank="3"/>
    <cfRule type="top10" dxfId="2058" priority="1512" rank="5"/>
  </conditionalFormatting>
  <conditionalFormatting sqref="AE7:AE114">
    <cfRule type="top10" dxfId="2057" priority="1516" rank="1"/>
    <cfRule type="top10" dxfId="2056" priority="1517" rank="3"/>
    <cfRule type="top10" dxfId="2055" priority="1518" rank="5"/>
  </conditionalFormatting>
  <conditionalFormatting sqref="Z7:Z114">
    <cfRule type="top10" dxfId="2054" priority="1522" rank="1"/>
    <cfRule type="top10" dxfId="2053" priority="1523" rank="3"/>
    <cfRule type="top10" dxfId="2052" priority="1524" rank="5"/>
  </conditionalFormatting>
  <conditionalFormatting sqref="AF7:AF114">
    <cfRule type="top10" dxfId="2051" priority="1528" rank="1"/>
    <cfRule type="top10" dxfId="2050" priority="1529" rank="3"/>
    <cfRule type="top10" dxfId="2049" priority="1530" rank="5"/>
  </conditionalFormatting>
  <conditionalFormatting sqref="AG7:AG114">
    <cfRule type="top10" dxfId="2048" priority="1534" rank="1"/>
    <cfRule type="top10" dxfId="2047" priority="1535" rank="3"/>
    <cfRule type="top10" dxfId="2046" priority="1536" rank="5"/>
  </conditionalFormatting>
  <conditionalFormatting sqref="AH7:AH114">
    <cfRule type="top10" dxfId="2045" priority="1540" rank="1"/>
    <cfRule type="top10" dxfId="2044" priority="1541" rank="3"/>
    <cfRule type="top10" dxfId="2043" priority="1542" rank="5"/>
  </conditionalFormatting>
  <conditionalFormatting sqref="AI7:AI114">
    <cfRule type="top10" dxfId="2042" priority="1546" rank="1"/>
    <cfRule type="top10" dxfId="2041" priority="1547" rank="3"/>
    <cfRule type="top10" dxfId="2040" priority="1548" rank="5"/>
  </conditionalFormatting>
  <pageMargins left="0.39370078740157483" right="0.27559055118110237" top="0.59055118110236227" bottom="0.39370078740157483" header="0.39370078740157483" footer="0"/>
  <pageSetup paperSize="9" fitToHeight="0" orientation="portrait" verticalDpi="1200" r:id="rId1"/>
  <headerFooter>
    <oddHeader>&amp;R&amp;9&amp;P. leht &amp;N&amp; -st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08"/>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0.710937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8.7109375" style="1" hidden="1" customWidth="1"/>
    <col min="35" max="35" width="9.140625" style="1" hidden="1" customWidth="1"/>
    <col min="36" max="36" width="17.28515625" style="1" hidden="1" customWidth="1"/>
    <col min="37" max="37" width="9.140625" style="1" hidden="1" customWidth="1"/>
    <col min="38" max="38" width="13.8554687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UPPER((Kalend!E5)&amp;" - "&amp;(Kalend!C5))&amp;" - "&amp;LOWER(Kalend!D5)&amp;" - "&amp;(Kalend!A5)&amp;" kell "&amp;(Kalend!B5)&amp;" - "&amp;(Kalend!F5)</f>
        <v>V1 - VOKA V SISE-KV 1. ETAPP - duo - P, 13.11.2022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A2" s="689"/>
      <c r="F2" s="158"/>
      <c r="L2" s="693"/>
      <c r="M2" s="693"/>
      <c r="N2" s="693"/>
      <c r="O2" s="694"/>
      <c r="P2" s="694"/>
      <c r="Q2" s="694"/>
      <c r="R2" s="690" t="s">
        <v>236</v>
      </c>
      <c r="S2" s="694"/>
      <c r="T2" s="693"/>
      <c r="U2" s="693"/>
      <c r="V2" s="693"/>
      <c r="W2" s="691">
        <v>1</v>
      </c>
      <c r="X2" s="692" t="s">
        <v>237</v>
      </c>
      <c r="Y2" s="694"/>
      <c r="Z2" s="694"/>
      <c r="AA2" s="694"/>
      <c r="AB2" s="694"/>
      <c r="AE2" s="158"/>
      <c r="AG2" s="158"/>
      <c r="AH2" s="158"/>
      <c r="AI2" s="158"/>
      <c r="AJ2" s="158"/>
      <c r="AK2" s="158"/>
      <c r="AL2" s="158"/>
      <c r="AM2" s="158"/>
      <c r="AN2" s="158"/>
    </row>
    <row r="3" spans="1:42" x14ac:dyDescent="0.2">
      <c r="A3" s="689"/>
      <c r="F3" s="158"/>
      <c r="L3" s="694"/>
      <c r="M3" s="694"/>
      <c r="N3" s="694"/>
      <c r="O3" s="694"/>
      <c r="P3" s="694"/>
      <c r="Q3" s="694"/>
      <c r="R3" s="695" t="s">
        <v>238</v>
      </c>
      <c r="S3" s="694"/>
      <c r="T3" s="694"/>
      <c r="U3" s="694"/>
      <c r="V3" s="694"/>
      <c r="W3" s="691">
        <v>0.5</v>
      </c>
      <c r="X3" s="692" t="s">
        <v>237</v>
      </c>
      <c r="Y3" s="694"/>
      <c r="Z3" s="694"/>
      <c r="AA3" s="694"/>
      <c r="AB3" s="694"/>
      <c r="AE3" s="236"/>
      <c r="AF3" s="236"/>
      <c r="AG3" s="236"/>
      <c r="AH3" s="227"/>
      <c r="AI3" s="236"/>
      <c r="AJ3" s="236"/>
      <c r="AK3" s="236"/>
      <c r="AL3" s="236"/>
      <c r="AM3" s="236"/>
      <c r="AN3" s="236"/>
      <c r="AO3" s="236"/>
      <c r="AP3" s="236"/>
    </row>
    <row r="4" spans="1:42" x14ac:dyDescent="0.2">
      <c r="F4" s="158"/>
      <c r="L4" s="694"/>
      <c r="M4" s="694"/>
      <c r="N4" s="694"/>
      <c r="O4" s="694"/>
      <c r="P4" s="694"/>
      <c r="Q4" s="694"/>
      <c r="R4" s="696" t="s">
        <v>239</v>
      </c>
      <c r="S4" s="694"/>
      <c r="T4" s="694"/>
      <c r="U4" s="694"/>
      <c r="V4" s="694"/>
      <c r="W4" s="691">
        <v>0</v>
      </c>
      <c r="X4" s="692" t="s">
        <v>237</v>
      </c>
      <c r="Y4" s="694"/>
      <c r="Z4" s="694"/>
      <c r="AA4" s="694"/>
      <c r="AB4" s="694"/>
    </row>
    <row r="5" spans="1:42" x14ac:dyDescent="0.2">
      <c r="F5" s="158"/>
      <c r="L5" s="158"/>
      <c r="M5" s="158"/>
      <c r="N5" s="158"/>
      <c r="O5" s="158"/>
      <c r="P5" s="158"/>
      <c r="Q5" s="158"/>
      <c r="R5" s="158"/>
      <c r="S5" s="158"/>
      <c r="T5" s="158"/>
      <c r="U5" s="158"/>
      <c r="W5" s="158"/>
      <c r="X5" s="158"/>
      <c r="Y5" s="158"/>
      <c r="Z5" s="158"/>
      <c r="AA5" s="158"/>
      <c r="AB5" s="416" t="s">
        <v>313</v>
      </c>
      <c r="AD5" s="413" t="s">
        <v>216</v>
      </c>
    </row>
    <row r="6" spans="1:42" x14ac:dyDescent="0.2">
      <c r="A6" s="697" t="s">
        <v>10</v>
      </c>
      <c r="B6" s="697" t="s">
        <v>58</v>
      </c>
      <c r="C6" s="698" t="s">
        <v>173</v>
      </c>
      <c r="D6" s="699"/>
      <c r="E6" s="699"/>
      <c r="F6" s="700"/>
      <c r="G6" s="698" t="s">
        <v>176</v>
      </c>
      <c r="H6" s="699"/>
      <c r="I6" s="699"/>
      <c r="J6" s="700"/>
      <c r="K6" s="698" t="s">
        <v>179</v>
      </c>
      <c r="L6" s="699"/>
      <c r="M6" s="699"/>
      <c r="N6" s="700"/>
      <c r="O6" s="698" t="s">
        <v>182</v>
      </c>
      <c r="P6" s="699"/>
      <c r="Q6" s="699"/>
      <c r="R6" s="700"/>
      <c r="S6" s="698" t="s">
        <v>184</v>
      </c>
      <c r="T6" s="699"/>
      <c r="U6" s="699"/>
      <c r="V6" s="700"/>
      <c r="W6" s="697" t="s">
        <v>81</v>
      </c>
      <c r="X6" s="701" t="s">
        <v>300</v>
      </c>
      <c r="Y6" s="702" t="s">
        <v>360</v>
      </c>
      <c r="Z6" s="701"/>
      <c r="AA6" s="703" t="s">
        <v>301</v>
      </c>
      <c r="AB6" s="704"/>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681">
        <v>1</v>
      </c>
      <c r="B7" s="682" t="s">
        <v>353</v>
      </c>
      <c r="C7" s="392">
        <v>13</v>
      </c>
      <c r="D7" s="685" t="s">
        <v>302</v>
      </c>
      <c r="E7" s="685">
        <v>1</v>
      </c>
      <c r="F7" s="686" t="s">
        <v>354</v>
      </c>
      <c r="G7" s="392">
        <v>13</v>
      </c>
      <c r="H7" s="685" t="s">
        <v>302</v>
      </c>
      <c r="I7" s="685">
        <v>6</v>
      </c>
      <c r="J7" s="686" t="s">
        <v>349</v>
      </c>
      <c r="K7" s="392">
        <v>13</v>
      </c>
      <c r="L7" s="685" t="s">
        <v>302</v>
      </c>
      <c r="M7" s="685">
        <v>8</v>
      </c>
      <c r="N7" s="686" t="s">
        <v>355</v>
      </c>
      <c r="O7" s="392">
        <v>13</v>
      </c>
      <c r="P7" s="685" t="s">
        <v>302</v>
      </c>
      <c r="Q7" s="685">
        <v>8</v>
      </c>
      <c r="R7" s="686" t="s">
        <v>356</v>
      </c>
      <c r="S7" s="392"/>
      <c r="T7" s="685" t="s">
        <v>302</v>
      </c>
      <c r="U7" s="685"/>
      <c r="V7" s="686"/>
      <c r="W7" s="706">
        <f t="shared" ref="W7:W15" si="0">IF(C7&gt;E7,W$2,IF(C7&lt;E7,W$4,IF(ISNUMBER(C7),W$3,0)))+IF(G7&gt;I7,W$2,IF(G7&lt;I7,W$4,IF(ISNUMBER(G7),W$3,0)))+IF(K7&gt;M7,W$2,IF(K7&lt;M7,W$4,IF(ISNUMBER(K7),W$3,0)))+IF(O7&gt;Q7,W$2,IF(O7&lt;Q7,W$4,IF(ISNUMBER(O7),W$3,0)))+IF(S7&gt;U7,W$2,IF(S7&lt;U7,W$4,IF(ISNUMBER(S7),W$3,0)))</f>
        <v>4</v>
      </c>
      <c r="X7" s="707">
        <v>16</v>
      </c>
      <c r="Y7" s="707">
        <v>80</v>
      </c>
      <c r="Z7" s="683">
        <f t="shared" ref="Z7:Z15" si="1">C7+G7+K7+O7+S7</f>
        <v>52</v>
      </c>
      <c r="AA7" s="684" t="s">
        <v>302</v>
      </c>
      <c r="AB7" s="708">
        <f t="shared" ref="AB7:AB15" si="2">E7+I7+M7+Q7+U7</f>
        <v>23</v>
      </c>
      <c r="AC7" s="399">
        <f t="shared" ref="AC7:AC13" si="3">Z7-AB7</f>
        <v>29</v>
      </c>
      <c r="AD7" s="233">
        <f t="shared" ref="AD7:AD10" si="4">SUM(AE7:AL7)</f>
        <v>186</v>
      </c>
      <c r="AE7" s="234">
        <f>IFERROR(INDEX(V!$R:$R,MATCH(AF7,V!$L:$L,0)),"")</f>
        <v>102</v>
      </c>
      <c r="AF7" s="235" t="str">
        <f t="shared" ref="AF7:AF15" si="5">IFERROR(LEFT($B7,(FIND(",",$B7,1)-1)),"")</f>
        <v>Hillar Neiland</v>
      </c>
      <c r="AG7" s="234">
        <f>IFERROR(INDEX(V!$R:$R,MATCH(AH7,V!$L:$L,0)),"")</f>
        <v>84</v>
      </c>
      <c r="AH7" s="235" t="str">
        <f t="shared" ref="AH7:AH15" si="6">IFERROR(MID($B7,FIND(", ",$B7)+2,256),"")</f>
        <v>Kaspar Mänd</v>
      </c>
      <c r="AI7" s="234" t="str">
        <f>IFERROR(INDEX(V!$R:$R,MATCH(AJ7,V!$L:$L,0)),"")</f>
        <v/>
      </c>
      <c r="AJ7" s="235" t="str">
        <f t="shared" ref="AJ7:AJ15" si="7">IFERROR(MID($B7,FIND("^",SUBSTITUTE($B7,", ","^",1))+2,FIND("^",SUBSTITUTE($B7,", ","^",2))-FIND("^",SUBSTITUTE($B7,", ","^",1))-2),"")</f>
        <v/>
      </c>
      <c r="AK7" s="234" t="str">
        <f>IFERROR(INDEX(V!$R:$R,MATCH(AL7,V!$L:$L,0)),"")</f>
        <v/>
      </c>
      <c r="AL7" s="235" t="str">
        <f t="shared" ref="AL7:AL15" si="8">IFERROR(MID($B7,FIND(", ",$B7,FIND(", ",$B7,FIND(", ",$B7))+1)+2,30000),"")</f>
        <v/>
      </c>
      <c r="AM7" s="234" t="str">
        <f>IFERROR(INDEX(V!$R:$R,MATCH(AN7,V!$L:$L,0)),"")</f>
        <v/>
      </c>
      <c r="AN7" s="235" t="str">
        <f t="shared" ref="AN7:AN15" si="9">IFERROR(MID($B7,FIND(", ",$B7,FIND(", ",$B7)+1)+2,FIND(", ",$B7,FIND(", ",$B7,FIND(", ",$B7)+1)+1)-FIND(", ",$B7,FIND(", ",$B7)+1)-2),"")</f>
        <v/>
      </c>
      <c r="AO7" s="234" t="str">
        <f>IFERROR(INDEX(V!$R:$R,MATCH(AP7,V!$L:$L,0)),"")</f>
        <v/>
      </c>
      <c r="AP7" s="235" t="str">
        <f t="shared" ref="AP7:AP15" si="10">IFERROR(MID($B7,FIND(", ",$B7,FIND(", ",$B7,FIND(", ",$B7)+1)+1)+2,30000),"")</f>
        <v/>
      </c>
    </row>
    <row r="8" spans="1:42" x14ac:dyDescent="0.2">
      <c r="A8" s="681">
        <v>2</v>
      </c>
      <c r="B8" s="682" t="s">
        <v>355</v>
      </c>
      <c r="C8" s="392">
        <v>13</v>
      </c>
      <c r="D8" s="685" t="s">
        <v>302</v>
      </c>
      <c r="E8" s="685">
        <v>11</v>
      </c>
      <c r="F8" s="686" t="s">
        <v>362</v>
      </c>
      <c r="G8" s="392">
        <v>13</v>
      </c>
      <c r="H8" s="685" t="s">
        <v>302</v>
      </c>
      <c r="I8" s="685">
        <v>3</v>
      </c>
      <c r="J8" s="686" t="s">
        <v>356</v>
      </c>
      <c r="K8" s="392">
        <v>8</v>
      </c>
      <c r="L8" s="685" t="s">
        <v>302</v>
      </c>
      <c r="M8" s="685">
        <v>13</v>
      </c>
      <c r="N8" s="686" t="s">
        <v>353</v>
      </c>
      <c r="O8" s="392">
        <v>9</v>
      </c>
      <c r="P8" s="685" t="s">
        <v>302</v>
      </c>
      <c r="Q8" s="685">
        <v>8</v>
      </c>
      <c r="R8" s="686" t="s">
        <v>349</v>
      </c>
      <c r="S8" s="392"/>
      <c r="T8" s="685" t="s">
        <v>302</v>
      </c>
      <c r="U8" s="685"/>
      <c r="V8" s="686"/>
      <c r="W8" s="706">
        <f t="shared" si="0"/>
        <v>3</v>
      </c>
      <c r="X8" s="707">
        <v>20</v>
      </c>
      <c r="Y8" s="707">
        <v>76</v>
      </c>
      <c r="Z8" s="683">
        <f t="shared" si="1"/>
        <v>43</v>
      </c>
      <c r="AA8" s="684" t="s">
        <v>302</v>
      </c>
      <c r="AB8" s="708">
        <f t="shared" si="2"/>
        <v>35</v>
      </c>
      <c r="AC8" s="399">
        <f t="shared" si="3"/>
        <v>8</v>
      </c>
      <c r="AD8" s="233">
        <f t="shared" si="4"/>
        <v>152</v>
      </c>
      <c r="AE8" s="234">
        <f>IFERROR(INDEX(V!$R:$R,MATCH(AF8,V!$L:$L,0)),"")</f>
        <v>76</v>
      </c>
      <c r="AF8" s="235" t="str">
        <f t="shared" si="5"/>
        <v>Boriss Klubov</v>
      </c>
      <c r="AG8" s="234">
        <f>IFERROR(INDEX(V!$R:$R,MATCH(AH8,V!$L:$L,0)),"")</f>
        <v>76</v>
      </c>
      <c r="AH8" s="235" t="str">
        <f t="shared" si="6"/>
        <v>Elmo Lageda</v>
      </c>
      <c r="AI8" s="234" t="str">
        <f>IFERROR(INDEX(V!$R:$R,MATCH(AJ8,V!$L:$L,0)),"")</f>
        <v/>
      </c>
      <c r="AJ8" s="235" t="str">
        <f t="shared" si="7"/>
        <v/>
      </c>
      <c r="AK8" s="234" t="str">
        <f>IFERROR(INDEX(V!$R:$R,MATCH(AL8,V!$L:$L,0)),"")</f>
        <v/>
      </c>
      <c r="AL8" s="235" t="str">
        <f t="shared" si="8"/>
        <v/>
      </c>
      <c r="AM8" s="234" t="str">
        <f>IFERROR(INDEX(V!$R:$R,MATCH(AN8,V!$L:$L,0)),"")</f>
        <v/>
      </c>
      <c r="AN8" s="235" t="str">
        <f t="shared" si="9"/>
        <v/>
      </c>
      <c r="AO8" s="234" t="str">
        <f>IFERROR(INDEX(V!$R:$R,MATCH(AP8,V!$L:$L,0)),"")</f>
        <v/>
      </c>
      <c r="AP8" s="235" t="str">
        <f t="shared" si="10"/>
        <v/>
      </c>
    </row>
    <row r="9" spans="1:42" x14ac:dyDescent="0.2">
      <c r="A9" s="681">
        <v>3</v>
      </c>
      <c r="B9" s="687" t="s">
        <v>357</v>
      </c>
      <c r="C9" s="392">
        <v>13</v>
      </c>
      <c r="D9" s="685" t="s">
        <v>302</v>
      </c>
      <c r="E9" s="685">
        <v>7</v>
      </c>
      <c r="F9" s="686" t="s">
        <v>348</v>
      </c>
      <c r="G9" s="392">
        <v>13</v>
      </c>
      <c r="H9" s="685" t="s">
        <v>302</v>
      </c>
      <c r="I9" s="685">
        <v>7</v>
      </c>
      <c r="J9" s="686" t="s">
        <v>362</v>
      </c>
      <c r="K9" s="392">
        <v>10</v>
      </c>
      <c r="L9" s="685" t="s">
        <v>302</v>
      </c>
      <c r="M9" s="685">
        <v>13</v>
      </c>
      <c r="N9" s="686" t="s">
        <v>356</v>
      </c>
      <c r="O9" s="392">
        <v>13</v>
      </c>
      <c r="P9" s="685" t="s">
        <v>302</v>
      </c>
      <c r="Q9" s="685">
        <v>1</v>
      </c>
      <c r="R9" s="686" t="s">
        <v>354</v>
      </c>
      <c r="S9" s="392"/>
      <c r="T9" s="685" t="s">
        <v>302</v>
      </c>
      <c r="U9" s="685"/>
      <c r="V9" s="686"/>
      <c r="W9" s="706">
        <f t="shared" si="0"/>
        <v>3</v>
      </c>
      <c r="X9" s="707">
        <v>10</v>
      </c>
      <c r="Y9" s="707">
        <v>60</v>
      </c>
      <c r="Z9" s="683">
        <f t="shared" si="1"/>
        <v>49</v>
      </c>
      <c r="AA9" s="684" t="s">
        <v>302</v>
      </c>
      <c r="AB9" s="708">
        <f t="shared" si="2"/>
        <v>28</v>
      </c>
      <c r="AC9" s="399">
        <f t="shared" si="3"/>
        <v>21</v>
      </c>
      <c r="AD9" s="233">
        <f t="shared" si="4"/>
        <v>248</v>
      </c>
      <c r="AE9" s="234">
        <f>IFERROR(INDEX(V!$R:$R,MATCH(AF9,V!$L:$L,0)),"")</f>
        <v>108</v>
      </c>
      <c r="AF9" s="235" t="str">
        <f t="shared" si="5"/>
        <v>Henri Mitt</v>
      </c>
      <c r="AG9" s="234">
        <f>IFERROR(INDEX(V!$R:$R,MATCH(AH9,V!$L:$L,0)),"")</f>
        <v>140</v>
      </c>
      <c r="AH9" s="235" t="str">
        <f t="shared" si="6"/>
        <v>Oleg Rõndenkov</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681">
        <v>4</v>
      </c>
      <c r="B10" s="687" t="s">
        <v>356</v>
      </c>
      <c r="C10" s="392">
        <v>13</v>
      </c>
      <c r="D10" s="685" t="s">
        <v>302</v>
      </c>
      <c r="E10" s="685">
        <v>11</v>
      </c>
      <c r="F10" s="686" t="s">
        <v>358</v>
      </c>
      <c r="G10" s="392">
        <v>3</v>
      </c>
      <c r="H10" s="685" t="s">
        <v>302</v>
      </c>
      <c r="I10" s="685">
        <v>13</v>
      </c>
      <c r="J10" s="686" t="s">
        <v>355</v>
      </c>
      <c r="K10" s="392">
        <v>13</v>
      </c>
      <c r="L10" s="685" t="s">
        <v>302</v>
      </c>
      <c r="M10" s="685">
        <v>10</v>
      </c>
      <c r="N10" s="686" t="s">
        <v>357</v>
      </c>
      <c r="O10" s="392">
        <v>8</v>
      </c>
      <c r="P10" s="685" t="s">
        <v>302</v>
      </c>
      <c r="Q10" s="685">
        <v>13</v>
      </c>
      <c r="R10" s="686" t="s">
        <v>353</v>
      </c>
      <c r="S10" s="392"/>
      <c r="T10" s="685" t="s">
        <v>302</v>
      </c>
      <c r="U10" s="685"/>
      <c r="V10" s="686"/>
      <c r="W10" s="706">
        <f t="shared" si="0"/>
        <v>2</v>
      </c>
      <c r="X10" s="707">
        <v>24</v>
      </c>
      <c r="Y10" s="707">
        <v>56</v>
      </c>
      <c r="Z10" s="683">
        <f t="shared" si="1"/>
        <v>37</v>
      </c>
      <c r="AA10" s="684" t="s">
        <v>302</v>
      </c>
      <c r="AB10" s="708">
        <f t="shared" si="2"/>
        <v>47</v>
      </c>
      <c r="AC10" s="399">
        <f t="shared" si="3"/>
        <v>-10</v>
      </c>
      <c r="AD10" s="233">
        <f t="shared" si="4"/>
        <v>26</v>
      </c>
      <c r="AE10" s="234">
        <f>IFERROR(INDEX(V!$R:$R,MATCH(AF10,V!$L:$L,0)),"")</f>
        <v>14</v>
      </c>
      <c r="AF10" s="235" t="str">
        <f t="shared" si="5"/>
        <v>Tõnu Kapper</v>
      </c>
      <c r="AG10" s="234">
        <f>IFERROR(INDEX(V!$R:$R,MATCH(AH10,V!$L:$L,0)),"")</f>
        <v>12</v>
      </c>
      <c r="AH10" s="235" t="str">
        <f t="shared" si="6"/>
        <v>Vladimir Ogneštšikov</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681">
        <v>5</v>
      </c>
      <c r="B11" s="682" t="s">
        <v>349</v>
      </c>
      <c r="C11" s="392">
        <v>13</v>
      </c>
      <c r="D11" s="685" t="s">
        <v>302</v>
      </c>
      <c r="E11" s="685">
        <v>7</v>
      </c>
      <c r="F11" s="686" t="s">
        <v>359</v>
      </c>
      <c r="G11" s="392">
        <v>6</v>
      </c>
      <c r="H11" s="685" t="s">
        <v>302</v>
      </c>
      <c r="I11" s="685">
        <v>13</v>
      </c>
      <c r="J11" s="686" t="s">
        <v>353</v>
      </c>
      <c r="K11" s="392">
        <v>13</v>
      </c>
      <c r="L11" s="685" t="s">
        <v>302</v>
      </c>
      <c r="M11" s="685">
        <v>8</v>
      </c>
      <c r="N11" s="686" t="s">
        <v>354</v>
      </c>
      <c r="O11" s="392">
        <v>8</v>
      </c>
      <c r="P11" s="685" t="s">
        <v>302</v>
      </c>
      <c r="Q11" s="685">
        <v>9</v>
      </c>
      <c r="R11" s="686" t="s">
        <v>355</v>
      </c>
      <c r="S11" s="392"/>
      <c r="T11" s="685" t="s">
        <v>302</v>
      </c>
      <c r="U11" s="685"/>
      <c r="V11" s="686"/>
      <c r="W11" s="706">
        <f t="shared" si="0"/>
        <v>2</v>
      </c>
      <c r="X11" s="707">
        <v>18</v>
      </c>
      <c r="Y11" s="707">
        <v>66</v>
      </c>
      <c r="Z11" s="683">
        <f t="shared" si="1"/>
        <v>40</v>
      </c>
      <c r="AA11" s="684" t="s">
        <v>302</v>
      </c>
      <c r="AB11" s="708">
        <f t="shared" si="2"/>
        <v>37</v>
      </c>
      <c r="AC11" s="399">
        <f t="shared" si="3"/>
        <v>3</v>
      </c>
      <c r="AD11" s="233">
        <f t="shared" ref="AD11:AD13" si="11">SUM(AE11:AL11)</f>
        <v>214</v>
      </c>
      <c r="AE11" s="234">
        <f>IFERROR(INDEX(V!$R:$R,MATCH(AF11,V!$L:$L,0)),"")</f>
        <v>84</v>
      </c>
      <c r="AF11" s="235" t="str">
        <f t="shared" si="5"/>
        <v>Jaan Saar</v>
      </c>
      <c r="AG11" s="234">
        <f>IFERROR(INDEX(V!$R:$R,MATCH(AH11,V!$L:$L,0)),"")</f>
        <v>130</v>
      </c>
      <c r="AH11" s="235" t="str">
        <f t="shared" si="6"/>
        <v>Sirje Maala</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681">
        <v>6</v>
      </c>
      <c r="B12" s="687" t="s">
        <v>362</v>
      </c>
      <c r="C12" s="392">
        <v>11</v>
      </c>
      <c r="D12" s="685" t="s">
        <v>302</v>
      </c>
      <c r="E12" s="685">
        <v>13</v>
      </c>
      <c r="F12" s="686" t="s">
        <v>355</v>
      </c>
      <c r="G12" s="392">
        <v>7</v>
      </c>
      <c r="H12" s="685" t="s">
        <v>302</v>
      </c>
      <c r="I12" s="685">
        <v>13</v>
      </c>
      <c r="J12" s="686" t="s">
        <v>357</v>
      </c>
      <c r="K12" s="392">
        <v>13</v>
      </c>
      <c r="L12" s="685" t="s">
        <v>302</v>
      </c>
      <c r="M12" s="685">
        <v>4</v>
      </c>
      <c r="N12" s="686" t="s">
        <v>358</v>
      </c>
      <c r="O12" s="392">
        <v>13</v>
      </c>
      <c r="P12" s="685" t="s">
        <v>302</v>
      </c>
      <c r="Q12" s="685">
        <v>9</v>
      </c>
      <c r="R12" s="686" t="s">
        <v>359</v>
      </c>
      <c r="S12" s="392"/>
      <c r="T12" s="685" t="s">
        <v>302</v>
      </c>
      <c r="U12" s="685"/>
      <c r="V12" s="686"/>
      <c r="W12" s="706">
        <f t="shared" si="0"/>
        <v>2</v>
      </c>
      <c r="X12" s="707">
        <v>18</v>
      </c>
      <c r="Y12" s="707">
        <v>52</v>
      </c>
      <c r="Z12" s="683">
        <f t="shared" si="1"/>
        <v>44</v>
      </c>
      <c r="AA12" s="684" t="s">
        <v>302</v>
      </c>
      <c r="AB12" s="708">
        <f t="shared" si="2"/>
        <v>39</v>
      </c>
      <c r="AC12" s="399">
        <f t="shared" si="3"/>
        <v>5</v>
      </c>
      <c r="AD12" s="233">
        <f t="shared" si="11"/>
        <v>232</v>
      </c>
      <c r="AE12" s="234">
        <f>IFERROR(INDEX(V!$R:$R,MATCH(AF12,V!$L:$L,0)),"")</f>
        <v>160</v>
      </c>
      <c r="AF12" s="235" t="str">
        <f t="shared" si="5"/>
        <v>Kenneth Muusikus</v>
      </c>
      <c r="AG12" s="234">
        <f>IFERROR(INDEX(V!$R:$R,MATCH(AH12,V!$L:$L,0)),"")</f>
        <v>72</v>
      </c>
      <c r="AH12" s="235" t="str">
        <f t="shared" si="6"/>
        <v>Urmas Jõeäär</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681">
        <v>7</v>
      </c>
      <c r="B13" s="688" t="s">
        <v>358</v>
      </c>
      <c r="C13" s="392">
        <v>11</v>
      </c>
      <c r="D13" s="685" t="s">
        <v>302</v>
      </c>
      <c r="E13" s="685">
        <v>13</v>
      </c>
      <c r="F13" s="686" t="s">
        <v>356</v>
      </c>
      <c r="G13" s="392">
        <v>13</v>
      </c>
      <c r="H13" s="685" t="s">
        <v>302</v>
      </c>
      <c r="I13" s="685">
        <v>8</v>
      </c>
      <c r="J13" s="686" t="s">
        <v>359</v>
      </c>
      <c r="K13" s="392">
        <v>4</v>
      </c>
      <c r="L13" s="685" t="s">
        <v>302</v>
      </c>
      <c r="M13" s="685">
        <v>13</v>
      </c>
      <c r="N13" s="686" t="s">
        <v>362</v>
      </c>
      <c r="O13" s="392">
        <v>13</v>
      </c>
      <c r="P13" s="685" t="s">
        <v>302</v>
      </c>
      <c r="Q13" s="685">
        <v>7</v>
      </c>
      <c r="R13" s="686" t="s">
        <v>348</v>
      </c>
      <c r="S13" s="392"/>
      <c r="T13" s="685" t="s">
        <v>302</v>
      </c>
      <c r="U13" s="685"/>
      <c r="V13" s="686"/>
      <c r="W13" s="706">
        <f t="shared" si="0"/>
        <v>2</v>
      </c>
      <c r="X13" s="707">
        <v>10</v>
      </c>
      <c r="Y13" s="707">
        <v>54</v>
      </c>
      <c r="Z13" s="683">
        <f t="shared" si="1"/>
        <v>41</v>
      </c>
      <c r="AA13" s="684" t="s">
        <v>302</v>
      </c>
      <c r="AB13" s="708">
        <f t="shared" si="2"/>
        <v>41</v>
      </c>
      <c r="AC13" s="399">
        <f t="shared" si="3"/>
        <v>0</v>
      </c>
      <c r="AD13" s="233">
        <f t="shared" si="11"/>
        <v>148</v>
      </c>
      <c r="AE13" s="234">
        <f>IFERROR(INDEX(V!$R:$R,MATCH(AF13,V!$L:$L,0)),"")</f>
        <v>6</v>
      </c>
      <c r="AF13" s="235" t="str">
        <f t="shared" si="5"/>
        <v>Oliver Ojasalu</v>
      </c>
      <c r="AG13" s="234">
        <f>IFERROR(INDEX(V!$R:$R,MATCH(AH13,V!$L:$L,0)),"")</f>
        <v>142</v>
      </c>
      <c r="AH13" s="235" t="str">
        <f t="shared" si="6"/>
        <v>Sander Rose</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681">
        <v>8</v>
      </c>
      <c r="B14" s="688" t="s">
        <v>354</v>
      </c>
      <c r="C14" s="392">
        <v>1</v>
      </c>
      <c r="D14" s="685" t="s">
        <v>302</v>
      </c>
      <c r="E14" s="685">
        <v>13</v>
      </c>
      <c r="F14" s="686" t="s">
        <v>353</v>
      </c>
      <c r="G14" s="392">
        <v>13</v>
      </c>
      <c r="H14" s="685" t="s">
        <v>302</v>
      </c>
      <c r="I14" s="685">
        <v>7</v>
      </c>
      <c r="J14" s="686" t="s">
        <v>348</v>
      </c>
      <c r="K14" s="392">
        <v>8</v>
      </c>
      <c r="L14" s="685" t="s">
        <v>302</v>
      </c>
      <c r="M14" s="685">
        <v>13</v>
      </c>
      <c r="N14" s="686" t="s">
        <v>349</v>
      </c>
      <c r="O14" s="392">
        <v>1</v>
      </c>
      <c r="P14" s="685" t="s">
        <v>302</v>
      </c>
      <c r="Q14" s="685">
        <v>13</v>
      </c>
      <c r="R14" s="686" t="s">
        <v>357</v>
      </c>
      <c r="S14" s="392"/>
      <c r="T14" s="685" t="s">
        <v>302</v>
      </c>
      <c r="U14" s="685"/>
      <c r="V14" s="686"/>
      <c r="W14" s="706">
        <f t="shared" si="0"/>
        <v>1</v>
      </c>
      <c r="X14" s="707">
        <v>18</v>
      </c>
      <c r="Y14" s="707">
        <v>44</v>
      </c>
      <c r="Z14" s="683">
        <f t="shared" si="1"/>
        <v>23</v>
      </c>
      <c r="AA14" s="684" t="s">
        <v>302</v>
      </c>
      <c r="AB14" s="708">
        <f t="shared" si="2"/>
        <v>46</v>
      </c>
      <c r="AC14" s="399">
        <f t="shared" ref="AC14:AC15" si="12">Z14-AB14</f>
        <v>-23</v>
      </c>
      <c r="AD14" s="233">
        <f t="shared" ref="AD14:AD15" si="13">SUM(AE14:AL14)</f>
        <v>30</v>
      </c>
      <c r="AE14" s="234">
        <f>IFERROR(INDEX(V!$R:$R,MATCH(AF14,V!$L:$L,0)),"")</f>
        <v>20</v>
      </c>
      <c r="AF14" s="235" t="str">
        <f t="shared" si="5"/>
        <v>Liidia Põllu</v>
      </c>
      <c r="AG14" s="234">
        <f>IFERROR(INDEX(V!$R:$R,MATCH(AH14,V!$L:$L,0)),"")</f>
        <v>10</v>
      </c>
      <c r="AH14" s="235" t="str">
        <f t="shared" si="6"/>
        <v>Veronika Pirk</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681">
        <v>9</v>
      </c>
      <c r="B15" s="687" t="s">
        <v>359</v>
      </c>
      <c r="C15" s="392">
        <v>7</v>
      </c>
      <c r="D15" s="685" t="s">
        <v>302</v>
      </c>
      <c r="E15" s="685">
        <v>13</v>
      </c>
      <c r="F15" s="686" t="s">
        <v>349</v>
      </c>
      <c r="G15" s="392">
        <v>8</v>
      </c>
      <c r="H15" s="685" t="s">
        <v>302</v>
      </c>
      <c r="I15" s="685">
        <v>13</v>
      </c>
      <c r="J15" s="686" t="s">
        <v>358</v>
      </c>
      <c r="K15" s="392">
        <v>13</v>
      </c>
      <c r="L15" s="685" t="s">
        <v>302</v>
      </c>
      <c r="M15" s="685">
        <v>7</v>
      </c>
      <c r="N15" s="686" t="s">
        <v>348</v>
      </c>
      <c r="O15" s="392">
        <v>9</v>
      </c>
      <c r="P15" s="685" t="s">
        <v>302</v>
      </c>
      <c r="Q15" s="685">
        <v>13</v>
      </c>
      <c r="R15" s="686" t="s">
        <v>362</v>
      </c>
      <c r="S15" s="392"/>
      <c r="T15" s="685" t="s">
        <v>302</v>
      </c>
      <c r="U15" s="685"/>
      <c r="V15" s="686"/>
      <c r="W15" s="706">
        <f t="shared" si="0"/>
        <v>1</v>
      </c>
      <c r="X15" s="707">
        <v>12</v>
      </c>
      <c r="Y15" s="707">
        <v>46</v>
      </c>
      <c r="Z15" s="683">
        <f t="shared" si="1"/>
        <v>37</v>
      </c>
      <c r="AA15" s="684" t="s">
        <v>302</v>
      </c>
      <c r="AB15" s="708">
        <f t="shared" si="2"/>
        <v>46</v>
      </c>
      <c r="AC15" s="399">
        <f t="shared" si="12"/>
        <v>-9</v>
      </c>
      <c r="AD15" s="233">
        <f t="shared" si="13"/>
        <v>160</v>
      </c>
      <c r="AE15" s="234">
        <f>IFERROR(INDEX(V!$R:$R,MATCH(AF15,V!$L:$L,0)),"")</f>
        <v>94</v>
      </c>
      <c r="AF15" s="235" t="str">
        <f t="shared" si="5"/>
        <v>Enn Tokman</v>
      </c>
      <c r="AG15" s="234">
        <f>IFERROR(INDEX(V!$R:$R,MATCH(AH15,V!$L:$L,0)),"")</f>
        <v>66</v>
      </c>
      <c r="AH15" s="235" t="str">
        <f t="shared" si="6"/>
        <v>Vadim Tihhonjuk</v>
      </c>
      <c r="AI15" s="234" t="str">
        <f>IFERROR(INDEX(V!$R:$R,MATCH(AJ15,V!$L:$L,0)),"")</f>
        <v/>
      </c>
      <c r="AJ15" s="235" t="str">
        <f t="shared" si="7"/>
        <v/>
      </c>
      <c r="AK15" s="234" t="str">
        <f>IFERROR(INDEX(V!$R:$R,MATCH(AL15,V!$L:$L,0)),"")</f>
        <v/>
      </c>
      <c r="AL15" s="235" t="str">
        <f t="shared" si="8"/>
        <v/>
      </c>
      <c r="AM15" s="234" t="str">
        <f>IFERROR(INDEX(V!$R:$R,MATCH(AN15,V!$L:$L,0)),"")</f>
        <v/>
      </c>
      <c r="AN15" s="235" t="str">
        <f t="shared" si="9"/>
        <v/>
      </c>
      <c r="AO15" s="234" t="str">
        <f>IFERROR(INDEX(V!$R:$R,MATCH(AP15,V!$L:$L,0)),"")</f>
        <v/>
      </c>
      <c r="AP15" s="235" t="str">
        <f t="shared" si="10"/>
        <v/>
      </c>
    </row>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 t="shared" ref="B300:B307" si="14">IFERROR(INDEX(B$1:B$95,MATCH(A300,A$1:A$95,0)),"")</f>
        <v>Hillar Neiland, Kaspar Mänd</v>
      </c>
      <c r="C300" s="323">
        <f>LARGE(A300:A400,1)*2+2-A300*2</f>
        <v>18</v>
      </c>
      <c r="F300" s="649"/>
    </row>
    <row r="301" spans="1:6" x14ac:dyDescent="0.2">
      <c r="A301" s="351">
        <v>2</v>
      </c>
      <c r="B301" s="402" t="str">
        <f t="shared" si="14"/>
        <v>Boriss Klubov, Elmo Lageda</v>
      </c>
      <c r="C301" s="323">
        <f t="shared" ref="C301:C307" si="15">LARGE(A301:A401,1)*2+2-A301*2</f>
        <v>16</v>
      </c>
      <c r="F301" s="649"/>
    </row>
    <row r="302" spans="1:6" x14ac:dyDescent="0.2">
      <c r="A302" s="351">
        <v>3</v>
      </c>
      <c r="B302" s="402" t="str">
        <f t="shared" si="14"/>
        <v>Henri Mitt, Oleg Rõndenkov</v>
      </c>
      <c r="C302" s="323">
        <f t="shared" si="15"/>
        <v>14</v>
      </c>
      <c r="F302" s="649"/>
    </row>
    <row r="303" spans="1:6" x14ac:dyDescent="0.2">
      <c r="A303" s="351">
        <v>4</v>
      </c>
      <c r="B303" s="402" t="str">
        <f t="shared" si="14"/>
        <v>Tõnu Kapper, Vladimir Ogneštšikov</v>
      </c>
      <c r="C303" s="323">
        <f t="shared" si="15"/>
        <v>12</v>
      </c>
      <c r="F303" s="649"/>
    </row>
    <row r="304" spans="1:6" x14ac:dyDescent="0.2">
      <c r="A304" s="351">
        <v>5</v>
      </c>
      <c r="B304" s="402" t="str">
        <f t="shared" si="14"/>
        <v>Jaan Saar, Sirje Maala</v>
      </c>
      <c r="C304" s="323">
        <f t="shared" si="15"/>
        <v>10</v>
      </c>
      <c r="F304" s="649"/>
    </row>
    <row r="305" spans="1:6" x14ac:dyDescent="0.2">
      <c r="A305" s="351">
        <v>6</v>
      </c>
      <c r="B305" s="402" t="str">
        <f t="shared" si="14"/>
        <v>Kenneth Muusikus, Urmas Jõeäär</v>
      </c>
      <c r="C305" s="323">
        <f t="shared" si="15"/>
        <v>8</v>
      </c>
      <c r="F305" s="649"/>
    </row>
    <row r="306" spans="1:6" x14ac:dyDescent="0.2">
      <c r="A306" s="351">
        <v>7</v>
      </c>
      <c r="B306" s="402" t="str">
        <f t="shared" si="14"/>
        <v>Oliver Ojasalu, Sander Rose</v>
      </c>
      <c r="C306" s="323">
        <f t="shared" si="15"/>
        <v>6</v>
      </c>
      <c r="F306" s="649"/>
    </row>
    <row r="307" spans="1:6" x14ac:dyDescent="0.2">
      <c r="A307" s="351">
        <v>8</v>
      </c>
      <c r="B307" s="402" t="str">
        <f t="shared" si="14"/>
        <v>Liidia Põllu, Veronika Pirk</v>
      </c>
      <c r="C307" s="323">
        <f t="shared" si="15"/>
        <v>4</v>
      </c>
      <c r="F307" s="649"/>
    </row>
    <row r="308" spans="1:6" x14ac:dyDescent="0.2">
      <c r="A308" s="351">
        <v>9</v>
      </c>
      <c r="B308" s="402" t="str">
        <f t="shared" ref="B308" si="16">IFERROR(INDEX(B$1:B$95,MATCH(A308,A$1:A$95,0)),"")</f>
        <v>Enn Tokman, Vadim Tihhonjuk</v>
      </c>
      <c r="C308" s="323">
        <f t="shared" ref="C308" si="17">LARGE(A308:A408,1)*2+2-A308*2</f>
        <v>2</v>
      </c>
      <c r="F308" s="649"/>
    </row>
  </sheetData>
  <conditionalFormatting sqref="AJ7:AJ15 AH7:AH15 AL7:AL15">
    <cfRule type="expression" dxfId="2039" priority="124">
      <formula>AND(AG7="",FIND(",",AH7))</formula>
    </cfRule>
    <cfRule type="expression" dxfId="2038" priority="126">
      <formula>AND(AG7="",COUNTIF(AH7,"*,*")=0)</formula>
    </cfRule>
  </conditionalFormatting>
  <conditionalFormatting sqref="AF7:AF15">
    <cfRule type="expression" dxfId="2037" priority="125">
      <formula>AND(AE7="",COUNTIF(AF7,"*,*")=0)</formula>
    </cfRule>
  </conditionalFormatting>
  <conditionalFormatting sqref="AN7:AN15 AP7:AP15">
    <cfRule type="expression" dxfId="2036" priority="121">
      <formula>AND(AM7="",COUNTIF(AN7,"*,*")=0)</formula>
    </cfRule>
    <cfRule type="expression" dxfId="2035" priority="123">
      <formula>AND(AM7="",FIND(",",AN7))</formula>
    </cfRule>
  </conditionalFormatting>
  <conditionalFormatting sqref="B300:B308">
    <cfRule type="expression" dxfId="2034" priority="1182">
      <formula>A300=3</formula>
    </cfRule>
    <cfRule type="expression" dxfId="2033" priority="1183">
      <formula>A300=2</formula>
    </cfRule>
    <cfRule type="expression" dxfId="2032" priority="1184">
      <formula>A300=1</formula>
    </cfRule>
    <cfRule type="containsBlanks" dxfId="2031" priority="1185">
      <formula>LEN(TRIM(B300))=0</formula>
    </cfRule>
    <cfRule type="duplicateValues" dxfId="2030" priority="1186"/>
  </conditionalFormatting>
  <conditionalFormatting sqref="A7:A15">
    <cfRule type="duplicateValues" dxfId="2029" priority="65"/>
  </conditionalFormatting>
  <conditionalFormatting sqref="C7:C15">
    <cfRule type="expression" dxfId="2028" priority="15">
      <formula>IF($C7&gt;$E7,TRUE)</formula>
    </cfRule>
  </conditionalFormatting>
  <conditionalFormatting sqref="E7:E15">
    <cfRule type="expression" dxfId="2027" priority="16">
      <formula>IF($C7&lt;$E7,TRUE)</formula>
    </cfRule>
  </conditionalFormatting>
  <conditionalFormatting sqref="K7:K15">
    <cfRule type="expression" dxfId="2026" priority="23">
      <formula>IF($K7&gt;$M7,TRUE)</formula>
    </cfRule>
  </conditionalFormatting>
  <conditionalFormatting sqref="M7:M15">
    <cfRule type="expression" dxfId="2025" priority="24">
      <formula>IF($K7&lt;$M7,TRUE)</formula>
    </cfRule>
  </conditionalFormatting>
  <conditionalFormatting sqref="O7:O15">
    <cfRule type="expression" dxfId="2024" priority="27">
      <formula>IF($O7&gt;$Q7,TRUE)</formula>
    </cfRule>
  </conditionalFormatting>
  <conditionalFormatting sqref="Q7:Q15">
    <cfRule type="expression" dxfId="2023" priority="28">
      <formula>IF($O7&lt;$Q7,TRUE)</formula>
    </cfRule>
  </conditionalFormatting>
  <conditionalFormatting sqref="S7:S15">
    <cfRule type="expression" dxfId="2022" priority="31">
      <formula>IF($S7&gt;$U7,TRUE)</formula>
    </cfRule>
  </conditionalFormatting>
  <conditionalFormatting sqref="U7:U15">
    <cfRule type="expression" dxfId="2021" priority="32">
      <formula>IF($S7&lt;$U7,TRUE)</formula>
    </cfRule>
  </conditionalFormatting>
  <conditionalFormatting sqref="G7:G15">
    <cfRule type="expression" dxfId="2020" priority="19">
      <formula>IF($G7&gt;$I7,TRUE)</formula>
    </cfRule>
  </conditionalFormatting>
  <conditionalFormatting sqref="I7:I15">
    <cfRule type="expression" dxfId="2019" priority="20">
      <formula>IF($G7&lt;$I7,TRUE)</formula>
    </cfRule>
  </conditionalFormatting>
  <conditionalFormatting sqref="F7:F15">
    <cfRule type="containsText" dxfId="2018" priority="6" operator="containsText" text="vaba voor">
      <formula>NOT(ISERROR(SEARCH("vaba voor",F7)))</formula>
    </cfRule>
  </conditionalFormatting>
  <conditionalFormatting sqref="N7:N15">
    <cfRule type="containsText" dxfId="2017" priority="4" operator="containsText" text="vaba voor">
      <formula>NOT(ISERROR(SEARCH("vaba voor",N7)))</formula>
    </cfRule>
  </conditionalFormatting>
  <conditionalFormatting sqref="R7:R15">
    <cfRule type="containsText" dxfId="2016" priority="7" operator="containsText" text="vaba voor">
      <formula>NOT(ISERROR(SEARCH("vaba voor",R7)))</formula>
    </cfRule>
  </conditionalFormatting>
  <conditionalFormatting sqref="V7:V15">
    <cfRule type="containsText" dxfId="2015" priority="3" operator="containsText" text="vaba voor">
      <formula>NOT(ISERROR(SEARCH("vaba voor",V7)))</formula>
    </cfRule>
  </conditionalFormatting>
  <conditionalFormatting sqref="J7:J15">
    <cfRule type="containsText" dxfId="2014" priority="5" operator="containsText" text="vaba voor">
      <formula>NOT(ISERROR(SEARCH("vaba voor",J7)))</formula>
    </cfRule>
  </conditionalFormatting>
  <conditionalFormatting sqref="C7:F15">
    <cfRule type="expression" dxfId="2013" priority="11">
      <formula>IF(AND(ISNUMBER($C7),$C7=$E7),TRUE)</formula>
    </cfRule>
    <cfRule type="expression" dxfId="2012" priority="13">
      <formula>IF($C7&gt;$E7,TRUE)</formula>
    </cfRule>
    <cfRule type="expression" dxfId="2011" priority="14">
      <formula>IF($C7&lt;$E7,TRUE)</formula>
    </cfRule>
  </conditionalFormatting>
  <conditionalFormatting sqref="G7:J15">
    <cfRule type="expression" dxfId="2010" priority="12">
      <formula>IF(AND(ISNUMBER($G7),$G7=$I7),TRUE)</formula>
    </cfRule>
    <cfRule type="expression" dxfId="2009" priority="17">
      <formula>IF($G7&gt;$I7,TRUE)</formula>
    </cfRule>
    <cfRule type="expression" dxfId="2008" priority="18">
      <formula>IF($G7&lt;$I7,TRUE)</formula>
    </cfRule>
  </conditionalFormatting>
  <conditionalFormatting sqref="K7:N15">
    <cfRule type="expression" dxfId="2007" priority="10">
      <formula>IF(AND(ISNUMBER($K7),$K7=$M7),TRUE)</formula>
    </cfRule>
    <cfRule type="expression" dxfId="2006" priority="21">
      <formula>IF($K7&gt;$M7,TRUE)</formula>
    </cfRule>
    <cfRule type="expression" dxfId="2005" priority="22">
      <formula>IF($K7&lt;$M7,TRUE)</formula>
    </cfRule>
  </conditionalFormatting>
  <conditionalFormatting sqref="O7:R15">
    <cfRule type="expression" dxfId="2004" priority="9">
      <formula>IF(AND(ISNUMBER($O7),$O7=$Q7),TRUE)</formula>
    </cfRule>
    <cfRule type="expression" dxfId="2003" priority="25">
      <formula>IF($O7&gt;$Q7,TRUE)</formula>
    </cfRule>
    <cfRule type="expression" dxfId="2002" priority="26">
      <formula>IF($O7&lt;$Q7,TRUE)</formula>
    </cfRule>
  </conditionalFormatting>
  <conditionalFormatting sqref="S7:V15">
    <cfRule type="expression" dxfId="2001" priority="8">
      <formula>IF(AND(ISNUMBER($S7),$S7=$U7),TRUE)</formula>
    </cfRule>
    <cfRule type="expression" dxfId="2000" priority="29">
      <formula>IF($S7&gt;$U7,TRUE)</formula>
    </cfRule>
    <cfRule type="expression" dxfId="1999" priority="30">
      <formula>IF($S7&lt;$U7,TRUE)</formula>
    </cfRule>
  </conditionalFormatting>
  <conditionalFormatting sqref="C7:C15 G7:G15 K7:K15 O7:O15 S7:S15">
    <cfRule type="expression" dxfId="1998" priority="1">
      <formula>AND(C7=0,E7=13)</formula>
    </cfRule>
  </conditionalFormatting>
  <conditionalFormatting sqref="E7:E15 I7:I15 M7:M15 Q7:Q15 U7:U15">
    <cfRule type="expression" dxfId="1997" priority="2">
      <formula>AND(E7=0,C7=13)</formula>
    </cfRule>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09"/>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41.285156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8.7109375" style="1" hidden="1" customWidth="1"/>
    <col min="35" max="35" width="9.140625" style="1" hidden="1" customWidth="1"/>
    <col min="36" max="36" width="17.28515625" style="1" hidden="1" customWidth="1"/>
    <col min="37" max="37" width="9.140625" style="1" hidden="1" customWidth="1"/>
    <col min="38" max="38" width="13.8554687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UPPER((Kalend!E6)&amp;" - "&amp;(Kalend!C6))&amp;" - "&amp;LOWER(Kalend!D6)&amp;" - "&amp;(Kalend!A6)&amp;" kell "&amp;(Kalend!B6)&amp;" - "&amp;(Kalend!F6)</f>
        <v>V2 - VOKA V SISE-KV 2. ETAPP - duo - P, 27.11.2022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A2" s="689"/>
      <c r="F2" s="158"/>
      <c r="L2" s="693"/>
      <c r="M2" s="693"/>
      <c r="N2" s="693"/>
      <c r="O2" s="694"/>
      <c r="P2" s="694"/>
      <c r="Q2" s="694"/>
      <c r="R2" s="690" t="s">
        <v>236</v>
      </c>
      <c r="S2" s="694"/>
      <c r="T2" s="693"/>
      <c r="U2" s="693"/>
      <c r="V2" s="693"/>
      <c r="W2" s="691">
        <v>1</v>
      </c>
      <c r="X2" s="692" t="s">
        <v>237</v>
      </c>
      <c r="Y2" s="694"/>
      <c r="Z2" s="694"/>
      <c r="AA2" s="694"/>
      <c r="AB2" s="694"/>
      <c r="AE2" s="158"/>
      <c r="AG2" s="158"/>
      <c r="AH2" s="158"/>
      <c r="AI2" s="158"/>
      <c r="AJ2" s="158"/>
      <c r="AK2" s="158"/>
      <c r="AL2" s="158"/>
      <c r="AM2" s="158"/>
      <c r="AN2" s="158"/>
    </row>
    <row r="3" spans="1:42" x14ac:dyDescent="0.2">
      <c r="A3" s="689"/>
      <c r="F3" s="158"/>
      <c r="L3" s="694"/>
      <c r="M3" s="694"/>
      <c r="N3" s="694"/>
      <c r="O3" s="694"/>
      <c r="P3" s="694"/>
      <c r="Q3" s="694"/>
      <c r="R3" s="695" t="s">
        <v>238</v>
      </c>
      <c r="S3" s="694"/>
      <c r="T3" s="694"/>
      <c r="U3" s="694"/>
      <c r="V3" s="694"/>
      <c r="W3" s="691">
        <v>0.5</v>
      </c>
      <c r="X3" s="692" t="s">
        <v>237</v>
      </c>
      <c r="Y3" s="694"/>
      <c r="Z3" s="694"/>
      <c r="AA3" s="694"/>
      <c r="AB3" s="694"/>
      <c r="AE3" s="236"/>
      <c r="AF3" s="236"/>
      <c r="AG3" s="236"/>
      <c r="AH3" s="227"/>
      <c r="AI3" s="236"/>
      <c r="AJ3" s="236"/>
      <c r="AK3" s="236"/>
      <c r="AL3" s="236"/>
      <c r="AM3" s="236"/>
      <c r="AN3" s="236"/>
      <c r="AO3" s="236"/>
      <c r="AP3" s="236"/>
    </row>
    <row r="4" spans="1:42" x14ac:dyDescent="0.2">
      <c r="F4" s="158"/>
      <c r="L4" s="694"/>
      <c r="M4" s="694"/>
      <c r="N4" s="694"/>
      <c r="O4" s="694"/>
      <c r="P4" s="694"/>
      <c r="Q4" s="694"/>
      <c r="R4" s="696" t="s">
        <v>239</v>
      </c>
      <c r="S4" s="694"/>
      <c r="T4" s="694"/>
      <c r="U4" s="694"/>
      <c r="V4" s="694"/>
      <c r="W4" s="691">
        <v>0</v>
      </c>
      <c r="X4" s="692" t="s">
        <v>237</v>
      </c>
      <c r="Y4" s="694"/>
      <c r="Z4" s="694"/>
      <c r="AA4" s="694"/>
      <c r="AB4" s="694"/>
    </row>
    <row r="5" spans="1:42" x14ac:dyDescent="0.2">
      <c r="F5" s="158"/>
      <c r="L5" s="158"/>
      <c r="M5" s="158"/>
      <c r="N5" s="158"/>
      <c r="O5" s="158"/>
      <c r="P5" s="158"/>
      <c r="Q5" s="158"/>
      <c r="R5" s="158"/>
      <c r="S5" s="158"/>
      <c r="T5" s="158"/>
      <c r="U5" s="158"/>
      <c r="W5" s="158"/>
      <c r="X5" s="158"/>
      <c r="Y5" s="158"/>
      <c r="Z5" s="158"/>
      <c r="AA5" s="158"/>
      <c r="AB5" s="416" t="s">
        <v>313</v>
      </c>
      <c r="AD5" s="413" t="s">
        <v>216</v>
      </c>
    </row>
    <row r="6" spans="1:42" x14ac:dyDescent="0.2">
      <c r="A6" s="697" t="s">
        <v>10</v>
      </c>
      <c r="B6" s="697" t="s">
        <v>58</v>
      </c>
      <c r="C6" s="698" t="s">
        <v>173</v>
      </c>
      <c r="D6" s="699"/>
      <c r="E6" s="699"/>
      <c r="F6" s="700"/>
      <c r="G6" s="698" t="s">
        <v>176</v>
      </c>
      <c r="H6" s="699"/>
      <c r="I6" s="699"/>
      <c r="J6" s="700"/>
      <c r="K6" s="698" t="s">
        <v>179</v>
      </c>
      <c r="L6" s="699"/>
      <c r="M6" s="699"/>
      <c r="N6" s="700"/>
      <c r="O6" s="698" t="s">
        <v>182</v>
      </c>
      <c r="P6" s="699"/>
      <c r="Q6" s="699"/>
      <c r="R6" s="700"/>
      <c r="S6" s="698" t="s">
        <v>184</v>
      </c>
      <c r="T6" s="699"/>
      <c r="U6" s="699"/>
      <c r="V6" s="700"/>
      <c r="W6" s="697" t="s">
        <v>81</v>
      </c>
      <c r="X6" s="701" t="s">
        <v>300</v>
      </c>
      <c r="Y6" s="702" t="s">
        <v>360</v>
      </c>
      <c r="Z6" s="701"/>
      <c r="AA6" s="703" t="s">
        <v>301</v>
      </c>
      <c r="AB6" s="704"/>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681">
        <v>1</v>
      </c>
      <c r="B7" s="682" t="s">
        <v>379</v>
      </c>
      <c r="C7" s="392">
        <v>13</v>
      </c>
      <c r="D7" s="393" t="s">
        <v>302</v>
      </c>
      <c r="E7" s="394">
        <v>8</v>
      </c>
      <c r="F7" s="395" t="s">
        <v>380</v>
      </c>
      <c r="G7" s="392">
        <v>13</v>
      </c>
      <c r="H7" s="393" t="s">
        <v>302</v>
      </c>
      <c r="I7" s="394">
        <v>8</v>
      </c>
      <c r="J7" s="395" t="s">
        <v>381</v>
      </c>
      <c r="K7" s="392">
        <v>13</v>
      </c>
      <c r="L7" s="393" t="s">
        <v>302</v>
      </c>
      <c r="M7" s="394">
        <v>12</v>
      </c>
      <c r="N7" s="395" t="s">
        <v>350</v>
      </c>
      <c r="O7" s="392">
        <v>13</v>
      </c>
      <c r="P7" s="393" t="s">
        <v>302</v>
      </c>
      <c r="Q7" s="394">
        <v>8</v>
      </c>
      <c r="R7" s="395" t="s">
        <v>349</v>
      </c>
      <c r="S7" s="683"/>
      <c r="T7" s="684" t="s">
        <v>302</v>
      </c>
      <c r="U7" s="685"/>
      <c r="V7" s="686"/>
      <c r="W7" s="706">
        <f t="shared" ref="W7:W16" si="0">IF(C7&gt;E7,W$2,IF(C7&lt;E7,W$4,IF(ISNUMBER(C7),W$3,0)))+IF(G7&gt;I7,W$2,IF(G7&lt;I7,W$4,IF(ISNUMBER(G7),W$3,0)))+IF(K7&gt;M7,W$2,IF(K7&lt;M7,W$4,IF(ISNUMBER(K7),W$3,0)))+IF(O7&gt;Q7,W$2,IF(O7&lt;Q7,W$4,IF(ISNUMBER(O7),W$3,0)))+IF(S7&gt;U7,W$2,IF(S7&lt;U7,W$4,IF(ISNUMBER(S7),W$3,0)))</f>
        <v>4</v>
      </c>
      <c r="X7" s="707">
        <v>18</v>
      </c>
      <c r="Y7" s="707">
        <v>78</v>
      </c>
      <c r="Z7" s="683">
        <f t="shared" ref="Z7:Z15" si="1">C7+G7+K7+O7+S7</f>
        <v>52</v>
      </c>
      <c r="AA7" s="684" t="s">
        <v>302</v>
      </c>
      <c r="AB7" s="708">
        <f t="shared" ref="AB7:AB15" si="2">E7+I7+M7+Q7+U7</f>
        <v>36</v>
      </c>
      <c r="AC7" s="399">
        <f t="shared" ref="AC7:AC15" si="3">Z7-AB7</f>
        <v>16</v>
      </c>
      <c r="AD7" s="233">
        <f t="shared" ref="AD7:AD10" si="4">SUM(AE7:AL7)</f>
        <v>268</v>
      </c>
      <c r="AE7" s="234">
        <f>IFERROR(INDEX(V!$R:$R,MATCH(AF7,V!$L:$L,0)),"")</f>
        <v>108</v>
      </c>
      <c r="AF7" s="235" t="str">
        <f t="shared" ref="AF7:AF16" si="5">IFERROR(LEFT($B7,(FIND(",",$B7,1)-1)),"")</f>
        <v>Henri Mitt</v>
      </c>
      <c r="AG7" s="234">
        <f>IFERROR(INDEX(V!$R:$R,MATCH(AH7,V!$L:$L,0)),"")</f>
        <v>160</v>
      </c>
      <c r="AH7" s="235" t="str">
        <f t="shared" ref="AH7:AH16" si="6">IFERROR(MID($B7,FIND(", ",$B7)+2,256),"")</f>
        <v>Olav Türk</v>
      </c>
      <c r="AI7" s="234" t="str">
        <f>IFERROR(INDEX(V!$R:$R,MATCH(AJ7,V!$L:$L,0)),"")</f>
        <v/>
      </c>
      <c r="AJ7" s="235" t="str">
        <f t="shared" ref="AJ7:AJ16" si="7">IFERROR(MID($B7,FIND("^",SUBSTITUTE($B7,", ","^",1))+2,FIND("^",SUBSTITUTE($B7,", ","^",2))-FIND("^",SUBSTITUTE($B7,", ","^",1))-2),"")</f>
        <v/>
      </c>
      <c r="AK7" s="234" t="str">
        <f>IFERROR(INDEX(V!$R:$R,MATCH(AL7,V!$L:$L,0)),"")</f>
        <v/>
      </c>
      <c r="AL7" s="235" t="str">
        <f t="shared" ref="AL7:AL16" si="8">IFERROR(MID($B7,FIND(", ",$B7,FIND(", ",$B7,FIND(", ",$B7))+1)+2,30000),"")</f>
        <v/>
      </c>
      <c r="AM7" s="234" t="str">
        <f>IFERROR(INDEX(V!$R:$R,MATCH(AN7,V!$L:$L,0)),"")</f>
        <v/>
      </c>
      <c r="AN7" s="235" t="str">
        <f t="shared" ref="AN7:AN16" si="9">IFERROR(MID($B7,FIND(", ",$B7,FIND(", ",$B7)+1)+2,FIND(", ",$B7,FIND(", ",$B7,FIND(", ",$B7)+1)+1)-FIND(", ",$B7,FIND(", ",$B7)+1)-2),"")</f>
        <v/>
      </c>
      <c r="AO7" s="234" t="str">
        <f>IFERROR(INDEX(V!$R:$R,MATCH(AP7,V!$L:$L,0)),"")</f>
        <v/>
      </c>
      <c r="AP7" s="235" t="str">
        <f t="shared" ref="AP7:AP16" si="10">IFERROR(MID($B7,FIND(", ",$B7,FIND(", ",$B7,FIND(", ",$B7)+1)+1)+2,30000),"")</f>
        <v/>
      </c>
    </row>
    <row r="8" spans="1:42" x14ac:dyDescent="0.2">
      <c r="A8" s="681">
        <v>2</v>
      </c>
      <c r="B8" s="682" t="s">
        <v>380</v>
      </c>
      <c r="C8" s="392">
        <v>8</v>
      </c>
      <c r="D8" s="393" t="s">
        <v>302</v>
      </c>
      <c r="E8" s="394">
        <v>13</v>
      </c>
      <c r="F8" s="395" t="s">
        <v>379</v>
      </c>
      <c r="G8" s="392">
        <v>13</v>
      </c>
      <c r="H8" s="393" t="s">
        <v>302</v>
      </c>
      <c r="I8" s="394">
        <v>7</v>
      </c>
      <c r="J8" s="395" t="s">
        <v>349</v>
      </c>
      <c r="K8" s="392">
        <v>13</v>
      </c>
      <c r="L8" s="393" t="s">
        <v>302</v>
      </c>
      <c r="M8" s="394">
        <v>5</v>
      </c>
      <c r="N8" s="395" t="s">
        <v>381</v>
      </c>
      <c r="O8" s="392">
        <v>13</v>
      </c>
      <c r="P8" s="393" t="s">
        <v>302</v>
      </c>
      <c r="Q8" s="394">
        <v>7</v>
      </c>
      <c r="R8" s="395" t="s">
        <v>350</v>
      </c>
      <c r="S8" s="683"/>
      <c r="T8" s="684" t="s">
        <v>302</v>
      </c>
      <c r="U8" s="685"/>
      <c r="V8" s="686"/>
      <c r="W8" s="706">
        <f t="shared" si="0"/>
        <v>3</v>
      </c>
      <c r="X8" s="707">
        <v>20</v>
      </c>
      <c r="Y8" s="707">
        <v>76</v>
      </c>
      <c r="Z8" s="683">
        <f t="shared" si="1"/>
        <v>47</v>
      </c>
      <c r="AA8" s="684" t="s">
        <v>302</v>
      </c>
      <c r="AB8" s="708">
        <f t="shared" si="2"/>
        <v>32</v>
      </c>
      <c r="AC8" s="399">
        <f t="shared" si="3"/>
        <v>15</v>
      </c>
      <c r="AD8" s="233">
        <f t="shared" si="4"/>
        <v>180</v>
      </c>
      <c r="AE8" s="234">
        <f>IFERROR(INDEX(V!$R:$R,MATCH(AF8,V!$L:$L,0)),"")</f>
        <v>86</v>
      </c>
      <c r="AF8" s="235" t="str">
        <f t="shared" si="5"/>
        <v>Andrei Grintšak</v>
      </c>
      <c r="AG8" s="234">
        <f>IFERROR(INDEX(V!$R:$R,MATCH(AH8,V!$L:$L,0)),"")</f>
        <v>94</v>
      </c>
      <c r="AH8" s="235" t="str">
        <f t="shared" si="6"/>
        <v>Enn Tokman</v>
      </c>
      <c r="AI8" s="234" t="str">
        <f>IFERROR(INDEX(V!$R:$R,MATCH(AJ8,V!$L:$L,0)),"")</f>
        <v/>
      </c>
      <c r="AJ8" s="235" t="str">
        <f t="shared" si="7"/>
        <v/>
      </c>
      <c r="AK8" s="234" t="str">
        <f>IFERROR(INDEX(V!$R:$R,MATCH(AL8,V!$L:$L,0)),"")</f>
        <v/>
      </c>
      <c r="AL8" s="235" t="str">
        <f t="shared" si="8"/>
        <v/>
      </c>
      <c r="AM8" s="234" t="str">
        <f>IFERROR(INDEX(V!$R:$R,MATCH(AN8,V!$L:$L,0)),"")</f>
        <v/>
      </c>
      <c r="AN8" s="235" t="str">
        <f t="shared" si="9"/>
        <v/>
      </c>
      <c r="AO8" s="234" t="str">
        <f>IFERROR(INDEX(V!$R:$R,MATCH(AP8,V!$L:$L,0)),"")</f>
        <v/>
      </c>
      <c r="AP8" s="235" t="str">
        <f t="shared" si="10"/>
        <v/>
      </c>
    </row>
    <row r="9" spans="1:42" x14ac:dyDescent="0.2">
      <c r="A9" s="681">
        <v>3</v>
      </c>
      <c r="B9" s="687" t="s">
        <v>382</v>
      </c>
      <c r="C9" s="392">
        <v>7</v>
      </c>
      <c r="D9" s="393" t="s">
        <v>302</v>
      </c>
      <c r="E9" s="394">
        <v>13</v>
      </c>
      <c r="F9" s="395" t="s">
        <v>381</v>
      </c>
      <c r="G9" s="392">
        <v>13</v>
      </c>
      <c r="H9" s="393" t="s">
        <v>302</v>
      </c>
      <c r="I9" s="394">
        <v>3</v>
      </c>
      <c r="J9" s="395" t="s">
        <v>335</v>
      </c>
      <c r="K9" s="392">
        <v>13</v>
      </c>
      <c r="L9" s="393" t="s">
        <v>302</v>
      </c>
      <c r="M9" s="394">
        <v>5</v>
      </c>
      <c r="N9" s="395" t="s">
        <v>355</v>
      </c>
      <c r="O9" s="392">
        <v>13</v>
      </c>
      <c r="P9" s="393" t="s">
        <v>302</v>
      </c>
      <c r="Q9" s="394">
        <v>2</v>
      </c>
      <c r="R9" s="395" t="s">
        <v>383</v>
      </c>
      <c r="S9" s="683"/>
      <c r="T9" s="684" t="s">
        <v>302</v>
      </c>
      <c r="U9" s="685"/>
      <c r="V9" s="686"/>
      <c r="W9" s="706">
        <f t="shared" si="0"/>
        <v>3</v>
      </c>
      <c r="X9" s="707">
        <v>10</v>
      </c>
      <c r="Y9" s="707">
        <v>66</v>
      </c>
      <c r="Z9" s="683">
        <f t="shared" si="1"/>
        <v>46</v>
      </c>
      <c r="AA9" s="684" t="s">
        <v>302</v>
      </c>
      <c r="AB9" s="708">
        <f t="shared" si="2"/>
        <v>23</v>
      </c>
      <c r="AC9" s="399">
        <f t="shared" si="3"/>
        <v>23</v>
      </c>
      <c r="AD9" s="233">
        <f t="shared" si="4"/>
        <v>302</v>
      </c>
      <c r="AE9" s="234">
        <f>IFERROR(INDEX(V!$R:$R,MATCH(AF9,V!$L:$L,0)),"")</f>
        <v>160</v>
      </c>
      <c r="AF9" s="235" t="str">
        <f t="shared" si="5"/>
        <v>Kenneth Muusikus</v>
      </c>
      <c r="AG9" s="234">
        <f>IFERROR(INDEX(V!$R:$R,MATCH(AH9,V!$L:$L,0)),"")</f>
        <v>142</v>
      </c>
      <c r="AH9" s="235" t="str">
        <f t="shared" si="6"/>
        <v>Sander Rose</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681">
        <v>4</v>
      </c>
      <c r="B10" s="687" t="s">
        <v>381</v>
      </c>
      <c r="C10" s="392">
        <v>13</v>
      </c>
      <c r="D10" s="393" t="s">
        <v>302</v>
      </c>
      <c r="E10" s="394">
        <v>7</v>
      </c>
      <c r="F10" s="395" t="s">
        <v>382</v>
      </c>
      <c r="G10" s="392">
        <v>8</v>
      </c>
      <c r="H10" s="393" t="s">
        <v>302</v>
      </c>
      <c r="I10" s="394">
        <v>13</v>
      </c>
      <c r="J10" s="395" t="s">
        <v>379</v>
      </c>
      <c r="K10" s="392">
        <v>5</v>
      </c>
      <c r="L10" s="393" t="s">
        <v>302</v>
      </c>
      <c r="M10" s="394">
        <v>13</v>
      </c>
      <c r="N10" s="395" t="s">
        <v>380</v>
      </c>
      <c r="O10" s="392">
        <v>13</v>
      </c>
      <c r="P10" s="393" t="s">
        <v>302</v>
      </c>
      <c r="Q10" s="394">
        <v>7</v>
      </c>
      <c r="R10" s="395" t="s">
        <v>384</v>
      </c>
      <c r="S10" s="683"/>
      <c r="T10" s="684" t="s">
        <v>302</v>
      </c>
      <c r="U10" s="685"/>
      <c r="V10" s="686"/>
      <c r="W10" s="706">
        <f t="shared" si="0"/>
        <v>2</v>
      </c>
      <c r="X10" s="707">
        <v>22</v>
      </c>
      <c r="Y10" s="707">
        <v>58</v>
      </c>
      <c r="Z10" s="683">
        <f t="shared" si="1"/>
        <v>39</v>
      </c>
      <c r="AA10" s="684" t="s">
        <v>302</v>
      </c>
      <c r="AB10" s="708">
        <f t="shared" si="2"/>
        <v>40</v>
      </c>
      <c r="AC10" s="399">
        <f t="shared" si="3"/>
        <v>-1</v>
      </c>
      <c r="AD10" s="233">
        <f t="shared" si="4"/>
        <v>168</v>
      </c>
      <c r="AE10" s="234">
        <f>IFERROR(INDEX(V!$R:$R,MATCH(AF10,V!$L:$L,0)),"")</f>
        <v>102</v>
      </c>
      <c r="AF10" s="235" t="str">
        <f t="shared" si="5"/>
        <v>Matti Vinni</v>
      </c>
      <c r="AG10" s="234">
        <f>IFERROR(INDEX(V!$R:$R,MATCH(AH10,V!$L:$L,0)),"")</f>
        <v>66</v>
      </c>
      <c r="AH10" s="235" t="str">
        <f t="shared" si="6"/>
        <v>Vello Vasser</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681">
        <v>5</v>
      </c>
      <c r="B11" s="682" t="s">
        <v>350</v>
      </c>
      <c r="C11" s="392">
        <v>13</v>
      </c>
      <c r="D11" s="393" t="s">
        <v>302</v>
      </c>
      <c r="E11" s="394">
        <v>3</v>
      </c>
      <c r="F11" s="395" t="s">
        <v>384</v>
      </c>
      <c r="G11" s="392">
        <v>13</v>
      </c>
      <c r="H11" s="393" t="s">
        <v>302</v>
      </c>
      <c r="I11" s="394">
        <v>3</v>
      </c>
      <c r="J11" s="395" t="s">
        <v>355</v>
      </c>
      <c r="K11" s="392">
        <v>12</v>
      </c>
      <c r="L11" s="393" t="s">
        <v>302</v>
      </c>
      <c r="M11" s="394">
        <v>13</v>
      </c>
      <c r="N11" s="395" t="s">
        <v>379</v>
      </c>
      <c r="O11" s="392">
        <v>7</v>
      </c>
      <c r="P11" s="393" t="s">
        <v>302</v>
      </c>
      <c r="Q11" s="394">
        <v>13</v>
      </c>
      <c r="R11" s="395" t="s">
        <v>380</v>
      </c>
      <c r="S11" s="683"/>
      <c r="T11" s="684" t="s">
        <v>302</v>
      </c>
      <c r="U11" s="685"/>
      <c r="V11" s="686"/>
      <c r="W11" s="706">
        <f t="shared" si="0"/>
        <v>2</v>
      </c>
      <c r="X11" s="707">
        <v>20</v>
      </c>
      <c r="Y11" s="707">
        <v>60</v>
      </c>
      <c r="Z11" s="683">
        <f t="shared" si="1"/>
        <v>45</v>
      </c>
      <c r="AA11" s="684" t="s">
        <v>302</v>
      </c>
      <c r="AB11" s="708">
        <f t="shared" si="2"/>
        <v>32</v>
      </c>
      <c r="AC11" s="399">
        <f t="shared" si="3"/>
        <v>13</v>
      </c>
      <c r="AD11" s="233">
        <f t="shared" ref="AD11:AD15" si="11">SUM(AE11:AL11)</f>
        <v>148</v>
      </c>
      <c r="AE11" s="234">
        <f>IFERROR(INDEX(V!$R:$R,MATCH(AF11,V!$L:$L,0)),"")</f>
        <v>74</v>
      </c>
      <c r="AF11" s="235" t="str">
        <f t="shared" si="5"/>
        <v>Aigi Orro</v>
      </c>
      <c r="AG11" s="234">
        <f>IFERROR(INDEX(V!$R:$R,MATCH(AH11,V!$L:$L,0)),"")</f>
        <v>74</v>
      </c>
      <c r="AH11" s="235" t="str">
        <f t="shared" si="6"/>
        <v>Kalle Orro</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681">
        <v>6</v>
      </c>
      <c r="B12" s="687" t="s">
        <v>349</v>
      </c>
      <c r="C12" s="392">
        <v>13</v>
      </c>
      <c r="D12" s="393" t="s">
        <v>302</v>
      </c>
      <c r="E12" s="394">
        <v>12</v>
      </c>
      <c r="F12" s="395" t="s">
        <v>335</v>
      </c>
      <c r="G12" s="392">
        <v>7</v>
      </c>
      <c r="H12" s="393" t="s">
        <v>302</v>
      </c>
      <c r="I12" s="394">
        <v>13</v>
      </c>
      <c r="J12" s="395" t="s">
        <v>380</v>
      </c>
      <c r="K12" s="392">
        <v>13</v>
      </c>
      <c r="L12" s="393" t="s">
        <v>302</v>
      </c>
      <c r="M12" s="394">
        <v>10</v>
      </c>
      <c r="N12" s="395" t="s">
        <v>383</v>
      </c>
      <c r="O12" s="392">
        <v>8</v>
      </c>
      <c r="P12" s="393" t="s">
        <v>302</v>
      </c>
      <c r="Q12" s="394">
        <v>13</v>
      </c>
      <c r="R12" s="395" t="s">
        <v>379</v>
      </c>
      <c r="S12" s="683"/>
      <c r="T12" s="684" t="s">
        <v>302</v>
      </c>
      <c r="U12" s="685"/>
      <c r="V12" s="686"/>
      <c r="W12" s="706">
        <f t="shared" si="0"/>
        <v>2</v>
      </c>
      <c r="X12" s="707">
        <v>16</v>
      </c>
      <c r="Y12" s="707">
        <v>70</v>
      </c>
      <c r="Z12" s="683">
        <f t="shared" si="1"/>
        <v>41</v>
      </c>
      <c r="AA12" s="684" t="s">
        <v>302</v>
      </c>
      <c r="AB12" s="708">
        <f t="shared" si="2"/>
        <v>48</v>
      </c>
      <c r="AC12" s="399">
        <f t="shared" si="3"/>
        <v>-7</v>
      </c>
      <c r="AD12" s="233">
        <f t="shared" si="11"/>
        <v>214</v>
      </c>
      <c r="AE12" s="234">
        <f>IFERROR(INDEX(V!$R:$R,MATCH(AF12,V!$L:$L,0)),"")</f>
        <v>84</v>
      </c>
      <c r="AF12" s="235" t="str">
        <f t="shared" si="5"/>
        <v>Jaan Saar</v>
      </c>
      <c r="AG12" s="234">
        <f>IFERROR(INDEX(V!$R:$R,MATCH(AH12,V!$L:$L,0)),"")</f>
        <v>130</v>
      </c>
      <c r="AH12" s="235" t="str">
        <f t="shared" si="6"/>
        <v>Sirje Maala</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681">
        <v>7</v>
      </c>
      <c r="B13" s="688" t="s">
        <v>355</v>
      </c>
      <c r="C13" s="392">
        <v>13</v>
      </c>
      <c r="D13" s="393" t="s">
        <v>302</v>
      </c>
      <c r="E13" s="394">
        <v>2</v>
      </c>
      <c r="F13" s="395" t="s">
        <v>383</v>
      </c>
      <c r="G13" s="392">
        <v>3</v>
      </c>
      <c r="H13" s="393" t="s">
        <v>302</v>
      </c>
      <c r="I13" s="394">
        <v>13</v>
      </c>
      <c r="J13" s="395" t="s">
        <v>350</v>
      </c>
      <c r="K13" s="392">
        <v>5</v>
      </c>
      <c r="L13" s="393" t="s">
        <v>302</v>
      </c>
      <c r="M13" s="394">
        <v>13</v>
      </c>
      <c r="N13" s="395" t="s">
        <v>382</v>
      </c>
      <c r="O13" s="392">
        <v>13</v>
      </c>
      <c r="P13" s="393" t="s">
        <v>302</v>
      </c>
      <c r="Q13" s="394">
        <v>11</v>
      </c>
      <c r="R13" s="395" t="s">
        <v>335</v>
      </c>
      <c r="S13" s="683"/>
      <c r="T13" s="684" t="s">
        <v>302</v>
      </c>
      <c r="U13" s="685"/>
      <c r="V13" s="686"/>
      <c r="W13" s="706">
        <f t="shared" si="0"/>
        <v>2</v>
      </c>
      <c r="X13" s="707">
        <v>12</v>
      </c>
      <c r="Y13" s="707">
        <v>62</v>
      </c>
      <c r="Z13" s="683">
        <f t="shared" si="1"/>
        <v>34</v>
      </c>
      <c r="AA13" s="684" t="s">
        <v>302</v>
      </c>
      <c r="AB13" s="708">
        <f t="shared" si="2"/>
        <v>39</v>
      </c>
      <c r="AC13" s="399">
        <f t="shared" si="3"/>
        <v>-5</v>
      </c>
      <c r="AD13" s="233">
        <f t="shared" si="11"/>
        <v>152</v>
      </c>
      <c r="AE13" s="234">
        <f>IFERROR(INDEX(V!$R:$R,MATCH(AF13,V!$L:$L,0)),"")</f>
        <v>76</v>
      </c>
      <c r="AF13" s="235" t="str">
        <f t="shared" si="5"/>
        <v>Boriss Klubov</v>
      </c>
      <c r="AG13" s="234">
        <f>IFERROR(INDEX(V!$R:$R,MATCH(AH13,V!$L:$L,0)),"")</f>
        <v>76</v>
      </c>
      <c r="AH13" s="235" t="str">
        <f t="shared" si="6"/>
        <v>Elmo Lageda</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681">
        <v>8</v>
      </c>
      <c r="B14" s="688" t="s">
        <v>383</v>
      </c>
      <c r="C14" s="392">
        <v>2</v>
      </c>
      <c r="D14" s="393" t="s">
        <v>302</v>
      </c>
      <c r="E14" s="394">
        <v>13</v>
      </c>
      <c r="F14" s="395" t="s">
        <v>355</v>
      </c>
      <c r="G14" s="392">
        <v>13</v>
      </c>
      <c r="H14" s="393" t="s">
        <v>302</v>
      </c>
      <c r="I14" s="394">
        <v>5</v>
      </c>
      <c r="J14" s="395" t="s">
        <v>384</v>
      </c>
      <c r="K14" s="392">
        <v>10</v>
      </c>
      <c r="L14" s="393" t="s">
        <v>302</v>
      </c>
      <c r="M14" s="394">
        <v>13</v>
      </c>
      <c r="N14" s="395" t="s">
        <v>349</v>
      </c>
      <c r="O14" s="392">
        <v>2</v>
      </c>
      <c r="P14" s="393" t="s">
        <v>302</v>
      </c>
      <c r="Q14" s="394">
        <v>13</v>
      </c>
      <c r="R14" s="395" t="s">
        <v>382</v>
      </c>
      <c r="S14" s="683"/>
      <c r="T14" s="684" t="s">
        <v>302</v>
      </c>
      <c r="U14" s="685"/>
      <c r="V14" s="686"/>
      <c r="W14" s="706">
        <f t="shared" si="0"/>
        <v>1</v>
      </c>
      <c r="X14" s="707">
        <v>16</v>
      </c>
      <c r="Y14" s="707">
        <v>48</v>
      </c>
      <c r="Z14" s="683">
        <f t="shared" si="1"/>
        <v>27</v>
      </c>
      <c r="AA14" s="684" t="s">
        <v>302</v>
      </c>
      <c r="AB14" s="708">
        <f t="shared" si="2"/>
        <v>44</v>
      </c>
      <c r="AC14" s="399">
        <f t="shared" si="3"/>
        <v>-17</v>
      </c>
      <c r="AD14" s="233">
        <f t="shared" si="11"/>
        <v>206</v>
      </c>
      <c r="AE14" s="234">
        <f>IFERROR(INDEX(V!$R:$R,MATCH(AF14,V!$L:$L,0)),"")</f>
        <v>140</v>
      </c>
      <c r="AF14" s="235" t="str">
        <f t="shared" si="5"/>
        <v>Oleg Rõndenkov</v>
      </c>
      <c r="AG14" s="234">
        <f>IFERROR(INDEX(V!$R:$R,MATCH(AH14,V!$L:$L,0)),"")</f>
        <v>66</v>
      </c>
      <c r="AH14" s="235" t="str">
        <f t="shared" si="6"/>
        <v>Vadim Tihhonjuk</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681">
        <v>9</v>
      </c>
      <c r="B15" s="687" t="s">
        <v>384</v>
      </c>
      <c r="C15" s="392">
        <v>3</v>
      </c>
      <c r="D15" s="393" t="s">
        <v>302</v>
      </c>
      <c r="E15" s="394">
        <v>13</v>
      </c>
      <c r="F15" s="395" t="s">
        <v>350</v>
      </c>
      <c r="G15" s="392">
        <v>5</v>
      </c>
      <c r="H15" s="393" t="s">
        <v>302</v>
      </c>
      <c r="I15" s="394">
        <v>13</v>
      </c>
      <c r="J15" s="395" t="s">
        <v>383</v>
      </c>
      <c r="K15" s="392">
        <v>13</v>
      </c>
      <c r="L15" s="393" t="s">
        <v>302</v>
      </c>
      <c r="M15" s="394">
        <v>7</v>
      </c>
      <c r="N15" s="395" t="s">
        <v>335</v>
      </c>
      <c r="O15" s="392">
        <v>7</v>
      </c>
      <c r="P15" s="393" t="s">
        <v>302</v>
      </c>
      <c r="Q15" s="394">
        <v>13</v>
      </c>
      <c r="R15" s="395" t="s">
        <v>381</v>
      </c>
      <c r="S15" s="683"/>
      <c r="T15" s="684" t="s">
        <v>302</v>
      </c>
      <c r="U15" s="685"/>
      <c r="V15" s="686"/>
      <c r="W15" s="706">
        <f t="shared" si="0"/>
        <v>1</v>
      </c>
      <c r="X15" s="707">
        <v>10</v>
      </c>
      <c r="Y15" s="707">
        <v>74</v>
      </c>
      <c r="Z15" s="683">
        <f t="shared" si="1"/>
        <v>28</v>
      </c>
      <c r="AA15" s="684" t="s">
        <v>302</v>
      </c>
      <c r="AB15" s="708">
        <f t="shared" si="2"/>
        <v>46</v>
      </c>
      <c r="AC15" s="399">
        <f t="shared" si="3"/>
        <v>-18</v>
      </c>
      <c r="AD15" s="233">
        <f t="shared" si="11"/>
        <v>34</v>
      </c>
      <c r="AE15" s="234">
        <f>IFERROR(INDEX(V!$R:$R,MATCH(AF15,V!$L:$L,0)),"")</f>
        <v>20</v>
      </c>
      <c r="AF15" s="235" t="str">
        <f t="shared" si="5"/>
        <v>Liidia Põllu</v>
      </c>
      <c r="AG15" s="234" t="str">
        <f>IFERROR(INDEX(V!$R:$R,MATCH(AH15,V!$L:$L,0)),"")</f>
        <v/>
      </c>
      <c r="AH15" s="235" t="str">
        <f t="shared" si="6"/>
        <v>Sander Skrabutenas, Veronika Pirk</v>
      </c>
      <c r="AI15" s="234">
        <f>IFERROR(INDEX(V!$R:$R,MATCH(AJ15,V!$L:$L,0)),"")</f>
        <v>4</v>
      </c>
      <c r="AJ15" s="235" t="str">
        <f t="shared" si="7"/>
        <v>Sander Skrabutenas</v>
      </c>
      <c r="AK15" s="234">
        <f>IFERROR(INDEX(V!$R:$R,MATCH(AL15,V!$L:$L,0)),"")</f>
        <v>10</v>
      </c>
      <c r="AL15" s="235" t="str">
        <f t="shared" si="8"/>
        <v>Veronika Pirk</v>
      </c>
      <c r="AM15" s="234" t="str">
        <f>IFERROR(INDEX(V!$R:$R,MATCH(AN15,V!$L:$L,0)),"")</f>
        <v/>
      </c>
      <c r="AN15" s="235" t="str">
        <f t="shared" si="9"/>
        <v/>
      </c>
      <c r="AO15" s="234" t="str">
        <f>IFERROR(INDEX(V!$R:$R,MATCH(AP15,V!$L:$L,0)),"")</f>
        <v/>
      </c>
      <c r="AP15" s="235" t="str">
        <f t="shared" si="10"/>
        <v/>
      </c>
    </row>
    <row r="16" spans="1:42" x14ac:dyDescent="0.2">
      <c r="A16" s="681">
        <v>10</v>
      </c>
      <c r="B16" s="688" t="s">
        <v>335</v>
      </c>
      <c r="C16" s="392">
        <v>12</v>
      </c>
      <c r="D16" s="393" t="s">
        <v>302</v>
      </c>
      <c r="E16" s="394">
        <v>13</v>
      </c>
      <c r="F16" s="395" t="s">
        <v>349</v>
      </c>
      <c r="G16" s="392">
        <v>3</v>
      </c>
      <c r="H16" s="393" t="s">
        <v>302</v>
      </c>
      <c r="I16" s="394">
        <v>13</v>
      </c>
      <c r="J16" s="395" t="s">
        <v>382</v>
      </c>
      <c r="K16" s="392">
        <v>7</v>
      </c>
      <c r="L16" s="393" t="s">
        <v>302</v>
      </c>
      <c r="M16" s="394">
        <v>13</v>
      </c>
      <c r="N16" s="395" t="s">
        <v>384</v>
      </c>
      <c r="O16" s="392">
        <v>11</v>
      </c>
      <c r="P16" s="393" t="s">
        <v>302</v>
      </c>
      <c r="Q16" s="394">
        <v>13</v>
      </c>
      <c r="R16" s="395" t="s">
        <v>355</v>
      </c>
      <c r="S16" s="683"/>
      <c r="T16" s="684" t="s">
        <v>302</v>
      </c>
      <c r="U16" s="685"/>
      <c r="V16" s="686"/>
      <c r="W16" s="706">
        <f t="shared" si="0"/>
        <v>0</v>
      </c>
      <c r="X16" s="707">
        <v>16</v>
      </c>
      <c r="Y16" s="707">
        <v>48</v>
      </c>
      <c r="Z16" s="683">
        <f t="shared" ref="Z16" si="12">C16+G16+K16+O16+S16</f>
        <v>33</v>
      </c>
      <c r="AA16" s="684" t="s">
        <v>302</v>
      </c>
      <c r="AB16" s="708">
        <f t="shared" ref="AB16" si="13">E16+I16+M16+Q16+U16</f>
        <v>52</v>
      </c>
      <c r="AC16" s="399">
        <f t="shared" ref="AC16" si="14">Z16-AB16</f>
        <v>-19</v>
      </c>
      <c r="AD16" s="233">
        <f t="shared" ref="AD16" si="15">SUM(AE16:AL16)</f>
        <v>68</v>
      </c>
      <c r="AE16" s="234">
        <f>IFERROR(INDEX(V!$R:$R,MATCH(AF16,V!$L:$L,0)),"")</f>
        <v>50</v>
      </c>
      <c r="AF16" s="235" t="str">
        <f t="shared" si="5"/>
        <v>Illar Tõnurist</v>
      </c>
      <c r="AG16" s="234">
        <f>IFERROR(INDEX(V!$R:$R,MATCH(AH16,V!$L:$L,0)),"")</f>
        <v>18</v>
      </c>
      <c r="AH16" s="235" t="str">
        <f t="shared" si="6"/>
        <v>Tarmo Bombe</v>
      </c>
      <c r="AI16" s="234" t="str">
        <f>IFERROR(INDEX(V!$R:$R,MATCH(AJ16,V!$L:$L,0)),"")</f>
        <v/>
      </c>
      <c r="AJ16" s="235" t="str">
        <f t="shared" si="7"/>
        <v/>
      </c>
      <c r="AK16" s="234" t="str">
        <f>IFERROR(INDEX(V!$R:$R,MATCH(AL16,V!$L:$L,0)),"")</f>
        <v/>
      </c>
      <c r="AL16" s="235" t="str">
        <f t="shared" si="8"/>
        <v/>
      </c>
      <c r="AM16" s="234" t="str">
        <f>IFERROR(INDEX(V!$R:$R,MATCH(AN16,V!$L:$L,0)),"")</f>
        <v/>
      </c>
      <c r="AN16" s="235" t="str">
        <f t="shared" si="9"/>
        <v/>
      </c>
      <c r="AO16" s="234" t="str">
        <f>IFERROR(INDEX(V!$R:$R,MATCH(AP16,V!$L:$L,0)),"")</f>
        <v/>
      </c>
      <c r="AP16" s="235" t="str">
        <f t="shared" si="10"/>
        <v/>
      </c>
    </row>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 t="shared" ref="B300:B308" si="16">IFERROR(INDEX(B$1:B$95,MATCH(A300,A$1:A$95,0)),"")</f>
        <v>Henri Mitt, Olav Türk</v>
      </c>
      <c r="C300" s="323">
        <f>LARGE(A300:A400,1)*2+2-A300*2</f>
        <v>20</v>
      </c>
      <c r="F300" s="649"/>
    </row>
    <row r="301" spans="1:6" x14ac:dyDescent="0.2">
      <c r="A301" s="351">
        <v>2</v>
      </c>
      <c r="B301" s="402" t="str">
        <f t="shared" si="16"/>
        <v>Andrei Grintšak, Enn Tokman</v>
      </c>
      <c r="C301" s="323">
        <f t="shared" ref="C301:C308" si="17">LARGE(A301:A401,1)*2+2-A301*2</f>
        <v>18</v>
      </c>
      <c r="F301" s="649"/>
    </row>
    <row r="302" spans="1:6" x14ac:dyDescent="0.2">
      <c r="A302" s="351">
        <v>3</v>
      </c>
      <c r="B302" s="402" t="str">
        <f t="shared" si="16"/>
        <v>Kenneth Muusikus, Sander Rose</v>
      </c>
      <c r="C302" s="323">
        <f t="shared" si="17"/>
        <v>16</v>
      </c>
      <c r="F302" s="649"/>
    </row>
    <row r="303" spans="1:6" x14ac:dyDescent="0.2">
      <c r="A303" s="351">
        <v>4</v>
      </c>
      <c r="B303" s="402" t="str">
        <f t="shared" si="16"/>
        <v>Matti Vinni, Vello Vasser</v>
      </c>
      <c r="C303" s="323">
        <f t="shared" si="17"/>
        <v>14</v>
      </c>
      <c r="F303" s="649"/>
    </row>
    <row r="304" spans="1:6" x14ac:dyDescent="0.2">
      <c r="A304" s="351">
        <v>5</v>
      </c>
      <c r="B304" s="402" t="str">
        <f t="shared" si="16"/>
        <v>Aigi Orro, Kalle Orro</v>
      </c>
      <c r="C304" s="323">
        <f t="shared" si="17"/>
        <v>12</v>
      </c>
      <c r="F304" s="649"/>
    </row>
    <row r="305" spans="1:6" x14ac:dyDescent="0.2">
      <c r="A305" s="351">
        <v>6</v>
      </c>
      <c r="B305" s="402" t="str">
        <f t="shared" si="16"/>
        <v>Jaan Saar, Sirje Maala</v>
      </c>
      <c r="C305" s="323">
        <f t="shared" si="17"/>
        <v>10</v>
      </c>
      <c r="F305" s="649"/>
    </row>
    <row r="306" spans="1:6" x14ac:dyDescent="0.2">
      <c r="A306" s="351">
        <v>7</v>
      </c>
      <c r="B306" s="402" t="str">
        <f t="shared" si="16"/>
        <v>Boriss Klubov, Elmo Lageda</v>
      </c>
      <c r="C306" s="323">
        <f t="shared" si="17"/>
        <v>8</v>
      </c>
      <c r="F306" s="649"/>
    </row>
    <row r="307" spans="1:6" x14ac:dyDescent="0.2">
      <c r="A307" s="351">
        <v>8</v>
      </c>
      <c r="B307" s="402" t="str">
        <f t="shared" si="16"/>
        <v>Oleg Rõndenkov, Vadim Tihhonjuk</v>
      </c>
      <c r="C307" s="323">
        <f t="shared" si="17"/>
        <v>6</v>
      </c>
      <c r="F307" s="649"/>
    </row>
    <row r="308" spans="1:6" x14ac:dyDescent="0.2">
      <c r="A308" s="351">
        <v>9</v>
      </c>
      <c r="B308" s="402" t="str">
        <f t="shared" si="16"/>
        <v>Liidia Põllu, Sander Skrabutenas, Veronika Pirk</v>
      </c>
      <c r="C308" s="323">
        <f t="shared" si="17"/>
        <v>4</v>
      </c>
      <c r="F308" s="649"/>
    </row>
    <row r="309" spans="1:6" x14ac:dyDescent="0.2">
      <c r="A309" s="351">
        <v>10</v>
      </c>
      <c r="B309" s="402" t="str">
        <f t="shared" ref="B309" si="18">IFERROR(INDEX(B$1:B$95,MATCH(A309,A$1:A$95,0)),"")</f>
        <v>Illar Tõnurist, Tarmo Bombe</v>
      </c>
      <c r="C309" s="323">
        <f t="shared" ref="C309" si="19">LARGE(A309:A409,1)*2+2-A309*2</f>
        <v>2</v>
      </c>
    </row>
  </sheetData>
  <conditionalFormatting sqref="AJ7:AJ16 AH7:AH16 AL7:AL16">
    <cfRule type="expression" dxfId="1996" priority="62">
      <formula>AND(AG7="",FIND(",",AH7))</formula>
    </cfRule>
    <cfRule type="expression" dxfId="1995" priority="64">
      <formula>AND(AG7="",COUNTIF(AH7,"*,*")=0)</formula>
    </cfRule>
  </conditionalFormatting>
  <conditionalFormatting sqref="AF7:AF16">
    <cfRule type="expression" dxfId="1994" priority="63">
      <formula>AND(AE7="",COUNTIF(AF7,"*,*")=0)</formula>
    </cfRule>
  </conditionalFormatting>
  <conditionalFormatting sqref="AN7:AN16 AP7:AP16">
    <cfRule type="expression" dxfId="1993" priority="60">
      <formula>AND(AM7="",COUNTIF(AN7,"*,*")=0)</formula>
    </cfRule>
    <cfRule type="expression" dxfId="1992" priority="61">
      <formula>AND(AM7="",FIND(",",AN7))</formula>
    </cfRule>
  </conditionalFormatting>
  <conditionalFormatting sqref="B300:B309">
    <cfRule type="expression" dxfId="1991" priority="65">
      <formula>A300=3</formula>
    </cfRule>
    <cfRule type="expression" dxfId="1990" priority="66">
      <formula>A300=2</formula>
    </cfRule>
    <cfRule type="expression" dxfId="1989" priority="67">
      <formula>A300=1</formula>
    </cfRule>
    <cfRule type="containsBlanks" dxfId="1988" priority="68">
      <formula>LEN(TRIM(B300))=0</formula>
    </cfRule>
    <cfRule type="duplicateValues" dxfId="1987" priority="69"/>
  </conditionalFormatting>
  <conditionalFormatting sqref="S7:S16">
    <cfRule type="expression" dxfId="1986" priority="28">
      <formula>AND(S7=0,U7=13)</formula>
    </cfRule>
  </conditionalFormatting>
  <conditionalFormatting sqref="V7:V16">
    <cfRule type="containsText" dxfId="1985" priority="30" operator="containsText" text="vaba voor">
      <formula>NOT(ISERROR(SEARCH("vaba voor",V7)))</formula>
    </cfRule>
  </conditionalFormatting>
  <conditionalFormatting sqref="U7:U16">
    <cfRule type="expression" dxfId="1984" priority="29">
      <formula>AND(U7=0,S7=13)</formula>
    </cfRule>
  </conditionalFormatting>
  <conditionalFormatting sqref="S7:S16">
    <cfRule type="expression" dxfId="1983" priority="57">
      <formula>IF($S7&gt;$U7,TRUE)</formula>
    </cfRule>
  </conditionalFormatting>
  <conditionalFormatting sqref="U7:U16">
    <cfRule type="expression" dxfId="1982" priority="58">
      <formula>IF($S7&lt;$U7,TRUE)</formula>
    </cfRule>
  </conditionalFormatting>
  <conditionalFormatting sqref="S7:V16">
    <cfRule type="expression" dxfId="1981" priority="35">
      <formula>IF(AND(ISNUMBER($S7),$S7=$U7),TRUE)</formula>
    </cfRule>
    <cfRule type="expression" dxfId="1980" priority="55">
      <formula>IF($S7&gt;$U7,TRUE)</formula>
    </cfRule>
    <cfRule type="expression" dxfId="1979" priority="56">
      <formula>IF($S7&lt;$U7,TRUE)</formula>
    </cfRule>
  </conditionalFormatting>
  <conditionalFormatting sqref="A7:A16">
    <cfRule type="duplicateValues" dxfId="1978" priority="59"/>
  </conditionalFormatting>
  <conditionalFormatting sqref="C7:C16 G7:G16 K7:K16 O7:O16">
    <cfRule type="expression" dxfId="1977" priority="1">
      <formula>AND(C7=0,E7=13)</formula>
    </cfRule>
  </conditionalFormatting>
  <conditionalFormatting sqref="C7:C16">
    <cfRule type="expression" dxfId="1976" priority="13">
      <formula>IF($C7&gt;$E7,TRUE)</formula>
    </cfRule>
  </conditionalFormatting>
  <conditionalFormatting sqref="E7:E16">
    <cfRule type="expression" dxfId="1975" priority="14">
      <formula>IF($C7&lt;$E7,TRUE)</formula>
    </cfRule>
  </conditionalFormatting>
  <conditionalFormatting sqref="K7:K16">
    <cfRule type="expression" dxfId="1974" priority="21">
      <formula>IF($K7&gt;$M7,TRUE)</formula>
    </cfRule>
  </conditionalFormatting>
  <conditionalFormatting sqref="M7:M16">
    <cfRule type="expression" dxfId="1973" priority="22">
      <formula>IF($K7&lt;$M7,TRUE)</formula>
    </cfRule>
  </conditionalFormatting>
  <conditionalFormatting sqref="O7:O16">
    <cfRule type="expression" dxfId="1972" priority="25">
      <formula>IF($O7&gt;$Q7,TRUE)</formula>
    </cfRule>
  </conditionalFormatting>
  <conditionalFormatting sqref="Q7:Q16">
    <cfRule type="expression" dxfId="1971" priority="26">
      <formula>IF($O7&lt;$Q7,TRUE)</formula>
    </cfRule>
  </conditionalFormatting>
  <conditionalFormatting sqref="G7:G16">
    <cfRule type="expression" dxfId="1970" priority="17">
      <formula>IF($G7&gt;$I7,TRUE)</formula>
    </cfRule>
  </conditionalFormatting>
  <conditionalFormatting sqref="I7:I16">
    <cfRule type="expression" dxfId="1969" priority="18">
      <formula>IF($G7&lt;$I7,TRUE)</formula>
    </cfRule>
  </conditionalFormatting>
  <conditionalFormatting sqref="F7:F16">
    <cfRule type="containsText" dxfId="1968" priority="5" operator="containsText" text="vaba voor">
      <formula>NOT(ISERROR(SEARCH("vaba voor",F7)))</formula>
    </cfRule>
  </conditionalFormatting>
  <conditionalFormatting sqref="N7:N16">
    <cfRule type="containsText" dxfId="1967" priority="3" operator="containsText" text="vaba voor">
      <formula>NOT(ISERROR(SEARCH("vaba voor",N7)))</formula>
    </cfRule>
  </conditionalFormatting>
  <conditionalFormatting sqref="R7:R16">
    <cfRule type="containsText" dxfId="1966" priority="6" operator="containsText" text="vaba voor">
      <formula>NOT(ISERROR(SEARCH("vaba voor",R7)))</formula>
    </cfRule>
  </conditionalFormatting>
  <conditionalFormatting sqref="J7:J16">
    <cfRule type="containsText" dxfId="1965" priority="4" operator="containsText" text="vaba voor">
      <formula>NOT(ISERROR(SEARCH("vaba voor",J7)))</formula>
    </cfRule>
  </conditionalFormatting>
  <conditionalFormatting sqref="C7:F16">
    <cfRule type="expression" dxfId="1964" priority="9">
      <formula>IF(AND(ISNUMBER($C7),$C7=$E7),TRUE)</formula>
    </cfRule>
    <cfRule type="expression" dxfId="1963" priority="11">
      <formula>IF($C7&gt;$E7,TRUE)</formula>
    </cfRule>
    <cfRule type="expression" dxfId="1962" priority="12">
      <formula>IF($C7&lt;$E7,TRUE)</formula>
    </cfRule>
  </conditionalFormatting>
  <conditionalFormatting sqref="G7:J16">
    <cfRule type="expression" dxfId="1961" priority="10">
      <formula>IF(AND(ISNUMBER($G7),$G7=$I7),TRUE)</formula>
    </cfRule>
    <cfRule type="expression" dxfId="1960" priority="15">
      <formula>IF($G7&gt;$I7,TRUE)</formula>
    </cfRule>
    <cfRule type="expression" dxfId="1959" priority="16">
      <formula>IF($G7&lt;$I7,TRUE)</formula>
    </cfRule>
  </conditionalFormatting>
  <conditionalFormatting sqref="K7:N16">
    <cfRule type="expression" dxfId="1958" priority="8">
      <formula>IF(AND(ISNUMBER($K7),$K7=$M7),TRUE)</formula>
    </cfRule>
    <cfRule type="expression" dxfId="1957" priority="19">
      <formula>IF($K7&gt;$M7,TRUE)</formula>
    </cfRule>
    <cfRule type="expression" dxfId="1956" priority="20">
      <formula>IF($K7&lt;$M7,TRUE)</formula>
    </cfRule>
  </conditionalFormatting>
  <conditionalFormatting sqref="O7:R16">
    <cfRule type="expression" dxfId="1955" priority="7">
      <formula>IF(AND(ISNUMBER($O7),$O7=$Q7),TRUE)</formula>
    </cfRule>
    <cfRule type="expression" dxfId="1954" priority="23">
      <formula>IF($O7&gt;$Q7,TRUE)</formula>
    </cfRule>
    <cfRule type="expression" dxfId="1953" priority="24">
      <formula>IF($O7&lt;$Q7,TRUE)</formula>
    </cfRule>
  </conditionalFormatting>
  <conditionalFormatting sqref="E7:E16 I7:I16 M7:M16 Q7:Q16">
    <cfRule type="expression" dxfId="1952" priority="2">
      <formula>AND(E7=0,C7=13)</formula>
    </cfRule>
  </conditionalFormatting>
  <pageMargins left="0.78740157480314965" right="0.39370078740157483" top="0.78740157480314965" bottom="0.39370078740157483" header="0.78740157480314965" footer="0"/>
  <pageSetup paperSize="9" scale="97" fitToHeight="0" orientation="landscape" verticalDpi="1200" r:id="rId1"/>
  <headerFooter>
    <oddHeader>&amp;R&amp;P. leht &amp;N&amp; -st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07"/>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0.285156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5.7109375" style="1" hidden="1" customWidth="1"/>
    <col min="35" max="35" width="9.140625" style="1" hidden="1" customWidth="1"/>
    <col min="36" max="36" width="17.28515625" style="1" hidden="1" customWidth="1"/>
    <col min="37" max="37" width="9.140625" style="1" hidden="1" customWidth="1"/>
    <col min="38" max="38" width="13.8554687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UPPER((Kalend!E8)&amp;" - "&amp;(Kalend!C8))&amp;" - "&amp;LOWER(Kalend!D8)&amp;" - "&amp;(Kalend!A8)&amp;" kell "&amp;(Kalend!B8)&amp;" - "&amp;(Kalend!F8)</f>
        <v>V3 - VOKA V SISE-KV 3. ETAPP - duo - P, 04.12.2022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A2" s="689"/>
      <c r="F2" s="158"/>
      <c r="L2" s="693"/>
      <c r="M2" s="693"/>
      <c r="N2" s="693"/>
      <c r="O2" s="694"/>
      <c r="P2" s="694"/>
      <c r="Q2" s="694"/>
      <c r="R2" s="690" t="s">
        <v>236</v>
      </c>
      <c r="S2" s="694"/>
      <c r="T2" s="693"/>
      <c r="U2" s="693"/>
      <c r="V2" s="693"/>
      <c r="W2" s="691">
        <v>1</v>
      </c>
      <c r="X2" s="692" t="s">
        <v>237</v>
      </c>
      <c r="Y2" s="694"/>
      <c r="Z2" s="694"/>
      <c r="AA2" s="694"/>
      <c r="AB2" s="694"/>
      <c r="AE2" s="158"/>
      <c r="AG2" s="158"/>
      <c r="AH2" s="158"/>
      <c r="AI2" s="158"/>
      <c r="AJ2" s="158"/>
      <c r="AK2" s="158"/>
      <c r="AL2" s="158"/>
      <c r="AM2" s="158"/>
      <c r="AN2" s="158"/>
    </row>
    <row r="3" spans="1:42" x14ac:dyDescent="0.2">
      <c r="A3" s="689"/>
      <c r="F3" s="158"/>
      <c r="L3" s="694"/>
      <c r="M3" s="694"/>
      <c r="N3" s="694"/>
      <c r="O3" s="694"/>
      <c r="P3" s="694"/>
      <c r="Q3" s="694"/>
      <c r="R3" s="695" t="s">
        <v>238</v>
      </c>
      <c r="S3" s="694"/>
      <c r="T3" s="694"/>
      <c r="U3" s="694"/>
      <c r="V3" s="694"/>
      <c r="W3" s="691">
        <v>0.5</v>
      </c>
      <c r="X3" s="692" t="s">
        <v>237</v>
      </c>
      <c r="Y3" s="694"/>
      <c r="Z3" s="694"/>
      <c r="AA3" s="694"/>
      <c r="AB3" s="694"/>
      <c r="AE3" s="236"/>
      <c r="AF3" s="236"/>
      <c r="AG3" s="236"/>
      <c r="AH3" s="227"/>
      <c r="AI3" s="236"/>
      <c r="AJ3" s="236"/>
      <c r="AK3" s="236"/>
      <c r="AL3" s="236"/>
      <c r="AM3" s="236"/>
      <c r="AN3" s="236"/>
      <c r="AO3" s="236"/>
      <c r="AP3" s="236"/>
    </row>
    <row r="4" spans="1:42" x14ac:dyDescent="0.2">
      <c r="F4" s="158"/>
      <c r="L4" s="694"/>
      <c r="M4" s="694"/>
      <c r="N4" s="694"/>
      <c r="O4" s="694"/>
      <c r="P4" s="694"/>
      <c r="Q4" s="694"/>
      <c r="R4" s="696" t="s">
        <v>239</v>
      </c>
      <c r="S4" s="694"/>
      <c r="T4" s="694"/>
      <c r="U4" s="694"/>
      <c r="V4" s="694"/>
      <c r="W4" s="691">
        <v>0</v>
      </c>
      <c r="X4" s="692" t="s">
        <v>237</v>
      </c>
      <c r="Y4" s="694"/>
      <c r="Z4" s="694"/>
      <c r="AA4" s="694"/>
      <c r="AB4" s="694"/>
    </row>
    <row r="5" spans="1:42" x14ac:dyDescent="0.2">
      <c r="F5" s="158"/>
      <c r="L5" s="158"/>
      <c r="M5" s="158"/>
      <c r="N5" s="158"/>
      <c r="O5" s="158"/>
      <c r="P5" s="158"/>
      <c r="Q5" s="158"/>
      <c r="R5" s="158"/>
      <c r="S5" s="158"/>
      <c r="T5" s="158"/>
      <c r="U5" s="158"/>
      <c r="W5" s="158"/>
      <c r="X5" s="158"/>
      <c r="Y5" s="158"/>
      <c r="Z5" s="158"/>
      <c r="AA5" s="158"/>
      <c r="AB5" s="416" t="s">
        <v>313</v>
      </c>
      <c r="AD5" s="413" t="s">
        <v>216</v>
      </c>
    </row>
    <row r="6" spans="1:42" x14ac:dyDescent="0.2">
      <c r="A6" s="697" t="s">
        <v>10</v>
      </c>
      <c r="B6" s="697" t="s">
        <v>58</v>
      </c>
      <c r="C6" s="698" t="s">
        <v>173</v>
      </c>
      <c r="D6" s="699"/>
      <c r="E6" s="699"/>
      <c r="F6" s="700"/>
      <c r="G6" s="698" t="s">
        <v>176</v>
      </c>
      <c r="H6" s="699"/>
      <c r="I6" s="699"/>
      <c r="J6" s="700"/>
      <c r="K6" s="698" t="s">
        <v>179</v>
      </c>
      <c r="L6" s="699"/>
      <c r="M6" s="699"/>
      <c r="N6" s="700"/>
      <c r="O6" s="698" t="s">
        <v>182</v>
      </c>
      <c r="P6" s="699"/>
      <c r="Q6" s="699"/>
      <c r="R6" s="700"/>
      <c r="S6" s="698" t="s">
        <v>184</v>
      </c>
      <c r="T6" s="699"/>
      <c r="U6" s="699"/>
      <c r="V6" s="700"/>
      <c r="W6" s="697" t="s">
        <v>81</v>
      </c>
      <c r="X6" s="701" t="s">
        <v>300</v>
      </c>
      <c r="Y6" s="702" t="s">
        <v>360</v>
      </c>
      <c r="Z6" s="701"/>
      <c r="AA6" s="703" t="s">
        <v>301</v>
      </c>
      <c r="AB6" s="704"/>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681">
        <v>1</v>
      </c>
      <c r="B7" s="682" t="s">
        <v>380</v>
      </c>
      <c r="C7" s="392">
        <v>12</v>
      </c>
      <c r="D7" s="393" t="s">
        <v>302</v>
      </c>
      <c r="E7" s="394">
        <v>9</v>
      </c>
      <c r="F7" s="395" t="s">
        <v>385</v>
      </c>
      <c r="G7" s="392">
        <v>6</v>
      </c>
      <c r="H7" s="393" t="s">
        <v>302</v>
      </c>
      <c r="I7" s="394">
        <v>13</v>
      </c>
      <c r="J7" s="395" t="s">
        <v>379</v>
      </c>
      <c r="K7" s="392">
        <v>13</v>
      </c>
      <c r="L7" s="393" t="s">
        <v>302</v>
      </c>
      <c r="M7" s="394">
        <v>5</v>
      </c>
      <c r="N7" s="395" t="s">
        <v>349</v>
      </c>
      <c r="O7" s="392">
        <v>13</v>
      </c>
      <c r="P7" s="393" t="s">
        <v>302</v>
      </c>
      <c r="Q7" s="394">
        <v>8</v>
      </c>
      <c r="R7" s="395" t="s">
        <v>386</v>
      </c>
      <c r="S7" s="683"/>
      <c r="T7" s="684" t="s">
        <v>302</v>
      </c>
      <c r="U7" s="685"/>
      <c r="V7" s="686"/>
      <c r="W7" s="706">
        <f t="shared" ref="W7:W14" si="0">IF(C7&gt;E7,W$2,IF(C7&lt;E7,W$4,IF(ISNUMBER(C7),W$3,0)))+IF(G7&gt;I7,W$2,IF(G7&lt;I7,W$4,IF(ISNUMBER(G7),W$3,0)))+IF(K7&gt;M7,W$2,IF(K7&lt;M7,W$4,IF(ISNUMBER(K7),W$3,0)))+IF(O7&gt;Q7,W$2,IF(O7&lt;Q7,W$4,IF(ISNUMBER(O7),W$3,0)))+IF(S7&gt;U7,W$2,IF(S7&lt;U7,W$4,IF(ISNUMBER(S7),W$3,0)))</f>
        <v>3</v>
      </c>
      <c r="X7" s="707">
        <v>18</v>
      </c>
      <c r="Y7" s="707">
        <v>64</v>
      </c>
      <c r="Z7" s="683">
        <f t="shared" ref="Z7:Z14" si="1">C7+G7+K7+O7+S7</f>
        <v>44</v>
      </c>
      <c r="AA7" s="684" t="s">
        <v>302</v>
      </c>
      <c r="AB7" s="708">
        <f t="shared" ref="AB7:AB14" si="2">E7+I7+M7+Q7+U7</f>
        <v>35</v>
      </c>
      <c r="AC7" s="399">
        <f t="shared" ref="AC7:AC14" si="3">Z7-AB7</f>
        <v>9</v>
      </c>
      <c r="AD7" s="233">
        <f t="shared" ref="AD7:AD10" si="4">SUM(AE7:AL7)</f>
        <v>180</v>
      </c>
      <c r="AE7" s="234">
        <f>IFERROR(INDEX(V!$R:$R,MATCH(AF7,V!$L:$L,0)),"")</f>
        <v>86</v>
      </c>
      <c r="AF7" s="235" t="str">
        <f t="shared" ref="AF7:AF14" si="5">IFERROR(LEFT($B7,(FIND(",",$B7,1)-1)),"")</f>
        <v>Andrei Grintšak</v>
      </c>
      <c r="AG7" s="234">
        <f>IFERROR(INDEX(V!$R:$R,MATCH(AH7,V!$L:$L,0)),"")</f>
        <v>94</v>
      </c>
      <c r="AH7" s="235" t="str">
        <f t="shared" ref="AH7:AH14" si="6">IFERROR(MID($B7,FIND(", ",$B7)+2,256),"")</f>
        <v>Enn Tokman</v>
      </c>
      <c r="AI7" s="234" t="str">
        <f>IFERROR(INDEX(V!$R:$R,MATCH(AJ7,V!$L:$L,0)),"")</f>
        <v/>
      </c>
      <c r="AJ7" s="235" t="str">
        <f t="shared" ref="AJ7:AJ14" si="7">IFERROR(MID($B7,FIND("^",SUBSTITUTE($B7,", ","^",1))+2,FIND("^",SUBSTITUTE($B7,", ","^",2))-FIND("^",SUBSTITUTE($B7,", ","^",1))-2),"")</f>
        <v/>
      </c>
      <c r="AK7" s="234" t="str">
        <f>IFERROR(INDEX(V!$R:$R,MATCH(AL7,V!$L:$L,0)),"")</f>
        <v/>
      </c>
      <c r="AL7" s="235" t="str">
        <f t="shared" ref="AL7:AL14" si="8">IFERROR(MID($B7,FIND(", ",$B7,FIND(", ",$B7,FIND(", ",$B7))+1)+2,30000),"")</f>
        <v/>
      </c>
      <c r="AM7" s="234" t="str">
        <f>IFERROR(INDEX(V!$R:$R,MATCH(AN7,V!$L:$L,0)),"")</f>
        <v/>
      </c>
      <c r="AN7" s="235" t="str">
        <f t="shared" ref="AN7:AN14" si="9">IFERROR(MID($B7,FIND(", ",$B7,FIND(", ",$B7)+1)+2,FIND(", ",$B7,FIND(", ",$B7,FIND(", ",$B7)+1)+1)-FIND(", ",$B7,FIND(", ",$B7)+1)-2),"")</f>
        <v/>
      </c>
      <c r="AO7" s="234" t="str">
        <f>IFERROR(INDEX(V!$R:$R,MATCH(AP7,V!$L:$L,0)),"")</f>
        <v/>
      </c>
      <c r="AP7" s="235" t="str">
        <f t="shared" ref="AP7:AP14" si="10">IFERROR(MID($B7,FIND(", ",$B7,FIND(", ",$B7,FIND(", ",$B7)+1)+1)+2,30000),"")</f>
        <v/>
      </c>
    </row>
    <row r="8" spans="1:42" x14ac:dyDescent="0.2">
      <c r="A8" s="681">
        <v>2</v>
      </c>
      <c r="B8" s="682" t="s">
        <v>379</v>
      </c>
      <c r="C8" s="392">
        <v>13</v>
      </c>
      <c r="D8" s="393" t="s">
        <v>302</v>
      </c>
      <c r="E8" s="394">
        <v>5</v>
      </c>
      <c r="F8" s="395" t="s">
        <v>254</v>
      </c>
      <c r="G8" s="392">
        <v>13</v>
      </c>
      <c r="H8" s="393" t="s">
        <v>302</v>
      </c>
      <c r="I8" s="394">
        <v>6</v>
      </c>
      <c r="J8" s="395" t="s">
        <v>380</v>
      </c>
      <c r="K8" s="392">
        <v>13</v>
      </c>
      <c r="L8" s="393" t="s">
        <v>302</v>
      </c>
      <c r="M8" s="394">
        <v>5</v>
      </c>
      <c r="N8" s="395" t="s">
        <v>387</v>
      </c>
      <c r="O8" s="392">
        <v>6</v>
      </c>
      <c r="P8" s="393" t="s">
        <v>302</v>
      </c>
      <c r="Q8" s="394">
        <v>13</v>
      </c>
      <c r="R8" s="395" t="s">
        <v>385</v>
      </c>
      <c r="S8" s="683"/>
      <c r="T8" s="684" t="s">
        <v>302</v>
      </c>
      <c r="U8" s="685"/>
      <c r="V8" s="686"/>
      <c r="W8" s="706">
        <f t="shared" si="0"/>
        <v>3</v>
      </c>
      <c r="X8" s="707">
        <v>16</v>
      </c>
      <c r="Y8" s="707">
        <v>68</v>
      </c>
      <c r="Z8" s="683">
        <f t="shared" si="1"/>
        <v>45</v>
      </c>
      <c r="AA8" s="684" t="s">
        <v>302</v>
      </c>
      <c r="AB8" s="708">
        <f t="shared" si="2"/>
        <v>29</v>
      </c>
      <c r="AC8" s="399">
        <f t="shared" si="3"/>
        <v>16</v>
      </c>
      <c r="AD8" s="233">
        <f t="shared" si="4"/>
        <v>268</v>
      </c>
      <c r="AE8" s="234">
        <f>IFERROR(INDEX(V!$R:$R,MATCH(AF8,V!$L:$L,0)),"")</f>
        <v>108</v>
      </c>
      <c r="AF8" s="235" t="str">
        <f t="shared" si="5"/>
        <v>Henri Mitt</v>
      </c>
      <c r="AG8" s="234">
        <f>IFERROR(INDEX(V!$R:$R,MATCH(AH8,V!$L:$L,0)),"")</f>
        <v>160</v>
      </c>
      <c r="AH8" s="235" t="str">
        <f t="shared" si="6"/>
        <v>Olav Türk</v>
      </c>
      <c r="AI8" s="234" t="str">
        <f>IFERROR(INDEX(V!$R:$R,MATCH(AJ8,V!$L:$L,0)),"")</f>
        <v/>
      </c>
      <c r="AJ8" s="235" t="str">
        <f t="shared" si="7"/>
        <v/>
      </c>
      <c r="AK8" s="234" t="str">
        <f>IFERROR(INDEX(V!$R:$R,MATCH(AL8,V!$L:$L,0)),"")</f>
        <v/>
      </c>
      <c r="AL8" s="235" t="str">
        <f t="shared" si="8"/>
        <v/>
      </c>
      <c r="AM8" s="234" t="str">
        <f>IFERROR(INDEX(V!$R:$R,MATCH(AN8,V!$L:$L,0)),"")</f>
        <v/>
      </c>
      <c r="AN8" s="235" t="str">
        <f t="shared" si="9"/>
        <v/>
      </c>
      <c r="AO8" s="234" t="str">
        <f>IFERROR(INDEX(V!$R:$R,MATCH(AP8,V!$L:$L,0)),"")</f>
        <v/>
      </c>
      <c r="AP8" s="235" t="str">
        <f t="shared" si="10"/>
        <v/>
      </c>
    </row>
    <row r="9" spans="1:42" x14ac:dyDescent="0.2">
      <c r="A9" s="681">
        <v>3</v>
      </c>
      <c r="B9" s="687" t="s">
        <v>385</v>
      </c>
      <c r="C9" s="392">
        <v>9</v>
      </c>
      <c r="D9" s="393" t="s">
        <v>302</v>
      </c>
      <c r="E9" s="394">
        <v>12</v>
      </c>
      <c r="F9" s="395" t="s">
        <v>380</v>
      </c>
      <c r="G9" s="392">
        <v>13</v>
      </c>
      <c r="H9" s="393" t="s">
        <v>302</v>
      </c>
      <c r="I9" s="394">
        <v>6</v>
      </c>
      <c r="J9" s="395" t="s">
        <v>254</v>
      </c>
      <c r="K9" s="392">
        <v>13</v>
      </c>
      <c r="L9" s="393" t="s">
        <v>302</v>
      </c>
      <c r="M9" s="394">
        <v>9</v>
      </c>
      <c r="N9" s="395" t="s">
        <v>386</v>
      </c>
      <c r="O9" s="392">
        <v>13</v>
      </c>
      <c r="P9" s="393" t="s">
        <v>302</v>
      </c>
      <c r="Q9" s="394">
        <v>6</v>
      </c>
      <c r="R9" s="395" t="s">
        <v>379</v>
      </c>
      <c r="S9" s="683"/>
      <c r="T9" s="684" t="s">
        <v>302</v>
      </c>
      <c r="U9" s="685"/>
      <c r="V9" s="686"/>
      <c r="W9" s="706">
        <f t="shared" si="0"/>
        <v>3</v>
      </c>
      <c r="X9" s="707">
        <v>14</v>
      </c>
      <c r="Y9" s="707">
        <v>74</v>
      </c>
      <c r="Z9" s="683">
        <f t="shared" si="1"/>
        <v>48</v>
      </c>
      <c r="AA9" s="684" t="s">
        <v>302</v>
      </c>
      <c r="AB9" s="708">
        <f t="shared" si="2"/>
        <v>33</v>
      </c>
      <c r="AC9" s="399">
        <f t="shared" si="3"/>
        <v>15</v>
      </c>
      <c r="AD9" s="233">
        <f t="shared" si="4"/>
        <v>172</v>
      </c>
      <c r="AE9" s="234">
        <f>IFERROR(INDEX(V!$R:$R,MATCH(AF9,V!$L:$L,0)),"")</f>
        <v>160</v>
      </c>
      <c r="AF9" s="235" t="str">
        <f t="shared" si="5"/>
        <v>Kenneth Muusikus</v>
      </c>
      <c r="AG9" s="234">
        <f>IFERROR(INDEX(V!$R:$R,MATCH(AH9,V!$L:$L,0)),"")</f>
        <v>12</v>
      </c>
      <c r="AH9" s="235" t="str">
        <f t="shared" si="6"/>
        <v>Marta Bernat</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681">
        <v>4</v>
      </c>
      <c r="B10" s="687" t="s">
        <v>387</v>
      </c>
      <c r="C10" s="392">
        <v>13</v>
      </c>
      <c r="D10" s="393" t="s">
        <v>302</v>
      </c>
      <c r="E10" s="394">
        <v>3</v>
      </c>
      <c r="F10" s="395" t="s">
        <v>386</v>
      </c>
      <c r="G10" s="392">
        <v>13</v>
      </c>
      <c r="H10" s="393" t="s">
        <v>302</v>
      </c>
      <c r="I10" s="394">
        <v>6</v>
      </c>
      <c r="J10" s="395" t="s">
        <v>349</v>
      </c>
      <c r="K10" s="392">
        <v>5</v>
      </c>
      <c r="L10" s="393" t="s">
        <v>302</v>
      </c>
      <c r="M10" s="394">
        <v>13</v>
      </c>
      <c r="N10" s="395" t="s">
        <v>379</v>
      </c>
      <c r="O10" s="392">
        <v>9</v>
      </c>
      <c r="P10" s="393" t="s">
        <v>302</v>
      </c>
      <c r="Q10" s="394">
        <v>13</v>
      </c>
      <c r="R10" s="395" t="s">
        <v>388</v>
      </c>
      <c r="S10" s="683"/>
      <c r="T10" s="684" t="s">
        <v>302</v>
      </c>
      <c r="U10" s="685"/>
      <c r="V10" s="686"/>
      <c r="W10" s="706">
        <f t="shared" si="0"/>
        <v>2</v>
      </c>
      <c r="X10" s="707">
        <v>16</v>
      </c>
      <c r="Y10" s="707">
        <v>60</v>
      </c>
      <c r="Z10" s="683">
        <f t="shared" si="1"/>
        <v>40</v>
      </c>
      <c r="AA10" s="684" t="s">
        <v>302</v>
      </c>
      <c r="AB10" s="708">
        <f t="shared" si="2"/>
        <v>35</v>
      </c>
      <c r="AC10" s="399">
        <f t="shared" si="3"/>
        <v>5</v>
      </c>
      <c r="AD10" s="233">
        <f t="shared" si="4"/>
        <v>282</v>
      </c>
      <c r="AE10" s="234">
        <f>IFERROR(INDEX(V!$R:$R,MATCH(AF10,V!$L:$L,0)),"")</f>
        <v>140</v>
      </c>
      <c r="AF10" s="235" t="str">
        <f t="shared" si="5"/>
        <v>Oleg Rõndenkov</v>
      </c>
      <c r="AG10" s="234">
        <f>IFERROR(INDEX(V!$R:$R,MATCH(AH10,V!$L:$L,0)),"")</f>
        <v>142</v>
      </c>
      <c r="AH10" s="235" t="str">
        <f t="shared" si="6"/>
        <v>Sander Rose</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681">
        <v>5</v>
      </c>
      <c r="B11" s="682" t="s">
        <v>349</v>
      </c>
      <c r="C11" s="392">
        <v>13</v>
      </c>
      <c r="D11" s="393" t="s">
        <v>302</v>
      </c>
      <c r="E11" s="394">
        <v>1</v>
      </c>
      <c r="F11" s="395" t="s">
        <v>388</v>
      </c>
      <c r="G11" s="392">
        <v>6</v>
      </c>
      <c r="H11" s="393" t="s">
        <v>302</v>
      </c>
      <c r="I11" s="394">
        <v>13</v>
      </c>
      <c r="J11" s="395" t="s">
        <v>387</v>
      </c>
      <c r="K11" s="392">
        <v>5</v>
      </c>
      <c r="L11" s="393" t="s">
        <v>302</v>
      </c>
      <c r="M11" s="394">
        <v>13</v>
      </c>
      <c r="N11" s="395" t="s">
        <v>380</v>
      </c>
      <c r="O11" s="392">
        <v>13</v>
      </c>
      <c r="P11" s="393" t="s">
        <v>302</v>
      </c>
      <c r="Q11" s="394">
        <v>1</v>
      </c>
      <c r="R11" s="395" t="s">
        <v>254</v>
      </c>
      <c r="S11" s="683"/>
      <c r="T11" s="684" t="s">
        <v>302</v>
      </c>
      <c r="U11" s="685"/>
      <c r="V11" s="686"/>
      <c r="W11" s="706">
        <f t="shared" si="0"/>
        <v>2</v>
      </c>
      <c r="X11" s="707">
        <v>14</v>
      </c>
      <c r="Y11" s="707">
        <v>64</v>
      </c>
      <c r="Z11" s="683">
        <f t="shared" si="1"/>
        <v>37</v>
      </c>
      <c r="AA11" s="684" t="s">
        <v>302</v>
      </c>
      <c r="AB11" s="708">
        <f t="shared" si="2"/>
        <v>28</v>
      </c>
      <c r="AC11" s="399">
        <f t="shared" si="3"/>
        <v>9</v>
      </c>
      <c r="AD11" s="233">
        <f t="shared" ref="AD11:AD14" si="11">SUM(AE11:AL11)</f>
        <v>214</v>
      </c>
      <c r="AE11" s="234">
        <f>IFERROR(INDEX(V!$R:$R,MATCH(AF11,V!$L:$L,0)),"")</f>
        <v>84</v>
      </c>
      <c r="AF11" s="235" t="str">
        <f t="shared" si="5"/>
        <v>Jaan Saar</v>
      </c>
      <c r="AG11" s="234">
        <f>IFERROR(INDEX(V!$R:$R,MATCH(AH11,V!$L:$L,0)),"")</f>
        <v>130</v>
      </c>
      <c r="AH11" s="235" t="str">
        <f t="shared" si="6"/>
        <v>Sirje Maala</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681">
        <v>6</v>
      </c>
      <c r="B12" s="687" t="s">
        <v>388</v>
      </c>
      <c r="C12" s="392">
        <v>1</v>
      </c>
      <c r="D12" s="393" t="s">
        <v>302</v>
      </c>
      <c r="E12" s="394">
        <v>13</v>
      </c>
      <c r="F12" s="395" t="s">
        <v>349</v>
      </c>
      <c r="G12" s="392">
        <v>12</v>
      </c>
      <c r="H12" s="393" t="s">
        <v>302</v>
      </c>
      <c r="I12" s="394">
        <v>13</v>
      </c>
      <c r="J12" s="395" t="s">
        <v>386</v>
      </c>
      <c r="K12" s="392">
        <v>13</v>
      </c>
      <c r="L12" s="393" t="s">
        <v>302</v>
      </c>
      <c r="M12" s="394">
        <v>1</v>
      </c>
      <c r="N12" s="395" t="s">
        <v>254</v>
      </c>
      <c r="O12" s="392">
        <v>13</v>
      </c>
      <c r="P12" s="393" t="s">
        <v>302</v>
      </c>
      <c r="Q12" s="394">
        <v>9</v>
      </c>
      <c r="R12" s="395" t="s">
        <v>387</v>
      </c>
      <c r="S12" s="683"/>
      <c r="T12" s="684" t="s">
        <v>302</v>
      </c>
      <c r="U12" s="685"/>
      <c r="V12" s="686"/>
      <c r="W12" s="706">
        <f t="shared" si="0"/>
        <v>2</v>
      </c>
      <c r="X12" s="707">
        <v>10</v>
      </c>
      <c r="Y12" s="707">
        <v>70</v>
      </c>
      <c r="Z12" s="683">
        <f t="shared" si="1"/>
        <v>39</v>
      </c>
      <c r="AA12" s="684" t="s">
        <v>302</v>
      </c>
      <c r="AB12" s="708">
        <f t="shared" si="2"/>
        <v>36</v>
      </c>
      <c r="AC12" s="399">
        <f t="shared" si="3"/>
        <v>3</v>
      </c>
      <c r="AD12" s="233">
        <f t="shared" si="11"/>
        <v>124</v>
      </c>
      <c r="AE12" s="234">
        <f>IFERROR(INDEX(V!$R:$R,MATCH(AF12,V!$L:$L,0)),"")</f>
        <v>58</v>
      </c>
      <c r="AF12" s="235" t="str">
        <f t="shared" si="5"/>
        <v>Kristel Tihhonjuk</v>
      </c>
      <c r="AG12" s="234">
        <f>IFERROR(INDEX(V!$R:$R,MATCH(AH12,V!$L:$L,0)),"")</f>
        <v>66</v>
      </c>
      <c r="AH12" s="235" t="str">
        <f t="shared" si="6"/>
        <v>Vadim Tihhonjuk</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681">
        <v>7</v>
      </c>
      <c r="B13" s="688" t="s">
        <v>386</v>
      </c>
      <c r="C13" s="392">
        <v>3</v>
      </c>
      <c r="D13" s="393" t="s">
        <v>302</v>
      </c>
      <c r="E13" s="394">
        <v>13</v>
      </c>
      <c r="F13" s="395" t="s">
        <v>387</v>
      </c>
      <c r="G13" s="392">
        <v>13</v>
      </c>
      <c r="H13" s="393" t="s">
        <v>302</v>
      </c>
      <c r="I13" s="394">
        <v>12</v>
      </c>
      <c r="J13" s="395" t="s">
        <v>388</v>
      </c>
      <c r="K13" s="392">
        <v>9</v>
      </c>
      <c r="L13" s="393" t="s">
        <v>302</v>
      </c>
      <c r="M13" s="394">
        <v>13</v>
      </c>
      <c r="N13" s="395" t="s">
        <v>385</v>
      </c>
      <c r="O13" s="392">
        <v>8</v>
      </c>
      <c r="P13" s="393" t="s">
        <v>302</v>
      </c>
      <c r="Q13" s="394">
        <v>13</v>
      </c>
      <c r="R13" s="395" t="s">
        <v>380</v>
      </c>
      <c r="S13" s="683"/>
      <c r="T13" s="684" t="s">
        <v>302</v>
      </c>
      <c r="U13" s="685"/>
      <c r="V13" s="686"/>
      <c r="W13" s="706">
        <f t="shared" si="0"/>
        <v>1</v>
      </c>
      <c r="X13" s="707">
        <v>20</v>
      </c>
      <c r="Y13" s="707">
        <v>58</v>
      </c>
      <c r="Z13" s="683">
        <f t="shared" si="1"/>
        <v>33</v>
      </c>
      <c r="AA13" s="684" t="s">
        <v>302</v>
      </c>
      <c r="AB13" s="708">
        <f t="shared" si="2"/>
        <v>51</v>
      </c>
      <c r="AC13" s="399">
        <f t="shared" si="3"/>
        <v>-18</v>
      </c>
      <c r="AD13" s="233">
        <f t="shared" si="11"/>
        <v>76</v>
      </c>
      <c r="AE13" s="234">
        <f>IFERROR(INDEX(V!$R:$R,MATCH(AF13,V!$L:$L,0)),"")</f>
        <v>50</v>
      </c>
      <c r="AF13" s="235" t="str">
        <f t="shared" si="5"/>
        <v>Illar Tõnurist</v>
      </c>
      <c r="AG13" s="234">
        <f>IFERROR(INDEX(V!$R:$R,MATCH(AH13,V!$L:$L,0)),"")</f>
        <v>26</v>
      </c>
      <c r="AH13" s="235" t="str">
        <f t="shared" si="6"/>
        <v>Johannes Neiland</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681">
        <v>8</v>
      </c>
      <c r="B14" s="688" t="s">
        <v>254</v>
      </c>
      <c r="C14" s="392">
        <v>5</v>
      </c>
      <c r="D14" s="393" t="s">
        <v>302</v>
      </c>
      <c r="E14" s="394">
        <v>13</v>
      </c>
      <c r="F14" s="395" t="s">
        <v>379</v>
      </c>
      <c r="G14" s="392">
        <v>6</v>
      </c>
      <c r="H14" s="393" t="s">
        <v>302</v>
      </c>
      <c r="I14" s="394">
        <v>13</v>
      </c>
      <c r="J14" s="395" t="s">
        <v>385</v>
      </c>
      <c r="K14" s="392">
        <v>1</v>
      </c>
      <c r="L14" s="393" t="s">
        <v>302</v>
      </c>
      <c r="M14" s="394">
        <v>13</v>
      </c>
      <c r="N14" s="395" t="s">
        <v>388</v>
      </c>
      <c r="O14" s="392">
        <v>1</v>
      </c>
      <c r="P14" s="393" t="s">
        <v>302</v>
      </c>
      <c r="Q14" s="394">
        <v>13</v>
      </c>
      <c r="R14" s="395" t="s">
        <v>349</v>
      </c>
      <c r="S14" s="683"/>
      <c r="T14" s="684" t="s">
        <v>302</v>
      </c>
      <c r="U14" s="685"/>
      <c r="V14" s="686"/>
      <c r="W14" s="706">
        <f t="shared" si="0"/>
        <v>0</v>
      </c>
      <c r="X14" s="707">
        <v>20</v>
      </c>
      <c r="Y14" s="707">
        <v>54</v>
      </c>
      <c r="Z14" s="683">
        <f t="shared" si="1"/>
        <v>13</v>
      </c>
      <c r="AA14" s="684" t="s">
        <v>302</v>
      </c>
      <c r="AB14" s="708">
        <f t="shared" si="2"/>
        <v>52</v>
      </c>
      <c r="AC14" s="399">
        <f t="shared" si="3"/>
        <v>-39</v>
      </c>
      <c r="AD14" s="233">
        <f t="shared" si="11"/>
        <v>124</v>
      </c>
      <c r="AE14" s="234">
        <f>IFERROR(INDEX(V!$R:$R,MATCH(AF14,V!$L:$L,0)),"")</f>
        <v>64</v>
      </c>
      <c r="AF14" s="235" t="str">
        <f t="shared" si="5"/>
        <v>Andres Veski</v>
      </c>
      <c r="AG14" s="234">
        <f>IFERROR(INDEX(V!$R:$R,MATCH(AH14,V!$L:$L,0)),"")</f>
        <v>60</v>
      </c>
      <c r="AH14" s="235" t="str">
        <f t="shared" si="6"/>
        <v>Svetlana Veski</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6" hidden="1" x14ac:dyDescent="0.2"/>
    <row r="290" spans="1:6" hidden="1" x14ac:dyDescent="0.2"/>
    <row r="291" spans="1:6" hidden="1" x14ac:dyDescent="0.2"/>
    <row r="292" spans="1:6" hidden="1" x14ac:dyDescent="0.2"/>
    <row r="293" spans="1:6" hidden="1" x14ac:dyDescent="0.2"/>
    <row r="294" spans="1:6" hidden="1" x14ac:dyDescent="0.2"/>
    <row r="295" spans="1:6" hidden="1" x14ac:dyDescent="0.2"/>
    <row r="296" spans="1:6" hidden="1" x14ac:dyDescent="0.2"/>
    <row r="297" spans="1:6" hidden="1" x14ac:dyDescent="0.2"/>
    <row r="298" spans="1:6" hidden="1" x14ac:dyDescent="0.2"/>
    <row r="299" spans="1:6" x14ac:dyDescent="0.2">
      <c r="A299" s="158"/>
      <c r="B299" s="158"/>
      <c r="C299" s="229" t="s">
        <v>231</v>
      </c>
      <c r="F299" s="649"/>
    </row>
    <row r="300" spans="1:6" x14ac:dyDescent="0.2">
      <c r="A300" s="351">
        <v>1</v>
      </c>
      <c r="B300" s="402" t="str">
        <f t="shared" ref="B300:B307" si="12">IFERROR(INDEX(B$1:B$95,MATCH(A300,A$1:A$95,0)),"")</f>
        <v>Andrei Grintšak, Enn Tokman</v>
      </c>
      <c r="C300" s="323">
        <f t="shared" ref="C300:C307" si="13">LARGE(A300:A398,1)*2+2-A300*2</f>
        <v>16</v>
      </c>
      <c r="F300" s="649"/>
    </row>
    <row r="301" spans="1:6" x14ac:dyDescent="0.2">
      <c r="A301" s="351">
        <v>2</v>
      </c>
      <c r="B301" s="402" t="str">
        <f t="shared" si="12"/>
        <v>Henri Mitt, Olav Türk</v>
      </c>
      <c r="C301" s="323">
        <f t="shared" si="13"/>
        <v>14</v>
      </c>
      <c r="F301" s="649"/>
    </row>
    <row r="302" spans="1:6" x14ac:dyDescent="0.2">
      <c r="A302" s="351">
        <v>3</v>
      </c>
      <c r="B302" s="402" t="str">
        <f t="shared" si="12"/>
        <v>Kenneth Muusikus, Marta Bernat</v>
      </c>
      <c r="C302" s="323">
        <f t="shared" si="13"/>
        <v>12</v>
      </c>
      <c r="F302" s="649"/>
    </row>
    <row r="303" spans="1:6" x14ac:dyDescent="0.2">
      <c r="A303" s="351">
        <v>4</v>
      </c>
      <c r="B303" s="402" t="str">
        <f t="shared" si="12"/>
        <v>Oleg Rõndenkov, Sander Rose</v>
      </c>
      <c r="C303" s="323">
        <f t="shared" si="13"/>
        <v>10</v>
      </c>
      <c r="F303" s="649"/>
    </row>
    <row r="304" spans="1:6" x14ac:dyDescent="0.2">
      <c r="A304" s="351">
        <v>5</v>
      </c>
      <c r="B304" s="402" t="str">
        <f t="shared" si="12"/>
        <v>Jaan Saar, Sirje Maala</v>
      </c>
      <c r="C304" s="323">
        <f t="shared" si="13"/>
        <v>8</v>
      </c>
      <c r="F304" s="649"/>
    </row>
    <row r="305" spans="1:6" x14ac:dyDescent="0.2">
      <c r="A305" s="351">
        <v>6</v>
      </c>
      <c r="B305" s="402" t="str">
        <f t="shared" si="12"/>
        <v>Kristel Tihhonjuk, Vadim Tihhonjuk</v>
      </c>
      <c r="C305" s="323">
        <f t="shared" si="13"/>
        <v>6</v>
      </c>
      <c r="F305" s="649"/>
    </row>
    <row r="306" spans="1:6" x14ac:dyDescent="0.2">
      <c r="A306" s="351">
        <v>7</v>
      </c>
      <c r="B306" s="402" t="str">
        <f t="shared" si="12"/>
        <v>Illar Tõnurist, Johannes Neiland</v>
      </c>
      <c r="C306" s="323">
        <f t="shared" si="13"/>
        <v>4</v>
      </c>
      <c r="F306" s="649"/>
    </row>
    <row r="307" spans="1:6" x14ac:dyDescent="0.2">
      <c r="A307" s="351">
        <v>8</v>
      </c>
      <c r="B307" s="402" t="str">
        <f t="shared" si="12"/>
        <v>Andres Veski, Svetlana Veski</v>
      </c>
      <c r="C307" s="323">
        <f t="shared" si="13"/>
        <v>2</v>
      </c>
      <c r="F307" s="649"/>
    </row>
  </sheetData>
  <conditionalFormatting sqref="AJ7:AJ14 AH7:AH14 AL7:AL14">
    <cfRule type="expression" dxfId="1951" priority="62">
      <formula>AND(AG7="",FIND(",",AH7))</formula>
    </cfRule>
    <cfRule type="expression" dxfId="1950" priority="64">
      <formula>AND(AG7="",COUNTIF(AH7,"*,*")=0)</formula>
    </cfRule>
  </conditionalFormatting>
  <conditionalFormatting sqref="AF7:AF14">
    <cfRule type="expression" dxfId="1949" priority="63">
      <formula>AND(AE7="",COUNTIF(AF7,"*,*")=0)</formula>
    </cfRule>
  </conditionalFormatting>
  <conditionalFormatting sqref="AN7:AN14 AP7:AP14">
    <cfRule type="expression" dxfId="1948" priority="60">
      <formula>AND(AM7="",COUNTIF(AN7,"*,*")=0)</formula>
    </cfRule>
    <cfRule type="expression" dxfId="1947" priority="61">
      <formula>AND(AM7="",FIND(",",AN7))</formula>
    </cfRule>
  </conditionalFormatting>
  <conditionalFormatting sqref="S7:S14">
    <cfRule type="expression" dxfId="1946" priority="28">
      <formula>AND(S7=0,U7=13)</formula>
    </cfRule>
  </conditionalFormatting>
  <conditionalFormatting sqref="V7:V14">
    <cfRule type="containsText" dxfId="1945" priority="30" operator="containsText" text="vaba voor">
      <formula>NOT(ISERROR(SEARCH("vaba voor",V7)))</formula>
    </cfRule>
  </conditionalFormatting>
  <conditionalFormatting sqref="U7:U14">
    <cfRule type="expression" dxfId="1944" priority="29">
      <formula>AND(U7=0,S7=13)</formula>
    </cfRule>
  </conditionalFormatting>
  <conditionalFormatting sqref="S7:S14">
    <cfRule type="expression" dxfId="1943" priority="57">
      <formula>IF($S7&gt;$U7,TRUE)</formula>
    </cfRule>
  </conditionalFormatting>
  <conditionalFormatting sqref="U7:U14">
    <cfRule type="expression" dxfId="1942" priority="58">
      <formula>IF($S7&lt;$U7,TRUE)</formula>
    </cfRule>
  </conditionalFormatting>
  <conditionalFormatting sqref="S7:V14">
    <cfRule type="expression" dxfId="1941" priority="35">
      <formula>IF(AND(ISNUMBER($S7),$S7=$U7),TRUE)</formula>
    </cfRule>
    <cfRule type="expression" dxfId="1940" priority="55">
      <formula>IF($S7&gt;$U7,TRUE)</formula>
    </cfRule>
    <cfRule type="expression" dxfId="1939" priority="56">
      <formula>IF($S7&lt;$U7,TRUE)</formula>
    </cfRule>
  </conditionalFormatting>
  <conditionalFormatting sqref="A7:A14">
    <cfRule type="duplicateValues" dxfId="1938" priority="59"/>
  </conditionalFormatting>
  <conditionalFormatting sqref="B300:B307">
    <cfRule type="expression" dxfId="1937" priority="1257">
      <formula>A300=3</formula>
    </cfRule>
    <cfRule type="expression" dxfId="1936" priority="1258">
      <formula>A300=2</formula>
    </cfRule>
    <cfRule type="expression" dxfId="1935" priority="1259">
      <formula>A300=1</formula>
    </cfRule>
    <cfRule type="containsBlanks" dxfId="1934" priority="1260">
      <formula>LEN(TRIM(B300))=0</formula>
    </cfRule>
    <cfRule type="duplicateValues" dxfId="1933" priority="1261"/>
  </conditionalFormatting>
  <conditionalFormatting sqref="C7:C14 G7:G14 K7:K14 O7:O14">
    <cfRule type="expression" dxfId="1932" priority="1">
      <formula>AND(C7=0,E7=13)</formula>
    </cfRule>
  </conditionalFormatting>
  <conditionalFormatting sqref="C7:C14">
    <cfRule type="expression" dxfId="1931" priority="13">
      <formula>IF($C7&gt;$E7,TRUE)</formula>
    </cfRule>
  </conditionalFormatting>
  <conditionalFormatting sqref="E7:E14">
    <cfRule type="expression" dxfId="1930" priority="14">
      <formula>IF($C7&lt;$E7,TRUE)</formula>
    </cfRule>
  </conditionalFormatting>
  <conditionalFormatting sqref="K7:K14">
    <cfRule type="expression" dxfId="1929" priority="21">
      <formula>IF($K7&gt;$M7,TRUE)</formula>
    </cfRule>
  </conditionalFormatting>
  <conditionalFormatting sqref="M7:M14">
    <cfRule type="expression" dxfId="1928" priority="22">
      <formula>IF($K7&lt;$M7,TRUE)</formula>
    </cfRule>
  </conditionalFormatting>
  <conditionalFormatting sqref="O7:O14">
    <cfRule type="expression" dxfId="1927" priority="25">
      <formula>IF($O7&gt;$Q7,TRUE)</formula>
    </cfRule>
  </conditionalFormatting>
  <conditionalFormatting sqref="Q7:Q14">
    <cfRule type="expression" dxfId="1926" priority="26">
      <formula>IF($O7&lt;$Q7,TRUE)</formula>
    </cfRule>
  </conditionalFormatting>
  <conditionalFormatting sqref="G7:G14">
    <cfRule type="expression" dxfId="1925" priority="17">
      <formula>IF($G7&gt;$I7,TRUE)</formula>
    </cfRule>
  </conditionalFormatting>
  <conditionalFormatting sqref="I7:I14">
    <cfRule type="expression" dxfId="1924" priority="18">
      <formula>IF($G7&lt;$I7,TRUE)</formula>
    </cfRule>
  </conditionalFormatting>
  <conditionalFormatting sqref="F7:F14">
    <cfRule type="containsText" dxfId="1923" priority="5" operator="containsText" text="vaba voor">
      <formula>NOT(ISERROR(SEARCH("vaba voor",F7)))</formula>
    </cfRule>
  </conditionalFormatting>
  <conditionalFormatting sqref="N7:N14">
    <cfRule type="containsText" dxfId="1922" priority="3" operator="containsText" text="vaba voor">
      <formula>NOT(ISERROR(SEARCH("vaba voor",N7)))</formula>
    </cfRule>
  </conditionalFormatting>
  <conditionalFormatting sqref="R7:R14">
    <cfRule type="containsText" dxfId="1921" priority="6" operator="containsText" text="vaba voor">
      <formula>NOT(ISERROR(SEARCH("vaba voor",R7)))</formula>
    </cfRule>
  </conditionalFormatting>
  <conditionalFormatting sqref="J7:J14">
    <cfRule type="containsText" dxfId="1920" priority="4" operator="containsText" text="vaba voor">
      <formula>NOT(ISERROR(SEARCH("vaba voor",J7)))</formula>
    </cfRule>
  </conditionalFormatting>
  <conditionalFormatting sqref="C7:F14">
    <cfRule type="expression" dxfId="1919" priority="9">
      <formula>IF(AND(ISNUMBER($C7),$C7=$E7),TRUE)</formula>
    </cfRule>
    <cfRule type="expression" dxfId="1918" priority="11">
      <formula>IF($C7&gt;$E7,TRUE)</formula>
    </cfRule>
    <cfRule type="expression" dxfId="1917" priority="12">
      <formula>IF($C7&lt;$E7,TRUE)</formula>
    </cfRule>
  </conditionalFormatting>
  <conditionalFormatting sqref="G7:J14">
    <cfRule type="expression" dxfId="1916" priority="10">
      <formula>IF(AND(ISNUMBER($G7),$G7=$I7),TRUE)</formula>
    </cfRule>
    <cfRule type="expression" dxfId="1915" priority="15">
      <formula>IF($G7&gt;$I7,TRUE)</formula>
    </cfRule>
    <cfRule type="expression" dxfId="1914" priority="16">
      <formula>IF($G7&lt;$I7,TRUE)</formula>
    </cfRule>
  </conditionalFormatting>
  <conditionalFormatting sqref="K7:N14">
    <cfRule type="expression" dxfId="1913" priority="8">
      <formula>IF(AND(ISNUMBER($K7),$K7=$M7),TRUE)</formula>
    </cfRule>
    <cfRule type="expression" dxfId="1912" priority="19">
      <formula>IF($K7&gt;$M7,TRUE)</formula>
    </cfRule>
    <cfRule type="expression" dxfId="1911" priority="20">
      <formula>IF($K7&lt;$M7,TRUE)</formula>
    </cfRule>
  </conditionalFormatting>
  <conditionalFormatting sqref="O7:R14">
    <cfRule type="expression" dxfId="1910" priority="7">
      <formula>IF(AND(ISNUMBER($O7),$O7=$Q7),TRUE)</formula>
    </cfRule>
    <cfRule type="expression" dxfId="1909" priority="23">
      <formula>IF($O7&gt;$Q7,TRUE)</formula>
    </cfRule>
    <cfRule type="expression" dxfId="1908" priority="24">
      <formula>IF($O7&lt;$Q7,TRUE)</formula>
    </cfRule>
  </conditionalFormatting>
  <conditionalFormatting sqref="E7:E14 I7:I14 M7:M14 Q7:Q14">
    <cfRule type="expression" dxfId="1907" priority="2">
      <formula>AND(E7=0,C7=13)</formula>
    </cfRule>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07"/>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3.57031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5.7109375" style="1" hidden="1" customWidth="1"/>
    <col min="35" max="35" width="9.140625" style="1" hidden="1" customWidth="1"/>
    <col min="36" max="36" width="17.28515625" style="1" hidden="1" customWidth="1"/>
    <col min="37" max="37" width="9.140625" style="1" hidden="1" customWidth="1"/>
    <col min="38" max="38" width="13.8554687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UPPER((Kalend!E9)&amp;" - "&amp;(Kalend!C9))&amp;" - "&amp;LOWER(Kalend!D9)&amp;" - "&amp;(Kalend!A9)&amp;" kell "&amp;(Kalend!B9)&amp;" - "&amp;(Kalend!F9)</f>
        <v>V4 - VOKA V SISE-KV 4. ETAPP - duo - P, 18.12.2022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A2" s="689"/>
      <c r="F2" s="158"/>
      <c r="L2" s="693"/>
      <c r="M2" s="693"/>
      <c r="N2" s="693"/>
      <c r="O2" s="694"/>
      <c r="P2" s="694"/>
      <c r="Q2" s="694"/>
      <c r="R2" s="690" t="s">
        <v>236</v>
      </c>
      <c r="S2" s="694"/>
      <c r="T2" s="693"/>
      <c r="U2" s="693"/>
      <c r="V2" s="693"/>
      <c r="W2" s="691">
        <v>1</v>
      </c>
      <c r="X2" s="692" t="s">
        <v>237</v>
      </c>
      <c r="Y2" s="694"/>
      <c r="Z2" s="694"/>
      <c r="AA2" s="694"/>
      <c r="AB2" s="694"/>
      <c r="AE2" s="158"/>
      <c r="AG2" s="158"/>
      <c r="AH2" s="158"/>
      <c r="AI2" s="158"/>
      <c r="AJ2" s="158"/>
      <c r="AK2" s="158"/>
      <c r="AL2" s="158"/>
      <c r="AM2" s="158"/>
      <c r="AN2" s="158"/>
    </row>
    <row r="3" spans="1:42" x14ac:dyDescent="0.2">
      <c r="A3" s="689"/>
      <c r="F3" s="158"/>
      <c r="L3" s="694"/>
      <c r="M3" s="694"/>
      <c r="N3" s="694"/>
      <c r="O3" s="694"/>
      <c r="P3" s="694"/>
      <c r="Q3" s="694"/>
      <c r="R3" s="695" t="s">
        <v>238</v>
      </c>
      <c r="S3" s="694"/>
      <c r="T3" s="694"/>
      <c r="U3" s="694"/>
      <c r="V3" s="694"/>
      <c r="W3" s="691">
        <v>0.5</v>
      </c>
      <c r="X3" s="692" t="s">
        <v>237</v>
      </c>
      <c r="Y3" s="694"/>
      <c r="Z3" s="694"/>
      <c r="AA3" s="694"/>
      <c r="AB3" s="694"/>
      <c r="AE3" s="236"/>
      <c r="AF3" s="236"/>
      <c r="AG3" s="236"/>
      <c r="AH3" s="227"/>
      <c r="AI3" s="236"/>
      <c r="AJ3" s="236"/>
      <c r="AK3" s="236"/>
      <c r="AL3" s="236"/>
      <c r="AM3" s="236"/>
      <c r="AN3" s="236"/>
      <c r="AO3" s="236"/>
      <c r="AP3" s="236"/>
    </row>
    <row r="4" spans="1:42" x14ac:dyDescent="0.2">
      <c r="F4" s="158"/>
      <c r="L4" s="694"/>
      <c r="M4" s="694"/>
      <c r="N4" s="694"/>
      <c r="O4" s="694"/>
      <c r="P4" s="694"/>
      <c r="Q4" s="694"/>
      <c r="R4" s="696" t="s">
        <v>239</v>
      </c>
      <c r="S4" s="694"/>
      <c r="T4" s="694"/>
      <c r="U4" s="694"/>
      <c r="V4" s="694"/>
      <c r="W4" s="691">
        <v>0</v>
      </c>
      <c r="X4" s="692" t="s">
        <v>237</v>
      </c>
      <c r="Y4" s="694"/>
      <c r="Z4" s="694"/>
      <c r="AA4" s="694"/>
      <c r="AB4" s="694"/>
    </row>
    <row r="5" spans="1:42" x14ac:dyDescent="0.2">
      <c r="F5" s="158"/>
      <c r="L5" s="158"/>
      <c r="M5" s="158"/>
      <c r="N5" s="158"/>
      <c r="O5" s="158"/>
      <c r="P5" s="158"/>
      <c r="Q5" s="158"/>
      <c r="R5" s="158"/>
      <c r="S5" s="158"/>
      <c r="T5" s="158"/>
      <c r="U5" s="158"/>
      <c r="W5" s="158"/>
      <c r="X5" s="158"/>
      <c r="Y5" s="158"/>
      <c r="Z5" s="158"/>
      <c r="AA5" s="158"/>
      <c r="AB5" s="416" t="s">
        <v>313</v>
      </c>
      <c r="AD5" s="413" t="s">
        <v>216</v>
      </c>
    </row>
    <row r="6" spans="1:42" x14ac:dyDescent="0.2">
      <c r="A6" s="697" t="s">
        <v>10</v>
      </c>
      <c r="B6" s="697" t="s">
        <v>58</v>
      </c>
      <c r="C6" s="698" t="s">
        <v>173</v>
      </c>
      <c r="D6" s="699"/>
      <c r="E6" s="699"/>
      <c r="F6" s="700"/>
      <c r="G6" s="698" t="s">
        <v>176</v>
      </c>
      <c r="H6" s="699"/>
      <c r="I6" s="699"/>
      <c r="J6" s="700"/>
      <c r="K6" s="698" t="s">
        <v>179</v>
      </c>
      <c r="L6" s="699"/>
      <c r="M6" s="699"/>
      <c r="N6" s="700"/>
      <c r="O6" s="698" t="s">
        <v>182</v>
      </c>
      <c r="P6" s="699"/>
      <c r="Q6" s="699"/>
      <c r="R6" s="700"/>
      <c r="S6" s="698" t="s">
        <v>184</v>
      </c>
      <c r="T6" s="699"/>
      <c r="U6" s="699"/>
      <c r="V6" s="700"/>
      <c r="W6" s="697" t="s">
        <v>81</v>
      </c>
      <c r="X6" s="701" t="s">
        <v>300</v>
      </c>
      <c r="Y6" s="702" t="s">
        <v>360</v>
      </c>
      <c r="Z6" s="701"/>
      <c r="AA6" s="703" t="s">
        <v>301</v>
      </c>
      <c r="AB6" s="704"/>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681">
        <v>1</v>
      </c>
      <c r="B7" s="682" t="s">
        <v>388</v>
      </c>
      <c r="C7" s="392">
        <v>13</v>
      </c>
      <c r="D7" s="393" t="s">
        <v>302</v>
      </c>
      <c r="E7" s="394">
        <v>4</v>
      </c>
      <c r="F7" s="395" t="s">
        <v>389</v>
      </c>
      <c r="G7" s="392">
        <v>13</v>
      </c>
      <c r="H7" s="393" t="s">
        <v>302</v>
      </c>
      <c r="I7" s="394">
        <v>12</v>
      </c>
      <c r="J7" s="395" t="s">
        <v>390</v>
      </c>
      <c r="K7" s="392">
        <v>13</v>
      </c>
      <c r="L7" s="393" t="s">
        <v>302</v>
      </c>
      <c r="M7" s="394">
        <v>6</v>
      </c>
      <c r="N7" s="395" t="s">
        <v>387</v>
      </c>
      <c r="O7" s="392">
        <v>13</v>
      </c>
      <c r="P7" s="393" t="s">
        <v>302</v>
      </c>
      <c r="Q7" s="394">
        <v>3</v>
      </c>
      <c r="R7" s="395" t="s">
        <v>355</v>
      </c>
      <c r="S7" s="683"/>
      <c r="T7" s="684" t="s">
        <v>302</v>
      </c>
      <c r="U7" s="685"/>
      <c r="V7" s="686"/>
      <c r="W7" s="706">
        <f t="shared" ref="W7:W14" si="0">IF(C7&gt;E7,W$2,IF(C7&lt;E7,W$4,IF(ISNUMBER(C7),W$3,0)))+IF(G7&gt;I7,W$2,IF(G7&lt;I7,W$4,IF(ISNUMBER(G7),W$3,0)))+IF(K7&gt;M7,W$2,IF(K7&lt;M7,W$4,IF(ISNUMBER(K7),W$3,0)))+IF(O7&gt;Q7,W$2,IF(O7&lt;Q7,W$4,IF(ISNUMBER(O7),W$3,0)))+IF(S7&gt;U7,W$2,IF(S7&lt;U7,W$4,IF(ISNUMBER(S7),W$3,0)))</f>
        <v>4</v>
      </c>
      <c r="X7" s="707">
        <v>18</v>
      </c>
      <c r="Y7" s="707">
        <v>72</v>
      </c>
      <c r="Z7" s="683">
        <f t="shared" ref="Z7:Z14" si="1">C7+G7+K7+O7+S7</f>
        <v>52</v>
      </c>
      <c r="AA7" s="684" t="s">
        <v>302</v>
      </c>
      <c r="AB7" s="708">
        <f t="shared" ref="AB7:AB14" si="2">E7+I7+M7+Q7+U7</f>
        <v>25</v>
      </c>
      <c r="AC7" s="399">
        <f t="shared" ref="AC7:AC14" si="3">Z7-AB7</f>
        <v>27</v>
      </c>
      <c r="AD7" s="233">
        <f t="shared" ref="AD7:AD10" si="4">SUM(AE7:AL7)</f>
        <v>124</v>
      </c>
      <c r="AE7" s="234">
        <f>IFERROR(INDEX(V!$R:$R,MATCH(AF7,V!$L:$L,0)),"")</f>
        <v>58</v>
      </c>
      <c r="AF7" s="235" t="str">
        <f t="shared" ref="AF7:AF14" si="5">IFERROR(LEFT($B7,(FIND(",",$B7,1)-1)),"")</f>
        <v>Kristel Tihhonjuk</v>
      </c>
      <c r="AG7" s="234">
        <f>IFERROR(INDEX(V!$R:$R,MATCH(AH7,V!$L:$L,0)),"")</f>
        <v>66</v>
      </c>
      <c r="AH7" s="235" t="str">
        <f t="shared" ref="AH7:AH14" si="6">IFERROR(MID($B7,FIND(", ",$B7)+2,256),"")</f>
        <v>Vadim Tihhonjuk</v>
      </c>
      <c r="AI7" s="234" t="str">
        <f>IFERROR(INDEX(V!$R:$R,MATCH(AJ7,V!$L:$L,0)),"")</f>
        <v/>
      </c>
      <c r="AJ7" s="235" t="str">
        <f t="shared" ref="AJ7:AJ14" si="7">IFERROR(MID($B7,FIND("^",SUBSTITUTE($B7,", ","^",1))+2,FIND("^",SUBSTITUTE($B7,", ","^",2))-FIND("^",SUBSTITUTE($B7,", ","^",1))-2),"")</f>
        <v/>
      </c>
      <c r="AK7" s="234" t="str">
        <f>IFERROR(INDEX(V!$R:$R,MATCH(AL7,V!$L:$L,0)),"")</f>
        <v/>
      </c>
      <c r="AL7" s="235" t="str">
        <f t="shared" ref="AL7:AL14" si="8">IFERROR(MID($B7,FIND(", ",$B7,FIND(", ",$B7,FIND(", ",$B7))+1)+2,30000),"")</f>
        <v/>
      </c>
      <c r="AM7" s="234" t="str">
        <f>IFERROR(INDEX(V!$R:$R,MATCH(AN7,V!$L:$L,0)),"")</f>
        <v/>
      </c>
      <c r="AN7" s="235" t="str">
        <f t="shared" ref="AN7:AN14" si="9">IFERROR(MID($B7,FIND(", ",$B7,FIND(", ",$B7)+1)+2,FIND(", ",$B7,FIND(", ",$B7,FIND(", ",$B7)+1)+1)-FIND(", ",$B7,FIND(", ",$B7)+1)-2),"")</f>
        <v/>
      </c>
      <c r="AO7" s="234" t="str">
        <f>IFERROR(INDEX(V!$R:$R,MATCH(AP7,V!$L:$L,0)),"")</f>
        <v/>
      </c>
      <c r="AP7" s="235" t="str">
        <f t="shared" ref="AP7:AP14" si="10">IFERROR(MID($B7,FIND(", ",$B7,FIND(", ",$B7,FIND(", ",$B7)+1)+1)+2,30000),"")</f>
        <v/>
      </c>
    </row>
    <row r="8" spans="1:42" x14ac:dyDescent="0.2">
      <c r="A8" s="681">
        <v>2</v>
      </c>
      <c r="B8" s="682" t="s">
        <v>353</v>
      </c>
      <c r="C8" s="392">
        <v>13</v>
      </c>
      <c r="D8" s="393" t="s">
        <v>302</v>
      </c>
      <c r="E8" s="394">
        <v>4</v>
      </c>
      <c r="F8" s="395" t="s">
        <v>391</v>
      </c>
      <c r="G8" s="392">
        <v>12</v>
      </c>
      <c r="H8" s="393" t="s">
        <v>302</v>
      </c>
      <c r="I8" s="394">
        <v>13</v>
      </c>
      <c r="J8" s="395" t="s">
        <v>388</v>
      </c>
      <c r="K8" s="392">
        <v>13</v>
      </c>
      <c r="L8" s="393" t="s">
        <v>302</v>
      </c>
      <c r="M8" s="394">
        <v>7</v>
      </c>
      <c r="N8" s="395" t="s">
        <v>389</v>
      </c>
      <c r="O8" s="392">
        <v>13</v>
      </c>
      <c r="P8" s="393" t="s">
        <v>302</v>
      </c>
      <c r="Q8" s="394">
        <v>7</v>
      </c>
      <c r="R8" s="395" t="s">
        <v>387</v>
      </c>
      <c r="S8" s="683"/>
      <c r="T8" s="684" t="s">
        <v>302</v>
      </c>
      <c r="U8" s="685"/>
      <c r="V8" s="686"/>
      <c r="W8" s="706">
        <f t="shared" si="0"/>
        <v>3</v>
      </c>
      <c r="X8" s="707">
        <v>16</v>
      </c>
      <c r="Y8" s="707">
        <v>72</v>
      </c>
      <c r="Z8" s="683">
        <f t="shared" si="1"/>
        <v>51</v>
      </c>
      <c r="AA8" s="684" t="s">
        <v>302</v>
      </c>
      <c r="AB8" s="708">
        <f t="shared" si="2"/>
        <v>31</v>
      </c>
      <c r="AC8" s="399">
        <f t="shared" si="3"/>
        <v>20</v>
      </c>
      <c r="AD8" s="233">
        <f t="shared" si="4"/>
        <v>186</v>
      </c>
      <c r="AE8" s="234">
        <f>IFERROR(INDEX(V!$R:$R,MATCH(AF8,V!$L:$L,0)),"")</f>
        <v>102</v>
      </c>
      <c r="AF8" s="235" t="str">
        <f t="shared" si="5"/>
        <v>Hillar Neiland</v>
      </c>
      <c r="AG8" s="234">
        <f>IFERROR(INDEX(V!$R:$R,MATCH(AH8,V!$L:$L,0)),"")</f>
        <v>84</v>
      </c>
      <c r="AH8" s="235" t="str">
        <f t="shared" si="6"/>
        <v>Kaspar Mänd</v>
      </c>
      <c r="AI8" s="234" t="str">
        <f>IFERROR(INDEX(V!$R:$R,MATCH(AJ8,V!$L:$L,0)),"")</f>
        <v/>
      </c>
      <c r="AJ8" s="235" t="str">
        <f t="shared" si="7"/>
        <v/>
      </c>
      <c r="AK8" s="234" t="str">
        <f>IFERROR(INDEX(V!$R:$R,MATCH(AL8,V!$L:$L,0)),"")</f>
        <v/>
      </c>
      <c r="AL8" s="235" t="str">
        <f t="shared" si="8"/>
        <v/>
      </c>
      <c r="AM8" s="234" t="str">
        <f>IFERROR(INDEX(V!$R:$R,MATCH(AN8,V!$L:$L,0)),"")</f>
        <v/>
      </c>
      <c r="AN8" s="235" t="str">
        <f t="shared" si="9"/>
        <v/>
      </c>
      <c r="AO8" s="234" t="str">
        <f>IFERROR(INDEX(V!$R:$R,MATCH(AP8,V!$L:$L,0)),"")</f>
        <v/>
      </c>
      <c r="AP8" s="235" t="str">
        <f t="shared" si="10"/>
        <v/>
      </c>
    </row>
    <row r="9" spans="1:42" x14ac:dyDescent="0.2">
      <c r="A9" s="681">
        <v>3</v>
      </c>
      <c r="B9" s="687" t="s">
        <v>387</v>
      </c>
      <c r="C9" s="392">
        <v>13</v>
      </c>
      <c r="D9" s="393" t="s">
        <v>302</v>
      </c>
      <c r="E9" s="394">
        <v>7</v>
      </c>
      <c r="F9" s="395" t="s">
        <v>350</v>
      </c>
      <c r="G9" s="392">
        <v>13</v>
      </c>
      <c r="H9" s="393" t="s">
        <v>302</v>
      </c>
      <c r="I9" s="394">
        <v>12</v>
      </c>
      <c r="J9" s="395" t="s">
        <v>355</v>
      </c>
      <c r="K9" s="392">
        <v>6</v>
      </c>
      <c r="L9" s="393" t="s">
        <v>302</v>
      </c>
      <c r="M9" s="394">
        <v>13</v>
      </c>
      <c r="N9" s="395" t="s">
        <v>388</v>
      </c>
      <c r="O9" s="392">
        <v>7</v>
      </c>
      <c r="P9" s="393" t="s">
        <v>302</v>
      </c>
      <c r="Q9" s="394">
        <v>13</v>
      </c>
      <c r="R9" s="395" t="s">
        <v>390</v>
      </c>
      <c r="S9" s="683"/>
      <c r="T9" s="684" t="s">
        <v>302</v>
      </c>
      <c r="U9" s="685"/>
      <c r="V9" s="686"/>
      <c r="W9" s="706">
        <f t="shared" si="0"/>
        <v>2</v>
      </c>
      <c r="X9" s="707">
        <v>22</v>
      </c>
      <c r="Y9" s="707">
        <v>62</v>
      </c>
      <c r="Z9" s="683">
        <f t="shared" si="1"/>
        <v>39</v>
      </c>
      <c r="AA9" s="684" t="s">
        <v>302</v>
      </c>
      <c r="AB9" s="708">
        <f t="shared" si="2"/>
        <v>45</v>
      </c>
      <c r="AC9" s="399">
        <f t="shared" si="3"/>
        <v>-6</v>
      </c>
      <c r="AD9" s="233">
        <f t="shared" si="4"/>
        <v>282</v>
      </c>
      <c r="AE9" s="234">
        <f>IFERROR(INDEX(V!$R:$R,MATCH(AF9,V!$L:$L,0)),"")</f>
        <v>140</v>
      </c>
      <c r="AF9" s="235" t="str">
        <f t="shared" si="5"/>
        <v>Oleg Rõndenkov</v>
      </c>
      <c r="AG9" s="234">
        <f>IFERROR(INDEX(V!$R:$R,MATCH(AH9,V!$L:$L,0)),"")</f>
        <v>142</v>
      </c>
      <c r="AH9" s="235" t="str">
        <f t="shared" si="6"/>
        <v>Sander Rose</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681">
        <v>4</v>
      </c>
      <c r="B10" s="687" t="s">
        <v>355</v>
      </c>
      <c r="C10" s="392">
        <v>13</v>
      </c>
      <c r="D10" s="393" t="s">
        <v>302</v>
      </c>
      <c r="E10" s="394">
        <v>11</v>
      </c>
      <c r="F10" s="395" t="s">
        <v>392</v>
      </c>
      <c r="G10" s="392">
        <v>12</v>
      </c>
      <c r="H10" s="393" t="s">
        <v>302</v>
      </c>
      <c r="I10" s="394">
        <v>13</v>
      </c>
      <c r="J10" s="395" t="s">
        <v>387</v>
      </c>
      <c r="K10" s="392">
        <v>13</v>
      </c>
      <c r="L10" s="393" t="s">
        <v>302</v>
      </c>
      <c r="M10" s="394">
        <v>11</v>
      </c>
      <c r="N10" s="395" t="s">
        <v>350</v>
      </c>
      <c r="O10" s="392">
        <v>3</v>
      </c>
      <c r="P10" s="393" t="s">
        <v>302</v>
      </c>
      <c r="Q10" s="394">
        <v>13</v>
      </c>
      <c r="R10" s="395" t="s">
        <v>388</v>
      </c>
      <c r="S10" s="683"/>
      <c r="T10" s="684" t="s">
        <v>302</v>
      </c>
      <c r="U10" s="685"/>
      <c r="V10" s="686"/>
      <c r="W10" s="706">
        <f t="shared" si="0"/>
        <v>2</v>
      </c>
      <c r="X10" s="707">
        <v>18</v>
      </c>
      <c r="Y10" s="707">
        <v>62</v>
      </c>
      <c r="Z10" s="683">
        <f t="shared" si="1"/>
        <v>41</v>
      </c>
      <c r="AA10" s="684" t="s">
        <v>302</v>
      </c>
      <c r="AB10" s="708">
        <f t="shared" si="2"/>
        <v>48</v>
      </c>
      <c r="AC10" s="399">
        <f t="shared" si="3"/>
        <v>-7</v>
      </c>
      <c r="AD10" s="233">
        <f t="shared" si="4"/>
        <v>152</v>
      </c>
      <c r="AE10" s="234">
        <f>IFERROR(INDEX(V!$R:$R,MATCH(AF10,V!$L:$L,0)),"")</f>
        <v>76</v>
      </c>
      <c r="AF10" s="235" t="str">
        <f t="shared" si="5"/>
        <v>Boriss Klubov</v>
      </c>
      <c r="AG10" s="234">
        <f>IFERROR(INDEX(V!$R:$R,MATCH(AH10,V!$L:$L,0)),"")</f>
        <v>76</v>
      </c>
      <c r="AH10" s="235" t="str">
        <f t="shared" si="6"/>
        <v>Elmo Lageda</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681">
        <v>5</v>
      </c>
      <c r="B11" s="682" t="s">
        <v>389</v>
      </c>
      <c r="C11" s="392">
        <v>4</v>
      </c>
      <c r="D11" s="393" t="s">
        <v>302</v>
      </c>
      <c r="E11" s="394">
        <v>13</v>
      </c>
      <c r="F11" s="395" t="s">
        <v>388</v>
      </c>
      <c r="G11" s="392">
        <v>13</v>
      </c>
      <c r="H11" s="393" t="s">
        <v>302</v>
      </c>
      <c r="I11" s="394">
        <v>1</v>
      </c>
      <c r="J11" s="395" t="s">
        <v>391</v>
      </c>
      <c r="K11" s="392">
        <v>7</v>
      </c>
      <c r="L11" s="393" t="s">
        <v>302</v>
      </c>
      <c r="M11" s="394">
        <v>13</v>
      </c>
      <c r="N11" s="395" t="s">
        <v>390</v>
      </c>
      <c r="O11" s="392">
        <v>13</v>
      </c>
      <c r="P11" s="393" t="s">
        <v>302</v>
      </c>
      <c r="Q11" s="394">
        <v>2</v>
      </c>
      <c r="R11" s="395" t="s">
        <v>392</v>
      </c>
      <c r="S11" s="683"/>
      <c r="T11" s="684" t="s">
        <v>302</v>
      </c>
      <c r="U11" s="685"/>
      <c r="V11" s="686"/>
      <c r="W11" s="706">
        <f t="shared" si="0"/>
        <v>2</v>
      </c>
      <c r="X11" s="707">
        <v>16</v>
      </c>
      <c r="Y11" s="707">
        <v>62</v>
      </c>
      <c r="Z11" s="683">
        <f t="shared" si="1"/>
        <v>37</v>
      </c>
      <c r="AA11" s="684" t="s">
        <v>302</v>
      </c>
      <c r="AB11" s="708">
        <f t="shared" si="2"/>
        <v>29</v>
      </c>
      <c r="AC11" s="399">
        <f t="shared" si="3"/>
        <v>8</v>
      </c>
      <c r="AD11" s="233">
        <f t="shared" ref="AD11:AD14" si="11">SUM(AE11:AL11)</f>
        <v>320</v>
      </c>
      <c r="AE11" s="234">
        <f>IFERROR(INDEX(V!$R:$R,MATCH(AF11,V!$L:$L,0)),"")</f>
        <v>160</v>
      </c>
      <c r="AF11" s="235" t="str">
        <f t="shared" si="5"/>
        <v>Kenneth Muusikus</v>
      </c>
      <c r="AG11" s="234">
        <f>IFERROR(INDEX(V!$R:$R,MATCH(AH11,V!$L:$L,0)),"")</f>
        <v>160</v>
      </c>
      <c r="AH11" s="235" t="str">
        <f t="shared" si="6"/>
        <v>Olav Türk</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681">
        <v>6</v>
      </c>
      <c r="B12" s="687" t="s">
        <v>350</v>
      </c>
      <c r="C12" s="392">
        <v>7</v>
      </c>
      <c r="D12" s="393" t="s">
        <v>302</v>
      </c>
      <c r="E12" s="394">
        <v>13</v>
      </c>
      <c r="F12" s="395" t="s">
        <v>387</v>
      </c>
      <c r="G12" s="392">
        <v>13</v>
      </c>
      <c r="H12" s="393" t="s">
        <v>302</v>
      </c>
      <c r="I12" s="394">
        <v>5</v>
      </c>
      <c r="J12" s="395" t="s">
        <v>392</v>
      </c>
      <c r="K12" s="392">
        <v>11</v>
      </c>
      <c r="L12" s="393" t="s">
        <v>302</v>
      </c>
      <c r="M12" s="394">
        <v>13</v>
      </c>
      <c r="N12" s="395" t="s">
        <v>355</v>
      </c>
      <c r="O12" s="392">
        <v>13</v>
      </c>
      <c r="P12" s="393" t="s">
        <v>302</v>
      </c>
      <c r="Q12" s="394">
        <v>9</v>
      </c>
      <c r="R12" s="395" t="s">
        <v>391</v>
      </c>
      <c r="S12" s="683"/>
      <c r="T12" s="684" t="s">
        <v>302</v>
      </c>
      <c r="U12" s="685"/>
      <c r="V12" s="686"/>
      <c r="W12" s="706">
        <f t="shared" si="0"/>
        <v>2</v>
      </c>
      <c r="X12" s="707">
        <v>10</v>
      </c>
      <c r="Y12" s="707">
        <v>68</v>
      </c>
      <c r="Z12" s="683">
        <f t="shared" si="1"/>
        <v>44</v>
      </c>
      <c r="AA12" s="684" t="s">
        <v>302</v>
      </c>
      <c r="AB12" s="708">
        <f t="shared" si="2"/>
        <v>40</v>
      </c>
      <c r="AC12" s="399">
        <f t="shared" si="3"/>
        <v>4</v>
      </c>
      <c r="AD12" s="233">
        <f t="shared" si="11"/>
        <v>148</v>
      </c>
      <c r="AE12" s="234">
        <f>IFERROR(INDEX(V!$R:$R,MATCH(AF12,V!$L:$L,0)),"")</f>
        <v>74</v>
      </c>
      <c r="AF12" s="235" t="str">
        <f t="shared" si="5"/>
        <v>Aigi Orro</v>
      </c>
      <c r="AG12" s="234">
        <f>IFERROR(INDEX(V!$R:$R,MATCH(AH12,V!$L:$L,0)),"")</f>
        <v>74</v>
      </c>
      <c r="AH12" s="235" t="str">
        <f t="shared" si="6"/>
        <v>Kalle Orro</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681">
        <v>7</v>
      </c>
      <c r="B13" s="688" t="s">
        <v>392</v>
      </c>
      <c r="C13" s="392">
        <v>11</v>
      </c>
      <c r="D13" s="393" t="s">
        <v>302</v>
      </c>
      <c r="E13" s="394">
        <v>13</v>
      </c>
      <c r="F13" s="395" t="s">
        <v>355</v>
      </c>
      <c r="G13" s="392">
        <v>5</v>
      </c>
      <c r="H13" s="393" t="s">
        <v>302</v>
      </c>
      <c r="I13" s="394">
        <v>13</v>
      </c>
      <c r="J13" s="395" t="s">
        <v>350</v>
      </c>
      <c r="K13" s="392">
        <v>13</v>
      </c>
      <c r="L13" s="393" t="s">
        <v>302</v>
      </c>
      <c r="M13" s="394">
        <v>11</v>
      </c>
      <c r="N13" s="395" t="s">
        <v>391</v>
      </c>
      <c r="O13" s="392">
        <v>2</v>
      </c>
      <c r="P13" s="393" t="s">
        <v>302</v>
      </c>
      <c r="Q13" s="394">
        <v>13</v>
      </c>
      <c r="R13" s="395" t="s">
        <v>389</v>
      </c>
      <c r="S13" s="683"/>
      <c r="T13" s="684" t="s">
        <v>302</v>
      </c>
      <c r="U13" s="685"/>
      <c r="V13" s="686"/>
      <c r="W13" s="706">
        <f t="shared" si="0"/>
        <v>1</v>
      </c>
      <c r="X13" s="707">
        <v>12</v>
      </c>
      <c r="Y13" s="707">
        <v>60</v>
      </c>
      <c r="Z13" s="683">
        <f t="shared" si="1"/>
        <v>31</v>
      </c>
      <c r="AA13" s="684" t="s">
        <v>302</v>
      </c>
      <c r="AB13" s="708">
        <f t="shared" si="2"/>
        <v>50</v>
      </c>
      <c r="AC13" s="399">
        <f t="shared" si="3"/>
        <v>-19</v>
      </c>
      <c r="AD13" s="233">
        <f t="shared" si="11"/>
        <v>148</v>
      </c>
      <c r="AE13" s="234">
        <f>IFERROR(INDEX(V!$R:$R,MATCH(AF13,V!$L:$L,0)),"")</f>
        <v>64</v>
      </c>
      <c r="AF13" s="235" t="str">
        <f t="shared" si="5"/>
        <v>Andres Veski</v>
      </c>
      <c r="AG13" s="234">
        <f>IFERROR(INDEX(V!$R:$R,MATCH(AH13,V!$L:$L,0)),"")</f>
        <v>84</v>
      </c>
      <c r="AH13" s="235" t="str">
        <f t="shared" si="6"/>
        <v>Jaan Saar</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681">
        <v>8</v>
      </c>
      <c r="B14" s="688" t="s">
        <v>391</v>
      </c>
      <c r="C14" s="392">
        <v>4</v>
      </c>
      <c r="D14" s="393" t="s">
        <v>302</v>
      </c>
      <c r="E14" s="394">
        <v>13</v>
      </c>
      <c r="F14" s="395" t="s">
        <v>390</v>
      </c>
      <c r="G14" s="392">
        <v>1</v>
      </c>
      <c r="H14" s="393" t="s">
        <v>302</v>
      </c>
      <c r="I14" s="394">
        <v>13</v>
      </c>
      <c r="J14" s="395" t="s">
        <v>389</v>
      </c>
      <c r="K14" s="392">
        <v>11</v>
      </c>
      <c r="L14" s="393" t="s">
        <v>302</v>
      </c>
      <c r="M14" s="394">
        <v>13</v>
      </c>
      <c r="N14" s="395" t="s">
        <v>392</v>
      </c>
      <c r="O14" s="392">
        <v>9</v>
      </c>
      <c r="P14" s="393" t="s">
        <v>302</v>
      </c>
      <c r="Q14" s="394">
        <v>13</v>
      </c>
      <c r="R14" s="395" t="s">
        <v>350</v>
      </c>
      <c r="S14" s="683"/>
      <c r="T14" s="684" t="s">
        <v>302</v>
      </c>
      <c r="U14" s="685"/>
      <c r="V14" s="686"/>
      <c r="W14" s="706">
        <f t="shared" si="0"/>
        <v>0</v>
      </c>
      <c r="X14" s="707">
        <v>16</v>
      </c>
      <c r="Y14" s="707">
        <v>54</v>
      </c>
      <c r="Z14" s="683">
        <f t="shared" si="1"/>
        <v>25</v>
      </c>
      <c r="AA14" s="684" t="s">
        <v>302</v>
      </c>
      <c r="AB14" s="708">
        <f t="shared" si="2"/>
        <v>52</v>
      </c>
      <c r="AC14" s="399">
        <f t="shared" si="3"/>
        <v>-27</v>
      </c>
      <c r="AD14" s="233">
        <f t="shared" si="11"/>
        <v>120</v>
      </c>
      <c r="AE14" s="234">
        <f>IFERROR(INDEX(V!$R:$R,MATCH(AF14,V!$L:$L,0)),"")</f>
        <v>94</v>
      </c>
      <c r="AF14" s="235" t="str">
        <f t="shared" si="5"/>
        <v>Enn Tokman</v>
      </c>
      <c r="AG14" s="234">
        <f>IFERROR(INDEX(V!$R:$R,MATCH(AH14,V!$L:$L,0)),"")</f>
        <v>26</v>
      </c>
      <c r="AH14" s="235" t="str">
        <f t="shared" si="6"/>
        <v>Johannes Neiland</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7" hidden="1" x14ac:dyDescent="0.2"/>
    <row r="18" hidden="1" x14ac:dyDescent="0.2"/>
    <row r="19" hidden="1" x14ac:dyDescent="0.2"/>
    <row r="20" hidden="1" x14ac:dyDescent="0.2"/>
    <row r="21" ht="12.75" hidden="1" customHeight="1" x14ac:dyDescent="0.2"/>
    <row r="22" ht="12.75" hidden="1" customHeight="1" x14ac:dyDescent="0.2"/>
    <row r="23" ht="12.75" hidden="1" customHeight="1" x14ac:dyDescent="0.2"/>
    <row r="24" ht="12.75" hidden="1"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spans="1:6" ht="12.75" hidden="1" customHeight="1" x14ac:dyDescent="0.2"/>
    <row r="290" spans="1:6" ht="12.75" hidden="1" customHeight="1" x14ac:dyDescent="0.2"/>
    <row r="291" spans="1:6" ht="12.75" hidden="1" customHeight="1" x14ac:dyDescent="0.2"/>
    <row r="292" spans="1:6" ht="12.75" hidden="1" customHeight="1" x14ac:dyDescent="0.2"/>
    <row r="293" spans="1:6" ht="12.75" hidden="1" customHeight="1" x14ac:dyDescent="0.2"/>
    <row r="294" spans="1:6" ht="12.75" hidden="1" customHeight="1" x14ac:dyDescent="0.2"/>
    <row r="295" spans="1:6" ht="12.75" hidden="1" customHeight="1" x14ac:dyDescent="0.2"/>
    <row r="296" spans="1:6" ht="12.75" hidden="1" customHeight="1" x14ac:dyDescent="0.2"/>
    <row r="297" spans="1:6" ht="12.75" hidden="1" customHeight="1" x14ac:dyDescent="0.2"/>
    <row r="298" spans="1:6" ht="12.75" hidden="1" customHeight="1" x14ac:dyDescent="0.2"/>
    <row r="299" spans="1:6" x14ac:dyDescent="0.2">
      <c r="A299" s="158"/>
      <c r="B299" s="158"/>
      <c r="C299" s="229" t="s">
        <v>231</v>
      </c>
      <c r="F299" s="649"/>
    </row>
    <row r="300" spans="1:6" x14ac:dyDescent="0.2">
      <c r="A300" s="351">
        <v>1</v>
      </c>
      <c r="B300" s="402" t="str">
        <f t="shared" ref="B300:B307" si="12">IFERROR(INDEX(B$1:B$95,MATCH(A300,A$1:A$95,0)),"")</f>
        <v>Kristel Tihhonjuk, Vadim Tihhonjuk</v>
      </c>
      <c r="C300" s="323">
        <f t="shared" ref="C300:C307" si="13">LARGE(A300:A394,1)*2+2-A300*2</f>
        <v>16</v>
      </c>
      <c r="F300" s="649"/>
    </row>
    <row r="301" spans="1:6" x14ac:dyDescent="0.2">
      <c r="A301" s="351">
        <v>2</v>
      </c>
      <c r="B301" s="402" t="str">
        <f t="shared" si="12"/>
        <v>Hillar Neiland, Kaspar Mänd</v>
      </c>
      <c r="C301" s="323">
        <f t="shared" si="13"/>
        <v>14</v>
      </c>
      <c r="F301" s="649"/>
    </row>
    <row r="302" spans="1:6" x14ac:dyDescent="0.2">
      <c r="A302" s="351">
        <v>3</v>
      </c>
      <c r="B302" s="402" t="str">
        <f t="shared" si="12"/>
        <v>Oleg Rõndenkov, Sander Rose</v>
      </c>
      <c r="C302" s="323">
        <f t="shared" si="13"/>
        <v>12</v>
      </c>
      <c r="F302" s="649"/>
    </row>
    <row r="303" spans="1:6" x14ac:dyDescent="0.2">
      <c r="A303" s="351">
        <v>4</v>
      </c>
      <c r="B303" s="402" t="str">
        <f t="shared" si="12"/>
        <v>Boriss Klubov, Elmo Lageda</v>
      </c>
      <c r="C303" s="323">
        <f t="shared" si="13"/>
        <v>10</v>
      </c>
      <c r="F303" s="649"/>
    </row>
    <row r="304" spans="1:6" x14ac:dyDescent="0.2">
      <c r="A304" s="351">
        <v>5</v>
      </c>
      <c r="B304" s="402" t="str">
        <f t="shared" si="12"/>
        <v>Kenneth Muusikus, Olav Türk</v>
      </c>
      <c r="C304" s="323">
        <f t="shared" si="13"/>
        <v>8</v>
      </c>
      <c r="F304" s="649"/>
    </row>
    <row r="305" spans="1:6" x14ac:dyDescent="0.2">
      <c r="A305" s="351">
        <v>6</v>
      </c>
      <c r="B305" s="402" t="str">
        <f t="shared" si="12"/>
        <v>Aigi Orro, Kalle Orro</v>
      </c>
      <c r="C305" s="323">
        <f t="shared" si="13"/>
        <v>6</v>
      </c>
      <c r="F305" s="649"/>
    </row>
    <row r="306" spans="1:6" x14ac:dyDescent="0.2">
      <c r="A306" s="351">
        <v>7</v>
      </c>
      <c r="B306" s="402" t="str">
        <f t="shared" si="12"/>
        <v>Andres Veski, Jaan Saar</v>
      </c>
      <c r="C306" s="323">
        <f t="shared" si="13"/>
        <v>4</v>
      </c>
      <c r="F306" s="649"/>
    </row>
    <row r="307" spans="1:6" x14ac:dyDescent="0.2">
      <c r="A307" s="351">
        <v>8</v>
      </c>
      <c r="B307" s="402" t="str">
        <f t="shared" si="12"/>
        <v>Enn Tokman, Johannes Neiland</v>
      </c>
      <c r="C307" s="323">
        <f t="shared" si="13"/>
        <v>2</v>
      </c>
      <c r="F307" s="649"/>
    </row>
  </sheetData>
  <conditionalFormatting sqref="AJ7:AJ14 AH7:AH14 AL7:AL14">
    <cfRule type="expression" dxfId="1906" priority="62">
      <formula>AND(AG7="",FIND(",",AH7))</formula>
    </cfRule>
    <cfRule type="expression" dxfId="1905" priority="64">
      <formula>AND(AG7="",COUNTIF(AH7,"*,*")=0)</formula>
    </cfRule>
  </conditionalFormatting>
  <conditionalFormatting sqref="AF7:AF14">
    <cfRule type="expression" dxfId="1904" priority="63">
      <formula>AND(AE7="",COUNTIF(AF7,"*,*")=0)</formula>
    </cfRule>
  </conditionalFormatting>
  <conditionalFormatting sqref="AN7:AN14 AP7:AP14">
    <cfRule type="expression" dxfId="1903" priority="60">
      <formula>AND(AM7="",COUNTIF(AN7,"*,*")=0)</formula>
    </cfRule>
    <cfRule type="expression" dxfId="1902" priority="61">
      <formula>AND(AM7="",FIND(",",AN7))</formula>
    </cfRule>
  </conditionalFormatting>
  <conditionalFormatting sqref="S7:S14">
    <cfRule type="expression" dxfId="1901" priority="28">
      <formula>AND(S7=0,U7=13)</formula>
    </cfRule>
  </conditionalFormatting>
  <conditionalFormatting sqref="V7:V14">
    <cfRule type="containsText" dxfId="1900" priority="30" operator="containsText" text="vaba voor">
      <formula>NOT(ISERROR(SEARCH("vaba voor",V7)))</formula>
    </cfRule>
  </conditionalFormatting>
  <conditionalFormatting sqref="U7:U14">
    <cfRule type="expression" dxfId="1899" priority="29">
      <formula>AND(U7=0,S7=13)</formula>
    </cfRule>
  </conditionalFormatting>
  <conditionalFormatting sqref="S7:S14">
    <cfRule type="expression" dxfId="1898" priority="57">
      <formula>IF($S7&gt;$U7,TRUE)</formula>
    </cfRule>
  </conditionalFormatting>
  <conditionalFormatting sqref="U7:U14">
    <cfRule type="expression" dxfId="1897" priority="58">
      <formula>IF($S7&lt;$U7,TRUE)</formula>
    </cfRule>
  </conditionalFormatting>
  <conditionalFormatting sqref="S7:V14">
    <cfRule type="expression" dxfId="1896" priority="35">
      <formula>IF(AND(ISNUMBER($S7),$S7=$U7),TRUE)</formula>
    </cfRule>
    <cfRule type="expression" dxfId="1895" priority="55">
      <formula>IF($S7&gt;$U7,TRUE)</formula>
    </cfRule>
    <cfRule type="expression" dxfId="1894" priority="56">
      <formula>IF($S7&lt;$U7,TRUE)</formula>
    </cfRule>
  </conditionalFormatting>
  <conditionalFormatting sqref="A7:A14">
    <cfRule type="duplicateValues" dxfId="1893" priority="59"/>
  </conditionalFormatting>
  <conditionalFormatting sqref="B300:B307">
    <cfRule type="expression" dxfId="1892" priority="1267">
      <formula>A300=3</formula>
    </cfRule>
    <cfRule type="expression" dxfId="1891" priority="1268">
      <formula>A300=2</formula>
    </cfRule>
    <cfRule type="expression" dxfId="1890" priority="1269">
      <formula>A300=1</formula>
    </cfRule>
    <cfRule type="containsBlanks" dxfId="1889" priority="1270">
      <formula>LEN(TRIM(B300))=0</formula>
    </cfRule>
    <cfRule type="duplicateValues" dxfId="1888" priority="1271"/>
  </conditionalFormatting>
  <conditionalFormatting sqref="C7:C14 G7:G14 K7:K14 O7:O14">
    <cfRule type="expression" dxfId="1887" priority="1">
      <formula>AND(C7=0,E7=13)</formula>
    </cfRule>
  </conditionalFormatting>
  <conditionalFormatting sqref="C7:C14">
    <cfRule type="expression" dxfId="1886" priority="13">
      <formula>IF($C7&gt;$E7,TRUE)</formula>
    </cfRule>
  </conditionalFormatting>
  <conditionalFormatting sqref="E7:E14">
    <cfRule type="expression" dxfId="1885" priority="14">
      <formula>IF($C7&lt;$E7,TRUE)</formula>
    </cfRule>
  </conditionalFormatting>
  <conditionalFormatting sqref="K7:K14">
    <cfRule type="expression" dxfId="1884" priority="21">
      <formula>IF($K7&gt;$M7,TRUE)</formula>
    </cfRule>
  </conditionalFormatting>
  <conditionalFormatting sqref="M7:M14">
    <cfRule type="expression" dxfId="1883" priority="22">
      <formula>IF($K7&lt;$M7,TRUE)</formula>
    </cfRule>
  </conditionalFormatting>
  <conditionalFormatting sqref="O7:O14">
    <cfRule type="expression" dxfId="1882" priority="25">
      <formula>IF($O7&gt;$Q7,TRUE)</formula>
    </cfRule>
  </conditionalFormatting>
  <conditionalFormatting sqref="Q7:Q14">
    <cfRule type="expression" dxfId="1881" priority="26">
      <formula>IF($O7&lt;$Q7,TRUE)</formula>
    </cfRule>
  </conditionalFormatting>
  <conditionalFormatting sqref="G7:G14">
    <cfRule type="expression" dxfId="1880" priority="17">
      <formula>IF($G7&gt;$I7,TRUE)</formula>
    </cfRule>
  </conditionalFormatting>
  <conditionalFormatting sqref="I7:I14">
    <cfRule type="expression" dxfId="1879" priority="18">
      <formula>IF($G7&lt;$I7,TRUE)</formula>
    </cfRule>
  </conditionalFormatting>
  <conditionalFormatting sqref="F7:F14">
    <cfRule type="containsText" dxfId="1878" priority="5" operator="containsText" text="vaba voor">
      <formula>NOT(ISERROR(SEARCH("vaba voor",F7)))</formula>
    </cfRule>
  </conditionalFormatting>
  <conditionalFormatting sqref="N7:N14">
    <cfRule type="containsText" dxfId="1877" priority="3" operator="containsText" text="vaba voor">
      <formula>NOT(ISERROR(SEARCH("vaba voor",N7)))</formula>
    </cfRule>
  </conditionalFormatting>
  <conditionalFormatting sqref="R7:R14">
    <cfRule type="containsText" dxfId="1876" priority="6" operator="containsText" text="vaba voor">
      <formula>NOT(ISERROR(SEARCH("vaba voor",R7)))</formula>
    </cfRule>
  </conditionalFormatting>
  <conditionalFormatting sqref="J7:J14">
    <cfRule type="containsText" dxfId="1875" priority="4" operator="containsText" text="vaba voor">
      <formula>NOT(ISERROR(SEARCH("vaba voor",J7)))</formula>
    </cfRule>
  </conditionalFormatting>
  <conditionalFormatting sqref="C7:F14">
    <cfRule type="expression" dxfId="1874" priority="9">
      <formula>IF(AND(ISNUMBER($C7),$C7=$E7),TRUE)</formula>
    </cfRule>
    <cfRule type="expression" dxfId="1873" priority="11">
      <formula>IF($C7&gt;$E7,TRUE)</formula>
    </cfRule>
    <cfRule type="expression" dxfId="1872" priority="12">
      <formula>IF($C7&lt;$E7,TRUE)</formula>
    </cfRule>
  </conditionalFormatting>
  <conditionalFormatting sqref="G7:J14">
    <cfRule type="expression" dxfId="1871" priority="10">
      <formula>IF(AND(ISNUMBER($G7),$G7=$I7),TRUE)</formula>
    </cfRule>
    <cfRule type="expression" dxfId="1870" priority="15">
      <formula>IF($G7&gt;$I7,TRUE)</formula>
    </cfRule>
    <cfRule type="expression" dxfId="1869" priority="16">
      <formula>IF($G7&lt;$I7,TRUE)</formula>
    </cfRule>
  </conditionalFormatting>
  <conditionalFormatting sqref="K7:N14">
    <cfRule type="expression" dxfId="1868" priority="8">
      <formula>IF(AND(ISNUMBER($K7),$K7=$M7),TRUE)</formula>
    </cfRule>
    <cfRule type="expression" dxfId="1867" priority="19">
      <formula>IF($K7&gt;$M7,TRUE)</formula>
    </cfRule>
    <cfRule type="expression" dxfId="1866" priority="20">
      <formula>IF($K7&lt;$M7,TRUE)</formula>
    </cfRule>
  </conditionalFormatting>
  <conditionalFormatting sqref="O7:R14">
    <cfRule type="expression" dxfId="1865" priority="7">
      <formula>IF(AND(ISNUMBER($O7),$O7=$Q7),TRUE)</formula>
    </cfRule>
    <cfRule type="expression" dxfId="1864" priority="23">
      <formula>IF($O7&gt;$Q7,TRUE)</formula>
    </cfRule>
    <cfRule type="expression" dxfId="1863" priority="24">
      <formula>IF($O7&lt;$Q7,TRUE)</formula>
    </cfRule>
  </conditionalFormatting>
  <conditionalFormatting sqref="E7:E14 I7:I14 M7:M14 Q7:Q14">
    <cfRule type="expression" dxfId="1862" priority="2">
      <formula>AND(E7=0,C7=13)</formula>
    </cfRule>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P311"/>
  <sheetViews>
    <sheetView showGridLines="0" showRowColHeaders="0" workbookViewId="0">
      <pane ySplit="1" topLeftCell="A2" activePane="bottomLeft" state="frozen"/>
      <selection pane="bottomLeft" activeCell="A5" sqref="A5"/>
    </sheetView>
  </sheetViews>
  <sheetFormatPr defaultRowHeight="12.75" x14ac:dyDescent="0.2"/>
  <cols>
    <col min="1" max="1" width="3.28515625" style="1" customWidth="1"/>
    <col min="2" max="2" width="30.28515625" style="1" bestFit="1" customWidth="1"/>
    <col min="3" max="3" width="4.7109375" style="1" customWidth="1"/>
    <col min="4" max="4" width="1.140625" style="1" customWidth="1"/>
    <col min="5" max="5" width="2.7109375" style="1" customWidth="1"/>
    <col min="6" max="6" width="9.140625" style="1"/>
    <col min="7" max="7" width="2.7109375" style="1" customWidth="1"/>
    <col min="8" max="8" width="1.140625" style="1" customWidth="1"/>
    <col min="9" max="9" width="2.7109375" style="1" customWidth="1"/>
    <col min="10" max="10" width="9.140625" style="1"/>
    <col min="11" max="11" width="2.7109375" style="1" customWidth="1"/>
    <col min="12" max="12" width="1.140625" style="1" customWidth="1"/>
    <col min="13" max="13" width="2.7109375" style="1" customWidth="1"/>
    <col min="14" max="14" width="9.140625" style="1"/>
    <col min="15" max="15" width="2.7109375" style="1" customWidth="1"/>
    <col min="16" max="16" width="1.140625" style="1" customWidth="1"/>
    <col min="17" max="17" width="2.7109375" style="1" customWidth="1"/>
    <col min="18" max="18" width="9.140625" style="1"/>
    <col min="19" max="19" width="2.7109375" style="1" hidden="1" customWidth="1"/>
    <col min="20" max="20" width="1.140625" style="1" hidden="1" customWidth="1"/>
    <col min="21" max="21" width="2.7109375" style="1" hidden="1" customWidth="1"/>
    <col min="22" max="22" width="0" style="1" hidden="1" customWidth="1"/>
    <col min="23" max="23" width="5.7109375" style="1" customWidth="1"/>
    <col min="24" max="24" width="5.5703125" style="1" customWidth="1"/>
    <col min="25" max="25" width="7.42578125" style="1" customWidth="1"/>
    <col min="26" max="26" width="2.7109375" style="1" customWidth="1"/>
    <col min="27" max="27" width="1.140625" style="1" customWidth="1"/>
    <col min="28" max="28" width="2.7109375" style="1" customWidth="1"/>
    <col min="29" max="29" width="4.7109375" style="1" customWidth="1"/>
    <col min="30" max="31" width="9.140625" style="1" hidden="1" customWidth="1"/>
    <col min="32" max="32" width="16.5703125" style="1" hidden="1" customWidth="1"/>
    <col min="33" max="33" width="9.140625" style="1" hidden="1" customWidth="1"/>
    <col min="34" max="34" width="15.7109375" style="1" hidden="1" customWidth="1"/>
    <col min="35" max="35" width="9.140625" style="1" hidden="1" customWidth="1"/>
    <col min="36" max="36" width="17.28515625" style="1" hidden="1" customWidth="1"/>
    <col min="37" max="37" width="9.140625" style="1" hidden="1" customWidth="1"/>
    <col min="38" max="38" width="13.85546875" style="1" hidden="1" customWidth="1"/>
    <col min="39" max="39" width="9.140625" style="1" hidden="1" customWidth="1"/>
    <col min="40" max="40" width="17.28515625" style="1" hidden="1" customWidth="1"/>
    <col min="41" max="41" width="9.140625" style="1" hidden="1" customWidth="1"/>
    <col min="42" max="42" width="13.85546875" style="1" hidden="1" customWidth="1"/>
    <col min="43" max="16384" width="9.140625" style="1"/>
  </cols>
  <sheetData>
    <row r="1" spans="1:42" x14ac:dyDescent="0.2">
      <c r="A1" s="228" t="str">
        <f>UPPER((Kalend!E13)&amp;" - "&amp;(Kalend!C13))&amp;" - "&amp;LOWER(Kalend!D13)&amp;" - "&amp;(Kalend!A13)&amp;" kell "&amp;(Kalend!B13)&amp;" - "&amp;(Kalend!F13)</f>
        <v>V5 - VOKA V SISE-KV 5. ETAPP - duo - P, 08.01.2023 kell 11:00 - Voka petangihall</v>
      </c>
      <c r="O1" s="158"/>
      <c r="P1" s="158"/>
      <c r="Q1" s="199"/>
      <c r="R1" s="199"/>
      <c r="S1" s="199"/>
      <c r="T1" s="39"/>
      <c r="U1" s="39"/>
      <c r="V1" s="39"/>
      <c r="W1" s="158"/>
      <c r="X1" s="29"/>
      <c r="Y1" s="158"/>
      <c r="Z1" s="158"/>
      <c r="AD1" s="45" t="s">
        <v>73</v>
      </c>
      <c r="AE1" s="230"/>
      <c r="AF1" s="230"/>
      <c r="AG1" s="230"/>
      <c r="AH1" s="230"/>
      <c r="AI1" s="230"/>
      <c r="AJ1" s="230"/>
      <c r="AK1" s="230"/>
      <c r="AL1" s="230"/>
      <c r="AM1" s="230"/>
      <c r="AN1" s="230"/>
      <c r="AO1" s="353"/>
      <c r="AP1" s="353"/>
    </row>
    <row r="2" spans="1:42" x14ac:dyDescent="0.2">
      <c r="A2" s="689"/>
      <c r="F2" s="158"/>
      <c r="L2" s="693"/>
      <c r="M2" s="693"/>
      <c r="N2" s="693"/>
      <c r="O2" s="694"/>
      <c r="P2" s="694"/>
      <c r="Q2" s="694"/>
      <c r="R2" s="690" t="s">
        <v>236</v>
      </c>
      <c r="S2" s="694"/>
      <c r="T2" s="693"/>
      <c r="U2" s="693"/>
      <c r="V2" s="693"/>
      <c r="W2" s="691">
        <v>1</v>
      </c>
      <c r="X2" s="692" t="s">
        <v>237</v>
      </c>
      <c r="Y2" s="694"/>
      <c r="Z2" s="694"/>
      <c r="AA2" s="694"/>
      <c r="AB2" s="694"/>
      <c r="AE2" s="158"/>
      <c r="AG2" s="158"/>
      <c r="AH2" s="158"/>
      <c r="AI2" s="158"/>
      <c r="AJ2" s="158"/>
      <c r="AK2" s="158"/>
      <c r="AL2" s="158"/>
      <c r="AM2" s="158"/>
      <c r="AN2" s="158"/>
    </row>
    <row r="3" spans="1:42" x14ac:dyDescent="0.2">
      <c r="A3" s="689"/>
      <c r="F3" s="158"/>
      <c r="L3" s="694"/>
      <c r="M3" s="694"/>
      <c r="N3" s="694"/>
      <c r="O3" s="694"/>
      <c r="P3" s="694"/>
      <c r="Q3" s="694"/>
      <c r="R3" s="695" t="s">
        <v>238</v>
      </c>
      <c r="S3" s="694"/>
      <c r="T3" s="694"/>
      <c r="U3" s="694"/>
      <c r="V3" s="694"/>
      <c r="W3" s="691">
        <v>0.5</v>
      </c>
      <c r="X3" s="692" t="s">
        <v>237</v>
      </c>
      <c r="Y3" s="694"/>
      <c r="Z3" s="694"/>
      <c r="AA3" s="694"/>
      <c r="AB3" s="694"/>
      <c r="AE3" s="236"/>
      <c r="AF3" s="236"/>
      <c r="AG3" s="236"/>
      <c r="AH3" s="227"/>
      <c r="AI3" s="236"/>
      <c r="AJ3" s="236"/>
      <c r="AK3" s="236"/>
      <c r="AL3" s="236"/>
      <c r="AM3" s="236"/>
      <c r="AN3" s="236"/>
      <c r="AO3" s="236"/>
      <c r="AP3" s="236"/>
    </row>
    <row r="4" spans="1:42" x14ac:dyDescent="0.2">
      <c r="F4" s="158"/>
      <c r="L4" s="694"/>
      <c r="M4" s="694"/>
      <c r="N4" s="694"/>
      <c r="O4" s="694"/>
      <c r="P4" s="694"/>
      <c r="Q4" s="694"/>
      <c r="R4" s="696" t="s">
        <v>239</v>
      </c>
      <c r="S4" s="694"/>
      <c r="T4" s="694"/>
      <c r="U4" s="694"/>
      <c r="V4" s="694"/>
      <c r="W4" s="691">
        <v>0</v>
      </c>
      <c r="X4" s="692" t="s">
        <v>237</v>
      </c>
      <c r="Y4" s="694"/>
      <c r="Z4" s="694"/>
      <c r="AA4" s="694"/>
      <c r="AB4" s="694"/>
    </row>
    <row r="5" spans="1:42" x14ac:dyDescent="0.2">
      <c r="F5" s="158"/>
      <c r="L5" s="158"/>
      <c r="M5" s="158"/>
      <c r="N5" s="158"/>
      <c r="O5" s="158"/>
      <c r="P5" s="158"/>
      <c r="Q5" s="158"/>
      <c r="R5" s="158"/>
      <c r="S5" s="158"/>
      <c r="T5" s="158"/>
      <c r="U5" s="158"/>
      <c r="W5" s="158"/>
      <c r="X5" s="158"/>
      <c r="Y5" s="158"/>
      <c r="Z5" s="158"/>
      <c r="AA5" s="158"/>
      <c r="AB5" s="416" t="s">
        <v>313</v>
      </c>
      <c r="AD5" s="413" t="s">
        <v>216</v>
      </c>
    </row>
    <row r="6" spans="1:42" x14ac:dyDescent="0.2">
      <c r="A6" s="697" t="s">
        <v>10</v>
      </c>
      <c r="B6" s="697" t="s">
        <v>58</v>
      </c>
      <c r="C6" s="698" t="s">
        <v>173</v>
      </c>
      <c r="D6" s="699"/>
      <c r="E6" s="699"/>
      <c r="F6" s="700"/>
      <c r="G6" s="698" t="s">
        <v>176</v>
      </c>
      <c r="H6" s="699"/>
      <c r="I6" s="699"/>
      <c r="J6" s="700"/>
      <c r="K6" s="698" t="s">
        <v>179</v>
      </c>
      <c r="L6" s="699"/>
      <c r="M6" s="699"/>
      <c r="N6" s="700"/>
      <c r="O6" s="698" t="s">
        <v>182</v>
      </c>
      <c r="P6" s="699"/>
      <c r="Q6" s="699"/>
      <c r="R6" s="700"/>
      <c r="S6" s="698" t="s">
        <v>184</v>
      </c>
      <c r="T6" s="699"/>
      <c r="U6" s="699"/>
      <c r="V6" s="700"/>
      <c r="W6" s="697" t="s">
        <v>81</v>
      </c>
      <c r="X6" s="701" t="s">
        <v>300</v>
      </c>
      <c r="Y6" s="702" t="s">
        <v>360</v>
      </c>
      <c r="Z6" s="701"/>
      <c r="AA6" s="703" t="s">
        <v>301</v>
      </c>
      <c r="AB6" s="704"/>
      <c r="AC6" s="705" t="s">
        <v>172</v>
      </c>
      <c r="AD6" s="159" t="s">
        <v>305</v>
      </c>
      <c r="AE6" s="160"/>
      <c r="AF6" s="160" t="s">
        <v>232</v>
      </c>
      <c r="AG6" s="160"/>
      <c r="AH6" s="231" t="s">
        <v>233</v>
      </c>
      <c r="AI6" s="160"/>
      <c r="AJ6" s="160" t="s">
        <v>234</v>
      </c>
      <c r="AK6" s="161"/>
      <c r="AL6" s="160" t="s">
        <v>235</v>
      </c>
      <c r="AM6" s="161"/>
      <c r="AN6" s="161" t="s">
        <v>311</v>
      </c>
      <c r="AO6" s="412"/>
      <c r="AP6" s="161" t="s">
        <v>312</v>
      </c>
    </row>
    <row r="7" spans="1:42" x14ac:dyDescent="0.2">
      <c r="A7" s="681">
        <v>1</v>
      </c>
      <c r="B7" s="682" t="s">
        <v>393</v>
      </c>
      <c r="C7" s="392">
        <v>13</v>
      </c>
      <c r="D7" s="393" t="s">
        <v>302</v>
      </c>
      <c r="E7" s="394">
        <v>6</v>
      </c>
      <c r="F7" s="395" t="s">
        <v>397</v>
      </c>
      <c r="G7" s="392">
        <v>13</v>
      </c>
      <c r="H7" s="393" t="s">
        <v>302</v>
      </c>
      <c r="I7" s="394">
        <v>7</v>
      </c>
      <c r="J7" s="395" t="s">
        <v>381</v>
      </c>
      <c r="K7" s="392">
        <v>13</v>
      </c>
      <c r="L7" s="393" t="s">
        <v>302</v>
      </c>
      <c r="M7" s="394">
        <v>12</v>
      </c>
      <c r="N7" s="395" t="s">
        <v>394</v>
      </c>
      <c r="O7" s="392">
        <v>13</v>
      </c>
      <c r="P7" s="393" t="s">
        <v>302</v>
      </c>
      <c r="Q7" s="394">
        <v>11</v>
      </c>
      <c r="R7" s="395" t="s">
        <v>395</v>
      </c>
      <c r="S7" s="683"/>
      <c r="T7" s="684" t="s">
        <v>302</v>
      </c>
      <c r="U7" s="685"/>
      <c r="V7" s="686"/>
      <c r="W7" s="706">
        <f t="shared" ref="W7:W14" si="0">IF(C7&gt;E7,W$2,IF(C7&lt;E7,W$4,IF(ISNUMBER(C7),W$3,0)))+IF(G7&gt;I7,W$2,IF(G7&lt;I7,W$4,IF(ISNUMBER(G7),W$3,0)))+IF(K7&gt;M7,W$2,IF(K7&lt;M7,W$4,IF(ISNUMBER(K7),W$3,0)))+IF(O7&gt;Q7,W$2,IF(O7&lt;Q7,W$4,IF(ISNUMBER(O7),W$3,0)))+IF(S7&gt;U7,W$2,IF(S7&lt;U7,W$4,IF(ISNUMBER(S7),W$3,0)))</f>
        <v>4</v>
      </c>
      <c r="X7" s="707">
        <v>20</v>
      </c>
      <c r="Y7" s="707">
        <v>74</v>
      </c>
      <c r="Z7" s="683">
        <f t="shared" ref="Z7:Z18" si="1">C7+G7+K7+O7+S7</f>
        <v>52</v>
      </c>
      <c r="AA7" s="684" t="s">
        <v>302</v>
      </c>
      <c r="AB7" s="708">
        <f t="shared" ref="AB7:AB18" si="2">E7+I7+M7+Q7+U7</f>
        <v>36</v>
      </c>
      <c r="AC7" s="399">
        <f t="shared" ref="AC7:AC18" si="3">Z7-AB7</f>
        <v>16</v>
      </c>
      <c r="AD7" s="233">
        <f t="shared" ref="AD7:AD10" si="4">SUM(AE7:AL7)</f>
        <v>290</v>
      </c>
      <c r="AE7" s="234">
        <f>IFERROR(INDEX(V!$R:$R,MATCH(AF7,V!$L:$L,0)),"")</f>
        <v>160</v>
      </c>
      <c r="AF7" s="235" t="str">
        <f t="shared" ref="AF7:AF14" si="5">IFERROR(LEFT($B7,(FIND(",",$B7,1)-1)),"")</f>
        <v>Olav Türk</v>
      </c>
      <c r="AG7" s="234">
        <f>IFERROR(INDEX(V!$R:$R,MATCH(AH7,V!$L:$L,0)),"")</f>
        <v>130</v>
      </c>
      <c r="AH7" s="235" t="str">
        <f t="shared" ref="AH7:AH14" si="6">IFERROR(MID($B7,FIND(", ",$B7)+2,256),"")</f>
        <v>Sirje Maala</v>
      </c>
      <c r="AI7" s="234" t="str">
        <f>IFERROR(INDEX(V!$R:$R,MATCH(AJ7,V!$L:$L,0)),"")</f>
        <v/>
      </c>
      <c r="AJ7" s="235" t="str">
        <f t="shared" ref="AJ7:AJ14" si="7">IFERROR(MID($B7,FIND("^",SUBSTITUTE($B7,", ","^",1))+2,FIND("^",SUBSTITUTE($B7,", ","^",2))-FIND("^",SUBSTITUTE($B7,", ","^",1))-2),"")</f>
        <v/>
      </c>
      <c r="AK7" s="234" t="str">
        <f>IFERROR(INDEX(V!$R:$R,MATCH(AL7,V!$L:$L,0)),"")</f>
        <v/>
      </c>
      <c r="AL7" s="235" t="str">
        <f t="shared" ref="AL7:AL14" si="8">IFERROR(MID($B7,FIND(", ",$B7,FIND(", ",$B7,FIND(", ",$B7))+1)+2,30000),"")</f>
        <v/>
      </c>
      <c r="AM7" s="234" t="str">
        <f>IFERROR(INDEX(V!$R:$R,MATCH(AN7,V!$L:$L,0)),"")</f>
        <v/>
      </c>
      <c r="AN7" s="235" t="str">
        <f t="shared" ref="AN7:AN14" si="9">IFERROR(MID($B7,FIND(", ",$B7,FIND(", ",$B7)+1)+2,FIND(", ",$B7,FIND(", ",$B7,FIND(", ",$B7)+1)+1)-FIND(", ",$B7,FIND(", ",$B7)+1)-2),"")</f>
        <v/>
      </c>
      <c r="AO7" s="234" t="str">
        <f>IFERROR(INDEX(V!$R:$R,MATCH(AP7,V!$L:$L,0)),"")</f>
        <v/>
      </c>
      <c r="AP7" s="235" t="str">
        <f t="shared" ref="AP7:AP14" si="10">IFERROR(MID($B7,FIND(", ",$B7,FIND(", ",$B7,FIND(", ",$B7)+1)+1)+2,30000),"")</f>
        <v/>
      </c>
    </row>
    <row r="8" spans="1:42" x14ac:dyDescent="0.2">
      <c r="A8" s="681">
        <v>2</v>
      </c>
      <c r="B8" s="682" t="s">
        <v>394</v>
      </c>
      <c r="C8" s="392">
        <v>13</v>
      </c>
      <c r="D8" s="393" t="s">
        <v>302</v>
      </c>
      <c r="E8" s="394">
        <v>7</v>
      </c>
      <c r="F8" s="395" t="s">
        <v>387</v>
      </c>
      <c r="G8" s="392">
        <v>12</v>
      </c>
      <c r="H8" s="393" t="s">
        <v>302</v>
      </c>
      <c r="I8" s="394">
        <v>9</v>
      </c>
      <c r="J8" s="395" t="s">
        <v>380</v>
      </c>
      <c r="K8" s="392">
        <v>12</v>
      </c>
      <c r="L8" s="393" t="s">
        <v>302</v>
      </c>
      <c r="M8" s="394">
        <v>13</v>
      </c>
      <c r="N8" s="395" t="s">
        <v>393</v>
      </c>
      <c r="O8" s="392">
        <v>13</v>
      </c>
      <c r="P8" s="393" t="s">
        <v>302</v>
      </c>
      <c r="Q8" s="394">
        <v>7</v>
      </c>
      <c r="R8" s="395" t="s">
        <v>381</v>
      </c>
      <c r="S8" s="683"/>
      <c r="T8" s="684" t="s">
        <v>302</v>
      </c>
      <c r="U8" s="685"/>
      <c r="V8" s="686"/>
      <c r="W8" s="706">
        <f t="shared" si="0"/>
        <v>3</v>
      </c>
      <c r="X8" s="707">
        <v>20</v>
      </c>
      <c r="Y8" s="707">
        <v>76</v>
      </c>
      <c r="Z8" s="683">
        <f t="shared" si="1"/>
        <v>50</v>
      </c>
      <c r="AA8" s="684" t="s">
        <v>302</v>
      </c>
      <c r="AB8" s="708">
        <f t="shared" si="2"/>
        <v>36</v>
      </c>
      <c r="AC8" s="399">
        <f t="shared" si="3"/>
        <v>14</v>
      </c>
      <c r="AD8" s="233">
        <f t="shared" si="4"/>
        <v>46</v>
      </c>
      <c r="AE8" s="234">
        <f>IFERROR(INDEX(V!$R:$R,MATCH(AF8,V!$L:$L,0)),"")</f>
        <v>24</v>
      </c>
      <c r="AF8" s="235" t="str">
        <f t="shared" si="5"/>
        <v>Lemmit Toomra</v>
      </c>
      <c r="AG8" s="234">
        <f>IFERROR(INDEX(V!$R:$R,MATCH(AH8,V!$L:$L,0)),"")</f>
        <v>22</v>
      </c>
      <c r="AH8" s="235" t="str">
        <f t="shared" si="6"/>
        <v>Peeter Lüdig</v>
      </c>
      <c r="AI8" s="234" t="str">
        <f>IFERROR(INDEX(V!$R:$R,MATCH(AJ8,V!$L:$L,0)),"")</f>
        <v/>
      </c>
      <c r="AJ8" s="235" t="str">
        <f t="shared" si="7"/>
        <v/>
      </c>
      <c r="AK8" s="234" t="str">
        <f>IFERROR(INDEX(V!$R:$R,MATCH(AL8,V!$L:$L,0)),"")</f>
        <v/>
      </c>
      <c r="AL8" s="235" t="str">
        <f t="shared" si="8"/>
        <v/>
      </c>
      <c r="AM8" s="234" t="str">
        <f>IFERROR(INDEX(V!$R:$R,MATCH(AN8,V!$L:$L,0)),"")</f>
        <v/>
      </c>
      <c r="AN8" s="235" t="str">
        <f t="shared" si="9"/>
        <v/>
      </c>
      <c r="AO8" s="234" t="str">
        <f>IFERROR(INDEX(V!$R:$R,MATCH(AP8,V!$L:$L,0)),"")</f>
        <v/>
      </c>
      <c r="AP8" s="235" t="str">
        <f t="shared" si="10"/>
        <v/>
      </c>
    </row>
    <row r="9" spans="1:42" x14ac:dyDescent="0.2">
      <c r="A9" s="681">
        <v>3</v>
      </c>
      <c r="B9" s="687" t="s">
        <v>395</v>
      </c>
      <c r="C9" s="392">
        <v>13</v>
      </c>
      <c r="D9" s="393" t="s">
        <v>302</v>
      </c>
      <c r="E9" s="394">
        <v>3</v>
      </c>
      <c r="F9" s="395" t="s">
        <v>388</v>
      </c>
      <c r="G9" s="392">
        <v>13</v>
      </c>
      <c r="H9" s="393" t="s">
        <v>302</v>
      </c>
      <c r="I9" s="394">
        <v>5</v>
      </c>
      <c r="J9" s="395" t="s">
        <v>353</v>
      </c>
      <c r="K9" s="392">
        <v>13</v>
      </c>
      <c r="L9" s="393" t="s">
        <v>302</v>
      </c>
      <c r="M9" s="394">
        <v>2</v>
      </c>
      <c r="N9" s="395" t="s">
        <v>380</v>
      </c>
      <c r="O9" s="392">
        <v>11</v>
      </c>
      <c r="P9" s="393" t="s">
        <v>302</v>
      </c>
      <c r="Q9" s="394">
        <v>13</v>
      </c>
      <c r="R9" s="395" t="s">
        <v>393</v>
      </c>
      <c r="S9" s="683"/>
      <c r="T9" s="684" t="s">
        <v>302</v>
      </c>
      <c r="U9" s="685"/>
      <c r="V9" s="686"/>
      <c r="W9" s="706">
        <f t="shared" si="0"/>
        <v>3</v>
      </c>
      <c r="X9" s="707">
        <v>14</v>
      </c>
      <c r="Y9" s="707">
        <v>72</v>
      </c>
      <c r="Z9" s="683">
        <f t="shared" si="1"/>
        <v>50</v>
      </c>
      <c r="AA9" s="684" t="s">
        <v>302</v>
      </c>
      <c r="AB9" s="708">
        <f t="shared" si="2"/>
        <v>23</v>
      </c>
      <c r="AC9" s="399">
        <f t="shared" si="3"/>
        <v>27</v>
      </c>
      <c r="AD9" s="233">
        <f t="shared" si="4"/>
        <v>220</v>
      </c>
      <c r="AE9" s="234">
        <f>IFERROR(INDEX(V!$R:$R,MATCH(AF9,V!$L:$L,0)),"")</f>
        <v>160</v>
      </c>
      <c r="AF9" s="235" t="str">
        <f t="shared" si="5"/>
        <v>Kenneth Muusikus</v>
      </c>
      <c r="AG9" s="234">
        <f>IFERROR(INDEX(V!$R:$R,MATCH(AH9,V!$L:$L,0)),"")</f>
        <v>60</v>
      </c>
      <c r="AH9" s="235" t="str">
        <f t="shared" si="6"/>
        <v>Tõnis Neiland</v>
      </c>
      <c r="AI9" s="234" t="str">
        <f>IFERROR(INDEX(V!$R:$R,MATCH(AJ9,V!$L:$L,0)),"")</f>
        <v/>
      </c>
      <c r="AJ9" s="235" t="str">
        <f t="shared" si="7"/>
        <v/>
      </c>
      <c r="AK9" s="234" t="str">
        <f>IFERROR(INDEX(V!$R:$R,MATCH(AL9,V!$L:$L,0)),"")</f>
        <v/>
      </c>
      <c r="AL9" s="235" t="str">
        <f t="shared" si="8"/>
        <v/>
      </c>
      <c r="AM9" s="234" t="str">
        <f>IFERROR(INDEX(V!$R:$R,MATCH(AN9,V!$L:$L,0)),"")</f>
        <v/>
      </c>
      <c r="AN9" s="235" t="str">
        <f t="shared" si="9"/>
        <v/>
      </c>
      <c r="AO9" s="234" t="str">
        <f>IFERROR(INDEX(V!$R:$R,MATCH(AP9,V!$L:$L,0)),"")</f>
        <v/>
      </c>
      <c r="AP9" s="235" t="str">
        <f t="shared" si="10"/>
        <v/>
      </c>
    </row>
    <row r="10" spans="1:42" x14ac:dyDescent="0.2">
      <c r="A10" s="681">
        <v>4</v>
      </c>
      <c r="B10" s="687" t="s">
        <v>381</v>
      </c>
      <c r="C10" s="392">
        <v>13</v>
      </c>
      <c r="D10" s="393" t="s">
        <v>302</v>
      </c>
      <c r="E10" s="394">
        <v>6</v>
      </c>
      <c r="F10" s="395" t="s">
        <v>355</v>
      </c>
      <c r="G10" s="392">
        <v>7</v>
      </c>
      <c r="H10" s="393" t="s">
        <v>302</v>
      </c>
      <c r="I10" s="394">
        <v>13</v>
      </c>
      <c r="J10" s="395" t="s">
        <v>393</v>
      </c>
      <c r="K10" s="392">
        <v>13</v>
      </c>
      <c r="L10" s="393" t="s">
        <v>302</v>
      </c>
      <c r="M10" s="394">
        <v>1</v>
      </c>
      <c r="N10" s="395" t="s">
        <v>353</v>
      </c>
      <c r="O10" s="392">
        <v>7</v>
      </c>
      <c r="P10" s="393" t="s">
        <v>302</v>
      </c>
      <c r="Q10" s="394">
        <v>13</v>
      </c>
      <c r="R10" s="395" t="s">
        <v>394</v>
      </c>
      <c r="S10" s="683"/>
      <c r="T10" s="684" t="s">
        <v>302</v>
      </c>
      <c r="U10" s="685"/>
      <c r="V10" s="686"/>
      <c r="W10" s="706">
        <f t="shared" si="0"/>
        <v>2</v>
      </c>
      <c r="X10" s="707">
        <v>20</v>
      </c>
      <c r="Y10" s="707">
        <v>66</v>
      </c>
      <c r="Z10" s="683">
        <f t="shared" si="1"/>
        <v>40</v>
      </c>
      <c r="AA10" s="684" t="s">
        <v>302</v>
      </c>
      <c r="AB10" s="708">
        <f t="shared" si="2"/>
        <v>33</v>
      </c>
      <c r="AC10" s="399">
        <f t="shared" si="3"/>
        <v>7</v>
      </c>
      <c r="AD10" s="233">
        <f t="shared" si="4"/>
        <v>168</v>
      </c>
      <c r="AE10" s="234">
        <f>IFERROR(INDEX(V!$R:$R,MATCH(AF10,V!$L:$L,0)),"")</f>
        <v>102</v>
      </c>
      <c r="AF10" s="235" t="str">
        <f t="shared" si="5"/>
        <v>Matti Vinni</v>
      </c>
      <c r="AG10" s="234">
        <f>IFERROR(INDEX(V!$R:$R,MATCH(AH10,V!$L:$L,0)),"")</f>
        <v>66</v>
      </c>
      <c r="AH10" s="235" t="str">
        <f t="shared" si="6"/>
        <v>Vello Vasser</v>
      </c>
      <c r="AI10" s="234" t="str">
        <f>IFERROR(INDEX(V!$R:$R,MATCH(AJ10,V!$L:$L,0)),"")</f>
        <v/>
      </c>
      <c r="AJ10" s="235" t="str">
        <f t="shared" si="7"/>
        <v/>
      </c>
      <c r="AK10" s="234" t="str">
        <f>IFERROR(INDEX(V!$R:$R,MATCH(AL10,V!$L:$L,0)),"")</f>
        <v/>
      </c>
      <c r="AL10" s="235" t="str">
        <f t="shared" si="8"/>
        <v/>
      </c>
      <c r="AM10" s="234" t="str">
        <f>IFERROR(INDEX(V!$R:$R,MATCH(AN10,V!$L:$L,0)),"")</f>
        <v/>
      </c>
      <c r="AN10" s="235" t="str">
        <f t="shared" si="9"/>
        <v/>
      </c>
      <c r="AO10" s="234" t="str">
        <f>IFERROR(INDEX(V!$R:$R,MATCH(AP10,V!$L:$L,0)),"")</f>
        <v/>
      </c>
      <c r="AP10" s="235" t="str">
        <f t="shared" si="10"/>
        <v/>
      </c>
    </row>
    <row r="11" spans="1:42" x14ac:dyDescent="0.2">
      <c r="A11" s="681">
        <v>5</v>
      </c>
      <c r="B11" s="682" t="s">
        <v>254</v>
      </c>
      <c r="C11" s="392">
        <v>6</v>
      </c>
      <c r="D11" s="393" t="s">
        <v>302</v>
      </c>
      <c r="E11" s="394">
        <v>13</v>
      </c>
      <c r="F11" s="395" t="s">
        <v>393</v>
      </c>
      <c r="G11" s="392">
        <v>13</v>
      </c>
      <c r="H11" s="393" t="s">
        <v>302</v>
      </c>
      <c r="I11" s="394">
        <v>10</v>
      </c>
      <c r="J11" s="395" t="s">
        <v>355</v>
      </c>
      <c r="K11" s="392">
        <v>13</v>
      </c>
      <c r="L11" s="393" t="s">
        <v>302</v>
      </c>
      <c r="M11" s="394">
        <v>8</v>
      </c>
      <c r="N11" s="395" t="s">
        <v>387</v>
      </c>
      <c r="O11" s="392">
        <v>10</v>
      </c>
      <c r="P11" s="393" t="s">
        <v>302</v>
      </c>
      <c r="Q11" s="394">
        <v>13</v>
      </c>
      <c r="R11" s="395" t="s">
        <v>380</v>
      </c>
      <c r="S11" s="683"/>
      <c r="T11" s="684" t="s">
        <v>302</v>
      </c>
      <c r="U11" s="685"/>
      <c r="V11" s="686"/>
      <c r="W11" s="706">
        <f t="shared" si="0"/>
        <v>2</v>
      </c>
      <c r="X11" s="707">
        <v>20</v>
      </c>
      <c r="Y11" s="707">
        <v>66</v>
      </c>
      <c r="Z11" s="683">
        <f t="shared" si="1"/>
        <v>42</v>
      </c>
      <c r="AA11" s="684" t="s">
        <v>302</v>
      </c>
      <c r="AB11" s="708">
        <f t="shared" si="2"/>
        <v>44</v>
      </c>
      <c r="AC11" s="399">
        <f t="shared" si="3"/>
        <v>-2</v>
      </c>
      <c r="AD11" s="233">
        <f t="shared" ref="AD11:AD18" si="11">SUM(AE11:AL11)</f>
        <v>124</v>
      </c>
      <c r="AE11" s="234">
        <f>IFERROR(INDEX(V!$R:$R,MATCH(AF11,V!$L:$L,0)),"")</f>
        <v>64</v>
      </c>
      <c r="AF11" s="235" t="str">
        <f t="shared" si="5"/>
        <v>Andres Veski</v>
      </c>
      <c r="AG11" s="234">
        <f>IFERROR(INDEX(V!$R:$R,MATCH(AH11,V!$L:$L,0)),"")</f>
        <v>60</v>
      </c>
      <c r="AH11" s="235" t="str">
        <f t="shared" si="6"/>
        <v>Svetlana Veski</v>
      </c>
      <c r="AI11" s="234" t="str">
        <f>IFERROR(INDEX(V!$R:$R,MATCH(AJ11,V!$L:$L,0)),"")</f>
        <v/>
      </c>
      <c r="AJ11" s="235" t="str">
        <f t="shared" si="7"/>
        <v/>
      </c>
      <c r="AK11" s="234" t="str">
        <f>IFERROR(INDEX(V!$R:$R,MATCH(AL11,V!$L:$L,0)),"")</f>
        <v/>
      </c>
      <c r="AL11" s="235" t="str">
        <f t="shared" si="8"/>
        <v/>
      </c>
      <c r="AM11" s="234" t="str">
        <f>IFERROR(INDEX(V!$R:$R,MATCH(AN11,V!$L:$L,0)),"")</f>
        <v/>
      </c>
      <c r="AN11" s="235" t="str">
        <f t="shared" si="9"/>
        <v/>
      </c>
      <c r="AO11" s="234" t="str">
        <f>IFERROR(INDEX(V!$R:$R,MATCH(AP11,V!$L:$L,0)),"")</f>
        <v/>
      </c>
      <c r="AP11" s="235" t="str">
        <f t="shared" si="10"/>
        <v/>
      </c>
    </row>
    <row r="12" spans="1:42" x14ac:dyDescent="0.2">
      <c r="A12" s="681">
        <v>6</v>
      </c>
      <c r="B12" s="687" t="s">
        <v>380</v>
      </c>
      <c r="C12" s="392">
        <v>13</v>
      </c>
      <c r="D12" s="393" t="s">
        <v>302</v>
      </c>
      <c r="E12" s="394">
        <v>7</v>
      </c>
      <c r="F12" s="395" t="s">
        <v>396</v>
      </c>
      <c r="G12" s="392">
        <v>9</v>
      </c>
      <c r="H12" s="393" t="s">
        <v>302</v>
      </c>
      <c r="I12" s="394">
        <v>12</v>
      </c>
      <c r="J12" s="395" t="s">
        <v>394</v>
      </c>
      <c r="K12" s="392">
        <v>2</v>
      </c>
      <c r="L12" s="393" t="s">
        <v>302</v>
      </c>
      <c r="M12" s="394">
        <v>13</v>
      </c>
      <c r="N12" s="395" t="s">
        <v>395</v>
      </c>
      <c r="O12" s="392">
        <v>13</v>
      </c>
      <c r="P12" s="393" t="s">
        <v>302</v>
      </c>
      <c r="Q12" s="394">
        <v>10</v>
      </c>
      <c r="R12" s="395" t="s">
        <v>397</v>
      </c>
      <c r="S12" s="683"/>
      <c r="T12" s="684" t="s">
        <v>302</v>
      </c>
      <c r="U12" s="685"/>
      <c r="V12" s="686"/>
      <c r="W12" s="706">
        <f t="shared" si="0"/>
        <v>2</v>
      </c>
      <c r="X12" s="707">
        <v>20</v>
      </c>
      <c r="Y12" s="707">
        <v>64</v>
      </c>
      <c r="Z12" s="683">
        <f t="shared" si="1"/>
        <v>37</v>
      </c>
      <c r="AA12" s="684" t="s">
        <v>302</v>
      </c>
      <c r="AB12" s="708">
        <f t="shared" si="2"/>
        <v>42</v>
      </c>
      <c r="AC12" s="399">
        <f t="shared" si="3"/>
        <v>-5</v>
      </c>
      <c r="AD12" s="233">
        <f t="shared" si="11"/>
        <v>180</v>
      </c>
      <c r="AE12" s="234">
        <f>IFERROR(INDEX(V!$R:$R,MATCH(AF12,V!$L:$L,0)),"")</f>
        <v>86</v>
      </c>
      <c r="AF12" s="235" t="str">
        <f t="shared" si="5"/>
        <v>Andrei Grintšak</v>
      </c>
      <c r="AG12" s="234">
        <f>IFERROR(INDEX(V!$R:$R,MATCH(AH12,V!$L:$L,0)),"")</f>
        <v>94</v>
      </c>
      <c r="AH12" s="235" t="str">
        <f t="shared" si="6"/>
        <v>Enn Tokman</v>
      </c>
      <c r="AI12" s="234" t="str">
        <f>IFERROR(INDEX(V!$R:$R,MATCH(AJ12,V!$L:$L,0)),"")</f>
        <v/>
      </c>
      <c r="AJ12" s="235" t="str">
        <f t="shared" si="7"/>
        <v/>
      </c>
      <c r="AK12" s="234" t="str">
        <f>IFERROR(INDEX(V!$R:$R,MATCH(AL12,V!$L:$L,0)),"")</f>
        <v/>
      </c>
      <c r="AL12" s="235" t="str">
        <f t="shared" si="8"/>
        <v/>
      </c>
      <c r="AM12" s="234" t="str">
        <f>IFERROR(INDEX(V!$R:$R,MATCH(AN12,V!$L:$L,0)),"")</f>
        <v/>
      </c>
      <c r="AN12" s="235" t="str">
        <f t="shared" si="9"/>
        <v/>
      </c>
      <c r="AO12" s="234" t="str">
        <f>IFERROR(INDEX(V!$R:$R,MATCH(AP12,V!$L:$L,0)),"")</f>
        <v/>
      </c>
      <c r="AP12" s="235" t="str">
        <f t="shared" si="10"/>
        <v/>
      </c>
    </row>
    <row r="13" spans="1:42" x14ac:dyDescent="0.2">
      <c r="A13" s="681">
        <v>7</v>
      </c>
      <c r="B13" s="688" t="s">
        <v>387</v>
      </c>
      <c r="C13" s="392">
        <v>7</v>
      </c>
      <c r="D13" s="393" t="s">
        <v>302</v>
      </c>
      <c r="E13" s="394">
        <v>13</v>
      </c>
      <c r="F13" s="395" t="s">
        <v>394</v>
      </c>
      <c r="G13" s="392">
        <v>13</v>
      </c>
      <c r="H13" s="393" t="s">
        <v>302</v>
      </c>
      <c r="I13" s="394">
        <v>9</v>
      </c>
      <c r="J13" s="395" t="s">
        <v>396</v>
      </c>
      <c r="K13" s="392">
        <v>8</v>
      </c>
      <c r="L13" s="393" t="s">
        <v>302</v>
      </c>
      <c r="M13" s="394">
        <v>13</v>
      </c>
      <c r="N13" s="395" t="s">
        <v>397</v>
      </c>
      <c r="O13" s="392">
        <v>13</v>
      </c>
      <c r="P13" s="393" t="s">
        <v>302</v>
      </c>
      <c r="Q13" s="394">
        <v>8</v>
      </c>
      <c r="R13" s="395" t="s">
        <v>353</v>
      </c>
      <c r="S13" s="683"/>
      <c r="T13" s="684" t="s">
        <v>302</v>
      </c>
      <c r="U13" s="685"/>
      <c r="V13" s="686"/>
      <c r="W13" s="706">
        <f t="shared" si="0"/>
        <v>2</v>
      </c>
      <c r="X13" s="707">
        <v>16</v>
      </c>
      <c r="Y13" s="707">
        <v>66</v>
      </c>
      <c r="Z13" s="683">
        <f t="shared" si="1"/>
        <v>41</v>
      </c>
      <c r="AA13" s="684" t="s">
        <v>302</v>
      </c>
      <c r="AB13" s="708">
        <f t="shared" si="2"/>
        <v>43</v>
      </c>
      <c r="AC13" s="399">
        <f t="shared" si="3"/>
        <v>-2</v>
      </c>
      <c r="AD13" s="233">
        <f t="shared" si="11"/>
        <v>282</v>
      </c>
      <c r="AE13" s="234">
        <f>IFERROR(INDEX(V!$R:$R,MATCH(AF13,V!$L:$L,0)),"")</f>
        <v>140</v>
      </c>
      <c r="AF13" s="235" t="str">
        <f t="shared" si="5"/>
        <v>Oleg Rõndenkov</v>
      </c>
      <c r="AG13" s="234">
        <f>IFERROR(INDEX(V!$R:$R,MATCH(AH13,V!$L:$L,0)),"")</f>
        <v>142</v>
      </c>
      <c r="AH13" s="235" t="str">
        <f t="shared" si="6"/>
        <v>Sander Rose</v>
      </c>
      <c r="AI13" s="234" t="str">
        <f>IFERROR(INDEX(V!$R:$R,MATCH(AJ13,V!$L:$L,0)),"")</f>
        <v/>
      </c>
      <c r="AJ13" s="235" t="str">
        <f t="shared" si="7"/>
        <v/>
      </c>
      <c r="AK13" s="234" t="str">
        <f>IFERROR(INDEX(V!$R:$R,MATCH(AL13,V!$L:$L,0)),"")</f>
        <v/>
      </c>
      <c r="AL13" s="235" t="str">
        <f t="shared" si="8"/>
        <v/>
      </c>
      <c r="AM13" s="234" t="str">
        <f>IFERROR(INDEX(V!$R:$R,MATCH(AN13,V!$L:$L,0)),"")</f>
        <v/>
      </c>
      <c r="AN13" s="235" t="str">
        <f t="shared" si="9"/>
        <v/>
      </c>
      <c r="AO13" s="234" t="str">
        <f>IFERROR(INDEX(V!$R:$R,MATCH(AP13,V!$L:$L,0)),"")</f>
        <v/>
      </c>
      <c r="AP13" s="235" t="str">
        <f t="shared" si="10"/>
        <v/>
      </c>
    </row>
    <row r="14" spans="1:42" x14ac:dyDescent="0.2">
      <c r="A14" s="681">
        <v>8</v>
      </c>
      <c r="B14" s="688" t="s">
        <v>355</v>
      </c>
      <c r="C14" s="392">
        <v>6</v>
      </c>
      <c r="D14" s="393" t="s">
        <v>302</v>
      </c>
      <c r="E14" s="394">
        <v>13</v>
      </c>
      <c r="F14" s="395" t="s">
        <v>381</v>
      </c>
      <c r="G14" s="392">
        <v>10</v>
      </c>
      <c r="H14" s="393" t="s">
        <v>302</v>
      </c>
      <c r="I14" s="394">
        <v>13</v>
      </c>
      <c r="J14" s="395" t="s">
        <v>397</v>
      </c>
      <c r="K14" s="392">
        <v>13</v>
      </c>
      <c r="L14" s="393" t="s">
        <v>302</v>
      </c>
      <c r="M14" s="394">
        <v>8</v>
      </c>
      <c r="N14" s="395" t="s">
        <v>388</v>
      </c>
      <c r="O14" s="392">
        <v>13</v>
      </c>
      <c r="P14" s="393" t="s">
        <v>302</v>
      </c>
      <c r="Q14" s="394">
        <v>4</v>
      </c>
      <c r="R14" s="395" t="s">
        <v>350</v>
      </c>
      <c r="S14" s="683"/>
      <c r="T14" s="684" t="s">
        <v>302</v>
      </c>
      <c r="U14" s="685"/>
      <c r="V14" s="686"/>
      <c r="W14" s="706">
        <f t="shared" si="0"/>
        <v>2</v>
      </c>
      <c r="X14" s="707">
        <v>10</v>
      </c>
      <c r="Y14" s="707">
        <v>66</v>
      </c>
      <c r="Z14" s="683">
        <f t="shared" si="1"/>
        <v>42</v>
      </c>
      <c r="AA14" s="684" t="s">
        <v>302</v>
      </c>
      <c r="AB14" s="708">
        <f t="shared" si="2"/>
        <v>38</v>
      </c>
      <c r="AC14" s="399">
        <f t="shared" si="3"/>
        <v>4</v>
      </c>
      <c r="AD14" s="233">
        <f t="shared" si="11"/>
        <v>152</v>
      </c>
      <c r="AE14" s="234">
        <f>IFERROR(INDEX(V!$R:$R,MATCH(AF14,V!$L:$L,0)),"")</f>
        <v>76</v>
      </c>
      <c r="AF14" s="235" t="str">
        <f t="shared" si="5"/>
        <v>Boriss Klubov</v>
      </c>
      <c r="AG14" s="234">
        <f>IFERROR(INDEX(V!$R:$R,MATCH(AH14,V!$L:$L,0)),"")</f>
        <v>76</v>
      </c>
      <c r="AH14" s="235" t="str">
        <f t="shared" si="6"/>
        <v>Elmo Lageda</v>
      </c>
      <c r="AI14" s="234" t="str">
        <f>IFERROR(INDEX(V!$R:$R,MATCH(AJ14,V!$L:$L,0)),"")</f>
        <v/>
      </c>
      <c r="AJ14" s="235" t="str">
        <f t="shared" si="7"/>
        <v/>
      </c>
      <c r="AK14" s="234" t="str">
        <f>IFERROR(INDEX(V!$R:$R,MATCH(AL14,V!$L:$L,0)),"")</f>
        <v/>
      </c>
      <c r="AL14" s="235" t="str">
        <f t="shared" si="8"/>
        <v/>
      </c>
      <c r="AM14" s="234" t="str">
        <f>IFERROR(INDEX(V!$R:$R,MATCH(AN14,V!$L:$L,0)),"")</f>
        <v/>
      </c>
      <c r="AN14" s="235" t="str">
        <f t="shared" si="9"/>
        <v/>
      </c>
      <c r="AO14" s="234" t="str">
        <f>IFERROR(INDEX(V!$R:$R,MATCH(AP14,V!$L:$L,0)),"")</f>
        <v/>
      </c>
      <c r="AP14" s="235" t="str">
        <f t="shared" si="10"/>
        <v/>
      </c>
    </row>
    <row r="15" spans="1:42" x14ac:dyDescent="0.2">
      <c r="A15" s="681">
        <v>9</v>
      </c>
      <c r="B15" s="688" t="s">
        <v>396</v>
      </c>
      <c r="C15" s="392">
        <v>7</v>
      </c>
      <c r="D15" s="393" t="s">
        <v>302</v>
      </c>
      <c r="E15" s="394">
        <v>13</v>
      </c>
      <c r="F15" s="395" t="s">
        <v>380</v>
      </c>
      <c r="G15" s="392">
        <v>9</v>
      </c>
      <c r="H15" s="393" t="s">
        <v>302</v>
      </c>
      <c r="I15" s="394">
        <v>13</v>
      </c>
      <c r="J15" s="395" t="s">
        <v>387</v>
      </c>
      <c r="K15" s="392">
        <v>13</v>
      </c>
      <c r="L15" s="393" t="s">
        <v>302</v>
      </c>
      <c r="M15" s="394">
        <v>4</v>
      </c>
      <c r="N15" s="395" t="s">
        <v>350</v>
      </c>
      <c r="O15" s="392">
        <v>13</v>
      </c>
      <c r="P15" s="393" t="s">
        <v>302</v>
      </c>
      <c r="Q15" s="394">
        <v>11</v>
      </c>
      <c r="R15" s="395" t="s">
        <v>388</v>
      </c>
      <c r="S15" s="683"/>
      <c r="T15" s="684" t="s">
        <v>302</v>
      </c>
      <c r="U15" s="685"/>
      <c r="V15" s="686"/>
      <c r="W15" s="706">
        <f t="shared" ref="W15:W18" si="12">IF(C15&gt;E15,W$2,IF(C15&lt;E15,W$4,IF(ISNUMBER(C15),W$3,0)))+IF(G15&gt;I15,W$2,IF(G15&lt;I15,W$4,IF(ISNUMBER(G15),W$3,0)))+IF(K15&gt;M15,W$2,IF(K15&lt;M15,W$4,IF(ISNUMBER(K15),W$3,0)))+IF(O15&gt;Q15,W$2,IF(O15&lt;Q15,W$4,IF(ISNUMBER(O15),W$3,0)))+IF(S15&gt;U15,W$2,IF(S15&lt;U15,W$4,IF(ISNUMBER(S15),W$3,0)))</f>
        <v>2</v>
      </c>
      <c r="X15" s="707">
        <v>10</v>
      </c>
      <c r="Y15" s="707">
        <v>62</v>
      </c>
      <c r="Z15" s="683">
        <f t="shared" si="1"/>
        <v>42</v>
      </c>
      <c r="AA15" s="684" t="s">
        <v>302</v>
      </c>
      <c r="AB15" s="708">
        <f t="shared" si="2"/>
        <v>41</v>
      </c>
      <c r="AC15" s="399">
        <f t="shared" si="3"/>
        <v>1</v>
      </c>
      <c r="AD15" s="233">
        <f t="shared" si="11"/>
        <v>84</v>
      </c>
      <c r="AE15" s="234">
        <f>IFERROR(INDEX(V!$R:$R,MATCH(AF15,V!$L:$L,0)),"")</f>
        <v>66</v>
      </c>
      <c r="AF15" s="235" t="str">
        <f t="shared" ref="AF15:AF18" si="13">IFERROR(LEFT($B15,(FIND(",",$B15,1)-1)),"")</f>
        <v>Peep Peenema</v>
      </c>
      <c r="AG15" s="234">
        <f>IFERROR(INDEX(V!$R:$R,MATCH(AH15,V!$L:$L,0)),"")</f>
        <v>18</v>
      </c>
      <c r="AH15" s="235" t="str">
        <f t="shared" ref="AH15:AH18" si="14">IFERROR(MID($B15,FIND(", ",$B15)+2,256),"")</f>
        <v>Tarmo Bombe</v>
      </c>
      <c r="AI15" s="234" t="str">
        <f>IFERROR(INDEX(V!$R:$R,MATCH(AJ15,V!$L:$L,0)),"")</f>
        <v/>
      </c>
      <c r="AJ15" s="235" t="str">
        <f t="shared" ref="AJ15:AJ18" si="15">IFERROR(MID($B15,FIND("^",SUBSTITUTE($B15,", ","^",1))+2,FIND("^",SUBSTITUTE($B15,", ","^",2))-FIND("^",SUBSTITUTE($B15,", ","^",1))-2),"")</f>
        <v/>
      </c>
      <c r="AK15" s="234" t="str">
        <f>IFERROR(INDEX(V!$R:$R,MATCH(AL15,V!$L:$L,0)),"")</f>
        <v/>
      </c>
      <c r="AL15" s="235" t="str">
        <f t="shared" ref="AL15:AL18" si="16">IFERROR(MID($B15,FIND(", ",$B15,FIND(", ",$B15,FIND(", ",$B15))+1)+2,30000),"")</f>
        <v/>
      </c>
      <c r="AM15" s="234" t="str">
        <f>IFERROR(INDEX(V!$R:$R,MATCH(AN15,V!$L:$L,0)),"")</f>
        <v/>
      </c>
      <c r="AN15" s="235" t="str">
        <f t="shared" ref="AN15:AN18" si="17">IFERROR(MID($B15,FIND(", ",$B15,FIND(", ",$B15)+1)+2,FIND(", ",$B15,FIND(", ",$B15,FIND(", ",$B15)+1)+1)-FIND(", ",$B15,FIND(", ",$B15)+1)-2),"")</f>
        <v/>
      </c>
      <c r="AO15" s="234" t="str">
        <f>IFERROR(INDEX(V!$R:$R,MATCH(AP15,V!$L:$L,0)),"")</f>
        <v/>
      </c>
      <c r="AP15" s="235" t="str">
        <f t="shared" ref="AP15:AP18" si="18">IFERROR(MID($B15,FIND(", ",$B15,FIND(", ",$B15,FIND(", ",$B15)+1)+1)+2,30000),"")</f>
        <v/>
      </c>
    </row>
    <row r="16" spans="1:42" x14ac:dyDescent="0.2">
      <c r="A16" s="681">
        <v>10</v>
      </c>
      <c r="B16" s="688" t="s">
        <v>353</v>
      </c>
      <c r="C16" s="392">
        <v>13</v>
      </c>
      <c r="D16" s="393" t="s">
        <v>302</v>
      </c>
      <c r="E16" s="394">
        <v>5</v>
      </c>
      <c r="F16" s="395" t="s">
        <v>350</v>
      </c>
      <c r="G16" s="392">
        <v>5</v>
      </c>
      <c r="H16" s="393" t="s">
        <v>302</v>
      </c>
      <c r="I16" s="394">
        <v>13</v>
      </c>
      <c r="J16" s="395" t="s">
        <v>395</v>
      </c>
      <c r="K16" s="392">
        <v>1</v>
      </c>
      <c r="L16" s="393" t="s">
        <v>302</v>
      </c>
      <c r="M16" s="394">
        <v>13</v>
      </c>
      <c r="N16" s="395" t="s">
        <v>381</v>
      </c>
      <c r="O16" s="392">
        <v>8</v>
      </c>
      <c r="P16" s="393" t="s">
        <v>302</v>
      </c>
      <c r="Q16" s="394">
        <v>13</v>
      </c>
      <c r="R16" s="395" t="s">
        <v>387</v>
      </c>
      <c r="S16" s="683"/>
      <c r="T16" s="684" t="s">
        <v>302</v>
      </c>
      <c r="U16" s="685"/>
      <c r="V16" s="686"/>
      <c r="W16" s="706">
        <f t="shared" si="12"/>
        <v>1</v>
      </c>
      <c r="X16" s="707">
        <v>16</v>
      </c>
      <c r="Y16" s="707">
        <v>60</v>
      </c>
      <c r="Z16" s="683">
        <f t="shared" si="1"/>
        <v>27</v>
      </c>
      <c r="AA16" s="684" t="s">
        <v>302</v>
      </c>
      <c r="AB16" s="708">
        <f t="shared" si="2"/>
        <v>44</v>
      </c>
      <c r="AC16" s="399">
        <f t="shared" si="3"/>
        <v>-17</v>
      </c>
      <c r="AD16" s="233">
        <f t="shared" si="11"/>
        <v>186</v>
      </c>
      <c r="AE16" s="234">
        <f>IFERROR(INDEX(V!$R:$R,MATCH(AF16,V!$L:$L,0)),"")</f>
        <v>102</v>
      </c>
      <c r="AF16" s="235" t="str">
        <f t="shared" si="13"/>
        <v>Hillar Neiland</v>
      </c>
      <c r="AG16" s="234">
        <f>IFERROR(INDEX(V!$R:$R,MATCH(AH16,V!$L:$L,0)),"")</f>
        <v>84</v>
      </c>
      <c r="AH16" s="235" t="str">
        <f t="shared" si="14"/>
        <v>Kaspar Mänd</v>
      </c>
      <c r="AI16" s="234" t="str">
        <f>IFERROR(INDEX(V!$R:$R,MATCH(AJ16,V!$L:$L,0)),"")</f>
        <v/>
      </c>
      <c r="AJ16" s="235" t="str">
        <f t="shared" si="15"/>
        <v/>
      </c>
      <c r="AK16" s="234" t="str">
        <f>IFERROR(INDEX(V!$R:$R,MATCH(AL16,V!$L:$L,0)),"")</f>
        <v/>
      </c>
      <c r="AL16" s="235" t="str">
        <f t="shared" si="16"/>
        <v/>
      </c>
      <c r="AM16" s="234" t="str">
        <f>IFERROR(INDEX(V!$R:$R,MATCH(AN16,V!$L:$L,0)),"")</f>
        <v/>
      </c>
      <c r="AN16" s="235" t="str">
        <f t="shared" si="17"/>
        <v/>
      </c>
      <c r="AO16" s="234" t="str">
        <f>IFERROR(INDEX(V!$R:$R,MATCH(AP16,V!$L:$L,0)),"")</f>
        <v/>
      </c>
      <c r="AP16" s="235" t="str">
        <f t="shared" si="18"/>
        <v/>
      </c>
    </row>
    <row r="17" spans="1:42" x14ac:dyDescent="0.2">
      <c r="A17" s="681">
        <v>11</v>
      </c>
      <c r="B17" s="688" t="s">
        <v>350</v>
      </c>
      <c r="C17" s="392">
        <v>5</v>
      </c>
      <c r="D17" s="393" t="s">
        <v>302</v>
      </c>
      <c r="E17" s="394">
        <v>13</v>
      </c>
      <c r="F17" s="395" t="s">
        <v>353</v>
      </c>
      <c r="G17" s="392">
        <v>13</v>
      </c>
      <c r="H17" s="393" t="s">
        <v>302</v>
      </c>
      <c r="I17" s="394">
        <v>6</v>
      </c>
      <c r="J17" s="395" t="s">
        <v>388</v>
      </c>
      <c r="K17" s="392">
        <v>4</v>
      </c>
      <c r="L17" s="393" t="s">
        <v>302</v>
      </c>
      <c r="M17" s="394">
        <v>13</v>
      </c>
      <c r="N17" s="395" t="s">
        <v>396</v>
      </c>
      <c r="O17" s="392">
        <v>4</v>
      </c>
      <c r="P17" s="393" t="s">
        <v>302</v>
      </c>
      <c r="Q17" s="394">
        <v>13</v>
      </c>
      <c r="R17" s="395" t="s">
        <v>355</v>
      </c>
      <c r="S17" s="683"/>
      <c r="T17" s="684" t="s">
        <v>302</v>
      </c>
      <c r="U17" s="685"/>
      <c r="V17" s="686"/>
      <c r="W17" s="706">
        <f t="shared" si="12"/>
        <v>1</v>
      </c>
      <c r="X17" s="707">
        <v>10</v>
      </c>
      <c r="Y17" s="707">
        <v>52</v>
      </c>
      <c r="Z17" s="683">
        <f t="shared" si="1"/>
        <v>26</v>
      </c>
      <c r="AA17" s="684" t="s">
        <v>302</v>
      </c>
      <c r="AB17" s="708">
        <f t="shared" si="2"/>
        <v>45</v>
      </c>
      <c r="AC17" s="399">
        <f t="shared" si="3"/>
        <v>-19</v>
      </c>
      <c r="AD17" s="233">
        <f t="shared" si="11"/>
        <v>148</v>
      </c>
      <c r="AE17" s="234">
        <f>IFERROR(INDEX(V!$R:$R,MATCH(AF17,V!$L:$L,0)),"")</f>
        <v>74</v>
      </c>
      <c r="AF17" s="235" t="str">
        <f t="shared" si="13"/>
        <v>Aigi Orro</v>
      </c>
      <c r="AG17" s="234">
        <f>IFERROR(INDEX(V!$R:$R,MATCH(AH17,V!$L:$L,0)),"")</f>
        <v>74</v>
      </c>
      <c r="AH17" s="235" t="str">
        <f t="shared" si="14"/>
        <v>Kalle Orro</v>
      </c>
      <c r="AI17" s="234" t="str">
        <f>IFERROR(INDEX(V!$R:$R,MATCH(AJ17,V!$L:$L,0)),"")</f>
        <v/>
      </c>
      <c r="AJ17" s="235" t="str">
        <f t="shared" si="15"/>
        <v/>
      </c>
      <c r="AK17" s="234" t="str">
        <f>IFERROR(INDEX(V!$R:$R,MATCH(AL17,V!$L:$L,0)),"")</f>
        <v/>
      </c>
      <c r="AL17" s="235" t="str">
        <f t="shared" si="16"/>
        <v/>
      </c>
      <c r="AM17" s="234" t="str">
        <f>IFERROR(INDEX(V!$R:$R,MATCH(AN17,V!$L:$L,0)),"")</f>
        <v/>
      </c>
      <c r="AN17" s="235" t="str">
        <f t="shared" si="17"/>
        <v/>
      </c>
      <c r="AO17" s="234" t="str">
        <f>IFERROR(INDEX(V!$R:$R,MATCH(AP17,V!$L:$L,0)),"")</f>
        <v/>
      </c>
      <c r="AP17" s="235" t="str">
        <f t="shared" si="18"/>
        <v/>
      </c>
    </row>
    <row r="18" spans="1:42" x14ac:dyDescent="0.2">
      <c r="A18" s="681">
        <v>12</v>
      </c>
      <c r="B18" s="688" t="s">
        <v>388</v>
      </c>
      <c r="C18" s="392">
        <v>3</v>
      </c>
      <c r="D18" s="393" t="s">
        <v>302</v>
      </c>
      <c r="E18" s="394">
        <v>13</v>
      </c>
      <c r="F18" s="395" t="s">
        <v>395</v>
      </c>
      <c r="G18" s="392">
        <v>6</v>
      </c>
      <c r="H18" s="393" t="s">
        <v>302</v>
      </c>
      <c r="I18" s="394">
        <v>13</v>
      </c>
      <c r="J18" s="395" t="s">
        <v>350</v>
      </c>
      <c r="K18" s="392">
        <v>8</v>
      </c>
      <c r="L18" s="393" t="s">
        <v>302</v>
      </c>
      <c r="M18" s="394">
        <v>13</v>
      </c>
      <c r="N18" s="395" t="s">
        <v>355</v>
      </c>
      <c r="O18" s="392">
        <v>11</v>
      </c>
      <c r="P18" s="393" t="s">
        <v>302</v>
      </c>
      <c r="Q18" s="394">
        <v>13</v>
      </c>
      <c r="R18" s="395" t="s">
        <v>396</v>
      </c>
      <c r="S18" s="683"/>
      <c r="T18" s="684" t="s">
        <v>302</v>
      </c>
      <c r="U18" s="685"/>
      <c r="V18" s="686"/>
      <c r="W18" s="706">
        <f t="shared" si="12"/>
        <v>0</v>
      </c>
      <c r="X18" s="707">
        <v>16</v>
      </c>
      <c r="Y18" s="707">
        <v>44</v>
      </c>
      <c r="Z18" s="683">
        <f t="shared" si="1"/>
        <v>28</v>
      </c>
      <c r="AA18" s="684" t="s">
        <v>302</v>
      </c>
      <c r="AB18" s="708">
        <f t="shared" si="2"/>
        <v>52</v>
      </c>
      <c r="AC18" s="399">
        <f t="shared" si="3"/>
        <v>-24</v>
      </c>
      <c r="AD18" s="233">
        <f t="shared" si="11"/>
        <v>124</v>
      </c>
      <c r="AE18" s="234">
        <f>IFERROR(INDEX(V!$R:$R,MATCH(AF18,V!$L:$L,0)),"")</f>
        <v>58</v>
      </c>
      <c r="AF18" s="235" t="str">
        <f t="shared" si="13"/>
        <v>Kristel Tihhonjuk</v>
      </c>
      <c r="AG18" s="234">
        <f>IFERROR(INDEX(V!$R:$R,MATCH(AH18,V!$L:$L,0)),"")</f>
        <v>66</v>
      </c>
      <c r="AH18" s="235" t="str">
        <f t="shared" si="14"/>
        <v>Vadim Tihhonjuk</v>
      </c>
      <c r="AI18" s="234" t="str">
        <f>IFERROR(INDEX(V!$R:$R,MATCH(AJ18,V!$L:$L,0)),"")</f>
        <v/>
      </c>
      <c r="AJ18" s="235" t="str">
        <f t="shared" si="15"/>
        <v/>
      </c>
      <c r="AK18" s="234" t="str">
        <f>IFERROR(INDEX(V!$R:$R,MATCH(AL18,V!$L:$L,0)),"")</f>
        <v/>
      </c>
      <c r="AL18" s="235" t="str">
        <f t="shared" si="16"/>
        <v/>
      </c>
      <c r="AM18" s="234" t="str">
        <f>IFERROR(INDEX(V!$R:$R,MATCH(AN18,V!$L:$L,0)),"")</f>
        <v/>
      </c>
      <c r="AN18" s="235" t="str">
        <f t="shared" si="17"/>
        <v/>
      </c>
      <c r="AO18" s="234" t="str">
        <f>IFERROR(INDEX(V!$R:$R,MATCH(AP18,V!$L:$L,0)),"")</f>
        <v/>
      </c>
      <c r="AP18" s="235" t="str">
        <f t="shared" si="18"/>
        <v/>
      </c>
    </row>
    <row r="21" spans="1:42" ht="12.75" hidden="1" customHeight="1" x14ac:dyDescent="0.2"/>
    <row r="22" spans="1:42" ht="12.75" hidden="1" customHeight="1" x14ac:dyDescent="0.2"/>
    <row r="23" spans="1:42" ht="12.75" hidden="1" customHeight="1" x14ac:dyDescent="0.2"/>
    <row r="24" spans="1:42" ht="12.75" hidden="1" customHeight="1" x14ac:dyDescent="0.2"/>
    <row r="25" spans="1:42" ht="12.75" hidden="1" customHeight="1" x14ac:dyDescent="0.2"/>
    <row r="26" spans="1:42" ht="12.75" hidden="1" customHeight="1" x14ac:dyDescent="0.2"/>
    <row r="27" spans="1:42" ht="12.75" hidden="1" customHeight="1" x14ac:dyDescent="0.2"/>
    <row r="28" spans="1:42" ht="12.75" hidden="1" customHeight="1" x14ac:dyDescent="0.2"/>
    <row r="29" spans="1:42" ht="12.75" hidden="1" customHeight="1" x14ac:dyDescent="0.2"/>
    <row r="30" spans="1:42" ht="12.75" hidden="1" customHeight="1" x14ac:dyDescent="0.2"/>
    <row r="31" spans="1:42" ht="12.75" hidden="1" customHeight="1" x14ac:dyDescent="0.2"/>
    <row r="32" spans="1:4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spans="1:6" ht="12.75" hidden="1" customHeight="1" x14ac:dyDescent="0.2"/>
    <row r="290" spans="1:6" ht="12.75" hidden="1" customHeight="1" x14ac:dyDescent="0.2"/>
    <row r="291" spans="1:6" ht="12.75" hidden="1" customHeight="1" x14ac:dyDescent="0.2"/>
    <row r="292" spans="1:6" ht="12.75" hidden="1" customHeight="1" x14ac:dyDescent="0.2"/>
    <row r="293" spans="1:6" ht="12.75" hidden="1" customHeight="1" x14ac:dyDescent="0.2"/>
    <row r="294" spans="1:6" ht="12.75" hidden="1" customHeight="1" x14ac:dyDescent="0.2"/>
    <row r="295" spans="1:6" ht="12.75" hidden="1" customHeight="1" x14ac:dyDescent="0.2"/>
    <row r="296" spans="1:6" ht="12.75" hidden="1" customHeight="1" x14ac:dyDescent="0.2"/>
    <row r="297" spans="1:6" ht="12.75" hidden="1" customHeight="1" x14ac:dyDescent="0.2"/>
    <row r="298" spans="1:6" ht="12.75" hidden="1" customHeight="1" x14ac:dyDescent="0.2"/>
    <row r="299" spans="1:6" x14ac:dyDescent="0.2">
      <c r="A299" s="158"/>
      <c r="B299" s="158"/>
      <c r="C299" s="229" t="s">
        <v>231</v>
      </c>
      <c r="F299" s="649"/>
    </row>
    <row r="300" spans="1:6" x14ac:dyDescent="0.2">
      <c r="A300" s="351">
        <v>1</v>
      </c>
      <c r="B300" s="402" t="str">
        <f t="shared" ref="B300:B311" si="19">IFERROR(INDEX(B$1:B$95,MATCH(A300,A$1:A$95,0)),"")</f>
        <v>Olav Türk, Sirje Maala</v>
      </c>
      <c r="C300" s="323">
        <f t="shared" ref="C300:C307" si="20">LARGE(A300:A398,1)*2+2-A300*2</f>
        <v>24</v>
      </c>
      <c r="F300" s="649"/>
    </row>
    <row r="301" spans="1:6" x14ac:dyDescent="0.2">
      <c r="A301" s="351">
        <v>2</v>
      </c>
      <c r="B301" s="402" t="str">
        <f t="shared" si="19"/>
        <v>Lemmit Toomra, Peeter Lüdig</v>
      </c>
      <c r="C301" s="323">
        <f t="shared" si="20"/>
        <v>22</v>
      </c>
      <c r="F301" s="649"/>
    </row>
    <row r="302" spans="1:6" x14ac:dyDescent="0.2">
      <c r="A302" s="351">
        <v>3</v>
      </c>
      <c r="B302" s="402" t="str">
        <f t="shared" si="19"/>
        <v>Kenneth Muusikus, Tõnis Neiland</v>
      </c>
      <c r="C302" s="323">
        <f t="shared" si="20"/>
        <v>20</v>
      </c>
      <c r="F302" s="649"/>
    </row>
    <row r="303" spans="1:6" x14ac:dyDescent="0.2">
      <c r="A303" s="351">
        <v>4</v>
      </c>
      <c r="B303" s="402" t="str">
        <f t="shared" si="19"/>
        <v>Matti Vinni, Vello Vasser</v>
      </c>
      <c r="C303" s="323">
        <f t="shared" si="20"/>
        <v>18</v>
      </c>
      <c r="F303" s="649"/>
    </row>
    <row r="304" spans="1:6" x14ac:dyDescent="0.2">
      <c r="A304" s="351">
        <v>5</v>
      </c>
      <c r="B304" s="402" t="str">
        <f t="shared" si="19"/>
        <v>Andres Veski, Svetlana Veski</v>
      </c>
      <c r="C304" s="323">
        <f t="shared" si="20"/>
        <v>16</v>
      </c>
      <c r="F304" s="649"/>
    </row>
    <row r="305" spans="1:6" x14ac:dyDescent="0.2">
      <c r="A305" s="351">
        <v>6</v>
      </c>
      <c r="B305" s="402" t="str">
        <f t="shared" si="19"/>
        <v>Andrei Grintšak, Enn Tokman</v>
      </c>
      <c r="C305" s="323">
        <f t="shared" si="20"/>
        <v>14</v>
      </c>
      <c r="F305" s="649"/>
    </row>
    <row r="306" spans="1:6" x14ac:dyDescent="0.2">
      <c r="A306" s="351">
        <v>7</v>
      </c>
      <c r="B306" s="402" t="str">
        <f t="shared" si="19"/>
        <v>Oleg Rõndenkov, Sander Rose</v>
      </c>
      <c r="C306" s="323">
        <f t="shared" si="20"/>
        <v>12</v>
      </c>
      <c r="F306" s="649"/>
    </row>
    <row r="307" spans="1:6" x14ac:dyDescent="0.2">
      <c r="A307" s="351">
        <v>8</v>
      </c>
      <c r="B307" s="402" t="str">
        <f t="shared" si="19"/>
        <v>Boriss Klubov, Elmo Lageda</v>
      </c>
      <c r="C307" s="323">
        <f t="shared" si="20"/>
        <v>10</v>
      </c>
      <c r="F307" s="649"/>
    </row>
    <row r="308" spans="1:6" x14ac:dyDescent="0.2">
      <c r="A308" s="351">
        <v>9</v>
      </c>
      <c r="B308" s="402" t="str">
        <f t="shared" si="19"/>
        <v>Peep Peenema, Tarmo Bombe</v>
      </c>
      <c r="C308" s="323">
        <f t="shared" ref="C308:C311" si="21">LARGE(A308:A406,1)*2+2-A308*2</f>
        <v>8</v>
      </c>
    </row>
    <row r="309" spans="1:6" x14ac:dyDescent="0.2">
      <c r="A309" s="351">
        <v>10</v>
      </c>
      <c r="B309" s="402" t="str">
        <f t="shared" si="19"/>
        <v>Hillar Neiland, Kaspar Mänd</v>
      </c>
      <c r="C309" s="323">
        <f t="shared" si="21"/>
        <v>6</v>
      </c>
    </row>
    <row r="310" spans="1:6" x14ac:dyDescent="0.2">
      <c r="A310" s="351">
        <v>11</v>
      </c>
      <c r="B310" s="402" t="str">
        <f t="shared" si="19"/>
        <v>Aigi Orro, Kalle Orro</v>
      </c>
      <c r="C310" s="323">
        <f t="shared" si="21"/>
        <v>4</v>
      </c>
    </row>
    <row r="311" spans="1:6" x14ac:dyDescent="0.2">
      <c r="A311" s="351">
        <v>12</v>
      </c>
      <c r="B311" s="402" t="str">
        <f t="shared" si="19"/>
        <v>Kristel Tihhonjuk, Vadim Tihhonjuk</v>
      </c>
      <c r="C311" s="323">
        <f t="shared" si="21"/>
        <v>2</v>
      </c>
    </row>
  </sheetData>
  <conditionalFormatting sqref="AJ7:AJ18 AH7:AH18 AL7:AL18">
    <cfRule type="expression" dxfId="1861" priority="62">
      <formula>AND(AG7="",FIND(",",AH7))</formula>
    </cfRule>
    <cfRule type="expression" dxfId="1860" priority="64">
      <formula>AND(AG7="",COUNTIF(AH7,"*,*")=0)</formula>
    </cfRule>
  </conditionalFormatting>
  <conditionalFormatting sqref="AF7:AF18">
    <cfRule type="expression" dxfId="1859" priority="63">
      <formula>AND(AE7="",COUNTIF(AF7,"*,*")=0)</formula>
    </cfRule>
  </conditionalFormatting>
  <conditionalFormatting sqref="AN7:AN18 AP7:AP18">
    <cfRule type="expression" dxfId="1858" priority="60">
      <formula>AND(AM7="",COUNTIF(AN7,"*,*")=0)</formula>
    </cfRule>
    <cfRule type="expression" dxfId="1857" priority="61">
      <formula>AND(AM7="",FIND(",",AN7))</formula>
    </cfRule>
  </conditionalFormatting>
  <conditionalFormatting sqref="S7:S18">
    <cfRule type="expression" dxfId="1856" priority="28">
      <formula>AND(S7=0,U7=13)</formula>
    </cfRule>
  </conditionalFormatting>
  <conditionalFormatting sqref="V7:V18">
    <cfRule type="containsText" dxfId="1855" priority="30" operator="containsText" text="vaba voor">
      <formula>NOT(ISERROR(SEARCH("vaba voor",V7)))</formula>
    </cfRule>
  </conditionalFormatting>
  <conditionalFormatting sqref="U7:U18">
    <cfRule type="expression" dxfId="1854" priority="29">
      <formula>AND(U7=0,S7=13)</formula>
    </cfRule>
  </conditionalFormatting>
  <conditionalFormatting sqref="S7:S18">
    <cfRule type="expression" dxfId="1853" priority="57">
      <formula>IF($S7&gt;$U7,TRUE)</formula>
    </cfRule>
  </conditionalFormatting>
  <conditionalFormatting sqref="U7:U18">
    <cfRule type="expression" dxfId="1852" priority="58">
      <formula>IF($S7&lt;$U7,TRUE)</formula>
    </cfRule>
  </conditionalFormatting>
  <conditionalFormatting sqref="S7:V18">
    <cfRule type="expression" dxfId="1851" priority="35">
      <formula>IF(AND(ISNUMBER($S7),$S7=$U7),TRUE)</formula>
    </cfRule>
    <cfRule type="expression" dxfId="1850" priority="55">
      <formula>IF($S7&gt;$U7,TRUE)</formula>
    </cfRule>
    <cfRule type="expression" dxfId="1849" priority="56">
      <formula>IF($S7&lt;$U7,TRUE)</formula>
    </cfRule>
  </conditionalFormatting>
  <conditionalFormatting sqref="A7:A18">
    <cfRule type="duplicateValues" dxfId="1848" priority="59"/>
  </conditionalFormatting>
  <conditionalFormatting sqref="B300:B311">
    <cfRule type="expression" dxfId="1847" priority="65">
      <formula>A300=3</formula>
    </cfRule>
    <cfRule type="expression" dxfId="1846" priority="66">
      <formula>A300=2</formula>
    </cfRule>
    <cfRule type="expression" dxfId="1845" priority="67">
      <formula>A300=1</formula>
    </cfRule>
    <cfRule type="containsBlanks" dxfId="1844" priority="68">
      <formula>LEN(TRIM(B300))=0</formula>
    </cfRule>
    <cfRule type="duplicateValues" dxfId="1843" priority="69"/>
  </conditionalFormatting>
  <conditionalFormatting sqref="C7:C18 G7:G18 K7:K18 O7:O18">
    <cfRule type="expression" dxfId="1842" priority="1">
      <formula>AND(C7=0,E7=13)</formula>
    </cfRule>
  </conditionalFormatting>
  <conditionalFormatting sqref="C7:C18">
    <cfRule type="expression" dxfId="1841" priority="13">
      <formula>IF($C7&gt;$E7,TRUE)</formula>
    </cfRule>
  </conditionalFormatting>
  <conditionalFormatting sqref="E7:E18">
    <cfRule type="expression" dxfId="1840" priority="14">
      <formula>IF($C7&lt;$E7,TRUE)</formula>
    </cfRule>
  </conditionalFormatting>
  <conditionalFormatting sqref="K7:K18">
    <cfRule type="expression" dxfId="1839" priority="21">
      <formula>IF($K7&gt;$M7,TRUE)</formula>
    </cfRule>
  </conditionalFormatting>
  <conditionalFormatting sqref="M7:M18">
    <cfRule type="expression" dxfId="1838" priority="22">
      <formula>IF($K7&lt;$M7,TRUE)</formula>
    </cfRule>
  </conditionalFormatting>
  <conditionalFormatting sqref="O7:O18">
    <cfRule type="expression" dxfId="1837" priority="25">
      <formula>IF($O7&gt;$Q7,TRUE)</formula>
    </cfRule>
  </conditionalFormatting>
  <conditionalFormatting sqref="Q7:Q18">
    <cfRule type="expression" dxfId="1836" priority="26">
      <formula>IF($O7&lt;$Q7,TRUE)</formula>
    </cfRule>
  </conditionalFormatting>
  <conditionalFormatting sqref="G7:G18">
    <cfRule type="expression" dxfId="1835" priority="17">
      <formula>IF($G7&gt;$I7,TRUE)</formula>
    </cfRule>
  </conditionalFormatting>
  <conditionalFormatting sqref="I7:I18">
    <cfRule type="expression" dxfId="1834" priority="18">
      <formula>IF($G7&lt;$I7,TRUE)</formula>
    </cfRule>
  </conditionalFormatting>
  <conditionalFormatting sqref="F7:F18">
    <cfRule type="containsText" dxfId="1833" priority="5" operator="containsText" text="vaba voor">
      <formula>NOT(ISERROR(SEARCH("vaba voor",F7)))</formula>
    </cfRule>
  </conditionalFormatting>
  <conditionalFormatting sqref="N7:N18">
    <cfRule type="containsText" dxfId="1832" priority="3" operator="containsText" text="vaba voor">
      <formula>NOT(ISERROR(SEARCH("vaba voor",N7)))</formula>
    </cfRule>
  </conditionalFormatting>
  <conditionalFormatting sqref="R7:R18">
    <cfRule type="containsText" dxfId="1831" priority="6" operator="containsText" text="vaba voor">
      <formula>NOT(ISERROR(SEARCH("vaba voor",R7)))</formula>
    </cfRule>
  </conditionalFormatting>
  <conditionalFormatting sqref="J7:J18">
    <cfRule type="containsText" dxfId="1830" priority="4" operator="containsText" text="vaba voor">
      <formula>NOT(ISERROR(SEARCH("vaba voor",J7)))</formula>
    </cfRule>
  </conditionalFormatting>
  <conditionalFormatting sqref="C7:F18">
    <cfRule type="expression" dxfId="1829" priority="9">
      <formula>IF(AND(ISNUMBER($C7),$C7=$E7),TRUE)</formula>
    </cfRule>
    <cfRule type="expression" dxfId="1828" priority="11">
      <formula>IF($C7&gt;$E7,TRUE)</formula>
    </cfRule>
    <cfRule type="expression" dxfId="1827" priority="12">
      <formula>IF($C7&lt;$E7,TRUE)</formula>
    </cfRule>
  </conditionalFormatting>
  <conditionalFormatting sqref="G7:J18">
    <cfRule type="expression" dxfId="1826" priority="10">
      <formula>IF(AND(ISNUMBER($G7),$G7=$I7),TRUE)</formula>
    </cfRule>
    <cfRule type="expression" dxfId="1825" priority="15">
      <formula>IF($G7&gt;$I7,TRUE)</formula>
    </cfRule>
    <cfRule type="expression" dxfId="1824" priority="16">
      <formula>IF($G7&lt;$I7,TRUE)</formula>
    </cfRule>
  </conditionalFormatting>
  <conditionalFormatting sqref="K7:N18">
    <cfRule type="expression" dxfId="1823" priority="8">
      <formula>IF(AND(ISNUMBER($K7),$K7=$M7),TRUE)</formula>
    </cfRule>
    <cfRule type="expression" dxfId="1822" priority="19">
      <formula>IF($K7&gt;$M7,TRUE)</formula>
    </cfRule>
    <cfRule type="expression" dxfId="1821" priority="20">
      <formula>IF($K7&lt;$M7,TRUE)</formula>
    </cfRule>
  </conditionalFormatting>
  <conditionalFormatting sqref="O7:R18">
    <cfRule type="expression" dxfId="1820" priority="7">
      <formula>IF(AND(ISNUMBER($O7),$O7=$Q7),TRUE)</formula>
    </cfRule>
    <cfRule type="expression" dxfId="1819" priority="23">
      <formula>IF($O7&gt;$Q7,TRUE)</formula>
    </cfRule>
    <cfRule type="expression" dxfId="1818" priority="24">
      <formula>IF($O7&lt;$Q7,TRUE)</formula>
    </cfRule>
  </conditionalFormatting>
  <conditionalFormatting sqref="E7:E18 I7:I18 M7:M18 Q7:Q18">
    <cfRule type="expression" dxfId="1817" priority="2">
      <formula>AND(E7=0,C7=13)</formula>
    </cfRule>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P317"/>
  <sheetViews>
    <sheetView showGridLines="0" showRowColHeaders="0" workbookViewId="0">
      <pane ySplit="1" topLeftCell="A2" activePane="bottomLeft" state="frozen"/>
      <selection pane="bottomLeft" activeCell="A4" sqref="A4"/>
    </sheetView>
  </sheetViews>
  <sheetFormatPr defaultRowHeight="12.75" x14ac:dyDescent="0.2"/>
  <cols>
    <col min="1" max="1" width="3.28515625" style="1" customWidth="1"/>
    <col min="2" max="2" width="38.85546875" style="1" bestFit="1" customWidth="1"/>
    <col min="3" max="9" width="5.85546875" style="1" customWidth="1"/>
    <col min="10" max="15" width="5.5703125" style="1" customWidth="1"/>
    <col min="16" max="18" width="9.140625" style="1" hidden="1" customWidth="1"/>
    <col min="19" max="19" width="11.5703125" style="1" hidden="1" customWidth="1"/>
    <col min="20" max="20" width="9.140625" style="1" hidden="1" customWidth="1"/>
    <col min="21" max="21" width="9.140625" style="1"/>
    <col min="22" max="27" width="0" style="1" hidden="1" customWidth="1"/>
    <col min="28" max="28" width="9.140625" style="1" hidden="1" customWidth="1"/>
    <col min="29" max="29" width="9.140625" style="1" customWidth="1"/>
    <col min="30" max="31" width="9.140625" style="1" hidden="1" customWidth="1"/>
    <col min="32" max="32" width="18.140625" style="1" hidden="1" customWidth="1"/>
    <col min="33" max="33" width="9.140625" style="1" hidden="1" customWidth="1"/>
    <col min="34" max="34" width="29.28515625" style="1" hidden="1" customWidth="1"/>
    <col min="35" max="35" width="9.140625" style="1" hidden="1" customWidth="1"/>
    <col min="36" max="36" width="17.28515625" style="1" hidden="1" customWidth="1"/>
    <col min="37" max="37" width="9.140625" style="1" hidden="1" customWidth="1"/>
    <col min="38" max="38" width="13.85546875" style="1" hidden="1" customWidth="1"/>
    <col min="39" max="39" width="9.140625" style="1" hidden="1" customWidth="1"/>
    <col min="40" max="40" width="17.28515625" style="1" hidden="1" customWidth="1"/>
    <col min="41" max="41" width="0" style="1" hidden="1" customWidth="1"/>
    <col min="42" max="42" width="13.85546875" style="1" hidden="1" customWidth="1"/>
    <col min="43" max="16384" width="9.140625" style="1"/>
  </cols>
  <sheetData>
    <row r="1" spans="1:42" x14ac:dyDescent="0.2">
      <c r="A1" s="228" t="str">
        <f>UPPER((Kalend!E10)&amp;" - "&amp;(Kalend!C10))&amp;" - "&amp;LOWER(Kalend!D10)&amp;" - "&amp;(Kalend!A10)&amp;" kell "&amp;(Kalend!B10)&amp;" - "&amp;(Kalend!F10)</f>
        <v>V-JH - JÕULUTURNIIR KÕIGILE - loosiduo - E, 26.12.2022 kell 11:00 - Voka petangihall</v>
      </c>
      <c r="C1" s="302"/>
      <c r="D1" s="302"/>
      <c r="E1" s="302"/>
      <c r="F1" s="302"/>
      <c r="G1" s="302"/>
      <c r="H1" s="302"/>
      <c r="I1" s="302"/>
      <c r="J1" s="302"/>
      <c r="K1" s="302"/>
      <c r="L1" s="302"/>
      <c r="M1" s="302"/>
      <c r="N1" s="302"/>
      <c r="P1" s="272" t="s">
        <v>73</v>
      </c>
      <c r="Q1" s="273"/>
      <c r="R1" s="273"/>
      <c r="S1" s="273"/>
      <c r="T1" s="273"/>
      <c r="U1" s="39"/>
      <c r="V1" s="178"/>
      <c r="W1" s="158"/>
      <c r="X1" s="158"/>
      <c r="Y1" s="158"/>
      <c r="AD1" s="45" t="s">
        <v>73</v>
      </c>
      <c r="AE1" s="230"/>
      <c r="AF1" s="230"/>
      <c r="AG1" s="230"/>
      <c r="AH1" s="230"/>
      <c r="AI1" s="230"/>
      <c r="AJ1" s="230"/>
      <c r="AK1" s="230"/>
      <c r="AL1" s="230"/>
      <c r="AM1" s="230"/>
      <c r="AN1" s="230"/>
      <c r="AO1" s="353"/>
      <c r="AP1" s="353"/>
    </row>
    <row r="2" spans="1:42" x14ac:dyDescent="0.2">
      <c r="A2" s="302"/>
      <c r="C2" s="302"/>
      <c r="D2" s="302"/>
      <c r="E2" s="302"/>
      <c r="F2" s="302"/>
      <c r="G2" s="302"/>
      <c r="H2" s="302"/>
      <c r="I2" s="302"/>
      <c r="J2" s="302"/>
      <c r="K2" s="302"/>
      <c r="L2" s="302"/>
      <c r="M2" s="302"/>
      <c r="N2" s="302"/>
      <c r="O2" s="302"/>
      <c r="P2" s="158"/>
      <c r="Q2" s="158"/>
      <c r="R2" s="158"/>
      <c r="S2" s="158"/>
      <c r="T2" s="236"/>
      <c r="U2" s="236"/>
      <c r="V2" s="158"/>
      <c r="W2" s="158"/>
      <c r="X2" s="158"/>
      <c r="AD2" s="158"/>
      <c r="AE2" s="158"/>
      <c r="AF2" s="158"/>
      <c r="AG2" s="158"/>
      <c r="AH2" s="158"/>
      <c r="AI2" s="158"/>
      <c r="AJ2" s="239"/>
      <c r="AK2" s="158"/>
      <c r="AL2" s="158"/>
      <c r="AM2" s="158"/>
      <c r="AN2" s="158"/>
    </row>
    <row r="3" spans="1:42" x14ac:dyDescent="0.2">
      <c r="A3" s="302"/>
      <c r="C3" s="302"/>
      <c r="D3" s="302"/>
      <c r="E3" s="302"/>
      <c r="F3" s="302"/>
      <c r="G3" s="302"/>
      <c r="H3" s="302"/>
      <c r="I3" s="302"/>
      <c r="J3" s="302"/>
      <c r="K3" s="302"/>
      <c r="L3" s="302"/>
      <c r="M3" s="302"/>
      <c r="N3" s="302"/>
      <c r="O3" s="302"/>
      <c r="P3" s="158"/>
      <c r="Q3" s="158"/>
      <c r="R3" s="158"/>
      <c r="S3" s="158"/>
      <c r="T3" s="236"/>
      <c r="U3" s="236"/>
      <c r="V3" s="158"/>
      <c r="W3" s="158"/>
      <c r="X3" s="158"/>
      <c r="Y3" s="158"/>
      <c r="AE3" s="158"/>
      <c r="AG3" s="158"/>
      <c r="AH3" s="158"/>
      <c r="AI3" s="158"/>
      <c r="AJ3" s="158"/>
      <c r="AK3" s="158"/>
      <c r="AL3" s="158"/>
      <c r="AM3" s="158"/>
      <c r="AN3" s="158"/>
    </row>
    <row r="4" spans="1:42" x14ac:dyDescent="0.2">
      <c r="A4" s="302"/>
      <c r="C4" s="302"/>
      <c r="D4" s="302"/>
      <c r="E4" s="302"/>
      <c r="F4" s="302"/>
      <c r="G4" s="302"/>
      <c r="H4" s="302"/>
      <c r="I4" s="302"/>
      <c r="J4" s="302"/>
      <c r="K4" s="302"/>
      <c r="L4" s="302"/>
      <c r="M4" s="302"/>
      <c r="N4" s="302"/>
      <c r="O4" s="302"/>
      <c r="P4" s="158"/>
      <c r="Q4" s="158"/>
      <c r="R4" s="158"/>
      <c r="S4" s="158"/>
      <c r="T4" s="158"/>
      <c r="U4" s="158"/>
      <c r="V4" s="158"/>
      <c r="W4" s="158"/>
      <c r="X4" s="158"/>
      <c r="Y4" s="158"/>
      <c r="AE4" s="236"/>
      <c r="AF4" s="236"/>
      <c r="AG4" s="236"/>
      <c r="AH4" s="227"/>
      <c r="AI4" s="236"/>
      <c r="AJ4" s="236"/>
      <c r="AK4" s="236"/>
      <c r="AL4" s="236"/>
      <c r="AM4" s="236"/>
      <c r="AN4" s="236"/>
      <c r="AO4" s="236"/>
      <c r="AP4" s="236"/>
    </row>
    <row r="5" spans="1:42" hidden="1" x14ac:dyDescent="0.2">
      <c r="C5" s="302"/>
      <c r="D5" s="302"/>
      <c r="E5" s="302"/>
      <c r="F5" s="302"/>
      <c r="G5" s="302"/>
      <c r="H5" s="302"/>
      <c r="I5" s="302"/>
      <c r="J5" s="302"/>
      <c r="K5" s="302"/>
      <c r="L5" s="302"/>
      <c r="M5" s="302"/>
      <c r="N5" s="416" t="s">
        <v>313</v>
      </c>
      <c r="O5" s="302"/>
      <c r="P5" s="158"/>
      <c r="Q5" s="158"/>
      <c r="R5" s="158"/>
      <c r="S5" s="158"/>
      <c r="T5" s="158"/>
      <c r="U5" s="158"/>
      <c r="V5" s="158"/>
      <c r="W5" s="158"/>
      <c r="X5" s="158"/>
      <c r="Y5" s="158"/>
      <c r="AA5" s="158"/>
      <c r="AD5" s="413" t="s">
        <v>216</v>
      </c>
    </row>
    <row r="6" spans="1:42" hidden="1" x14ac:dyDescent="0.2">
      <c r="A6" s="201" t="s">
        <v>0</v>
      </c>
      <c r="B6" s="291"/>
      <c r="C6" s="292">
        <v>1</v>
      </c>
      <c r="D6" s="292">
        <v>2</v>
      </c>
      <c r="E6" s="292">
        <v>3</v>
      </c>
      <c r="F6" s="292"/>
      <c r="G6" s="292"/>
      <c r="H6" s="292" t="s">
        <v>170</v>
      </c>
      <c r="I6" s="162" t="s">
        <v>171</v>
      </c>
      <c r="J6" s="294" t="s">
        <v>240</v>
      </c>
      <c r="K6" s="295" t="s">
        <v>241</v>
      </c>
      <c r="L6" s="296" t="s">
        <v>242</v>
      </c>
      <c r="M6" s="296" t="s">
        <v>243</v>
      </c>
      <c r="N6" s="297" t="s">
        <v>172</v>
      </c>
      <c r="O6" s="297" t="s">
        <v>172</v>
      </c>
      <c r="P6" s="298" t="s">
        <v>244</v>
      </c>
      <c r="Q6" s="299" t="s">
        <v>21</v>
      </c>
      <c r="R6" s="299" t="b">
        <f>OR(AND(COUNTA(B7:B12)=3,COUNTA(C7:G12)=6),AND(COUNTA(B7:B12)=4,COUNTA(C7:G12)=12),AND(COUNTA(B7:B12)=5,COUNTA(C7:G12)=20))</f>
        <v>0</v>
      </c>
      <c r="S6" s="300" t="s">
        <v>245</v>
      </c>
      <c r="T6" s="301" t="s">
        <v>246</v>
      </c>
      <c r="U6" s="302"/>
      <c r="V6" s="302"/>
      <c r="W6" s="302"/>
      <c r="X6" s="302"/>
      <c r="Y6" s="302"/>
      <c r="Z6" s="302"/>
      <c r="AA6" s="303"/>
      <c r="AD6" s="159" t="s">
        <v>305</v>
      </c>
      <c r="AE6" s="160"/>
      <c r="AF6" s="160" t="s">
        <v>232</v>
      </c>
      <c r="AG6" s="160"/>
      <c r="AH6" s="231" t="s">
        <v>233</v>
      </c>
      <c r="AI6" s="160"/>
      <c r="AJ6" s="160" t="s">
        <v>234</v>
      </c>
      <c r="AK6" s="161"/>
      <c r="AL6" s="160" t="s">
        <v>235</v>
      </c>
      <c r="AM6" s="161"/>
      <c r="AN6" s="161" t="s">
        <v>311</v>
      </c>
      <c r="AO6" s="412"/>
      <c r="AP6" s="161" t="s">
        <v>312</v>
      </c>
    </row>
    <row r="7" spans="1:42" hidden="1" x14ac:dyDescent="0.2">
      <c r="A7" s="201">
        <v>1</v>
      </c>
      <c r="B7" s="304"/>
      <c r="C7" s="204"/>
      <c r="D7" s="203"/>
      <c r="E7" s="203"/>
      <c r="F7" s="203"/>
      <c r="G7" s="203"/>
      <c r="H7" s="202" t="str">
        <f>(IF(D7-C8&gt;0,1)+IF(E7-C9&gt;0,1)+IF(F7-C10&gt;0,1)+IF(G7-C12&gt;0,1))&amp;"-"&amp;(IF(D7-C8&lt;0,1)+IF(E7-C9&lt;0,1)+IF(F7-C10&lt;0,1)+IF(G7-C12&lt;0,1))</f>
        <v>0-0</v>
      </c>
      <c r="I7" s="203" t="str">
        <f>IF(AND(B7&lt;&gt;"",R$6=TRUE),A$6&amp;RANK(S7,S$7:S$12,0)," ")</f>
        <v xml:space="preserve"> </v>
      </c>
      <c r="J7" s="305">
        <f>IF(AND(Q7=1,Q8=1,D7&gt;C8),1)+IF(AND(Q7=1,Q9=1,E7&gt;C9),1)+IF(AND(Q7=1,Q10=1,F7&gt;C10),1)+IF(AND(Q7=1,Q12=1,G7&gt;C12),1)+IF(AND(Q7=2,Q8=2,D7&gt;C8),1)+IF(AND(Q7=2,Q9=2,E7&gt;C9),1)+IF(AND(Q7=2,Q10=2,F7&gt;C10),1)+IF(AND(Q7=2,Q12=2,G7&gt;C12),1)+IF(AND(Q7=3,Q8=3,D7&gt;C8),1)+IF(AND(Q7=3,Q9=3,E7&gt;C9),1)+IF(AND(Q7=3,Q10=3,F7&gt;C10),1)+IF(AND(Q7=3,Q12=3,G7&gt;C12),1)</f>
        <v>0</v>
      </c>
      <c r="K7" s="306">
        <f>SUM(AND(T7=T8,D7&gt;C8),AND(T7=T9,E7&gt;C9),AND(T7=T10,F7&gt;C10),AND(T7=T12,G7&gt;C12))</f>
        <v>0</v>
      </c>
      <c r="L7" s="307">
        <f>IF(AND(Q7=1,Q8=1),D7-C8)+IF(AND(Q7=1,Q9=1),E7-C9)+IF(AND(Q7=1,Q10=1),F7-C10)+IF(AND(Q7=1,Q12=1),G7-C12)+IF(AND(Q7=2,Q8=2),D7-C8)+IF(AND(Q7=2,Q9=2),E7-C9)+IF(AND(Q7=2,Q10=2),F7-C10)+IF(AND(Q7=2,Q12=2),G7-C12)+IF(AND(Q7=3,Q8=3),D7-C8)+IF(AND(Q7=3,Q9=3),E7-C9)+IF(AND(Q7=3,Q10=3),F7-C10)+IF(AND(Q7=3,Q12=3),G7-C12)+IF(AND(Q7=4,Q8=4),D7-C8)+IF(AND(Q7=4,Q9=4),E7-C9)+IF(AND(Q7=4,Q10=4),F7-C10)+IF(AND(Q7=4,Q12=4),G7-C12)</f>
        <v>0</v>
      </c>
      <c r="M7" s="308">
        <f>SUM(AND(R7=R8,D7&gt;C8),AND(R7=R9,E7&gt;C9),AND(R7=R10,F7&gt;C10),AND(R7=R12,G7&gt;C12))</f>
        <v>0</v>
      </c>
      <c r="N7" s="356" t="str">
        <f>SUM(C7:G7)&amp;"-"&amp;SUM(C7:C12)</f>
        <v>0-0</v>
      </c>
      <c r="O7" s="357">
        <f>D7+E7+F7+G7-C8-C9-C10-C12</f>
        <v>0</v>
      </c>
      <c r="P7" s="309" t="e">
        <f>SUM(C7:G7,C7:C12)/SUM(C7:C12)</f>
        <v>#DIV/0!</v>
      </c>
      <c r="Q7" s="205">
        <f>VALUE(LEFT(H7,1))</f>
        <v>0</v>
      </c>
      <c r="R7" s="206">
        <f>Q7*100000+J7*10000+K7*1000+100*L7</f>
        <v>0</v>
      </c>
      <c r="S7" s="310">
        <f>R7+M7*0.1+IF(ISNONTEXT(B7),0,0.01)+0.0001*O7</f>
        <v>0</v>
      </c>
      <c r="T7" s="311" t="str">
        <f>Q7&amp;J7</f>
        <v>00</v>
      </c>
      <c r="U7" s="302"/>
      <c r="V7" s="302"/>
      <c r="W7" s="302"/>
      <c r="X7" s="302"/>
      <c r="Y7" s="302"/>
      <c r="Z7" s="302"/>
      <c r="AA7" s="302"/>
      <c r="AD7" s="233">
        <f t="shared" ref="AD7:AD44" si="0">SUM(AE7:AP7)</f>
        <v>0</v>
      </c>
      <c r="AE7" s="234" t="str">
        <f>IFERROR(INDEX(V!$R:$R,MATCH(AF7,V!$L:$L,0)),"")</f>
        <v/>
      </c>
      <c r="AF7" s="235" t="str">
        <f>IFERROR(LEFT($B7,(FIND(",",$B7,1)-1)),"")</f>
        <v/>
      </c>
      <c r="AG7" s="234" t="str">
        <f>IFERROR(INDEX(V!$R:$R,MATCH(AH7,V!$L:$L,0)),"")</f>
        <v/>
      </c>
      <c r="AH7" s="235" t="str">
        <f>IFERROR(MID($B7,FIND(", ",$B7)+2,256),"")</f>
        <v/>
      </c>
      <c r="AI7" s="234" t="str">
        <f>IFERROR(INDEX(V!$R:$R,MATCH(AJ7,V!$L:$L,0)),"")</f>
        <v/>
      </c>
      <c r="AJ7" s="235" t="str">
        <f>IFERROR(MID($B7,FIND("^",SUBSTITUTE($B7,", ","^",1))+2,FIND("^",SUBSTITUTE($B7,", ","^",2))-FIND("^",SUBSTITUTE($B7,", ","^",1))-2),"")</f>
        <v/>
      </c>
      <c r="AK7" s="234" t="str">
        <f>IFERROR(INDEX(V!$R:$R,MATCH(AL7,V!$L:$L,0)),"")</f>
        <v/>
      </c>
      <c r="AL7" s="235" t="str">
        <f>IFERROR(MID($B7,FIND(", ",$B7,FIND(", ",$B7,FIND(", ",$B7))+1)+2,30000),"")</f>
        <v/>
      </c>
      <c r="AM7" s="234" t="str">
        <f>IFERROR(INDEX(V!$R:$R,MATCH(AN7,V!$L:$L,0)),"")</f>
        <v/>
      </c>
      <c r="AN7" s="235" t="str">
        <f>IFERROR(MID($B7,FIND(", ",$B7,FIND(", ",$B7)+1)+2,FIND(", ",$B7,FIND(", ",$B7,FIND(", ",$B7)+1)+1)-FIND(", ",$B7,FIND(", ",$B7)+1)-2),"")</f>
        <v/>
      </c>
      <c r="AO7" s="234" t="str">
        <f>IFERROR(INDEX(V!$R:$R,MATCH(AP7,V!$L:$L,0)),"")</f>
        <v/>
      </c>
      <c r="AP7" s="235" t="str">
        <f>IFERROR(MID($B7,FIND(", ",$B7,FIND(", ",$B7,FIND(", ",$B7)+1)+1)+2,30000),"")</f>
        <v/>
      </c>
    </row>
    <row r="8" spans="1:42" hidden="1" x14ac:dyDescent="0.2">
      <c r="A8" s="201">
        <v>2</v>
      </c>
      <c r="B8" s="312"/>
      <c r="C8" s="203"/>
      <c r="D8" s="204"/>
      <c r="E8" s="203"/>
      <c r="F8" s="203"/>
      <c r="G8" s="203"/>
      <c r="H8" s="202" t="str">
        <f>(IF(C8-D7&gt;0,1)+IF(E8-D9&gt;0,1)+IF(F8-D10&gt;0,1)+IF(G8-D12&gt;0,1))&amp;"-"&amp;(IF(C8-D7&lt;0,1)+IF(E8-D9&lt;0,1)+IF(F8-D10&lt;0,1)+IF(G8-D12&lt;0,1))</f>
        <v>0-0</v>
      </c>
      <c r="I8" s="203" t="str">
        <f>IF(AND(B8&lt;&gt;"",R$6=TRUE),A$6&amp;RANK(S8,S$7:S$12,0)," ")</f>
        <v xml:space="preserve"> </v>
      </c>
      <c r="J8" s="313">
        <f>IF(AND(Q8=1,Q7=1,C8&gt;D7),1)+IF(AND(Q8=1,Q9=1,E8&gt;D9),1)+IF(AND(Q8=1,Q10=1,F8&gt;D10),1)+IF(AND(Q8=1,Q12=1,G8&gt;D12),1)+IF(AND(Q8=2,Q7=2,C8&gt;D7),1)+IF(AND(Q8=2,Q9=2,E8&gt;D9),1)+IF(AND(Q8=2,Q10=2,F8&gt;D10),1)+IF(AND(Q8=2,Q12=2,G8&gt;D12),1)+IF(AND(Q8=3,Q7=3,C8&gt;D7),1)+IF(AND(Q8=3,Q9=3,E8&gt;D9),1)+IF(AND(Q8=3,Q10=3,F8&gt;D10),1)+IF(AND(Q8=3,Q12=3,G8&gt;D12),1)</f>
        <v>0</v>
      </c>
      <c r="K8" s="308">
        <f>SUM(AND(T8=T7,C8&gt;D7),AND(T8=T9,E8&gt;D9),AND(T8=T10,F8&gt;D10),AND(T8=T12,G8&gt;D12))</f>
        <v>0</v>
      </c>
      <c r="L8" s="314">
        <f>IF(AND(Q8=1,Q7=1),C8-D7)+IF(AND(Q8=1,Q9=1),E8-D9)+IF(AND(Q8=1,Q10=1),F8-D10)+IF(AND(Q8=1,Q12=1),G8-D12)+IF(AND(Q8=2,Q7=2),C8-D7)+IF(AND(Q8=2,Q9=2),E8-D9)+IF(AND(Q8=2,Q10=2),F8-D10)+IF(AND(Q8=2,Q12=2),G8-D12)+IF(AND(Q8=3,Q7=3),C8-D7)+IF(AND(Q8=3,Q9=3),E8-D9)+IF(AND(Q8=3,Q10=3),F8-D10)+IF(AND(Q8=3,Q12=3),G8-D12)+IF(AND(Q8=4,Q7=4),C8-D7)+IF(AND(Q8=4,Q9=4),E8-D9)+IF(AND(Q8=4,Q10=4),F8-D10)+IF(AND(Q8=4,Q12=4),G8-D12)</f>
        <v>0</v>
      </c>
      <c r="M8" s="308">
        <f>SUM(AND(R8=R7,C8&gt;D7),AND(R8=R9,E8&gt;D9),AND(R8=R10,F8&gt;D10),AND(R8=R12,G8&gt;D12))</f>
        <v>0</v>
      </c>
      <c r="N8" s="356" t="str">
        <f>SUM(C8:G8)&amp;"-"&amp;SUM(D7:D12)</f>
        <v>0-0</v>
      </c>
      <c r="O8" s="357">
        <f>C8+E8+F8+G8-D7-D9-D10-D12</f>
        <v>0</v>
      </c>
      <c r="P8" s="309" t="e">
        <f>SUM(C8:G8,D7:D12)/SUM(D7:D12)</f>
        <v>#DIV/0!</v>
      </c>
      <c r="Q8" s="315">
        <f>VALUE(LEFT(H8,1))</f>
        <v>0</v>
      </c>
      <c r="R8" s="206">
        <f>Q8*100000+J8*10000+K8*1000+100*L8</f>
        <v>0</v>
      </c>
      <c r="S8" s="310">
        <f>R8+M8*0.1+IF(ISNONTEXT(B8),0,0.01)+0.0001*O8</f>
        <v>0</v>
      </c>
      <c r="T8" s="311" t="str">
        <f>Q8&amp;J8</f>
        <v>00</v>
      </c>
      <c r="U8" s="302"/>
      <c r="V8" s="302"/>
      <c r="W8" s="302"/>
      <c r="X8" s="302"/>
      <c r="Y8" s="302"/>
      <c r="Z8" s="302"/>
      <c r="AA8" s="309"/>
      <c r="AD8" s="233">
        <f t="shared" si="0"/>
        <v>0</v>
      </c>
      <c r="AE8" s="234" t="str">
        <f>IFERROR(INDEX(V!$R:$R,MATCH(AF8,V!$L:$L,0)),"")</f>
        <v/>
      </c>
      <c r="AF8" s="235" t="str">
        <f t="shared" ref="AF8:AF44" si="1">IFERROR(LEFT($B8,(FIND(",",$B8,1)-1)),"")</f>
        <v/>
      </c>
      <c r="AG8" s="234" t="str">
        <f>IFERROR(INDEX(V!$R:$R,MATCH(AH8,V!$L:$L,0)),"")</f>
        <v/>
      </c>
      <c r="AH8" s="235" t="str">
        <f t="shared" ref="AH8:AH44" si="2">IFERROR(MID($B8,FIND(", ",$B8)+2,256),"")</f>
        <v/>
      </c>
      <c r="AI8" s="234" t="str">
        <f>IFERROR(INDEX(V!$R:$R,MATCH(AJ8,V!$L:$L,0)),"")</f>
        <v/>
      </c>
      <c r="AJ8" s="235" t="str">
        <f t="shared" ref="AJ8:AJ44" si="3">IFERROR(MID($B8,FIND("^",SUBSTITUTE($B8,", ","^",1))+2,FIND("^",SUBSTITUTE($B8,", ","^",2))-FIND("^",SUBSTITUTE($B8,", ","^",1))-2),"")</f>
        <v/>
      </c>
      <c r="AK8" s="234" t="str">
        <f>IFERROR(INDEX(V!$R:$R,MATCH(AL8,V!$L:$L,0)),"")</f>
        <v/>
      </c>
      <c r="AL8" s="235" t="str">
        <f t="shared" ref="AL8:AL44" si="4">IFERROR(MID($B8,FIND(", ",$B8,FIND(", ",$B8,FIND(", ",$B8))+1)+2,30000),"")</f>
        <v/>
      </c>
      <c r="AM8" s="234" t="str">
        <f>IFERROR(INDEX(V!$R:$R,MATCH(AN8,V!$L:$L,0)),"")</f>
        <v/>
      </c>
      <c r="AN8" s="235" t="str">
        <f t="shared" ref="AN8:AN44" si="5">IFERROR(MID($B8,FIND(", ",$B8,FIND(", ",$B8)+1)+2,FIND(", ",$B8,FIND(", ",$B8,FIND(", ",$B8)+1)+1)-FIND(", ",$B8,FIND(", ",$B8)+1)-2),"")</f>
        <v/>
      </c>
      <c r="AO8" s="234" t="str">
        <f>IFERROR(INDEX(V!$R:$R,MATCH(AP8,V!$L:$L,0)),"")</f>
        <v/>
      </c>
      <c r="AP8" s="235" t="str">
        <f t="shared" ref="AP8:AP44" si="6">IFERROR(MID($B8,FIND(", ",$B8,FIND(", ",$B8,FIND(", ",$B8)+1)+1)+2,30000),"")</f>
        <v/>
      </c>
    </row>
    <row r="9" spans="1:42" hidden="1" x14ac:dyDescent="0.2">
      <c r="A9" s="201">
        <v>3</v>
      </c>
      <c r="B9" s="312"/>
      <c r="C9" s="203"/>
      <c r="D9" s="316"/>
      <c r="E9" s="204"/>
      <c r="F9" s="203"/>
      <c r="G9" s="203"/>
      <c r="H9" s="202" t="str">
        <f>(IF(C9-E7&gt;0,1)+IF(D9-E8&gt;0,1)+IF(F9-E10&gt;0,1)+IF(G9-E12&gt;0,1))&amp;"-"&amp;(IF(C9-E7&lt;0,1)+IF(D9-E8&lt;0,1)+IF(F9-E10&lt;0,1)+IF(G9-E12&lt;0,1))</f>
        <v>0-0</v>
      </c>
      <c r="I9" s="203" t="str">
        <f>IF(AND(B9&lt;&gt;"",R$6=TRUE),A$6&amp;RANK(S9,S$7:S$12,0)," ")</f>
        <v xml:space="preserve"> </v>
      </c>
      <c r="J9" s="313">
        <f>IF(AND(Q9=1,Q7=1,C9&gt;E7),1)+IF(AND(Q9=1,Q8=1,D9&gt;E8),1)+IF(AND(Q9=1,Q10=1,F9&gt;E10),1)+IF(AND(Q9=1,Q12=1,G9&gt;E12),1)+IF(AND(Q9=2,Q7=2,C9&gt;E7),1)+IF(AND(Q9=2,Q8=2,D9&gt;E8),1)+IF(AND(Q9=2,Q10=2,F9&gt;E10),1)+IF(AND(Q9=2,Q12=2,G9&gt;E12),1)+IF(AND(Q9=3,Q7=3,C9&gt;E7),1)+IF(AND(Q9=3,Q8=3,D9&gt;E8),1)+IF(AND(Q9=3,Q10=3,F9&gt;E10),1)+IF(AND(Q9=3,Q12=3,G9&gt;E12),1)</f>
        <v>0</v>
      </c>
      <c r="K9" s="308">
        <f>SUM(AND(T9=T7,C9&gt;E7),AND(T9=T8,D9&gt;E8),AND(T9=T10,F9&gt;E10),AND(T9=T12,G9&gt;E12))</f>
        <v>0</v>
      </c>
      <c r="L9" s="314">
        <f>IF(AND(Q9=1,Q7=1),C9-E7)+IF(AND(Q9=1,Q8=1),D9-E8)+IF(AND(Q9=1,Q10=1),F9-E10)+IF(AND(Q9=1,Q12=1),G9-E12)+IF(AND(Q9=2,Q7=2),C9-E7)+IF(AND(Q9=2,Q8=2),D9-E8)+IF(AND(Q9=2,Q10=2),F9-E10)+IF(AND(Q9=2,Q12=2),G9-E12)+IF(AND(Q9=3,Q7=3),C9-E7)+IF(AND(Q9=3,Q8=3),D9-E8)+IF(AND(Q9=3,Q10=3),F9-E10)+IF(AND(Q9=3,Q12=3),G9-E12)+IF(AND(Q9=4,Q7=4),C9-E7)+IF(AND(Q9=4,Q8=4),D9-E8)+IF(AND(Q9=4,Q10=4),F9-E10)+IF(AND(Q9=4,Q12=4),G9-E12)</f>
        <v>0</v>
      </c>
      <c r="M9" s="308">
        <f>SUM(AND(R9=R7,C9&gt;E7),AND(R9=R8,D9&gt;E8),AND(R9=R10,F9&gt;E10),AND(R9=R12,G9&gt;E12))</f>
        <v>0</v>
      </c>
      <c r="N9" s="356" t="str">
        <f>SUM(C9:G9)&amp;"-"&amp;SUM(E7:E12)</f>
        <v>0-0</v>
      </c>
      <c r="O9" s="357">
        <f>C9+D9+F9+G9-E7-E8-E10-E12</f>
        <v>0</v>
      </c>
      <c r="P9" s="309" t="e">
        <f>SUM(C9:G9,E7:E12)/SUM(E7:E12)</f>
        <v>#DIV/0!</v>
      </c>
      <c r="Q9" s="315">
        <f>VALUE(LEFT(H9,1))</f>
        <v>0</v>
      </c>
      <c r="R9" s="206">
        <f>Q9*100000+J9*10000+K9*1000+100*L9</f>
        <v>0</v>
      </c>
      <c r="S9" s="310">
        <f>R9+M9*0.1+IF(ISNONTEXT(B9),0,0.01)+0.0001*O9</f>
        <v>0</v>
      </c>
      <c r="T9" s="311" t="str">
        <f>Q9&amp;J9</f>
        <v>00</v>
      </c>
      <c r="U9" s="302"/>
      <c r="V9" s="302"/>
      <c r="W9" s="302"/>
      <c r="X9" s="302"/>
      <c r="Y9" s="302"/>
      <c r="Z9" s="302"/>
      <c r="AA9" s="309"/>
      <c r="AD9" s="233">
        <f t="shared" si="0"/>
        <v>0</v>
      </c>
      <c r="AE9" s="234" t="str">
        <f>IFERROR(INDEX(V!$R:$R,MATCH(AF9,V!$L:$L,0)),"")</f>
        <v/>
      </c>
      <c r="AF9" s="235" t="str">
        <f t="shared" si="1"/>
        <v/>
      </c>
      <c r="AG9" s="234" t="str">
        <f>IFERROR(INDEX(V!$R:$R,MATCH(AH9,V!$L:$L,0)),"")</f>
        <v/>
      </c>
      <c r="AH9" s="235" t="str">
        <f t="shared" si="2"/>
        <v/>
      </c>
      <c r="AI9" s="234" t="str">
        <f>IFERROR(INDEX(V!$R:$R,MATCH(AJ9,V!$L:$L,0)),"")</f>
        <v/>
      </c>
      <c r="AJ9" s="235" t="str">
        <f t="shared" si="3"/>
        <v/>
      </c>
      <c r="AK9" s="234" t="str">
        <f>IFERROR(INDEX(V!$R:$R,MATCH(AL9,V!$L:$L,0)),"")</f>
        <v/>
      </c>
      <c r="AL9" s="235" t="str">
        <f t="shared" si="4"/>
        <v/>
      </c>
      <c r="AM9" s="234" t="str">
        <f>IFERROR(INDEX(V!$R:$R,MATCH(AN9,V!$L:$L,0)),"")</f>
        <v/>
      </c>
      <c r="AN9" s="235" t="str">
        <f t="shared" si="5"/>
        <v/>
      </c>
      <c r="AO9" s="234" t="str">
        <f>IFERROR(INDEX(V!$R:$R,MATCH(AP9,V!$L:$L,0)),"")</f>
        <v/>
      </c>
      <c r="AP9" s="235" t="str">
        <f t="shared" si="6"/>
        <v/>
      </c>
    </row>
    <row r="10" spans="1:42" hidden="1" x14ac:dyDescent="0.2">
      <c r="A10" s="201">
        <v>4</v>
      </c>
      <c r="B10" s="317"/>
      <c r="C10" s="203"/>
      <c r="D10" s="316"/>
      <c r="E10" s="203"/>
      <c r="F10" s="204"/>
      <c r="G10" s="203"/>
      <c r="H10" s="202" t="str">
        <f>(IF(C10-F7&gt;0,1)+IF(D10-F8&gt;0,1)+IF(E10-F9&gt;0,1)+IF(G10-F12&gt;0,1))&amp;"-"&amp;(IF(C10-F7&lt;0,1)+IF(D10-F8&lt;0,1)+IF(E10-F9&lt;0,1)+IF(G10-F12&lt;0,1))</f>
        <v>0-0</v>
      </c>
      <c r="I10" s="203" t="str">
        <f>IF(AND(B10&lt;&gt;"",R$6=TRUE),A$6&amp;RANK(S10,S$7:S$12,0)," ")</f>
        <v xml:space="preserve"> </v>
      </c>
      <c r="J10" s="313">
        <f>IF(AND(Q10=1,Q7=1,C10&gt;F7),1)+IF(AND(Q10=1,Q8=1,D10&gt;F8),1)+IF(AND(Q10=1,Q9=1,E10&gt;F9),1)+IF(AND(Q10=1,Q12=1,G10&gt;F12),1)+IF(AND(Q10=2,Q7=2,C10&gt;F7),1)+IF(AND(Q10=2,Q8=2,D10&gt;F8),1)+IF(AND(Q10=2,Q9=2,E10&gt;F9),1)+IF(AND(Q10=2,Q12=2,G10&gt;F12),1)+IF(AND(Q10=3,Q7=3,C10&gt;F7),1)+IF(AND(Q10=3,Q8=3,D10&gt;F8),1)+IF(AND(Q10=3,Q9=3,E10&gt;F9),1)+IF(AND(Q10=3,Q12=3,G10&gt;F12),1)</f>
        <v>0</v>
      </c>
      <c r="K10" s="308">
        <f>SUM(AND(T10=T7,C10&gt;F7),AND(T10=T8,D10&gt;F8),AND(T10=T9,E10&gt;F9),AND(T10=T12,G10&gt;F12))</f>
        <v>0</v>
      </c>
      <c r="L10" s="314">
        <f>IF(AND(Q10=1,Q7=1),C10-F7)+IF(AND(Q10=1,Q8=1),D10-F8)+IF(AND(Q10=1,Q9=1),E10-F9)+IF(AND(Q10=1,Q12=1),G10-F12)+IF(AND(Q10=2,Q7=2),C10-F7)+IF(AND(Q10=2,Q8=2),D10-F8)+IF(AND(Q10=2,Q9=2),E10-F9)+IF(AND(Q10=2,Q12=2),G10-F12)+IF(AND(Q10=3,Q7=3),C10-F7)+IF(AND(Q10=3,Q8=3),D10-F8)+IF(AND(Q10=3,Q9=3),E10-F9)+IF(AND(Q10=3,Q12=3),G10-F12)+IF(AND(Q10=4,Q7=4),C10-F7)+IF(AND(Q10=4,Q8=4),D10-F8)+IF(AND(Q10=4,Q9=4),E10-F9)+IF(AND(Q10=4,Q12=4),G10-F12)</f>
        <v>0</v>
      </c>
      <c r="M10" s="308">
        <f>SUM(AND(R10=R7,C10&gt;F7),AND(R10=R8,D10&gt;F8),AND(R10=R9,E10&gt;F9),AND(R10=R12,G10&gt;F12))</f>
        <v>0</v>
      </c>
      <c r="N10" s="356" t="str">
        <f>SUM(C10:G10)&amp;"-"&amp;SUM(F7:F12)</f>
        <v>0-0</v>
      </c>
      <c r="O10" s="357">
        <f>C10+D10+E10+G10-F7-F8-F9-F12</f>
        <v>0</v>
      </c>
      <c r="P10" s="309" t="e">
        <f>SUM(C10:G10,F7:F12)/SUM(F7:F12)</f>
        <v>#DIV/0!</v>
      </c>
      <c r="Q10" s="315">
        <f>VALUE(LEFT(H10,1))</f>
        <v>0</v>
      </c>
      <c r="R10" s="206">
        <f>Q10*100000+J10*10000+K10*1000+100*L10</f>
        <v>0</v>
      </c>
      <c r="S10" s="310">
        <f>R10+M10*0.1+IF(ISNONTEXT(B10),0,0.01)+0.0001*O10</f>
        <v>0</v>
      </c>
      <c r="T10" s="311" t="str">
        <f>Q10&amp;J10</f>
        <v>00</v>
      </c>
      <c r="U10" s="302"/>
      <c r="V10" s="302"/>
      <c r="W10" s="302"/>
      <c r="X10" s="302"/>
      <c r="Y10" s="302"/>
      <c r="Z10" s="302"/>
      <c r="AA10" s="309"/>
      <c r="AD10" s="233">
        <f t="shared" si="0"/>
        <v>0</v>
      </c>
      <c r="AE10" s="234" t="str">
        <f>IFERROR(INDEX(V!$R:$R,MATCH(AF10,V!$L:$L,0)),"")</f>
        <v/>
      </c>
      <c r="AF10" s="235" t="str">
        <f t="shared" si="1"/>
        <v/>
      </c>
      <c r="AG10" s="234" t="str">
        <f>IFERROR(INDEX(V!$R:$R,MATCH(AH10,V!$L:$L,0)),"")</f>
        <v/>
      </c>
      <c r="AH10" s="235" t="str">
        <f t="shared" si="2"/>
        <v/>
      </c>
      <c r="AI10" s="234" t="str">
        <f>IFERROR(INDEX(V!$R:$R,MATCH(AJ10,V!$L:$L,0)),"")</f>
        <v/>
      </c>
      <c r="AJ10" s="235" t="str">
        <f t="shared" si="3"/>
        <v/>
      </c>
      <c r="AK10" s="234" t="str">
        <f>IFERROR(INDEX(V!$R:$R,MATCH(AL10,V!$L:$L,0)),"")</f>
        <v/>
      </c>
      <c r="AL10" s="235" t="str">
        <f t="shared" si="4"/>
        <v/>
      </c>
      <c r="AM10" s="234" t="str">
        <f>IFERROR(INDEX(V!$R:$R,MATCH(AN10,V!$L:$L,0)),"")</f>
        <v/>
      </c>
      <c r="AN10" s="235" t="str">
        <f t="shared" si="5"/>
        <v/>
      </c>
      <c r="AO10" s="234" t="str">
        <f>IFERROR(INDEX(V!$R:$R,MATCH(AP10,V!$L:$L,0)),"")</f>
        <v/>
      </c>
      <c r="AP10" s="235" t="str">
        <f t="shared" si="6"/>
        <v/>
      </c>
    </row>
    <row r="11" spans="1:42" hidden="1" x14ac:dyDescent="0.2">
      <c r="A11" s="201">
        <v>5</v>
      </c>
      <c r="B11" s="317"/>
      <c r="C11" s="203"/>
      <c r="D11" s="203"/>
      <c r="E11" s="203"/>
      <c r="F11" s="203"/>
      <c r="G11" s="204"/>
      <c r="H11" s="202" t="str">
        <f>(IF(C12-G7&gt;0,1)+IF(D12-G8&gt;0,1)+IF(E12-G9&gt;0,1)+IF(F12-G10&gt;0,1))&amp;"-"&amp;(IF(C12-G7&lt;0,1)+IF(D12-G8&lt;0,1)+IF(E12-G9&lt;0,1)+IF(F12-G10&lt;0,1))</f>
        <v>0-0</v>
      </c>
      <c r="I11" s="203" t="str">
        <f>IF(AND(B12&lt;&gt;"",R$6=TRUE),A$6&amp;RANK(S12,S$7:S$12,0)," ")</f>
        <v xml:space="preserve"> </v>
      </c>
      <c r="J11" s="313">
        <f>IF(AND(Q12=1,Q7=1,C12&gt;G7),1)+IF(AND(Q12=1,Q8=1,D12&gt;G8),1)+IF(AND(Q12=1,Q9=1,E12&gt;G9),1)+IF(AND(Q12=1,Q10=1,F12&gt;G10),1)+IF(AND(Q12=2,Q7=2,C12&gt;G7),1)+IF(AND(Q12=2,Q8=2,D12&gt;G8),1)+IF(AND(Q12=2,Q9=2,E12&gt;G9),1)+IF(AND(Q12=2,Q10=2,F12&gt;G10),1)+IF(AND(Q12=3,Q7=3,C12&gt;G7),1)+IF(AND(Q12=3,Q8=3,D12&gt;G8),1)+IF(AND(Q12=3,Q9=3,E12&gt;G9),1)+IF(AND(Q12=3,Q10=3,F12&gt;G10),1)</f>
        <v>0</v>
      </c>
      <c r="K11" s="308">
        <f>SUM(AND(T12=T7,C12&gt;G7),AND(T12=T8,D12&gt;G8),AND(T12=T9,E12&gt;G9),AND(T12=T10,F12&gt;G10))</f>
        <v>0</v>
      </c>
      <c r="L11" s="314">
        <f>IF(AND(Q12=1,Q7=1),C12-G7)+IF(AND(Q12=1,Q8=1),D12-G8)+IF(AND(Q12=1,Q9=1),E12-G9)+IF(AND(Q12=1,Q10=1),F12-G10)+IF(AND(Q12=2,Q7=2),C12-G7)+IF(AND(Q12=2,Q8=2),D12-G8)+IF(AND(Q12=2,Q9=2),E12-G9)+IF(AND(Q12=2,Q10=2),F12-G10)+IF(AND(Q12=3,Q7=3),C12-G7)+IF(AND(Q12=3,Q8=3),D12-G8)+IF(AND(Q12=3,Q9=3),E12-G9)+IF(AND(Q12=3,Q10=3),F12-G10)+IF(AND(Q12=4,Q7=4),C12-G7)+IF(AND(Q12=4,Q8=4),D12-G8)+IF(AND(Q12=4,Q9=4),E12-G9)+IF(AND(Q12=4,Q10=4),F12-G10)</f>
        <v>0</v>
      </c>
      <c r="M11" s="308">
        <f>SUM(AND(R12=R7,C12&gt;G7),AND(R12=R8,D12&gt;G8),AND(R12=R9,E12&gt;G9),AND(R12=R10,F12&gt;G10))</f>
        <v>0</v>
      </c>
      <c r="N11" s="356" t="str">
        <f>SUM(C12:G12)&amp;"-"&amp;SUM(G7:G12)</f>
        <v>0-0</v>
      </c>
      <c r="O11" s="357">
        <f>C12+D12+E12+F12-G7-G8-G9-G10</f>
        <v>0</v>
      </c>
      <c r="P11" s="309" t="e">
        <f>SUM(C12:G12,G7:G12)/SUM(G7:G12)</f>
        <v>#DIV/0!</v>
      </c>
      <c r="Q11" s="315" t="e">
        <f>VALUE(LEFT(H12,1))</f>
        <v>#VALUE!</v>
      </c>
      <c r="R11" s="206">
        <f>Q12*100000+J12*10000+K12*1000+100*L12</f>
        <v>0</v>
      </c>
      <c r="S11" s="310" t="e">
        <f>R12+M12*0.1+IF(ISNONTEXT(B12),0,0.01)+0.0001*O12</f>
        <v>#VALUE!</v>
      </c>
      <c r="T11" s="311" t="str">
        <f>Q12&amp;J12</f>
        <v/>
      </c>
      <c r="U11" s="302"/>
      <c r="V11" s="302"/>
      <c r="W11" s="302"/>
      <c r="X11" s="302"/>
      <c r="Y11" s="302"/>
      <c r="Z11" s="302"/>
      <c r="AA11" s="309"/>
      <c r="AD11" s="233">
        <f>SUM(AE12:AP12)</f>
        <v>0</v>
      </c>
      <c r="AE11" s="234" t="str">
        <f>IFERROR(INDEX(V!$R:$R,MATCH(AF12,V!$L:$L,0)),"")</f>
        <v/>
      </c>
      <c r="AF11" s="235" t="str">
        <f>IFERROR(LEFT($B12,(FIND(",",$B12,1)-1)),"")</f>
        <v/>
      </c>
      <c r="AG11" s="234" t="str">
        <f>IFERROR(INDEX(V!$R:$R,MATCH(AH12,V!$L:$L,0)),"")</f>
        <v/>
      </c>
      <c r="AH11" s="235" t="str">
        <f>IFERROR(MID($B12,FIND(", ",$B12)+2,256),"")</f>
        <v/>
      </c>
      <c r="AI11" s="234" t="str">
        <f>IFERROR(INDEX(V!$R:$R,MATCH(AJ12,V!$L:$L,0)),"")</f>
        <v/>
      </c>
      <c r="AJ11" s="235" t="str">
        <f>IFERROR(MID($B12,FIND("^",SUBSTITUTE($B12,", ","^",1))+2,FIND("^",SUBSTITUTE($B12,", ","^",2))-FIND("^",SUBSTITUTE($B12,", ","^",1))-2),"")</f>
        <v/>
      </c>
      <c r="AK11" s="234" t="str">
        <f>IFERROR(INDEX(V!$R:$R,MATCH(AL12,V!$L:$L,0)),"")</f>
        <v/>
      </c>
      <c r="AL11" s="235" t="str">
        <f>IFERROR(MID($B12,FIND(", ",$B12,FIND(", ",$B12,FIND(", ",$B12))+1)+2,30000),"")</f>
        <v/>
      </c>
      <c r="AM11" s="234" t="str">
        <f>IFERROR(INDEX(V!$R:$R,MATCH(AN12,V!$L:$L,0)),"")</f>
        <v/>
      </c>
      <c r="AN11" s="235" t="str">
        <f>IFERROR(MID($B12,FIND(", ",$B12,FIND(", ",$B12)+1)+2,FIND(", ",$B12,FIND(", ",$B12,FIND(", ",$B12)+1)+1)-FIND(", ",$B12,FIND(", ",$B12)+1)-2),"")</f>
        <v/>
      </c>
      <c r="AO11" s="234" t="str">
        <f>IFERROR(INDEX(V!$R:$R,MATCH(AP12,V!$L:$L,0)),"")</f>
        <v/>
      </c>
      <c r="AP11" s="235" t="str">
        <f>IFERROR(MID($B12,FIND(", ",$B12,FIND(", ",$B12,FIND(", ",$B12)+1)+1)+2,30000),"")</f>
        <v/>
      </c>
    </row>
    <row r="12" spans="1:42" hidden="1" x14ac:dyDescent="0.2">
      <c r="A12" s="318"/>
      <c r="B12" s="319"/>
      <c r="C12" s="320"/>
      <c r="D12" s="321"/>
      <c r="E12" s="322"/>
      <c r="F12" s="322"/>
      <c r="G12" s="323"/>
      <c r="H12" s="324"/>
      <c r="I12" s="325"/>
      <c r="J12" s="302"/>
      <c r="K12" s="302"/>
      <c r="L12" s="302"/>
      <c r="M12" s="302"/>
      <c r="N12" s="358"/>
      <c r="O12" s="358"/>
      <c r="P12" s="302"/>
      <c r="Q12" s="302"/>
      <c r="R12" s="326" t="s">
        <v>247</v>
      </c>
      <c r="S12" s="302"/>
      <c r="T12" s="302"/>
      <c r="U12" s="302"/>
      <c r="V12" s="302"/>
      <c r="W12" s="302"/>
      <c r="X12" s="302"/>
      <c r="Y12" s="302"/>
      <c r="Z12" s="302"/>
      <c r="AA12" s="309"/>
      <c r="AD12" s="233">
        <f t="shared" si="0"/>
        <v>0</v>
      </c>
      <c r="AE12" s="234" t="str">
        <f>IFERROR(INDEX(V!$R:$R,MATCH(AF12,V!$L:$L,0)),"")</f>
        <v/>
      </c>
      <c r="AF12" s="235" t="str">
        <f t="shared" si="1"/>
        <v/>
      </c>
      <c r="AG12" s="234" t="str">
        <f>IFERROR(INDEX(V!$R:$R,MATCH(AH12,V!$L:$L,0)),"")</f>
        <v/>
      </c>
      <c r="AH12" s="235" t="str">
        <f t="shared" si="2"/>
        <v/>
      </c>
      <c r="AI12" s="234" t="str">
        <f>IFERROR(INDEX(V!$R:$R,MATCH(AJ12,V!$L:$L,0)),"")</f>
        <v/>
      </c>
      <c r="AJ12" s="235" t="str">
        <f t="shared" si="3"/>
        <v/>
      </c>
      <c r="AK12" s="234" t="str">
        <f>IFERROR(INDEX(V!$R:$R,MATCH(AL12,V!$L:$L,0)),"")</f>
        <v/>
      </c>
      <c r="AL12" s="235" t="str">
        <f t="shared" si="4"/>
        <v/>
      </c>
      <c r="AM12" s="234" t="str">
        <f>IFERROR(INDEX(V!$R:$R,MATCH(AN12,V!$L:$L,0)),"")</f>
        <v/>
      </c>
      <c r="AN12" s="235" t="str">
        <f t="shared" si="5"/>
        <v/>
      </c>
      <c r="AO12" s="234" t="str">
        <f>IFERROR(INDEX(V!$R:$R,MATCH(AP12,V!$L:$L,0)),"")</f>
        <v/>
      </c>
      <c r="AP12" s="235" t="str">
        <f t="shared" si="6"/>
        <v/>
      </c>
    </row>
    <row r="13" spans="1:42" hidden="1" x14ac:dyDescent="0.2">
      <c r="A13" s="201" t="s">
        <v>1</v>
      </c>
      <c r="B13" s="327"/>
      <c r="C13" s="292">
        <v>1</v>
      </c>
      <c r="D13" s="292">
        <v>2</v>
      </c>
      <c r="E13" s="292">
        <v>3</v>
      </c>
      <c r="F13" s="292"/>
      <c r="G13" s="292"/>
      <c r="H13" s="293" t="s">
        <v>170</v>
      </c>
      <c r="I13" s="293" t="s">
        <v>171</v>
      </c>
      <c r="J13" s="328" t="s">
        <v>240</v>
      </c>
      <c r="K13" s="329" t="s">
        <v>241</v>
      </c>
      <c r="L13" s="330" t="s">
        <v>242</v>
      </c>
      <c r="M13" s="330" t="s">
        <v>243</v>
      </c>
      <c r="N13" s="297" t="s">
        <v>172</v>
      </c>
      <c r="O13" s="297" t="s">
        <v>172</v>
      </c>
      <c r="P13" s="298" t="s">
        <v>244</v>
      </c>
      <c r="Q13" s="331" t="s">
        <v>21</v>
      </c>
      <c r="R13" s="331" t="b">
        <f>OR(AND(COUNTA(B14:B18)=3,COUNTA(C14:G18)=6),AND(COUNTA(B14:B18)=4,COUNTA(C14:G18)=12),AND(COUNTA(B14:B18)=5,COUNTA(C14:G18)=20))</f>
        <v>0</v>
      </c>
      <c r="S13" s="332" t="s">
        <v>245</v>
      </c>
      <c r="T13" s="333" t="s">
        <v>246</v>
      </c>
      <c r="U13" s="302"/>
      <c r="V13" s="302"/>
      <c r="W13" s="302"/>
      <c r="X13" s="302"/>
      <c r="Y13" s="302"/>
      <c r="Z13" s="302"/>
      <c r="AA13" s="309"/>
      <c r="AD13" s="233">
        <f t="shared" si="0"/>
        <v>0</v>
      </c>
      <c r="AE13" s="234" t="str">
        <f>IFERROR(INDEX(V!$R:$R,MATCH(AF13,V!$L:$L,0)),"")</f>
        <v/>
      </c>
      <c r="AF13" s="235" t="str">
        <f t="shared" si="1"/>
        <v/>
      </c>
      <c r="AG13" s="234" t="str">
        <f>IFERROR(INDEX(V!$R:$R,MATCH(AH13,V!$L:$L,0)),"")</f>
        <v/>
      </c>
      <c r="AH13" s="235" t="str">
        <f t="shared" si="2"/>
        <v/>
      </c>
      <c r="AI13" s="234" t="str">
        <f>IFERROR(INDEX(V!$R:$R,MATCH(AJ13,V!$L:$L,0)),"")</f>
        <v/>
      </c>
      <c r="AJ13" s="235" t="str">
        <f t="shared" si="3"/>
        <v/>
      </c>
      <c r="AK13" s="234" t="str">
        <f>IFERROR(INDEX(V!$R:$R,MATCH(AL13,V!$L:$L,0)),"")</f>
        <v/>
      </c>
      <c r="AL13" s="235" t="str">
        <f t="shared" si="4"/>
        <v/>
      </c>
      <c r="AM13" s="234" t="str">
        <f>IFERROR(INDEX(V!$R:$R,MATCH(AN13,V!$L:$L,0)),"")</f>
        <v/>
      </c>
      <c r="AN13" s="235" t="str">
        <f t="shared" si="5"/>
        <v/>
      </c>
      <c r="AO13" s="234" t="str">
        <f>IFERROR(INDEX(V!$R:$R,MATCH(AP13,V!$L:$L,0)),"")</f>
        <v/>
      </c>
      <c r="AP13" s="235" t="str">
        <f t="shared" si="6"/>
        <v/>
      </c>
    </row>
    <row r="14" spans="1:42" hidden="1" x14ac:dyDescent="0.2">
      <c r="A14" s="201">
        <v>1</v>
      </c>
      <c r="B14" s="334"/>
      <c r="C14" s="204"/>
      <c r="D14" s="203"/>
      <c r="E14" s="203"/>
      <c r="F14" s="203"/>
      <c r="G14" s="203"/>
      <c r="H14" s="202" t="str">
        <f>(IF(D14-C15&gt;0,1)+IF(E14-C16&gt;0,1)+IF(F14-C17&gt;0,1)+IF(G14-C18&gt;0,1))&amp;"-"&amp;(IF(D14-C15&lt;0,1)+IF(E14-C16&lt;0,1)+IF(F14-C17&lt;0,1)+IF(G14-C18&lt;0,1))</f>
        <v>0-0</v>
      </c>
      <c r="I14" s="203" t="str">
        <f>IF(AND(B14&lt;&gt;"",R$6=TRUE),A$13&amp;RANK(S14,S$14:S$18,0)," ")</f>
        <v xml:space="preserve"> </v>
      </c>
      <c r="J14" s="305">
        <f>IF(AND(Q14=1,Q15=1,D14&gt;C15),1)+IF(AND(Q14=1,Q16=1,E14&gt;C16),1)+IF(AND(Q14=1,Q17=1,F14&gt;C17),1)+IF(AND(Q14=1,Q18=1,G14&gt;C18),1)+IF(AND(Q14=2,Q15=2,D14&gt;C15),1)+IF(AND(Q14=2,Q16=2,E14&gt;C16),1)+IF(AND(Q14=2,Q17=2,F14&gt;C17),1)+IF(AND(Q14=2,Q18=2,G14&gt;C18),1)+IF(AND(Q14=3,Q15=3,D14&gt;C15),1)+IF(AND(Q14=3,Q16=3,E14&gt;C16),1)+IF(AND(Q14=3,Q17=3,F14&gt;C17),1)+IF(AND(Q14=3,Q18=3,G14&gt;C18),1)</f>
        <v>0</v>
      </c>
      <c r="K14" s="306">
        <f>SUM(AND(T14=T15,D14&gt;C15),AND(T14=T16,E14&gt;C16),AND(T14=T17,F14&gt;C17),AND(T14=T18,G14&gt;C18))</f>
        <v>0</v>
      </c>
      <c r="L14" s="307">
        <f>IF(AND(Q14=1,Q15=1),D14-C15)+IF(AND(Q14=1,Q16=1),E14-C16)+IF(AND(Q14=1,Q17=1),F14-C17)+IF(AND(Q14=1,Q18=1),G14-C18)+IF(AND(Q14=2,Q15=2),D14-C15)+IF(AND(Q14=2,Q16=2),E14-C16)+IF(AND(Q14=2,Q17=2),F14-C17)+IF(AND(Q14=2,Q18=2),G14-C18)+IF(AND(Q14=3,Q15=3),D14-C15)+IF(AND(Q14=3,Q16=3),E14-C16)+IF(AND(Q14=3,Q17=3),F14-C17)+IF(AND(Q14=3,Q18=3),G14-C18)+IF(AND(Q14=4,Q15=4),D14-C15)+IF(AND(Q14=4,Q16=4),E14-C16)+IF(AND(Q14=4,Q17=4),F14-C17)+IF(AND(Q14=4,Q18=4),G14-C18)</f>
        <v>0</v>
      </c>
      <c r="M14" s="308">
        <f>SUM(AND(R14=R15,D14&gt;C15),AND(R14=R16,E14&gt;C16),AND(R14=R17,F14&gt;C17),AND(R14=R18,G14&gt;C18))</f>
        <v>0</v>
      </c>
      <c r="N14" s="356" t="str">
        <f>SUM(C14:G14)&amp;"-"&amp;SUM(C14:C18)</f>
        <v>0-0</v>
      </c>
      <c r="O14" s="357">
        <f>D14+E14+F14+G14-C15-C16-C17-C18</f>
        <v>0</v>
      </c>
      <c r="P14" s="309" t="e">
        <f>SUM(C14:G14,C14:C18)/SUM(C14:C18)</f>
        <v>#DIV/0!</v>
      </c>
      <c r="Q14" s="205">
        <f>VALUE(LEFT(H14,1))</f>
        <v>0</v>
      </c>
      <c r="R14" s="206">
        <f>Q14*100000+J14*10000+K14*1000+100*L14</f>
        <v>0</v>
      </c>
      <c r="S14" s="310">
        <f>R14+M14*0.1+IF(ISNONTEXT(B14),0,0.01)+0.0001*O14</f>
        <v>0</v>
      </c>
      <c r="T14" s="311" t="str">
        <f>Q14&amp;J14</f>
        <v>00</v>
      </c>
      <c r="U14" s="302"/>
      <c r="V14" s="302"/>
      <c r="W14" s="302"/>
      <c r="X14" s="302"/>
      <c r="Y14" s="302"/>
      <c r="Z14" s="302"/>
      <c r="AA14" s="309"/>
      <c r="AD14" s="233">
        <f t="shared" si="0"/>
        <v>0</v>
      </c>
      <c r="AE14" s="234" t="str">
        <f>IFERROR(INDEX(V!$R:$R,MATCH(AF14,V!$L:$L,0)),"")</f>
        <v/>
      </c>
      <c r="AF14" s="235" t="str">
        <f t="shared" si="1"/>
        <v/>
      </c>
      <c r="AG14" s="234" t="str">
        <f>IFERROR(INDEX(V!$R:$R,MATCH(AH14,V!$L:$L,0)),"")</f>
        <v/>
      </c>
      <c r="AH14" s="235" t="str">
        <f t="shared" si="2"/>
        <v/>
      </c>
      <c r="AI14" s="234" t="str">
        <f>IFERROR(INDEX(V!$R:$R,MATCH(AJ14,V!$L:$L,0)),"")</f>
        <v/>
      </c>
      <c r="AJ14" s="235" t="str">
        <f t="shared" si="3"/>
        <v/>
      </c>
      <c r="AK14" s="234" t="str">
        <f>IFERROR(INDEX(V!$R:$R,MATCH(AL14,V!$L:$L,0)),"")</f>
        <v/>
      </c>
      <c r="AL14" s="235" t="str">
        <f t="shared" si="4"/>
        <v/>
      </c>
      <c r="AM14" s="234" t="str">
        <f>IFERROR(INDEX(V!$R:$R,MATCH(AN14,V!$L:$L,0)),"")</f>
        <v/>
      </c>
      <c r="AN14" s="235" t="str">
        <f t="shared" si="5"/>
        <v/>
      </c>
      <c r="AO14" s="234" t="str">
        <f>IFERROR(INDEX(V!$R:$R,MATCH(AP14,V!$L:$L,0)),"")</f>
        <v/>
      </c>
      <c r="AP14" s="235" t="str">
        <f t="shared" si="6"/>
        <v/>
      </c>
    </row>
    <row r="15" spans="1:42" hidden="1" x14ac:dyDescent="0.2">
      <c r="A15" s="201">
        <v>2</v>
      </c>
      <c r="B15" s="304"/>
      <c r="C15" s="203"/>
      <c r="D15" s="204"/>
      <c r="E15" s="203"/>
      <c r="F15" s="203"/>
      <c r="G15" s="203"/>
      <c r="H15" s="202" t="str">
        <f>(IF(C15-D14&gt;0,1)+IF(E15-D16&gt;0,1)+IF(F15-D17&gt;0,1)+IF(G15-D18&gt;0,1))&amp;"-"&amp;(IF(C15-D14&lt;0,1)+IF(E15-D16&lt;0,1)+IF(F15-D17&lt;0,1)+IF(G15-D18&lt;0,1))</f>
        <v>0-0</v>
      </c>
      <c r="I15" s="203" t="str">
        <f>IF(AND(B15&lt;&gt;"",R$6=TRUE),A$13&amp;RANK(S15,S$14:S$18,0)," ")</f>
        <v xml:space="preserve"> </v>
      </c>
      <c r="J15" s="313">
        <f>IF(AND(Q15=1,Q14=1,C15&gt;D14),1)+IF(AND(Q15=1,Q16=1,E15&gt;D16),1)+IF(AND(Q15=1,Q17=1,F15&gt;D17),1)+IF(AND(Q15=1,Q18=1,G15&gt;D18),1)+IF(AND(Q15=2,Q14=2,C15&gt;D14),1)+IF(AND(Q15=2,Q16=2,E15&gt;D16),1)+IF(AND(Q15=2,Q17=2,F15&gt;D17),1)+IF(AND(Q15=2,Q18=2,G15&gt;D18),1)+IF(AND(Q15=3,Q14=3,C15&gt;D14),1)+IF(AND(Q15=3,Q16=3,E15&gt;D16),1)+IF(AND(Q15=3,Q17=3,F15&gt;D17),1)+IF(AND(Q15=3,Q18=3,G15&gt;D18),1)</f>
        <v>0</v>
      </c>
      <c r="K15" s="308">
        <f>SUM(AND(T15=T14,C15&gt;D14),AND(T15=T16,E15&gt;D16),AND(T15=T17,F15&gt;D17),AND(T15=T18,G15&gt;D18))</f>
        <v>0</v>
      </c>
      <c r="L15" s="314">
        <f>IF(AND(Q15=1,Q14=1),C15-D14)+IF(AND(Q15=1,Q16=1),E15-D16)+IF(AND(Q15=1,Q17=1),F15-D17)+IF(AND(Q15=1,Q18=1),G15-D18)+IF(AND(Q15=2,Q14=2),C15-D14)+IF(AND(Q15=2,Q16=2),E15-D16)+IF(AND(Q15=2,Q17=2),F15-D17)+IF(AND(Q15=2,Q18=2),G15-D18)+IF(AND(Q15=3,Q14=3),C15-D14)+IF(AND(Q15=3,Q16=3),E15-D16)+IF(AND(Q15=3,Q17=3),F15-D17)+IF(AND(Q15=3,Q18=3),G15-D18)+IF(AND(Q15=4,Q14=4),C15-D14)+IF(AND(Q15=4,Q16=4),E15-D16)+IF(AND(Q15=4,Q17=4),F15-D17)+IF(AND(Q15=4,Q18=4),G15-D18)</f>
        <v>0</v>
      </c>
      <c r="M15" s="308">
        <f>SUM(AND(R15=R14,C15&gt;D14),AND(R15=R16,E15&gt;D16),AND(R15=R17,F15&gt;D17),AND(R15=R18,G15&gt;D18))</f>
        <v>0</v>
      </c>
      <c r="N15" s="356" t="str">
        <f>SUM(C15:G15)&amp;"-"&amp;SUM(D14:D18)</f>
        <v>0-0</v>
      </c>
      <c r="O15" s="357">
        <f>C15+E15+F15+G15-D14-D16-D17-D18</f>
        <v>0</v>
      </c>
      <c r="P15" s="309" t="e">
        <f>SUM(C15:G15,D14:D18)/SUM(D14:D18)</f>
        <v>#DIV/0!</v>
      </c>
      <c r="Q15" s="315">
        <f>VALUE(LEFT(H15,1))</f>
        <v>0</v>
      </c>
      <c r="R15" s="206">
        <f>Q15*100000+J15*10000+K15*1000+100*L15</f>
        <v>0</v>
      </c>
      <c r="S15" s="310">
        <f>R15+M15*0.1+IF(ISNONTEXT(B15),0,0.01)+0.0001*O15</f>
        <v>0</v>
      </c>
      <c r="T15" s="311" t="str">
        <f>Q15&amp;J15</f>
        <v>00</v>
      </c>
      <c r="U15" s="302"/>
      <c r="V15" s="302"/>
      <c r="W15" s="302"/>
      <c r="X15" s="302"/>
      <c r="Y15" s="302"/>
      <c r="Z15" s="302"/>
      <c r="AA15" s="309"/>
      <c r="AD15" s="233">
        <f t="shared" si="0"/>
        <v>0</v>
      </c>
      <c r="AE15" s="234" t="str">
        <f>IFERROR(INDEX(V!$R:$R,MATCH(AF15,V!$L:$L,0)),"")</f>
        <v/>
      </c>
      <c r="AF15" s="235" t="str">
        <f t="shared" si="1"/>
        <v/>
      </c>
      <c r="AG15" s="234" t="str">
        <f>IFERROR(INDEX(V!$R:$R,MATCH(AH15,V!$L:$L,0)),"")</f>
        <v/>
      </c>
      <c r="AH15" s="235" t="str">
        <f t="shared" si="2"/>
        <v/>
      </c>
      <c r="AI15" s="234" t="str">
        <f>IFERROR(INDEX(V!$R:$R,MATCH(AJ15,V!$L:$L,0)),"")</f>
        <v/>
      </c>
      <c r="AJ15" s="235" t="str">
        <f t="shared" si="3"/>
        <v/>
      </c>
      <c r="AK15" s="234" t="str">
        <f>IFERROR(INDEX(V!$R:$R,MATCH(AL15,V!$L:$L,0)),"")</f>
        <v/>
      </c>
      <c r="AL15" s="235" t="str">
        <f t="shared" si="4"/>
        <v/>
      </c>
      <c r="AM15" s="234" t="str">
        <f>IFERROR(INDEX(V!$R:$R,MATCH(AN15,V!$L:$L,0)),"")</f>
        <v/>
      </c>
      <c r="AN15" s="235" t="str">
        <f t="shared" si="5"/>
        <v/>
      </c>
      <c r="AO15" s="234" t="str">
        <f>IFERROR(INDEX(V!$R:$R,MATCH(AP15,V!$L:$L,0)),"")</f>
        <v/>
      </c>
      <c r="AP15" s="235" t="str">
        <f t="shared" si="6"/>
        <v/>
      </c>
    </row>
    <row r="16" spans="1:42" hidden="1" x14ac:dyDescent="0.2">
      <c r="A16" s="201">
        <v>3</v>
      </c>
      <c r="B16" s="312"/>
      <c r="C16" s="203"/>
      <c r="D16" s="316"/>
      <c r="E16" s="204"/>
      <c r="F16" s="203"/>
      <c r="G16" s="203"/>
      <c r="H16" s="202" t="str">
        <f>(IF(C16-E14&gt;0,1)+IF(D16-E15&gt;0,1)+IF(F16-E17&gt;0,1)+IF(G16-E18&gt;0,1))&amp;"-"&amp;(IF(C16-E14&lt;0,1)+IF(D16-E15&lt;0,1)+IF(F16-E17&lt;0,1)+IF(G16-E18&lt;0,1))</f>
        <v>0-0</v>
      </c>
      <c r="I16" s="203" t="str">
        <f>IF(AND(B16&lt;&gt;"",R$6=TRUE),A$13&amp;RANK(S16,S$14:S$18,0)," ")</f>
        <v xml:space="preserve"> </v>
      </c>
      <c r="J16" s="313">
        <f>IF(AND(Q16=1,Q14=1,C16&gt;E14),1)+IF(AND(Q16=1,Q15=1,D16&gt;E15),1)+IF(AND(Q16=1,Q17=1,F16&gt;E17),1)+IF(AND(Q16=1,Q18=1,G16&gt;E18),1)+IF(AND(Q16=2,Q14=2,C16&gt;E14),1)+IF(AND(Q16=2,Q15=2,D16&gt;E15),1)+IF(AND(Q16=2,Q17=2,F16&gt;E17),1)+IF(AND(Q16=2,Q18=2,G16&gt;E18),1)+IF(AND(Q16=3,Q14=3,C16&gt;E14),1)+IF(AND(Q16=3,Q15=3,D16&gt;E15),1)+IF(AND(Q16=3,Q17=3,F16&gt;E17),1)+IF(AND(Q16=3,Q18=3,G16&gt;E18),1)</f>
        <v>0</v>
      </c>
      <c r="K16" s="308">
        <f>SUM(AND(T16=T14,C16&gt;E14),AND(T16=T15,D16&gt;E15),AND(T16=T17,F16&gt;E17),AND(T16=T18,G16&gt;E18))</f>
        <v>0</v>
      </c>
      <c r="L16" s="314">
        <f>IF(AND(Q16=1,Q14=1),C16-E14)+IF(AND(Q16=1,Q15=1),D16-E15)+IF(AND(Q16=1,Q17=1),F16-E17)+IF(AND(Q16=1,Q18=1),G16-E18)+IF(AND(Q16=2,Q14=2),C16-E14)+IF(AND(Q16=2,Q15=2),D16-E15)+IF(AND(Q16=2,Q17=2),F16-E17)+IF(AND(Q16=2,Q18=2),G16-E18)+IF(AND(Q16=3,Q14=3),C16-E14)+IF(AND(Q16=3,Q15=3),D16-E15)+IF(AND(Q16=3,Q17=3),F16-E17)+IF(AND(Q16=3,Q18=3),G16-E18)+IF(AND(Q16=4,Q14=4),C16-E14)+IF(AND(Q16=4,Q15=4),D16-E15)+IF(AND(Q16=4,Q17=4),F16-E17)+IF(AND(Q16=4,Q18=4),G16-E18)</f>
        <v>0</v>
      </c>
      <c r="M16" s="308">
        <f>SUM(AND(R16=R14,C16&gt;E14),AND(R16=R15,D16&gt;E15),AND(R16=R17,F16&gt;E17),AND(R16=R18,G16&gt;E18))</f>
        <v>0</v>
      </c>
      <c r="N16" s="356" t="str">
        <f>SUM(C16:G16)&amp;"-"&amp;SUM(E14:E18)</f>
        <v>0-0</v>
      </c>
      <c r="O16" s="357">
        <f>C16+D16+F16+G16-E14-E15-E17-E18</f>
        <v>0</v>
      </c>
      <c r="P16" s="309" t="e">
        <f>SUM(C16:G16,E14:E18)/SUM(E14:E18)</f>
        <v>#DIV/0!</v>
      </c>
      <c r="Q16" s="315">
        <f>VALUE(LEFT(H16,1))</f>
        <v>0</v>
      </c>
      <c r="R16" s="206">
        <f>Q16*100000+J16*10000+K16*1000+100*L16</f>
        <v>0</v>
      </c>
      <c r="S16" s="310">
        <f>R16+M16*0.1+IF(ISNONTEXT(B16),0,0.01)+0.0001*O16</f>
        <v>0</v>
      </c>
      <c r="T16" s="311" t="str">
        <f>Q16&amp;J16</f>
        <v>00</v>
      </c>
      <c r="U16" s="302"/>
      <c r="V16" s="302"/>
      <c r="W16" s="302"/>
      <c r="X16" s="302"/>
      <c r="Y16" s="302"/>
      <c r="Z16" s="302"/>
      <c r="AA16" s="309"/>
      <c r="AD16" s="233">
        <f t="shared" si="0"/>
        <v>0</v>
      </c>
      <c r="AE16" s="234" t="str">
        <f>IFERROR(INDEX(V!$R:$R,MATCH(AF16,V!$L:$L,0)),"")</f>
        <v/>
      </c>
      <c r="AF16" s="235" t="str">
        <f t="shared" si="1"/>
        <v/>
      </c>
      <c r="AG16" s="234" t="str">
        <f>IFERROR(INDEX(V!$R:$R,MATCH(AH16,V!$L:$L,0)),"")</f>
        <v/>
      </c>
      <c r="AH16" s="235" t="str">
        <f t="shared" si="2"/>
        <v/>
      </c>
      <c r="AI16" s="234" t="str">
        <f>IFERROR(INDEX(V!$R:$R,MATCH(AJ16,V!$L:$L,0)),"")</f>
        <v/>
      </c>
      <c r="AJ16" s="235" t="str">
        <f t="shared" si="3"/>
        <v/>
      </c>
      <c r="AK16" s="234" t="str">
        <f>IFERROR(INDEX(V!$R:$R,MATCH(AL16,V!$L:$L,0)),"")</f>
        <v/>
      </c>
      <c r="AL16" s="235" t="str">
        <f t="shared" si="4"/>
        <v/>
      </c>
      <c r="AM16" s="234" t="str">
        <f>IFERROR(INDEX(V!$R:$R,MATCH(AN16,V!$L:$L,0)),"")</f>
        <v/>
      </c>
      <c r="AN16" s="235" t="str">
        <f t="shared" si="5"/>
        <v/>
      </c>
      <c r="AO16" s="234" t="str">
        <f>IFERROR(INDEX(V!$R:$R,MATCH(AP16,V!$L:$L,0)),"")</f>
        <v/>
      </c>
      <c r="AP16" s="235" t="str">
        <f t="shared" si="6"/>
        <v/>
      </c>
    </row>
    <row r="17" spans="1:42" hidden="1" x14ac:dyDescent="0.2">
      <c r="A17" s="201">
        <v>4</v>
      </c>
      <c r="B17" s="317"/>
      <c r="C17" s="203"/>
      <c r="D17" s="316"/>
      <c r="E17" s="203"/>
      <c r="F17" s="204"/>
      <c r="G17" s="335"/>
      <c r="H17" s="202" t="str">
        <f>(IF(C17-F14&gt;0,1)+IF(D17-F15&gt;0,1)+IF(E17-F16&gt;0,1)+IF(G17-F18&gt;0,1))&amp;"-"&amp;(IF(C17-F14&lt;0,1)+IF(D17-F15&lt;0,1)+IF(E17-F16&lt;0,1)+IF(G17-F18&lt;0,1))</f>
        <v>0-0</v>
      </c>
      <c r="I17" s="203" t="str">
        <f>IF(AND(B17&lt;&gt;"",R$6=TRUE),A$13&amp;RANK(S17,S$14:S$18,0)," ")</f>
        <v xml:space="preserve"> </v>
      </c>
      <c r="J17" s="313">
        <f>IF(AND(Q17=1,Q14=1,C17&gt;F14),1)+IF(AND(Q17=1,Q15=1,D17&gt;F15),1)+IF(AND(Q17=1,Q16=1,E17&gt;F16),1)+IF(AND(Q17=1,Q18=1,G17&gt;F18),1)+IF(AND(Q17=2,Q14=2,C17&gt;F14),1)+IF(AND(Q17=2,Q15=2,D17&gt;F15),1)+IF(AND(Q17=2,Q16=2,E17&gt;F16),1)+IF(AND(Q17=2,Q18=2,G17&gt;F18),1)+IF(AND(Q17=3,Q14=3,C17&gt;F14),1)+IF(AND(Q17=3,Q15=3,D17&gt;F15),1)+IF(AND(Q17=3,Q16=3,E17&gt;F16),1)+IF(AND(Q17=3,Q18=3,G17&gt;F18),1)</f>
        <v>0</v>
      </c>
      <c r="K17" s="308">
        <f>SUM(AND(T17=T14,C17&gt;F14),AND(T17=T15,D17&gt;F15),AND(T17=T16,E17&gt;F16),AND(T17=T18,G17&gt;F18))</f>
        <v>0</v>
      </c>
      <c r="L17" s="314">
        <f>IF(AND(Q17=1,Q14=1),C17-F14)+IF(AND(Q17=1,Q15=1),D17-F15)+IF(AND(Q17=1,Q16=1),E17-F16)+IF(AND(Q17=1,Q18=1),G17-F18)+IF(AND(Q17=2,Q14=2),C17-F14)+IF(AND(Q17=2,Q15=2),D17-F15)+IF(AND(Q17=2,Q16=2),E17-F16)+IF(AND(Q17=2,Q18=2),G17-F18)+IF(AND(Q17=3,Q14=3),C17-F14)+IF(AND(Q17=3,Q15=3),D17-F15)+IF(AND(Q17=3,Q16=3),E17-F16)+IF(AND(Q17=3,Q18=3),G17-F18)+IF(AND(Q17=4,Q14=4),C17-F14)+IF(AND(Q17=4,Q15=4),D17-F15)+IF(AND(Q17=4,Q16=4),E17-F16)+IF(AND(Q17=4,Q18=4),G17-F18)</f>
        <v>0</v>
      </c>
      <c r="M17" s="308">
        <f>SUM(AND(R17=R14,C17&gt;F14),AND(R17=R15,D17&gt;F15),AND(R17=R16,E17&gt;F16),AND(R17=R18,G17&gt;F18))</f>
        <v>0</v>
      </c>
      <c r="N17" s="356" t="str">
        <f>SUM(C17:G17)&amp;"-"&amp;SUM(F14:F18)</f>
        <v>0-0</v>
      </c>
      <c r="O17" s="357">
        <f>C17+D17+E17+G17-F14-F15-F16-F18</f>
        <v>0</v>
      </c>
      <c r="P17" s="309" t="e">
        <f>SUM(C17:G17,F14:F18)/SUM(F14:F18)</f>
        <v>#DIV/0!</v>
      </c>
      <c r="Q17" s="315">
        <f>VALUE(LEFT(H17,1))</f>
        <v>0</v>
      </c>
      <c r="R17" s="206">
        <f>Q17*100000+J17*10000+K17*1000+100*L17</f>
        <v>0</v>
      </c>
      <c r="S17" s="310">
        <f>R17+M17*0.1+IF(ISNONTEXT(B17),0,0.01)+0.0001*O17</f>
        <v>0</v>
      </c>
      <c r="T17" s="311" t="str">
        <f>Q17&amp;J17</f>
        <v>00</v>
      </c>
      <c r="U17" s="302"/>
      <c r="V17" s="302"/>
      <c r="W17" s="302"/>
      <c r="X17" s="302"/>
      <c r="Y17" s="302"/>
      <c r="Z17" s="302"/>
      <c r="AA17" s="309"/>
      <c r="AD17" s="233">
        <f t="shared" si="0"/>
        <v>0</v>
      </c>
      <c r="AE17" s="234" t="str">
        <f>IFERROR(INDEX(V!$R:$R,MATCH(AF17,V!$L:$L,0)),"")</f>
        <v/>
      </c>
      <c r="AF17" s="235" t="str">
        <f t="shared" si="1"/>
        <v/>
      </c>
      <c r="AG17" s="234" t="str">
        <f>IFERROR(INDEX(V!$R:$R,MATCH(AH17,V!$L:$L,0)),"")</f>
        <v/>
      </c>
      <c r="AH17" s="235" t="str">
        <f t="shared" si="2"/>
        <v/>
      </c>
      <c r="AI17" s="234" t="str">
        <f>IFERROR(INDEX(V!$R:$R,MATCH(AJ17,V!$L:$L,0)),"")</f>
        <v/>
      </c>
      <c r="AJ17" s="235" t="str">
        <f t="shared" si="3"/>
        <v/>
      </c>
      <c r="AK17" s="234" t="str">
        <f>IFERROR(INDEX(V!$R:$R,MATCH(AL17,V!$L:$L,0)),"")</f>
        <v/>
      </c>
      <c r="AL17" s="235" t="str">
        <f t="shared" si="4"/>
        <v/>
      </c>
      <c r="AM17" s="234" t="str">
        <f>IFERROR(INDEX(V!$R:$R,MATCH(AN17,V!$L:$L,0)),"")</f>
        <v/>
      </c>
      <c r="AN17" s="235" t="str">
        <f t="shared" si="5"/>
        <v/>
      </c>
      <c r="AO17" s="234" t="str">
        <f>IFERROR(INDEX(V!$R:$R,MATCH(AP17,V!$L:$L,0)),"")</f>
        <v/>
      </c>
      <c r="AP17" s="235" t="str">
        <f t="shared" si="6"/>
        <v/>
      </c>
    </row>
    <row r="18" spans="1:42" hidden="1" x14ac:dyDescent="0.2">
      <c r="A18" s="201">
        <v>5</v>
      </c>
      <c r="B18" s="317"/>
      <c r="C18" s="203"/>
      <c r="D18" s="203"/>
      <c r="E18" s="203"/>
      <c r="F18" s="203"/>
      <c r="G18" s="204"/>
      <c r="H18" s="202" t="str">
        <f>(IF(C18-G14&gt;0,1)+IF(D18-G15&gt;0,1)+IF(E18-G16&gt;0,1)+IF(F18-G17&gt;0,1))&amp;"-"&amp;(IF(C18-G14&lt;0,1)+IF(D18-G15&lt;0,1)+IF(E18-G16&lt;0,1)+IF(F18-G17&lt;0,1))</f>
        <v>0-0</v>
      </c>
      <c r="I18" s="203" t="str">
        <f>IF(AND(B18&lt;&gt;"",R$6=TRUE),A$13&amp;RANK(S18,S$14:S$18,0)," ")</f>
        <v xml:space="preserve"> </v>
      </c>
      <c r="J18" s="313">
        <f>IF(AND(Q18=1,Q14=1,C18&gt;G14),1)+IF(AND(Q18=1,Q15=1,D18&gt;G15),1)+IF(AND(Q18=1,Q16=1,E18&gt;G16),1)+IF(AND(Q18=1,Q17=1,F18&gt;G17),1)+IF(AND(Q18=2,Q14=2,C18&gt;G14),1)+IF(AND(Q18=2,Q15=2,D18&gt;G15),1)+IF(AND(Q18=2,Q16=2,E18&gt;G16),1)+IF(AND(Q18=2,Q17=2,F18&gt;G17),1)+IF(AND(Q18=3,Q14=3,C18&gt;G14),1)+IF(AND(Q18=3,Q15=3,D18&gt;G15),1)+IF(AND(Q18=3,Q16=3,E18&gt;G16),1)+IF(AND(Q18=3,Q17=3,F18&gt;G17),1)</f>
        <v>0</v>
      </c>
      <c r="K18" s="308">
        <f>SUM(AND(T18=T14,C18&gt;G14),AND(T18=T15,D18&gt;G15),AND(T18=T16,E18&gt;G16),AND(T18=T17,F18&gt;G17))</f>
        <v>0</v>
      </c>
      <c r="L18" s="314">
        <f>IF(AND(Q18=1,Q14=1),C18-G14)+IF(AND(Q18=1,Q15=1),D18-G15)+IF(AND(Q18=1,Q16=1),E18-G16)+IF(AND(Q18=1,Q17=1),F18-G17)+IF(AND(Q18=2,Q14=2),C18-G14)+IF(AND(Q18=2,Q15=2),D18-G15)+IF(AND(Q18=2,Q16=2),E18-G16)+IF(AND(Q18=2,Q17=2),F18-G17)+IF(AND(Q18=3,Q14=3),C18-G14)+IF(AND(Q18=3,Q15=3),D18-G15)+IF(AND(Q18=3,Q16=3),E18-G16)+IF(AND(Q18=3,Q17=3),F18-G17)+IF(AND(Q18=4,Q14=4),C18-G14)+IF(AND(Q18=4,Q15=4),D18-G15)+IF(AND(Q18=4,Q16=4),E18-G16)+IF(AND(Q18=4,Q17=4),F18-G17)</f>
        <v>0</v>
      </c>
      <c r="M18" s="308">
        <f>SUM(AND(R18=R14,C18&gt;G14),AND(R18=R15,D18&gt;G15),AND(R18=R16,E18&gt;G16),AND(R18=R17,F18&gt;G17))</f>
        <v>0</v>
      </c>
      <c r="N18" s="356" t="str">
        <f>SUM(C18:G18)&amp;"-"&amp;SUM(G14:G18)</f>
        <v>0-0</v>
      </c>
      <c r="O18" s="357">
        <f>C18+D18+E18+F18-G14-G15-G16-G17</f>
        <v>0</v>
      </c>
      <c r="P18" s="309" t="e">
        <f>SUM(C18:G18,G14:G18)/SUM(G14:G18)</f>
        <v>#DIV/0!</v>
      </c>
      <c r="Q18" s="315">
        <f>VALUE(LEFT(H18,1))</f>
        <v>0</v>
      </c>
      <c r="R18" s="206">
        <f>Q18*100000+J18*10000+K18*1000+100*L18</f>
        <v>0</v>
      </c>
      <c r="S18" s="310">
        <f>R18+M18*0.1+IF(ISNONTEXT(B18),0,0.01)+0.0001*O18</f>
        <v>0</v>
      </c>
      <c r="T18" s="311" t="str">
        <f>Q18&amp;J18</f>
        <v>00</v>
      </c>
      <c r="U18" s="302"/>
      <c r="V18" s="302"/>
      <c r="W18" s="302"/>
      <c r="X18" s="302"/>
      <c r="Y18" s="302"/>
      <c r="Z18" s="302"/>
      <c r="AA18" s="309"/>
      <c r="AD18" s="233">
        <f t="shared" si="0"/>
        <v>0</v>
      </c>
      <c r="AE18" s="234" t="str">
        <f>IFERROR(INDEX(V!$R:$R,MATCH(AF18,V!$L:$L,0)),"")</f>
        <v/>
      </c>
      <c r="AF18" s="235" t="str">
        <f t="shared" si="1"/>
        <v/>
      </c>
      <c r="AG18" s="234" t="str">
        <f>IFERROR(INDEX(V!$R:$R,MATCH(AH18,V!$L:$L,0)),"")</f>
        <v/>
      </c>
      <c r="AH18" s="235" t="str">
        <f t="shared" si="2"/>
        <v/>
      </c>
      <c r="AI18" s="234" t="str">
        <f>IFERROR(INDEX(V!$R:$R,MATCH(AJ18,V!$L:$L,0)),"")</f>
        <v/>
      </c>
      <c r="AJ18" s="235" t="str">
        <f t="shared" si="3"/>
        <v/>
      </c>
      <c r="AK18" s="234" t="str">
        <f>IFERROR(INDEX(V!$R:$R,MATCH(AL18,V!$L:$L,0)),"")</f>
        <v/>
      </c>
      <c r="AL18" s="235" t="str">
        <f t="shared" si="4"/>
        <v/>
      </c>
      <c r="AM18" s="234" t="str">
        <f>IFERROR(INDEX(V!$R:$R,MATCH(AN18,V!$L:$L,0)),"")</f>
        <v/>
      </c>
      <c r="AN18" s="235" t="str">
        <f t="shared" si="5"/>
        <v/>
      </c>
      <c r="AO18" s="234" t="str">
        <f>IFERROR(INDEX(V!$R:$R,MATCH(AP18,V!$L:$L,0)),"")</f>
        <v/>
      </c>
      <c r="AP18" s="235" t="str">
        <f t="shared" si="6"/>
        <v/>
      </c>
    </row>
    <row r="19" spans="1:42" hidden="1" x14ac:dyDescent="0.2">
      <c r="A19" s="318"/>
      <c r="B19" s="319"/>
      <c r="C19" s="320"/>
      <c r="D19" s="321"/>
      <c r="E19" s="320"/>
      <c r="F19" s="322"/>
      <c r="G19" s="323"/>
      <c r="H19" s="324"/>
      <c r="I19" s="336"/>
      <c r="J19" s="302"/>
      <c r="K19" s="302"/>
      <c r="L19" s="302"/>
      <c r="M19" s="302"/>
      <c r="N19" s="358"/>
      <c r="O19" s="358"/>
      <c r="P19" s="302"/>
      <c r="Q19" s="302"/>
      <c r="R19" s="326" t="s">
        <v>247</v>
      </c>
      <c r="S19" s="302"/>
      <c r="T19" s="302"/>
      <c r="U19" s="302"/>
      <c r="V19" s="302"/>
      <c r="W19" s="302"/>
      <c r="X19" s="302"/>
      <c r="Y19" s="302"/>
      <c r="Z19" s="302"/>
      <c r="AA19" s="309"/>
      <c r="AD19" s="233">
        <f t="shared" si="0"/>
        <v>0</v>
      </c>
      <c r="AE19" s="234" t="str">
        <f>IFERROR(INDEX(V!$R:$R,MATCH(AF19,V!$L:$L,0)),"")</f>
        <v/>
      </c>
      <c r="AF19" s="235" t="str">
        <f t="shared" si="1"/>
        <v/>
      </c>
      <c r="AG19" s="234" t="str">
        <f>IFERROR(INDEX(V!$R:$R,MATCH(AH19,V!$L:$L,0)),"")</f>
        <v/>
      </c>
      <c r="AH19" s="235" t="str">
        <f t="shared" si="2"/>
        <v/>
      </c>
      <c r="AI19" s="234" t="str">
        <f>IFERROR(INDEX(V!$R:$R,MATCH(AJ19,V!$L:$L,0)),"")</f>
        <v/>
      </c>
      <c r="AJ19" s="235" t="str">
        <f t="shared" si="3"/>
        <v/>
      </c>
      <c r="AK19" s="234" t="str">
        <f>IFERROR(INDEX(V!$R:$R,MATCH(AL19,V!$L:$L,0)),"")</f>
        <v/>
      </c>
      <c r="AL19" s="235" t="str">
        <f t="shared" si="4"/>
        <v/>
      </c>
      <c r="AM19" s="234" t="str">
        <f>IFERROR(INDEX(V!$R:$R,MATCH(AN19,V!$L:$L,0)),"")</f>
        <v/>
      </c>
      <c r="AN19" s="235" t="str">
        <f t="shared" si="5"/>
        <v/>
      </c>
      <c r="AO19" s="234" t="str">
        <f>IFERROR(INDEX(V!$R:$R,MATCH(AP19,V!$L:$L,0)),"")</f>
        <v/>
      </c>
      <c r="AP19" s="235" t="str">
        <f t="shared" si="6"/>
        <v/>
      </c>
    </row>
    <row r="20" spans="1:42" hidden="1" x14ac:dyDescent="0.2">
      <c r="A20" s="201" t="s">
        <v>2</v>
      </c>
      <c r="B20" s="327"/>
      <c r="C20" s="292">
        <v>1</v>
      </c>
      <c r="D20" s="292">
        <v>2</v>
      </c>
      <c r="E20" s="292">
        <v>3</v>
      </c>
      <c r="F20" s="292"/>
      <c r="G20" s="292"/>
      <c r="H20" s="293" t="s">
        <v>170</v>
      </c>
      <c r="I20" s="293" t="s">
        <v>171</v>
      </c>
      <c r="J20" s="328" t="s">
        <v>240</v>
      </c>
      <c r="K20" s="329" t="s">
        <v>241</v>
      </c>
      <c r="L20" s="330" t="s">
        <v>242</v>
      </c>
      <c r="M20" s="330" t="s">
        <v>243</v>
      </c>
      <c r="N20" s="297" t="s">
        <v>172</v>
      </c>
      <c r="O20" s="297" t="s">
        <v>172</v>
      </c>
      <c r="P20" s="298" t="s">
        <v>244</v>
      </c>
      <c r="Q20" s="331" t="s">
        <v>21</v>
      </c>
      <c r="R20" s="331" t="b">
        <f>OR(AND(COUNTA(B21:B25)=3,COUNTA(C21:G25)=6),AND(COUNTA(B21:B25)=4,COUNTA(C21:G25)=12),AND(COUNTA(B21:B25)=5,COUNTA(C21:G25)=20))</f>
        <v>0</v>
      </c>
      <c r="S20" s="332" t="s">
        <v>245</v>
      </c>
      <c r="T20" s="333" t="s">
        <v>246</v>
      </c>
      <c r="U20" s="302"/>
      <c r="V20" s="302"/>
      <c r="W20" s="302"/>
      <c r="X20" s="302"/>
      <c r="Y20" s="302"/>
      <c r="Z20" s="302"/>
      <c r="AA20" s="302"/>
      <c r="AD20" s="233">
        <f t="shared" si="0"/>
        <v>0</v>
      </c>
      <c r="AE20" s="234" t="str">
        <f>IFERROR(INDEX(V!$R:$R,MATCH(AF20,V!$L:$L,0)),"")</f>
        <v/>
      </c>
      <c r="AF20" s="235" t="str">
        <f t="shared" si="1"/>
        <v/>
      </c>
      <c r="AG20" s="234" t="str">
        <f>IFERROR(INDEX(V!$R:$R,MATCH(AH20,V!$L:$L,0)),"")</f>
        <v/>
      </c>
      <c r="AH20" s="235" t="str">
        <f t="shared" si="2"/>
        <v/>
      </c>
      <c r="AI20" s="234" t="str">
        <f>IFERROR(INDEX(V!$R:$R,MATCH(AJ20,V!$L:$L,0)),"")</f>
        <v/>
      </c>
      <c r="AJ20" s="235" t="str">
        <f t="shared" si="3"/>
        <v/>
      </c>
      <c r="AK20" s="234" t="str">
        <f>IFERROR(INDEX(V!$R:$R,MATCH(AL20,V!$L:$L,0)),"")</f>
        <v/>
      </c>
      <c r="AL20" s="235" t="str">
        <f t="shared" si="4"/>
        <v/>
      </c>
      <c r="AM20" s="234" t="str">
        <f>IFERROR(INDEX(V!$R:$R,MATCH(AN20,V!$L:$L,0)),"")</f>
        <v/>
      </c>
      <c r="AN20" s="235" t="str">
        <f t="shared" si="5"/>
        <v/>
      </c>
      <c r="AO20" s="234" t="str">
        <f>IFERROR(INDEX(V!$R:$R,MATCH(AP20,V!$L:$L,0)),"")</f>
        <v/>
      </c>
      <c r="AP20" s="235" t="str">
        <f t="shared" si="6"/>
        <v/>
      </c>
    </row>
    <row r="21" spans="1:42" hidden="1" x14ac:dyDescent="0.2">
      <c r="A21" s="201">
        <v>1</v>
      </c>
      <c r="B21" s="304"/>
      <c r="C21" s="204"/>
      <c r="D21" s="203"/>
      <c r="E21" s="203"/>
      <c r="F21" s="203"/>
      <c r="G21" s="203"/>
      <c r="H21" s="202" t="str">
        <f>(IF(D21-C22&gt;0,1)+IF(E21-C23&gt;0,1)+IF(F21-C24&gt;0,1)+IF(G21-C25&gt;0,1))&amp;"-"&amp;(IF(D21-C22&lt;0,1)+IF(E21-C23&lt;0,1)+IF(F21-C24&lt;0,1)+IF(G21-C25&lt;0,1))</f>
        <v>0-0</v>
      </c>
      <c r="I21" s="203" t="str">
        <f>IF(AND(B21&lt;&gt;"",R$20=TRUE),A$20&amp;RANK(S21,S$21:S$25,0)," ")</f>
        <v xml:space="preserve"> </v>
      </c>
      <c r="J21" s="305">
        <f>IF(AND(Q21=1,Q22=1,D21&gt;C22),1)+IF(AND(Q21=1,Q23=1,E21&gt;C23),1)+IF(AND(Q21=1,Q24=1,F21&gt;C24),1)+IF(AND(Q21=1,Q25=1,G21&gt;C25),1)+IF(AND(Q21=2,Q22=2,D21&gt;C22),1)+IF(AND(Q21=2,Q23=2,E21&gt;C23),1)+IF(AND(Q21=2,Q24=2,F21&gt;C24),1)+IF(AND(Q21=2,Q25=2,G21&gt;C25),1)+IF(AND(Q21=3,Q22=3,D21&gt;C22),1)+IF(AND(Q21=3,Q23=3,E21&gt;C23),1)+IF(AND(Q21=3,Q24=3,F21&gt;C24),1)+IF(AND(Q21=3,Q25=3,G21&gt;C25),1)</f>
        <v>0</v>
      </c>
      <c r="K21" s="306">
        <f>SUM(AND(T21=T22,D21&gt;C22),AND(T21=T23,E21&gt;C23),AND(T21=T24,F21&gt;C24),AND(T21=T25,G21&gt;C25))</f>
        <v>0</v>
      </c>
      <c r="L21" s="307">
        <f>IF(AND(Q21=1,Q22=1),D21-C22)+IF(AND(Q21=1,Q23=1),E21-C23)+IF(AND(Q21=1,Q24=1),F21-C24)+IF(AND(Q21=1,Q25=1),G21-C25)+IF(AND(Q21=2,Q22=2),D21-C22)+IF(AND(Q21=2,Q23=2),E21-C23)+IF(AND(Q21=2,Q24=2),F21-C24)+IF(AND(Q21=2,Q25=2),G21-C25)+IF(AND(Q21=3,Q22=3),D21-C22)+IF(AND(Q21=3,Q23=3),E21-C23)+IF(AND(Q21=3,Q24=3),F21-C24)+IF(AND(Q21=3,Q25=3),G21-C25)+IF(AND(Q21=4,Q22=4),D21-C22)+IF(AND(Q21=4,Q23=4),E21-C23)+IF(AND(Q21=4,Q24=4),F21-C24)+IF(AND(Q21=4,Q25=4),G21-C25)</f>
        <v>0</v>
      </c>
      <c r="M21" s="308">
        <f>SUM(AND(R21=R22,D21&gt;C22),AND(R21=R23,E21&gt;C23),AND(R21=R24,F21&gt;C24),AND(R21=R25,G21&gt;C25))</f>
        <v>0</v>
      </c>
      <c r="N21" s="356" t="str">
        <f>SUM(C21:G21)&amp;"-"&amp;SUM(C21:C25)</f>
        <v>0-0</v>
      </c>
      <c r="O21" s="357">
        <f>D21+E21+F21+G21-C22-C23-C24-C25</f>
        <v>0</v>
      </c>
      <c r="P21" s="309" t="e">
        <f>SUM(C21:G21,C21:C25)/SUM(C21:C25)</f>
        <v>#DIV/0!</v>
      </c>
      <c r="Q21" s="205">
        <f>VALUE(LEFT(H21,1))</f>
        <v>0</v>
      </c>
      <c r="R21" s="206">
        <f>Q21*100000+J21*10000+K21*1000+100*L21</f>
        <v>0</v>
      </c>
      <c r="S21" s="310">
        <f>R21+M21*0.1+IF(ISNONTEXT(B21),0,0.01)+0.0001*O21</f>
        <v>0</v>
      </c>
      <c r="T21" s="311" t="str">
        <f>Q21&amp;J21</f>
        <v>00</v>
      </c>
      <c r="U21" s="302"/>
      <c r="V21" s="302"/>
      <c r="W21" s="302"/>
      <c r="X21" s="302"/>
      <c r="Y21" s="302"/>
      <c r="Z21" s="302"/>
      <c r="AA21" s="302"/>
      <c r="AD21" s="233">
        <f t="shared" si="0"/>
        <v>0</v>
      </c>
      <c r="AE21" s="234" t="str">
        <f>IFERROR(INDEX(V!$R:$R,MATCH(AF21,V!$L:$L,0)),"")</f>
        <v/>
      </c>
      <c r="AF21" s="235" t="str">
        <f t="shared" si="1"/>
        <v/>
      </c>
      <c r="AG21" s="234" t="str">
        <f>IFERROR(INDEX(V!$R:$R,MATCH(AH21,V!$L:$L,0)),"")</f>
        <v/>
      </c>
      <c r="AH21" s="235" t="str">
        <f t="shared" si="2"/>
        <v/>
      </c>
      <c r="AI21" s="234" t="str">
        <f>IFERROR(INDEX(V!$R:$R,MATCH(AJ21,V!$L:$L,0)),"")</f>
        <v/>
      </c>
      <c r="AJ21" s="235" t="str">
        <f t="shared" si="3"/>
        <v/>
      </c>
      <c r="AK21" s="234" t="str">
        <f>IFERROR(INDEX(V!$R:$R,MATCH(AL21,V!$L:$L,0)),"")</f>
        <v/>
      </c>
      <c r="AL21" s="235" t="str">
        <f t="shared" si="4"/>
        <v/>
      </c>
      <c r="AM21" s="234" t="str">
        <f>IFERROR(INDEX(V!$R:$R,MATCH(AN21,V!$L:$L,0)),"")</f>
        <v/>
      </c>
      <c r="AN21" s="235" t="str">
        <f t="shared" si="5"/>
        <v/>
      </c>
      <c r="AO21" s="234" t="str">
        <f>IFERROR(INDEX(V!$R:$R,MATCH(AP21,V!$L:$L,0)),"")</f>
        <v/>
      </c>
      <c r="AP21" s="235" t="str">
        <f t="shared" si="6"/>
        <v/>
      </c>
    </row>
    <row r="22" spans="1:42" hidden="1" x14ac:dyDescent="0.2">
      <c r="A22" s="201">
        <v>2</v>
      </c>
      <c r="B22" s="312"/>
      <c r="C22" s="203"/>
      <c r="D22" s="204"/>
      <c r="E22" s="203"/>
      <c r="F22" s="203"/>
      <c r="G22" s="203"/>
      <c r="H22" s="202" t="str">
        <f>(IF(C22-D21&gt;0,1)+IF(E22-D23&gt;0,1)+IF(F22-D24&gt;0,1)+IF(G22-D25&gt;0,1))&amp;"-"&amp;(IF(C22-D21&lt;0,1)+IF(E22-D23&lt;0,1)+IF(F22-D24&lt;0,1)+IF(G22-D25&lt;0,1))</f>
        <v>0-0</v>
      </c>
      <c r="I22" s="203" t="str">
        <f t="shared" ref="I22:I25" si="7">IF(AND(B22&lt;&gt;"",R$20=TRUE),A$20&amp;RANK(S22,S$21:S$25,0)," ")</f>
        <v xml:space="preserve"> </v>
      </c>
      <c r="J22" s="313">
        <f>IF(AND(Q22=1,Q21=1,C22&gt;D21),1)+IF(AND(Q22=1,Q23=1,E22&gt;D23),1)+IF(AND(Q22=1,Q24=1,F22&gt;D24),1)+IF(AND(Q22=1,Q25=1,G22&gt;D25),1)+IF(AND(Q22=2,Q21=2,C22&gt;D21),1)+IF(AND(Q22=2,Q23=2,E22&gt;D23),1)+IF(AND(Q22=2,Q24=2,F22&gt;D24),1)+IF(AND(Q22=2,Q25=2,G22&gt;D25),1)+IF(AND(Q22=3,Q21=3,C22&gt;D21),1)+IF(AND(Q22=3,Q23=3,E22&gt;D23),1)+IF(AND(Q22=3,Q24=3,F22&gt;D24),1)+IF(AND(Q22=3,Q25=3,G22&gt;D25),1)</f>
        <v>0</v>
      </c>
      <c r="K22" s="308">
        <f>SUM(AND(T22=T21,C22&gt;D21),AND(T22=T23,E22&gt;D23),AND(T22=T24,F22&gt;D24),AND(T22=T25,G22&gt;D25))</f>
        <v>0</v>
      </c>
      <c r="L22" s="314">
        <f>IF(AND(Q22=1,Q21=1),C22-D21)+IF(AND(Q22=1,Q23=1),E22-D23)+IF(AND(Q22=1,Q24=1),F22-D24)+IF(AND(Q22=1,Q25=1),G22-D25)+IF(AND(Q22=2,Q21=2),C22-D21)+IF(AND(Q22=2,Q23=2),E22-D23)+IF(AND(Q22=2,Q24=2),F22-D24)+IF(AND(Q22=2,Q25=2),G22-D25)+IF(AND(Q22=3,Q21=3),C22-D21)+IF(AND(Q22=3,Q23=3),E22-D23)+IF(AND(Q22=3,Q24=3),F22-D24)+IF(AND(Q22=3,Q25=3),G22-D25)+IF(AND(Q22=4,Q21=4),C22-D21)+IF(AND(Q22=4,Q23=4),E22-D23)+IF(AND(Q22=4,Q24=4),F22-D24)+IF(AND(Q22=4,Q25=4),G22-D25)</f>
        <v>0</v>
      </c>
      <c r="M22" s="308">
        <f>SUM(AND(R22=R21,C22&gt;D21),AND(R22=R23,E22&gt;D23),AND(R22=R24,F22&gt;D24),AND(R22=R25,G22&gt;D25))</f>
        <v>0</v>
      </c>
      <c r="N22" s="356" t="str">
        <f>SUM(C22:G22)&amp;"-"&amp;SUM(D21:D25)</f>
        <v>0-0</v>
      </c>
      <c r="O22" s="357">
        <f>C22+E22+F22+G22-D21-D23-D24-D25</f>
        <v>0</v>
      </c>
      <c r="P22" s="309" t="e">
        <f>SUM(C22:G22,D21:D25)/SUM(D21:D25)</f>
        <v>#DIV/0!</v>
      </c>
      <c r="Q22" s="315">
        <f>VALUE(LEFT(H22,1))</f>
        <v>0</v>
      </c>
      <c r="R22" s="206">
        <f>Q22*100000+J22*10000+K22*1000+100*L22</f>
        <v>0</v>
      </c>
      <c r="S22" s="310">
        <f>R22+M22*0.1+IF(ISNONTEXT(B22),0,0.01)+0.0001*O22</f>
        <v>0</v>
      </c>
      <c r="T22" s="311" t="str">
        <f>Q22&amp;J22</f>
        <v>00</v>
      </c>
      <c r="U22" s="302"/>
      <c r="V22" s="302"/>
      <c r="W22" s="302"/>
      <c r="X22" s="302"/>
      <c r="Y22" s="302"/>
      <c r="Z22" s="302"/>
      <c r="AA22" s="302"/>
      <c r="AD22" s="233">
        <f t="shared" si="0"/>
        <v>0</v>
      </c>
      <c r="AE22" s="234" t="str">
        <f>IFERROR(INDEX(V!$R:$R,MATCH(AF22,V!$L:$L,0)),"")</f>
        <v/>
      </c>
      <c r="AF22" s="235" t="str">
        <f t="shared" si="1"/>
        <v/>
      </c>
      <c r="AG22" s="234" t="str">
        <f>IFERROR(INDEX(V!$R:$R,MATCH(AH22,V!$L:$L,0)),"")</f>
        <v/>
      </c>
      <c r="AH22" s="235" t="str">
        <f t="shared" si="2"/>
        <v/>
      </c>
      <c r="AI22" s="234" t="str">
        <f>IFERROR(INDEX(V!$R:$R,MATCH(AJ22,V!$L:$L,0)),"")</f>
        <v/>
      </c>
      <c r="AJ22" s="235" t="str">
        <f t="shared" si="3"/>
        <v/>
      </c>
      <c r="AK22" s="234" t="str">
        <f>IFERROR(INDEX(V!$R:$R,MATCH(AL22,V!$L:$L,0)),"")</f>
        <v/>
      </c>
      <c r="AL22" s="235" t="str">
        <f t="shared" si="4"/>
        <v/>
      </c>
      <c r="AM22" s="234" t="str">
        <f>IFERROR(INDEX(V!$R:$R,MATCH(AN22,V!$L:$L,0)),"")</f>
        <v/>
      </c>
      <c r="AN22" s="235" t="str">
        <f t="shared" si="5"/>
        <v/>
      </c>
      <c r="AO22" s="234" t="str">
        <f>IFERROR(INDEX(V!$R:$R,MATCH(AP22,V!$L:$L,0)),"")</f>
        <v/>
      </c>
      <c r="AP22" s="235" t="str">
        <f t="shared" si="6"/>
        <v/>
      </c>
    </row>
    <row r="23" spans="1:42" hidden="1" x14ac:dyDescent="0.2">
      <c r="A23" s="201">
        <v>3</v>
      </c>
      <c r="B23" s="312"/>
      <c r="C23" s="203"/>
      <c r="D23" s="316"/>
      <c r="E23" s="204"/>
      <c r="F23" s="203"/>
      <c r="G23" s="203"/>
      <c r="H23" s="202" t="str">
        <f>(IF(C23-E21&gt;0,1)+IF(D23-E22&gt;0,1)+IF(F23-E24&gt;0,1)+IF(G23-E25&gt;0,1))&amp;"-"&amp;(IF(C23-E21&lt;0,1)+IF(D23-E22&lt;0,1)+IF(F23-E24&lt;0,1)+IF(G23-E25&lt;0,1))</f>
        <v>0-0</v>
      </c>
      <c r="I23" s="203" t="str">
        <f t="shared" si="7"/>
        <v xml:space="preserve"> </v>
      </c>
      <c r="J23" s="313">
        <f>IF(AND(Q23=1,Q21=1,C23&gt;E21),1)+IF(AND(Q23=1,Q22=1,D23&gt;E22),1)+IF(AND(Q23=1,Q24=1,F23&gt;E24),1)+IF(AND(Q23=1,Q25=1,G23&gt;E25),1)+IF(AND(Q23=2,Q21=2,C23&gt;E21),1)+IF(AND(Q23=2,Q22=2,D23&gt;E22),1)+IF(AND(Q23=2,Q24=2,F23&gt;E24),1)+IF(AND(Q23=2,Q25=2,G23&gt;E25),1)+IF(AND(Q23=3,Q21=3,C23&gt;E21),1)+IF(AND(Q23=3,Q22=3,D23&gt;E22),1)+IF(AND(Q23=3,Q24=3,F23&gt;E24),1)+IF(AND(Q23=3,Q25=3,G23&gt;E25),1)</f>
        <v>0</v>
      </c>
      <c r="K23" s="308">
        <f>SUM(AND(T23=T21,C23&gt;E21),AND(T23=T22,D23&gt;E22),AND(T23=T24,F23&gt;E24),AND(T23=T25,G23&gt;E25))</f>
        <v>0</v>
      </c>
      <c r="L23" s="314">
        <f>IF(AND(Q23=1,Q21=1),C23-E21)+IF(AND(Q23=1,Q22=1),D23-E22)+IF(AND(Q23=1,Q24=1),F23-E24)+IF(AND(Q23=1,Q25=1),G23-E25)+IF(AND(Q23=2,Q21=2),C23-E21)+IF(AND(Q23=2,Q22=2),D23-E22)+IF(AND(Q23=2,Q24=2),F23-E24)+IF(AND(Q23=2,Q25=2),G23-E25)+IF(AND(Q23=3,Q21=3),C23-E21)+IF(AND(Q23=3,Q22=3),D23-E22)+IF(AND(Q23=3,Q24=3),F23-E24)+IF(AND(Q23=3,Q25=3),G23-E25)+IF(AND(Q23=4,Q21=4),C23-E21)+IF(AND(Q23=4,Q22=4),D23-E22)+IF(AND(Q23=4,Q24=4),F23-E24)+IF(AND(Q23=4,Q25=4),G23-E25)</f>
        <v>0</v>
      </c>
      <c r="M23" s="308">
        <f>SUM(AND(R23=R21,C23&gt;E21),AND(R23=R22,D23&gt;E22),AND(R23=R24,F23&gt;E24),AND(R23=R25,G23&gt;E25))</f>
        <v>0</v>
      </c>
      <c r="N23" s="356" t="str">
        <f>SUM(C23:G23)&amp;"-"&amp;SUM(E21:E25)</f>
        <v>0-0</v>
      </c>
      <c r="O23" s="357">
        <f>C23+D23+F23+G23-E21-E22-E24-E25</f>
        <v>0</v>
      </c>
      <c r="P23" s="309" t="e">
        <f>SUM(C23:G23,E21:E25)/SUM(E21:E25)</f>
        <v>#DIV/0!</v>
      </c>
      <c r="Q23" s="315">
        <f>VALUE(LEFT(H23,1))</f>
        <v>0</v>
      </c>
      <c r="R23" s="206">
        <f>Q23*100000+J23*10000+K23*1000+100*L23</f>
        <v>0</v>
      </c>
      <c r="S23" s="310">
        <f>R23+M23*0.1+IF(ISNONTEXT(B23),0,0.01)+0.0001*O23</f>
        <v>0</v>
      </c>
      <c r="T23" s="311" t="str">
        <f>Q23&amp;J23</f>
        <v>00</v>
      </c>
      <c r="U23" s="302"/>
      <c r="V23" s="302"/>
      <c r="W23" s="302"/>
      <c r="X23" s="302"/>
      <c r="Y23" s="302"/>
      <c r="Z23" s="302"/>
      <c r="AA23" s="302"/>
      <c r="AD23" s="233">
        <f t="shared" si="0"/>
        <v>0</v>
      </c>
      <c r="AE23" s="234" t="str">
        <f>IFERROR(INDEX(V!$R:$R,MATCH(AF23,V!$L:$L,0)),"")</f>
        <v/>
      </c>
      <c r="AF23" s="235" t="str">
        <f t="shared" si="1"/>
        <v/>
      </c>
      <c r="AG23" s="234" t="str">
        <f>IFERROR(INDEX(V!$R:$R,MATCH(AH23,V!$L:$L,0)),"")</f>
        <v/>
      </c>
      <c r="AH23" s="235" t="str">
        <f t="shared" si="2"/>
        <v/>
      </c>
      <c r="AI23" s="234" t="str">
        <f>IFERROR(INDEX(V!$R:$R,MATCH(AJ23,V!$L:$L,0)),"")</f>
        <v/>
      </c>
      <c r="AJ23" s="235" t="str">
        <f t="shared" si="3"/>
        <v/>
      </c>
      <c r="AK23" s="234" t="str">
        <f>IFERROR(INDEX(V!$R:$R,MATCH(AL23,V!$L:$L,0)),"")</f>
        <v/>
      </c>
      <c r="AL23" s="235" t="str">
        <f t="shared" si="4"/>
        <v/>
      </c>
      <c r="AM23" s="234" t="str">
        <f>IFERROR(INDEX(V!$R:$R,MATCH(AN23,V!$L:$L,0)),"")</f>
        <v/>
      </c>
      <c r="AN23" s="235" t="str">
        <f t="shared" si="5"/>
        <v/>
      </c>
      <c r="AO23" s="234" t="str">
        <f>IFERROR(INDEX(V!$R:$R,MATCH(AP23,V!$L:$L,0)),"")</f>
        <v/>
      </c>
      <c r="AP23" s="235" t="str">
        <f t="shared" si="6"/>
        <v/>
      </c>
    </row>
    <row r="24" spans="1:42" hidden="1" x14ac:dyDescent="0.2">
      <c r="A24" s="201">
        <v>4</v>
      </c>
      <c r="B24" s="312"/>
      <c r="C24" s="203"/>
      <c r="D24" s="316"/>
      <c r="E24" s="203"/>
      <c r="F24" s="204"/>
      <c r="G24" s="335"/>
      <c r="H24" s="202" t="str">
        <f>(IF(C24-F21&gt;0,1)+IF(D24-F22&gt;0,1)+IF(E24-F23&gt;0,1)+IF(G24-F25&gt;0,1))&amp;"-"&amp;(IF(C24-F21&lt;0,1)+IF(D24-F22&lt;0,1)+IF(E24-F23&lt;0,1)+IF(G24-F25&lt;0,1))</f>
        <v>0-0</v>
      </c>
      <c r="I24" s="203" t="str">
        <f t="shared" si="7"/>
        <v xml:space="preserve"> </v>
      </c>
      <c r="J24" s="313">
        <f>IF(AND(Q24=1,Q21=1,C24&gt;F21),1)+IF(AND(Q24=1,Q22=1,D24&gt;F22),1)+IF(AND(Q24=1,Q23=1,E24&gt;F23),1)+IF(AND(Q24=1,Q25=1,G24&gt;F25),1)+IF(AND(Q24=2,Q21=2,C24&gt;F21),1)+IF(AND(Q24=2,Q22=2,D24&gt;F22),1)+IF(AND(Q24=2,Q23=2,E24&gt;F23),1)+IF(AND(Q24=2,Q25=2,G24&gt;F25),1)+IF(AND(Q24=3,Q21=3,C24&gt;F21),1)+IF(AND(Q24=3,Q22=3,D24&gt;F22),1)+IF(AND(Q24=3,Q23=3,E24&gt;F23),1)+IF(AND(Q24=3,Q25=3,G24&gt;F25),1)</f>
        <v>0</v>
      </c>
      <c r="K24" s="308">
        <f>SUM(AND(T24=T21,C24&gt;F21),AND(T24=T22,D24&gt;F22),AND(T24=T23,E24&gt;F23),AND(T24=T25,G24&gt;F25))</f>
        <v>0</v>
      </c>
      <c r="L24" s="314">
        <f>IF(AND(Q24=1,Q21=1),C24-F21)+IF(AND(Q24=1,Q22=1),D24-F22)+IF(AND(Q24=1,Q23=1),E24-F23)+IF(AND(Q24=1,Q25=1),G24-F25)+IF(AND(Q24=2,Q21=2),C24-F21)+IF(AND(Q24=2,Q22=2),D24-F22)+IF(AND(Q24=2,Q23=2),E24-F23)+IF(AND(Q24=2,Q25=2),G24-F25)+IF(AND(Q24=3,Q21=3),C24-F21)+IF(AND(Q24=3,Q22=3),D24-F22)+IF(AND(Q24=3,Q23=3),E24-F23)+IF(AND(Q24=3,Q25=3),G24-F25)+IF(AND(Q24=4,Q21=4),C24-F21)+IF(AND(Q24=4,Q22=4),D24-F22)+IF(AND(Q24=4,Q23=4),E24-F23)+IF(AND(Q24=4,Q25=4),G24-F25)</f>
        <v>0</v>
      </c>
      <c r="M24" s="308">
        <f>SUM(AND(R24=R21,C24&gt;F21),AND(R24=R22,D24&gt;F22),AND(R24=R23,E24&gt;F23),AND(R24=R25,G24&gt;F25))</f>
        <v>0</v>
      </c>
      <c r="N24" s="356" t="str">
        <f>SUM(C24:G24)&amp;"-"&amp;SUM(F21:F25)</f>
        <v>0-0</v>
      </c>
      <c r="O24" s="357">
        <f>C24+D24+E24+G24-F21-F22-F23-F25</f>
        <v>0</v>
      </c>
      <c r="P24" s="309" t="e">
        <f>SUM(C24:G24,F21:F25)/SUM(F21:F25)</f>
        <v>#DIV/0!</v>
      </c>
      <c r="Q24" s="315">
        <f>VALUE(LEFT(H24,1))</f>
        <v>0</v>
      </c>
      <c r="R24" s="206">
        <f>Q24*100000+J24*10000+K24*1000+100*L24</f>
        <v>0</v>
      </c>
      <c r="S24" s="310">
        <f>R24+M24*0.1+IF(ISNONTEXT(B24),0,0.01)+0.0001*O24</f>
        <v>0</v>
      </c>
      <c r="T24" s="311" t="str">
        <f>Q24&amp;J24</f>
        <v>00</v>
      </c>
      <c r="U24" s="302"/>
      <c r="V24" s="302"/>
      <c r="W24" s="302"/>
      <c r="X24" s="302"/>
      <c r="Y24" s="302"/>
      <c r="Z24" s="302"/>
      <c r="AA24" s="302"/>
      <c r="AD24" s="233">
        <f t="shared" si="0"/>
        <v>0</v>
      </c>
      <c r="AE24" s="234" t="str">
        <f>IFERROR(INDEX(V!$R:$R,MATCH(AF24,V!$L:$L,0)),"")</f>
        <v/>
      </c>
      <c r="AF24" s="235" t="str">
        <f t="shared" si="1"/>
        <v/>
      </c>
      <c r="AG24" s="234" t="str">
        <f>IFERROR(INDEX(V!$R:$R,MATCH(AH24,V!$L:$L,0)),"")</f>
        <v/>
      </c>
      <c r="AH24" s="235" t="str">
        <f t="shared" si="2"/>
        <v/>
      </c>
      <c r="AI24" s="234" t="str">
        <f>IFERROR(INDEX(V!$R:$R,MATCH(AJ24,V!$L:$L,0)),"")</f>
        <v/>
      </c>
      <c r="AJ24" s="235" t="str">
        <f t="shared" si="3"/>
        <v/>
      </c>
      <c r="AK24" s="234" t="str">
        <f>IFERROR(INDEX(V!$R:$R,MATCH(AL24,V!$L:$L,0)),"")</f>
        <v/>
      </c>
      <c r="AL24" s="235" t="str">
        <f t="shared" si="4"/>
        <v/>
      </c>
      <c r="AM24" s="234" t="str">
        <f>IFERROR(INDEX(V!$R:$R,MATCH(AN24,V!$L:$L,0)),"")</f>
        <v/>
      </c>
      <c r="AN24" s="235" t="str">
        <f t="shared" si="5"/>
        <v/>
      </c>
      <c r="AO24" s="234" t="str">
        <f>IFERROR(INDEX(V!$R:$R,MATCH(AP24,V!$L:$L,0)),"")</f>
        <v/>
      </c>
      <c r="AP24" s="235" t="str">
        <f t="shared" si="6"/>
        <v/>
      </c>
    </row>
    <row r="25" spans="1:42" hidden="1" x14ac:dyDescent="0.2">
      <c r="A25" s="201">
        <v>5</v>
      </c>
      <c r="B25" s="317"/>
      <c r="C25" s="203"/>
      <c r="D25" s="203"/>
      <c r="E25" s="203"/>
      <c r="F25" s="203"/>
      <c r="G25" s="204"/>
      <c r="H25" s="202" t="str">
        <f>(IF(C25-G21&gt;0,1)+IF(D25-G22&gt;0,1)+IF(E25-G23&gt;0,1)+IF(F25-G24&gt;0,1))&amp;"-"&amp;(IF(C25-G21&lt;0,1)+IF(D25-G22&lt;0,1)+IF(E25-G23&lt;0,1)+IF(F25-G24&lt;0,1))</f>
        <v>0-0</v>
      </c>
      <c r="I25" s="203" t="str">
        <f t="shared" si="7"/>
        <v xml:space="preserve"> </v>
      </c>
      <c r="J25" s="313">
        <f>IF(AND(Q25=1,Q21=1,C25&gt;G21),1)+IF(AND(Q25=1,Q22=1,D25&gt;G22),1)+IF(AND(Q25=1,Q23=1,E25&gt;G23),1)+IF(AND(Q25=1,Q24=1,F25&gt;G24),1)+IF(AND(Q25=2,Q21=2,C25&gt;G21),1)+IF(AND(Q25=2,Q22=2,D25&gt;G22),1)+IF(AND(Q25=2,Q23=2,E25&gt;G23),1)+IF(AND(Q25=2,Q24=2,F25&gt;G24),1)+IF(AND(Q25=3,Q21=3,C25&gt;G21),1)+IF(AND(Q25=3,Q22=3,D25&gt;G22),1)+IF(AND(Q25=3,Q23=3,E25&gt;G23),1)+IF(AND(Q25=3,Q24=3,F25&gt;G24),1)</f>
        <v>0</v>
      </c>
      <c r="K25" s="308">
        <f>SUM(AND(T25=T21,C25&gt;G21),AND(T25=T22,D25&gt;G22),AND(T25=T23,E25&gt;G23),AND(T25=T24,F25&gt;G24))</f>
        <v>0</v>
      </c>
      <c r="L25" s="314">
        <f>IF(AND(Q25=1,Q21=1),C25-G21)+IF(AND(Q25=1,Q22=1),D25-G22)+IF(AND(Q25=1,Q23=1),E25-G23)+IF(AND(Q25=1,Q24=1),F25-G24)+IF(AND(Q25=2,Q21=2),C25-G21)+IF(AND(Q25=2,Q22=2),D25-G22)+IF(AND(Q25=2,Q23=2),E25-G23)+IF(AND(Q25=2,Q24=2),F25-G24)+IF(AND(Q25=3,Q21=3),C25-G21)+IF(AND(Q25=3,Q22=3),D25-G22)+IF(AND(Q25=3,Q23=3),E25-G23)+IF(AND(Q25=3,Q24=3),F25-G24)+IF(AND(Q25=4,Q21=4),C25-G21)+IF(AND(Q25=4,Q22=4),D25-G22)+IF(AND(Q25=4,Q23=4),E25-G23)+IF(AND(Q25=4,Q24=4),F25-G24)</f>
        <v>0</v>
      </c>
      <c r="M25" s="308">
        <f>SUM(AND(R25=R21,C25&gt;G21),AND(R25=R22,D25&gt;G22),AND(R25=R23,E25&gt;G23),AND(R25=R24,F25&gt;G24))</f>
        <v>0</v>
      </c>
      <c r="N25" s="356" t="str">
        <f>SUM(C25:G25)&amp;"-"&amp;SUM(G21:G25)</f>
        <v>0-0</v>
      </c>
      <c r="O25" s="357">
        <f>C25+D25+E25+F25-G21-G22-G23-G24</f>
        <v>0</v>
      </c>
      <c r="P25" s="309" t="e">
        <f>SUM(C25:G25,G21:G25)/SUM(G21:G25)</f>
        <v>#DIV/0!</v>
      </c>
      <c r="Q25" s="315">
        <f>VALUE(LEFT(H25,1))</f>
        <v>0</v>
      </c>
      <c r="R25" s="206">
        <f>Q25*100000+J25*10000+K25*1000+100*L25</f>
        <v>0</v>
      </c>
      <c r="S25" s="310">
        <f>R25+M25*0.1+IF(ISNONTEXT(B25),0,0.01)+0.0001*O25</f>
        <v>0</v>
      </c>
      <c r="T25" s="311" t="str">
        <f>Q25&amp;J25</f>
        <v>00</v>
      </c>
      <c r="U25" s="302"/>
      <c r="V25" s="302"/>
      <c r="W25" s="302"/>
      <c r="X25" s="302"/>
      <c r="Y25" s="302"/>
      <c r="Z25" s="302"/>
      <c r="AA25" s="302"/>
      <c r="AD25" s="233">
        <f t="shared" si="0"/>
        <v>0</v>
      </c>
      <c r="AE25" s="234" t="str">
        <f>IFERROR(INDEX(V!$R:$R,MATCH(AF25,V!$L:$L,0)),"")</f>
        <v/>
      </c>
      <c r="AF25" s="235" t="str">
        <f t="shared" si="1"/>
        <v/>
      </c>
      <c r="AG25" s="234" t="str">
        <f>IFERROR(INDEX(V!$R:$R,MATCH(AH25,V!$L:$L,0)),"")</f>
        <v/>
      </c>
      <c r="AH25" s="235" t="str">
        <f t="shared" si="2"/>
        <v/>
      </c>
      <c r="AI25" s="234" t="str">
        <f>IFERROR(INDEX(V!$R:$R,MATCH(AJ25,V!$L:$L,0)),"")</f>
        <v/>
      </c>
      <c r="AJ25" s="235" t="str">
        <f t="shared" si="3"/>
        <v/>
      </c>
      <c r="AK25" s="234" t="str">
        <f>IFERROR(INDEX(V!$R:$R,MATCH(AL25,V!$L:$L,0)),"")</f>
        <v/>
      </c>
      <c r="AL25" s="235" t="str">
        <f t="shared" si="4"/>
        <v/>
      </c>
      <c r="AM25" s="234" t="str">
        <f>IFERROR(INDEX(V!$R:$R,MATCH(AN25,V!$L:$L,0)),"")</f>
        <v/>
      </c>
      <c r="AN25" s="235" t="str">
        <f t="shared" si="5"/>
        <v/>
      </c>
      <c r="AO25" s="234" t="str">
        <f>IFERROR(INDEX(V!$R:$R,MATCH(AP25,V!$L:$L,0)),"")</f>
        <v/>
      </c>
      <c r="AP25" s="235" t="str">
        <f t="shared" si="6"/>
        <v/>
      </c>
    </row>
    <row r="26" spans="1:42" hidden="1" x14ac:dyDescent="0.2">
      <c r="A26" s="337"/>
      <c r="B26" s="338"/>
      <c r="C26" s="323"/>
      <c r="D26" s="323"/>
      <c r="E26" s="323"/>
      <c r="F26" s="339"/>
      <c r="G26" s="339"/>
      <c r="H26" s="340"/>
      <c r="I26" s="341"/>
      <c r="J26" s="302"/>
      <c r="K26" s="302"/>
      <c r="L26" s="302"/>
      <c r="M26" s="302"/>
      <c r="N26" s="358"/>
      <c r="O26" s="358"/>
      <c r="P26" s="302"/>
      <c r="Q26" s="302"/>
      <c r="R26" s="326" t="s">
        <v>247</v>
      </c>
      <c r="S26" s="302"/>
      <c r="T26" s="302"/>
      <c r="U26" s="302"/>
      <c r="V26" s="302"/>
      <c r="W26" s="302"/>
      <c r="X26" s="302"/>
      <c r="Y26" s="302"/>
      <c r="Z26" s="302"/>
      <c r="AA26" s="302"/>
      <c r="AD26" s="233">
        <f t="shared" si="0"/>
        <v>0</v>
      </c>
      <c r="AE26" s="234" t="str">
        <f>IFERROR(INDEX(V!$R:$R,MATCH(AF26,V!$L:$L,0)),"")</f>
        <v/>
      </c>
      <c r="AF26" s="235" t="str">
        <f t="shared" si="1"/>
        <v/>
      </c>
      <c r="AG26" s="234" t="str">
        <f>IFERROR(INDEX(V!$R:$R,MATCH(AH26,V!$L:$L,0)),"")</f>
        <v/>
      </c>
      <c r="AH26" s="235" t="str">
        <f t="shared" si="2"/>
        <v/>
      </c>
      <c r="AI26" s="234" t="str">
        <f>IFERROR(INDEX(V!$R:$R,MATCH(AJ26,V!$L:$L,0)),"")</f>
        <v/>
      </c>
      <c r="AJ26" s="235" t="str">
        <f t="shared" si="3"/>
        <v/>
      </c>
      <c r="AK26" s="234" t="str">
        <f>IFERROR(INDEX(V!$R:$R,MATCH(AL26,V!$L:$L,0)),"")</f>
        <v/>
      </c>
      <c r="AL26" s="235" t="str">
        <f t="shared" si="4"/>
        <v/>
      </c>
      <c r="AM26" s="234" t="str">
        <f>IFERROR(INDEX(V!$R:$R,MATCH(AN26,V!$L:$L,0)),"")</f>
        <v/>
      </c>
      <c r="AN26" s="235" t="str">
        <f t="shared" si="5"/>
        <v/>
      </c>
      <c r="AO26" s="234" t="str">
        <f>IFERROR(INDEX(V!$R:$R,MATCH(AP26,V!$L:$L,0)),"")</f>
        <v/>
      </c>
      <c r="AP26" s="235" t="str">
        <f t="shared" si="6"/>
        <v/>
      </c>
    </row>
    <row r="27" spans="1:42" hidden="1" x14ac:dyDescent="0.2">
      <c r="A27" s="201" t="s">
        <v>3</v>
      </c>
      <c r="B27" s="327"/>
      <c r="C27" s="292">
        <v>1</v>
      </c>
      <c r="D27" s="292">
        <v>2</v>
      </c>
      <c r="E27" s="292">
        <v>3</v>
      </c>
      <c r="F27" s="292"/>
      <c r="G27" s="292"/>
      <c r="H27" s="293" t="s">
        <v>170</v>
      </c>
      <c r="I27" s="293" t="s">
        <v>171</v>
      </c>
      <c r="J27" s="328" t="s">
        <v>240</v>
      </c>
      <c r="K27" s="329" t="s">
        <v>241</v>
      </c>
      <c r="L27" s="330" t="s">
        <v>242</v>
      </c>
      <c r="M27" s="330" t="s">
        <v>243</v>
      </c>
      <c r="N27" s="297" t="s">
        <v>172</v>
      </c>
      <c r="O27" s="297" t="s">
        <v>172</v>
      </c>
      <c r="P27" s="298" t="s">
        <v>244</v>
      </c>
      <c r="Q27" s="331" t="s">
        <v>21</v>
      </c>
      <c r="R27" s="331" t="b">
        <f>OR(AND(COUNTA(B28:B32)=3,COUNTA(C28:G32)=6),AND(COUNTA(B28:B32)=4,COUNTA(C28:G32)=12),AND(COUNTA(B28:B32)=5,COUNTA(C28:G32)=20))</f>
        <v>0</v>
      </c>
      <c r="S27" s="332" t="s">
        <v>245</v>
      </c>
      <c r="T27" s="333" t="s">
        <v>246</v>
      </c>
      <c r="U27" s="302"/>
      <c r="V27" s="302"/>
      <c r="W27" s="302"/>
      <c r="X27" s="302"/>
      <c r="Y27" s="302"/>
      <c r="Z27" s="302"/>
      <c r="AA27" s="302"/>
      <c r="AD27" s="233">
        <f t="shared" si="0"/>
        <v>0</v>
      </c>
      <c r="AE27" s="234" t="str">
        <f>IFERROR(INDEX(V!$R:$R,MATCH(AF27,V!$L:$L,0)),"")</f>
        <v/>
      </c>
      <c r="AF27" s="235" t="str">
        <f t="shared" si="1"/>
        <v/>
      </c>
      <c r="AG27" s="234" t="str">
        <f>IFERROR(INDEX(V!$R:$R,MATCH(AH27,V!$L:$L,0)),"")</f>
        <v/>
      </c>
      <c r="AH27" s="235" t="str">
        <f t="shared" si="2"/>
        <v/>
      </c>
      <c r="AI27" s="234" t="str">
        <f>IFERROR(INDEX(V!$R:$R,MATCH(AJ27,V!$L:$L,0)),"")</f>
        <v/>
      </c>
      <c r="AJ27" s="235" t="str">
        <f t="shared" si="3"/>
        <v/>
      </c>
      <c r="AK27" s="234" t="str">
        <f>IFERROR(INDEX(V!$R:$R,MATCH(AL27,V!$L:$L,0)),"")</f>
        <v/>
      </c>
      <c r="AL27" s="235" t="str">
        <f t="shared" si="4"/>
        <v/>
      </c>
      <c r="AM27" s="234" t="str">
        <f>IFERROR(INDEX(V!$R:$R,MATCH(AN27,V!$L:$L,0)),"")</f>
        <v/>
      </c>
      <c r="AN27" s="235" t="str">
        <f t="shared" si="5"/>
        <v/>
      </c>
      <c r="AO27" s="234" t="str">
        <f>IFERROR(INDEX(V!$R:$R,MATCH(AP27,V!$L:$L,0)),"")</f>
        <v/>
      </c>
      <c r="AP27" s="235" t="str">
        <f t="shared" si="6"/>
        <v/>
      </c>
    </row>
    <row r="28" spans="1:42" hidden="1" x14ac:dyDescent="0.2">
      <c r="A28" s="201">
        <v>1</v>
      </c>
      <c r="B28" s="342"/>
      <c r="C28" s="204"/>
      <c r="D28" s="203"/>
      <c r="E28" s="203"/>
      <c r="F28" s="203"/>
      <c r="G28" s="203"/>
      <c r="H28" s="202" t="str">
        <f>(IF(D28-C29&gt;0,1)+IF(E28-C30&gt;0,1)+IF(F28-C31&gt;0,1)+IF(G28-C32&gt;0,1))&amp;"-"&amp;(IF(D28-C29&lt;0,1)+IF(E28-C30&lt;0,1)+IF(F28-C31&lt;0,1)+IF(G28-C32&lt;0,1))</f>
        <v>0-0</v>
      </c>
      <c r="I28" s="203" t="str">
        <f>IF(AND(B28&lt;&gt;"",R$27=TRUE),A$27&amp;RANK(S28,S$28:S$32,0)," ")</f>
        <v xml:space="preserve"> </v>
      </c>
      <c r="J28" s="305">
        <f>IF(AND(Q28=1,Q29=1,D28&gt;C29),1)+IF(AND(Q28=1,Q30=1,E28&gt;C30),1)+IF(AND(Q28=1,Q31=1,F28&gt;C31),1)+IF(AND(Q28=1,Q32=1,G28&gt;C32),1)+IF(AND(Q28=2,Q29=2,D28&gt;C29),1)+IF(AND(Q28=2,Q30=2,E28&gt;C30),1)+IF(AND(Q28=2,Q31=2,F28&gt;C31),1)+IF(AND(Q28=2,Q32=2,G28&gt;C32),1)+IF(AND(Q28=3,Q29=3,D28&gt;C29),1)+IF(AND(Q28=3,Q30=3,E28&gt;C30),1)+IF(AND(Q28=3,Q31=3,F28&gt;C31),1)+IF(AND(Q28=3,Q32=3,G28&gt;C32),1)</f>
        <v>0</v>
      </c>
      <c r="K28" s="306">
        <f>SUM(AND(T28=T29,D28&gt;C29),AND(T28=T30,E28&gt;C30),AND(T28=T31,F28&gt;C31),AND(T28=T32,G28&gt;C32))</f>
        <v>0</v>
      </c>
      <c r="L28" s="307">
        <f>IF(AND(Q28=1,Q29=1),D28-C29)+IF(AND(Q28=1,Q30=1),E28-C30)+IF(AND(Q28=1,Q31=1),F28-C31)+IF(AND(Q28=1,Q32=1),G28-C32)+IF(AND(Q28=2,Q29=2),D28-C29)+IF(AND(Q28=2,Q30=2),E28-C30)+IF(AND(Q28=2,Q31=2),F28-C31)+IF(AND(Q28=2,Q32=2),G28-C32)+IF(AND(Q28=3,Q29=3),D28-C29)+IF(AND(Q28=3,Q30=3),E28-C30)+IF(AND(Q28=3,Q31=3),F28-C31)+IF(AND(Q28=3,Q32=3),G28-C32)+IF(AND(Q28=4,Q29=4),D28-C29)+IF(AND(Q28=4,Q30=4),E28-C30)+IF(AND(Q28=4,Q31=4),F28-C31)+IF(AND(Q28=4,Q32=4),G28-C32)</f>
        <v>0</v>
      </c>
      <c r="M28" s="308">
        <f>SUM(AND(R28=R29,D28&gt;C29),AND(R28=R30,E28&gt;C30),AND(R28=R31,F28&gt;C31),AND(R28=R32,G28&gt;C32))</f>
        <v>0</v>
      </c>
      <c r="N28" s="356" t="str">
        <f>SUM(C28:G28)&amp;"-"&amp;SUM(C28:C32)</f>
        <v>0-0</v>
      </c>
      <c r="O28" s="357">
        <f>D28+E28+F28+G28-C29-C30-C31-C32</f>
        <v>0</v>
      </c>
      <c r="P28" s="309" t="e">
        <f>SUM(C28:G28,C28:C32)/SUM(C28:C32)</f>
        <v>#DIV/0!</v>
      </c>
      <c r="Q28" s="205">
        <f>VALUE(LEFT(H28,1))</f>
        <v>0</v>
      </c>
      <c r="R28" s="206">
        <f>Q28*100000+J28*10000+K28*1000+100*L28</f>
        <v>0</v>
      </c>
      <c r="S28" s="310">
        <f>R28+M28*0.1+IF(ISNONTEXT(B28),0,0.01)+0.0001*O28</f>
        <v>0</v>
      </c>
      <c r="T28" s="311" t="str">
        <f>Q28&amp;J28</f>
        <v>00</v>
      </c>
      <c r="U28" s="302"/>
      <c r="V28" s="302"/>
      <c r="W28" s="302"/>
      <c r="X28" s="302"/>
      <c r="Y28" s="302"/>
      <c r="Z28" s="302"/>
      <c r="AA28" s="302"/>
      <c r="AD28" s="233">
        <f t="shared" si="0"/>
        <v>0</v>
      </c>
      <c r="AE28" s="234" t="str">
        <f>IFERROR(INDEX(V!$R:$R,MATCH(AF28,V!$L:$L,0)),"")</f>
        <v/>
      </c>
      <c r="AF28" s="235" t="str">
        <f t="shared" si="1"/>
        <v/>
      </c>
      <c r="AG28" s="234" t="str">
        <f>IFERROR(INDEX(V!$R:$R,MATCH(AH28,V!$L:$L,0)),"")</f>
        <v/>
      </c>
      <c r="AH28" s="235" t="str">
        <f t="shared" si="2"/>
        <v/>
      </c>
      <c r="AI28" s="234" t="str">
        <f>IFERROR(INDEX(V!$R:$R,MATCH(AJ28,V!$L:$L,0)),"")</f>
        <v/>
      </c>
      <c r="AJ28" s="235" t="str">
        <f t="shared" si="3"/>
        <v/>
      </c>
      <c r="AK28" s="234" t="str">
        <f>IFERROR(INDEX(V!$R:$R,MATCH(AL28,V!$L:$L,0)),"")</f>
        <v/>
      </c>
      <c r="AL28" s="235" t="str">
        <f t="shared" si="4"/>
        <v/>
      </c>
      <c r="AM28" s="234" t="str">
        <f>IFERROR(INDEX(V!$R:$R,MATCH(AN28,V!$L:$L,0)),"")</f>
        <v/>
      </c>
      <c r="AN28" s="235" t="str">
        <f t="shared" si="5"/>
        <v/>
      </c>
      <c r="AO28" s="234" t="str">
        <f>IFERROR(INDEX(V!$R:$R,MATCH(AP28,V!$L:$L,0)),"")</f>
        <v/>
      </c>
      <c r="AP28" s="235" t="str">
        <f t="shared" si="6"/>
        <v/>
      </c>
    </row>
    <row r="29" spans="1:42" hidden="1" x14ac:dyDescent="0.2">
      <c r="A29" s="201">
        <v>2</v>
      </c>
      <c r="B29" s="312"/>
      <c r="C29" s="203"/>
      <c r="D29" s="204"/>
      <c r="E29" s="203"/>
      <c r="F29" s="203"/>
      <c r="G29" s="203"/>
      <c r="H29" s="202" t="str">
        <f>(IF(C29-D28&gt;0,1)+IF(E29-D30&gt;0,1)+IF(F29-D31&gt;0,1)+IF(G29-D32&gt;0,1))&amp;"-"&amp;(IF(C29-D28&lt;0,1)+IF(E29-D30&lt;0,1)+IF(F29-D31&lt;0,1)+IF(G29-D32&lt;0,1))</f>
        <v>0-0</v>
      </c>
      <c r="I29" s="203" t="str">
        <f t="shared" ref="I29:I32" si="8">IF(AND(B29&lt;&gt;"",R$27=TRUE),A$27&amp;RANK(S29,S$28:S$32,0)," ")</f>
        <v xml:space="preserve"> </v>
      </c>
      <c r="J29" s="313">
        <f>IF(AND(Q29=1,Q28=1,C29&gt;D28),1)+IF(AND(Q29=1,Q30=1,E29&gt;D30),1)+IF(AND(Q29=1,Q31=1,F29&gt;D31),1)+IF(AND(Q29=1,Q32=1,G29&gt;D32),1)+IF(AND(Q29=2,Q28=2,C29&gt;D28),1)+IF(AND(Q29=2,Q30=2,E29&gt;D30),1)+IF(AND(Q29=2,Q31=2,F29&gt;D31),1)+IF(AND(Q29=2,Q32=2,G29&gt;D32),1)+IF(AND(Q29=3,Q28=3,C29&gt;D28),1)+IF(AND(Q29=3,Q30=3,E29&gt;D30),1)+IF(AND(Q29=3,Q31=3,F29&gt;D31),1)+IF(AND(Q29=3,Q32=3,G29&gt;D32),1)</f>
        <v>0</v>
      </c>
      <c r="K29" s="308">
        <f>SUM(AND(T29=T28,C29&gt;D28),AND(T29=T30,E29&gt;D30),AND(T29=T31,F29&gt;D31),AND(T29=T32,G29&gt;D32))</f>
        <v>0</v>
      </c>
      <c r="L29" s="314">
        <f>IF(AND(Q29=1,Q28=1),C29-D28)+IF(AND(Q29=1,Q30=1),E29-D30)+IF(AND(Q29=1,Q31=1),F29-D31)+IF(AND(Q29=1,Q32=1),G29-D32)+IF(AND(Q29=2,Q28=2),C29-D28)+IF(AND(Q29=2,Q30=2),E29-D30)+IF(AND(Q29=2,Q31=2),F29-D31)+IF(AND(Q29=2,Q32=2),G29-D32)+IF(AND(Q29=3,Q28=3),C29-D28)+IF(AND(Q29=3,Q30=3),E29-D30)+IF(AND(Q29=3,Q31=3),F29-D31)+IF(AND(Q29=3,Q32=3),G29-D32)+IF(AND(Q29=4,Q28=4),C29-D28)+IF(AND(Q29=4,Q30=4),E29-D30)+IF(AND(Q29=4,Q31=4),F29-D31)+IF(AND(Q29=4,Q32=4),G29-D32)</f>
        <v>0</v>
      </c>
      <c r="M29" s="308">
        <f>SUM(AND(R29=R28,C29&gt;D28),AND(R29=R30,E29&gt;D30),AND(R29=R31,F29&gt;D31),AND(R29=R32,G29&gt;D32))</f>
        <v>0</v>
      </c>
      <c r="N29" s="356" t="str">
        <f>SUM(C29:G29)&amp;"-"&amp;SUM(D28:D32)</f>
        <v>0-0</v>
      </c>
      <c r="O29" s="357">
        <f>C29+E29+F29+G29-D28-D30-D31-D32</f>
        <v>0</v>
      </c>
      <c r="P29" s="309" t="e">
        <f>SUM(C29:G29,D28:D32)/SUM(D28:D32)</f>
        <v>#DIV/0!</v>
      </c>
      <c r="Q29" s="315">
        <f>VALUE(LEFT(H29,1))</f>
        <v>0</v>
      </c>
      <c r="R29" s="206">
        <f>Q29*100000+J29*10000+K29*1000+100*L29</f>
        <v>0</v>
      </c>
      <c r="S29" s="310">
        <f>R29+M29*0.1+IF(ISNONTEXT(B29),0,0.01)+0.0001*O29</f>
        <v>0</v>
      </c>
      <c r="T29" s="311" t="str">
        <f>Q29&amp;J29</f>
        <v>00</v>
      </c>
      <c r="U29" s="302"/>
      <c r="V29" s="302"/>
      <c r="W29" s="302"/>
      <c r="X29" s="302"/>
      <c r="Y29" s="302"/>
      <c r="Z29" s="302"/>
      <c r="AA29" s="302"/>
      <c r="AD29" s="233">
        <f t="shared" si="0"/>
        <v>0</v>
      </c>
      <c r="AE29" s="234" t="str">
        <f>IFERROR(INDEX(V!$R:$R,MATCH(AF29,V!$L:$L,0)),"")</f>
        <v/>
      </c>
      <c r="AF29" s="235" t="str">
        <f t="shared" si="1"/>
        <v/>
      </c>
      <c r="AG29" s="234" t="str">
        <f>IFERROR(INDEX(V!$R:$R,MATCH(AH29,V!$L:$L,0)),"")</f>
        <v/>
      </c>
      <c r="AH29" s="235" t="str">
        <f t="shared" si="2"/>
        <v/>
      </c>
      <c r="AI29" s="234" t="str">
        <f>IFERROR(INDEX(V!$R:$R,MATCH(AJ29,V!$L:$L,0)),"")</f>
        <v/>
      </c>
      <c r="AJ29" s="235" t="str">
        <f t="shared" si="3"/>
        <v/>
      </c>
      <c r="AK29" s="234" t="str">
        <f>IFERROR(INDEX(V!$R:$R,MATCH(AL29,V!$L:$L,0)),"")</f>
        <v/>
      </c>
      <c r="AL29" s="235" t="str">
        <f t="shared" si="4"/>
        <v/>
      </c>
      <c r="AM29" s="234" t="str">
        <f>IFERROR(INDEX(V!$R:$R,MATCH(AN29,V!$L:$L,0)),"")</f>
        <v/>
      </c>
      <c r="AN29" s="235" t="str">
        <f t="shared" si="5"/>
        <v/>
      </c>
      <c r="AO29" s="234" t="str">
        <f>IFERROR(INDEX(V!$R:$R,MATCH(AP29,V!$L:$L,0)),"")</f>
        <v/>
      </c>
      <c r="AP29" s="235" t="str">
        <f t="shared" si="6"/>
        <v/>
      </c>
    </row>
    <row r="30" spans="1:42" hidden="1" x14ac:dyDescent="0.2">
      <c r="A30" s="201">
        <v>3</v>
      </c>
      <c r="B30" s="312"/>
      <c r="C30" s="203"/>
      <c r="D30" s="316"/>
      <c r="E30" s="204"/>
      <c r="F30" s="203"/>
      <c r="G30" s="203"/>
      <c r="H30" s="202" t="str">
        <f>(IF(C30-E28&gt;0,1)+IF(D30-E29&gt;0,1)+IF(F30-E31&gt;0,1)+IF(G30-E32&gt;0,1))&amp;"-"&amp;(IF(C30-E28&lt;0,1)+IF(D30-E29&lt;0,1)+IF(F30-E31&lt;0,1)+IF(G30-E32&lt;0,1))</f>
        <v>0-0</v>
      </c>
      <c r="I30" s="203" t="str">
        <f t="shared" si="8"/>
        <v xml:space="preserve"> </v>
      </c>
      <c r="J30" s="313">
        <f>IF(AND(Q30=1,Q28=1,C30&gt;E28),1)+IF(AND(Q30=1,Q29=1,D30&gt;E29),1)+IF(AND(Q30=1,Q31=1,F30&gt;E31),1)+IF(AND(Q30=1,Q32=1,G30&gt;E32),1)+IF(AND(Q30=2,Q28=2,C30&gt;E28),1)+IF(AND(Q30=2,Q29=2,D30&gt;E29),1)+IF(AND(Q30=2,Q31=2,F30&gt;E31),1)+IF(AND(Q30=2,Q32=2,G30&gt;E32),1)+IF(AND(Q30=3,Q28=3,C30&gt;E28),1)+IF(AND(Q30=3,Q29=3,D30&gt;E29),1)+IF(AND(Q30=3,Q31=3,F30&gt;E31),1)+IF(AND(Q30=3,Q32=3,G30&gt;E32),1)</f>
        <v>0</v>
      </c>
      <c r="K30" s="308">
        <f>SUM(AND(T30=T28,C30&gt;E28),AND(T30=T29,D30&gt;E29),AND(T30=T31,F30&gt;E31),AND(T30=T32,G30&gt;E32))</f>
        <v>0</v>
      </c>
      <c r="L30" s="314">
        <f>IF(AND(Q30=1,Q28=1),C30-E28)+IF(AND(Q30=1,Q29=1),D30-E29)+IF(AND(Q30=1,Q31=1),F30-E31)+IF(AND(Q30=1,Q32=1),G30-E32)+IF(AND(Q30=2,Q28=2),C30-E28)+IF(AND(Q30=2,Q29=2),D30-E29)+IF(AND(Q30=2,Q31=2),F30-E31)+IF(AND(Q30=2,Q32=2),G30-E32)+IF(AND(Q30=3,Q28=3),C30-E28)+IF(AND(Q30=3,Q29=3),D30-E29)+IF(AND(Q30=3,Q31=3),F30-E31)+IF(AND(Q30=3,Q32=3),G30-E32)+IF(AND(Q30=4,Q28=4),C30-E28)+IF(AND(Q30=4,Q29=4),D30-E29)+IF(AND(Q30=4,Q31=4),F30-E31)+IF(AND(Q30=4,Q32=4),G30-E32)</f>
        <v>0</v>
      </c>
      <c r="M30" s="308">
        <f>SUM(AND(R30=R28,C30&gt;E28),AND(R30=R29,D30&gt;E29),AND(R30=R31,F30&gt;E31),AND(R30=R32,G30&gt;E32))</f>
        <v>0</v>
      </c>
      <c r="N30" s="356" t="str">
        <f>SUM(C30:G30)&amp;"-"&amp;SUM(E28:E32)</f>
        <v>0-0</v>
      </c>
      <c r="O30" s="357">
        <f>C30+D30+F30+G30-E28-E29-E31-E32</f>
        <v>0</v>
      </c>
      <c r="P30" s="309" t="e">
        <f>SUM(C30:G30,E28:E32)/SUM(E28:E32)</f>
        <v>#DIV/0!</v>
      </c>
      <c r="Q30" s="315">
        <f>VALUE(LEFT(H30,1))</f>
        <v>0</v>
      </c>
      <c r="R30" s="206">
        <f>Q30*100000+J30*10000+K30*1000+100*L30</f>
        <v>0</v>
      </c>
      <c r="S30" s="310">
        <f>R30+M30*0.1+IF(ISNONTEXT(B30),0,0.01)+0.0001*O30</f>
        <v>0</v>
      </c>
      <c r="T30" s="311" t="str">
        <f>Q30&amp;J30</f>
        <v>00</v>
      </c>
      <c r="U30" s="302"/>
      <c r="V30" s="302"/>
      <c r="W30" s="302"/>
      <c r="X30" s="302"/>
      <c r="Y30" s="302"/>
      <c r="Z30" s="302"/>
      <c r="AA30" s="302"/>
      <c r="AD30" s="233">
        <f t="shared" si="0"/>
        <v>0</v>
      </c>
      <c r="AE30" s="234" t="str">
        <f>IFERROR(INDEX(V!$R:$R,MATCH(AF30,V!$L:$L,0)),"")</f>
        <v/>
      </c>
      <c r="AF30" s="235" t="str">
        <f t="shared" si="1"/>
        <v/>
      </c>
      <c r="AG30" s="234" t="str">
        <f>IFERROR(INDEX(V!$R:$R,MATCH(AH30,V!$L:$L,0)),"")</f>
        <v/>
      </c>
      <c r="AH30" s="235" t="str">
        <f t="shared" si="2"/>
        <v/>
      </c>
      <c r="AI30" s="234" t="str">
        <f>IFERROR(INDEX(V!$R:$R,MATCH(AJ30,V!$L:$L,0)),"")</f>
        <v/>
      </c>
      <c r="AJ30" s="235" t="str">
        <f t="shared" si="3"/>
        <v/>
      </c>
      <c r="AK30" s="234" t="str">
        <f>IFERROR(INDEX(V!$R:$R,MATCH(AL30,V!$L:$L,0)),"")</f>
        <v/>
      </c>
      <c r="AL30" s="235" t="str">
        <f t="shared" si="4"/>
        <v/>
      </c>
      <c r="AM30" s="234" t="str">
        <f>IFERROR(INDEX(V!$R:$R,MATCH(AN30,V!$L:$L,0)),"")</f>
        <v/>
      </c>
      <c r="AN30" s="235" t="str">
        <f t="shared" si="5"/>
        <v/>
      </c>
      <c r="AO30" s="234" t="str">
        <f>IFERROR(INDEX(V!$R:$R,MATCH(AP30,V!$L:$L,0)),"")</f>
        <v/>
      </c>
      <c r="AP30" s="235" t="str">
        <f t="shared" si="6"/>
        <v/>
      </c>
    </row>
    <row r="31" spans="1:42" hidden="1" x14ac:dyDescent="0.2">
      <c r="A31" s="201">
        <v>4</v>
      </c>
      <c r="B31" s="317"/>
      <c r="C31" s="203"/>
      <c r="D31" s="316"/>
      <c r="E31" s="203"/>
      <c r="F31" s="204"/>
      <c r="G31" s="335"/>
      <c r="H31" s="202" t="str">
        <f>(IF(C31-F28&gt;0,1)+IF(D31-F29&gt;0,1)+IF(E31-F30&gt;0,1)+IF(G31-F32&gt;0,1))&amp;"-"&amp;(IF(C31-F28&lt;0,1)+IF(D31-F29&lt;0,1)+IF(E31-F30&lt;0,1)+IF(G31-F32&lt;0,1))</f>
        <v>0-0</v>
      </c>
      <c r="I31" s="203" t="str">
        <f t="shared" si="8"/>
        <v xml:space="preserve"> </v>
      </c>
      <c r="J31" s="313">
        <f>IF(AND(Q31=1,Q28=1,C31&gt;F28),1)+IF(AND(Q31=1,Q29=1,D31&gt;F29),1)+IF(AND(Q31=1,Q30=1,E31&gt;F30),1)+IF(AND(Q31=1,Q32=1,G31&gt;F32),1)+IF(AND(Q31=2,Q28=2,C31&gt;F28),1)+IF(AND(Q31=2,Q29=2,D31&gt;F29),1)+IF(AND(Q31=2,Q30=2,E31&gt;F30),1)+IF(AND(Q31=2,Q32=2,G31&gt;F32),1)+IF(AND(Q31=3,Q28=3,C31&gt;F28),1)+IF(AND(Q31=3,Q29=3,D31&gt;F29),1)+IF(AND(Q31=3,Q30=3,E31&gt;F30),1)+IF(AND(Q31=3,Q32=3,G31&gt;F32),1)</f>
        <v>0</v>
      </c>
      <c r="K31" s="308">
        <f>SUM(AND(T31=T28,C31&gt;F28),AND(T31=T29,D31&gt;F29),AND(T31=T30,E31&gt;F30),AND(T31=T32,G31&gt;F32))</f>
        <v>0</v>
      </c>
      <c r="L31" s="314">
        <f>IF(AND(Q31=1,Q28=1),C31-F28)+IF(AND(Q31=1,Q29=1),D31-F29)+IF(AND(Q31=1,Q30=1),E31-F30)+IF(AND(Q31=1,Q32=1),G31-F32)+IF(AND(Q31=2,Q28=2),C31-F28)+IF(AND(Q31=2,Q29=2),D31-F29)+IF(AND(Q31=2,Q30=2),E31-F30)+IF(AND(Q31=2,Q32=2),G31-F32)+IF(AND(Q31=3,Q28=3),C31-F28)+IF(AND(Q31=3,Q29=3),D31-F29)+IF(AND(Q31=3,Q30=3),E31-F30)+IF(AND(Q31=3,Q32=3),G31-F32)+IF(AND(Q31=4,Q28=4),C31-F28)+IF(AND(Q31=4,Q29=4),D31-F29)+IF(AND(Q31=4,Q30=4),E31-F30)+IF(AND(Q31=4,Q32=4),G31-F32)</f>
        <v>0</v>
      </c>
      <c r="M31" s="308">
        <f>SUM(AND(R31=R28,C31&gt;F28),AND(R31=R29,D31&gt;F29),AND(R31=R30,E31&gt;F30),AND(R31=R32,G31&gt;F32))</f>
        <v>0</v>
      </c>
      <c r="N31" s="356" t="str">
        <f>SUM(C31:G31)&amp;"-"&amp;SUM(F28:F32)</f>
        <v>0-0</v>
      </c>
      <c r="O31" s="357">
        <f>C31+D31+E31+G31-F28-F29-F30-F32</f>
        <v>0</v>
      </c>
      <c r="P31" s="309" t="e">
        <f>SUM(C31:G31,F28:F32)/SUM(F28:F32)</f>
        <v>#DIV/0!</v>
      </c>
      <c r="Q31" s="315">
        <f>VALUE(LEFT(H31,1))</f>
        <v>0</v>
      </c>
      <c r="R31" s="206">
        <f>Q31*100000+J31*10000+K31*1000+100*L31</f>
        <v>0</v>
      </c>
      <c r="S31" s="310">
        <f>R31+M31*0.1+IF(ISNONTEXT(B31),0,0.01)+0.0001*O31</f>
        <v>0</v>
      </c>
      <c r="T31" s="311" t="str">
        <f>Q31&amp;J31</f>
        <v>00</v>
      </c>
      <c r="U31" s="302"/>
      <c r="V31" s="302"/>
      <c r="W31" s="302"/>
      <c r="X31" s="302"/>
      <c r="Y31" s="302"/>
      <c r="Z31" s="302"/>
      <c r="AA31" s="302"/>
      <c r="AD31" s="233">
        <f t="shared" si="0"/>
        <v>0</v>
      </c>
      <c r="AE31" s="234" t="str">
        <f>IFERROR(INDEX(V!$R:$R,MATCH(AF31,V!$L:$L,0)),"")</f>
        <v/>
      </c>
      <c r="AF31" s="235" t="str">
        <f t="shared" si="1"/>
        <v/>
      </c>
      <c r="AG31" s="234" t="str">
        <f>IFERROR(INDEX(V!$R:$R,MATCH(AH31,V!$L:$L,0)),"")</f>
        <v/>
      </c>
      <c r="AH31" s="235" t="str">
        <f t="shared" si="2"/>
        <v/>
      </c>
      <c r="AI31" s="234" t="str">
        <f>IFERROR(INDEX(V!$R:$R,MATCH(AJ31,V!$L:$L,0)),"")</f>
        <v/>
      </c>
      <c r="AJ31" s="235" t="str">
        <f t="shared" si="3"/>
        <v/>
      </c>
      <c r="AK31" s="234" t="str">
        <f>IFERROR(INDEX(V!$R:$R,MATCH(AL31,V!$L:$L,0)),"")</f>
        <v/>
      </c>
      <c r="AL31" s="235" t="str">
        <f t="shared" si="4"/>
        <v/>
      </c>
      <c r="AM31" s="234" t="str">
        <f>IFERROR(INDEX(V!$R:$R,MATCH(AN31,V!$L:$L,0)),"")</f>
        <v/>
      </c>
      <c r="AN31" s="235" t="str">
        <f t="shared" si="5"/>
        <v/>
      </c>
      <c r="AO31" s="234" t="str">
        <f>IFERROR(INDEX(V!$R:$R,MATCH(AP31,V!$L:$L,0)),"")</f>
        <v/>
      </c>
      <c r="AP31" s="235" t="str">
        <f t="shared" si="6"/>
        <v/>
      </c>
    </row>
    <row r="32" spans="1:42" hidden="1" x14ac:dyDescent="0.2">
      <c r="A32" s="201">
        <v>5</v>
      </c>
      <c r="B32" s="317"/>
      <c r="C32" s="203"/>
      <c r="D32" s="203"/>
      <c r="E32" s="203"/>
      <c r="F32" s="203"/>
      <c r="G32" s="204"/>
      <c r="H32" s="202" t="str">
        <f>(IF(C32-G28&gt;0,1)+IF(D32-G29&gt;0,1)+IF(E32-G30&gt;0,1)+IF(F32-G31&gt;0,1))&amp;"-"&amp;(IF(C32-G28&lt;0,1)+IF(D32-G29&lt;0,1)+IF(E32-G30&lt;0,1)+IF(F32-G31&lt;0,1))</f>
        <v>0-0</v>
      </c>
      <c r="I32" s="203" t="str">
        <f t="shared" si="8"/>
        <v xml:space="preserve"> </v>
      </c>
      <c r="J32" s="313">
        <f>IF(AND(Q32=1,Q28=1,C32&gt;G28),1)+IF(AND(Q32=1,Q29=1,D32&gt;G29),1)+IF(AND(Q32=1,Q30=1,E32&gt;G30),1)+IF(AND(Q32=1,Q31=1,F32&gt;G31),1)+IF(AND(Q32=2,Q28=2,C32&gt;G28),1)+IF(AND(Q32=2,Q29=2,D32&gt;G29),1)+IF(AND(Q32=2,Q30=2,E32&gt;G30),1)+IF(AND(Q32=2,Q31=2,F32&gt;G31),1)+IF(AND(Q32=3,Q28=3,C32&gt;G28),1)+IF(AND(Q32=3,Q29=3,D32&gt;G29),1)+IF(AND(Q32=3,Q30=3,E32&gt;G30),1)+IF(AND(Q32=3,Q31=3,F32&gt;G31),1)</f>
        <v>0</v>
      </c>
      <c r="K32" s="308">
        <f>SUM(AND(T32=T28,C32&gt;G28),AND(T32=T29,D32&gt;G29),AND(T32=T30,E32&gt;G30),AND(T32=T31,F32&gt;G31))</f>
        <v>0</v>
      </c>
      <c r="L32" s="314">
        <f>IF(AND(Q32=1,Q28=1),C32-G28)+IF(AND(Q32=1,Q29=1),D32-G29)+IF(AND(Q32=1,Q30=1),E32-G30)+IF(AND(Q32=1,Q31=1),F32-G31)+IF(AND(Q32=2,Q28=2),C32-G28)+IF(AND(Q32=2,Q29=2),D32-G29)+IF(AND(Q32=2,Q30=2),E32-G30)+IF(AND(Q32=2,Q31=2),F32-G31)+IF(AND(Q32=3,Q28=3),C32-G28)+IF(AND(Q32=3,Q29=3),D32-G29)+IF(AND(Q32=3,Q30=3),E32-G30)+IF(AND(Q32=3,Q31=3),F32-G31)+IF(AND(Q32=4,Q28=4),C32-G28)+IF(AND(Q32=4,Q29=4),D32-G29)+IF(AND(Q32=4,Q30=4),E32-G30)+IF(AND(Q32=4,Q31=4),F32-G31)</f>
        <v>0</v>
      </c>
      <c r="M32" s="308">
        <f>SUM(AND(R32=R28,C32&gt;G28),AND(R32=R29,D32&gt;G29),AND(R32=R30,E32&gt;G30),AND(R32=R31,F32&gt;G31))</f>
        <v>0</v>
      </c>
      <c r="N32" s="356" t="str">
        <f>SUM(C32:G32)&amp;"-"&amp;SUM(G28:G32)</f>
        <v>0-0</v>
      </c>
      <c r="O32" s="357">
        <f>C32+D32+E32+F32-G28-G29-G30-G31</f>
        <v>0</v>
      </c>
      <c r="P32" s="309" t="e">
        <f>SUM(C32:G32,G28:G32)/SUM(G28:G32)</f>
        <v>#DIV/0!</v>
      </c>
      <c r="Q32" s="315">
        <f>VALUE(LEFT(H32,1))</f>
        <v>0</v>
      </c>
      <c r="R32" s="206">
        <f>Q32*100000+J32*10000+K32*1000+100*L32</f>
        <v>0</v>
      </c>
      <c r="S32" s="310">
        <f>R32+M32*0.1+IF(ISNONTEXT(B32),0,0.01)+0.0001*O32</f>
        <v>0</v>
      </c>
      <c r="T32" s="311" t="str">
        <f>Q32&amp;J32</f>
        <v>00</v>
      </c>
      <c r="U32" s="302"/>
      <c r="V32" s="302"/>
      <c r="W32" s="302"/>
      <c r="X32" s="302"/>
      <c r="Y32" s="302"/>
      <c r="Z32" s="302"/>
      <c r="AA32" s="302"/>
      <c r="AD32" s="233">
        <f t="shared" si="0"/>
        <v>0</v>
      </c>
      <c r="AE32" s="234" t="str">
        <f>IFERROR(INDEX(V!$R:$R,MATCH(AF32,V!$L:$L,0)),"")</f>
        <v/>
      </c>
      <c r="AF32" s="235" t="str">
        <f t="shared" si="1"/>
        <v/>
      </c>
      <c r="AG32" s="234" t="str">
        <f>IFERROR(INDEX(V!$R:$R,MATCH(AH32,V!$L:$L,0)),"")</f>
        <v/>
      </c>
      <c r="AH32" s="235" t="str">
        <f t="shared" si="2"/>
        <v/>
      </c>
      <c r="AI32" s="234" t="str">
        <f>IFERROR(INDEX(V!$R:$R,MATCH(AJ32,V!$L:$L,0)),"")</f>
        <v/>
      </c>
      <c r="AJ32" s="235" t="str">
        <f t="shared" si="3"/>
        <v/>
      </c>
      <c r="AK32" s="234" t="str">
        <f>IFERROR(INDEX(V!$R:$R,MATCH(AL32,V!$L:$L,0)),"")</f>
        <v/>
      </c>
      <c r="AL32" s="235" t="str">
        <f t="shared" si="4"/>
        <v/>
      </c>
      <c r="AM32" s="234" t="str">
        <f>IFERROR(INDEX(V!$R:$R,MATCH(AN32,V!$L:$L,0)),"")</f>
        <v/>
      </c>
      <c r="AN32" s="235" t="str">
        <f t="shared" si="5"/>
        <v/>
      </c>
      <c r="AO32" s="234" t="str">
        <f>IFERROR(INDEX(V!$R:$R,MATCH(AP32,V!$L:$L,0)),"")</f>
        <v/>
      </c>
      <c r="AP32" s="235" t="str">
        <f t="shared" si="6"/>
        <v/>
      </c>
    </row>
    <row r="33" spans="1:42" hidden="1" x14ac:dyDescent="0.2">
      <c r="A33" s="318"/>
      <c r="B33" s="343"/>
      <c r="C33" s="323"/>
      <c r="D33" s="323"/>
      <c r="E33" s="323"/>
      <c r="F33" s="320"/>
      <c r="G33" s="323"/>
      <c r="H33" s="344"/>
      <c r="I33" s="269"/>
      <c r="J33" s="302"/>
      <c r="K33" s="302"/>
      <c r="L33" s="302"/>
      <c r="M33" s="302"/>
      <c r="N33" s="358"/>
      <c r="O33" s="358"/>
      <c r="P33" s="302"/>
      <c r="Q33" s="302"/>
      <c r="R33" s="326" t="s">
        <v>247</v>
      </c>
      <c r="S33" s="302"/>
      <c r="T33" s="302"/>
      <c r="U33" s="302"/>
      <c r="V33" s="302"/>
      <c r="W33" s="302"/>
      <c r="X33" s="302"/>
      <c r="Y33" s="302"/>
      <c r="Z33" s="302"/>
      <c r="AA33" s="302"/>
      <c r="AD33" s="233">
        <f t="shared" si="0"/>
        <v>0</v>
      </c>
      <c r="AE33" s="234" t="str">
        <f>IFERROR(INDEX(V!$R:$R,MATCH(AF33,V!$L:$L,0)),"")</f>
        <v/>
      </c>
      <c r="AF33" s="235" t="str">
        <f t="shared" si="1"/>
        <v/>
      </c>
      <c r="AG33" s="234" t="str">
        <f>IFERROR(INDEX(V!$R:$R,MATCH(AH33,V!$L:$L,0)),"")</f>
        <v/>
      </c>
      <c r="AH33" s="235" t="str">
        <f t="shared" si="2"/>
        <v/>
      </c>
      <c r="AI33" s="234" t="str">
        <f>IFERROR(INDEX(V!$R:$R,MATCH(AJ33,V!$L:$L,0)),"")</f>
        <v/>
      </c>
      <c r="AJ33" s="235" t="str">
        <f t="shared" si="3"/>
        <v/>
      </c>
      <c r="AK33" s="234" t="str">
        <f>IFERROR(INDEX(V!$R:$R,MATCH(AL33,V!$L:$L,0)),"")</f>
        <v/>
      </c>
      <c r="AL33" s="235" t="str">
        <f t="shared" si="4"/>
        <v/>
      </c>
      <c r="AM33" s="234" t="str">
        <f>IFERROR(INDEX(V!$R:$R,MATCH(AN33,V!$L:$L,0)),"")</f>
        <v/>
      </c>
      <c r="AN33" s="235" t="str">
        <f t="shared" si="5"/>
        <v/>
      </c>
      <c r="AO33" s="234" t="str">
        <f>IFERROR(INDEX(V!$R:$R,MATCH(AP33,V!$L:$L,0)),"")</f>
        <v/>
      </c>
      <c r="AP33" s="235" t="str">
        <f t="shared" si="6"/>
        <v/>
      </c>
    </row>
    <row r="34" spans="1:42" hidden="1" x14ac:dyDescent="0.2">
      <c r="A34" s="201" t="s">
        <v>4</v>
      </c>
      <c r="B34" s="327"/>
      <c r="C34" s="292">
        <v>1</v>
      </c>
      <c r="D34" s="292">
        <v>2</v>
      </c>
      <c r="E34" s="292">
        <v>3</v>
      </c>
      <c r="F34" s="292"/>
      <c r="G34" s="292"/>
      <c r="H34" s="292" t="s">
        <v>170</v>
      </c>
      <c r="I34" s="162" t="s">
        <v>171</v>
      </c>
      <c r="J34" s="328" t="s">
        <v>240</v>
      </c>
      <c r="K34" s="329" t="s">
        <v>241</v>
      </c>
      <c r="L34" s="330" t="s">
        <v>242</v>
      </c>
      <c r="M34" s="330" t="s">
        <v>243</v>
      </c>
      <c r="N34" s="297" t="s">
        <v>172</v>
      </c>
      <c r="O34" s="297" t="s">
        <v>172</v>
      </c>
      <c r="P34" s="298" t="s">
        <v>244</v>
      </c>
      <c r="Q34" s="331" t="s">
        <v>21</v>
      </c>
      <c r="R34" s="331" t="b">
        <f>OR(AND(COUNTA(B35:B39)=3,COUNTA(C35:G39)=6),AND(COUNTA(B35:B39)=4,COUNTA(C35:G39)=12),AND(COUNTA(B35:B39)=5,COUNTA(C35:G39)=20))</f>
        <v>0</v>
      </c>
      <c r="S34" s="332" t="s">
        <v>245</v>
      </c>
      <c r="T34" s="333" t="s">
        <v>246</v>
      </c>
      <c r="U34" s="302"/>
      <c r="V34" s="302"/>
      <c r="W34" s="302"/>
      <c r="X34" s="302"/>
      <c r="Y34" s="302"/>
      <c r="Z34" s="302"/>
      <c r="AA34" s="302"/>
      <c r="AD34" s="233">
        <f t="shared" si="0"/>
        <v>0</v>
      </c>
      <c r="AE34" s="234" t="str">
        <f>IFERROR(INDEX(V!$R:$R,MATCH(AF34,V!$L:$L,0)),"")</f>
        <v/>
      </c>
      <c r="AF34" s="235" t="str">
        <f t="shared" si="1"/>
        <v/>
      </c>
      <c r="AG34" s="234" t="str">
        <f>IFERROR(INDEX(V!$R:$R,MATCH(AH34,V!$L:$L,0)),"")</f>
        <v/>
      </c>
      <c r="AH34" s="235" t="str">
        <f t="shared" si="2"/>
        <v/>
      </c>
      <c r="AI34" s="234" t="str">
        <f>IFERROR(INDEX(V!$R:$R,MATCH(AJ34,V!$L:$L,0)),"")</f>
        <v/>
      </c>
      <c r="AJ34" s="235" t="str">
        <f t="shared" si="3"/>
        <v/>
      </c>
      <c r="AK34" s="234" t="str">
        <f>IFERROR(INDEX(V!$R:$R,MATCH(AL34,V!$L:$L,0)),"")</f>
        <v/>
      </c>
      <c r="AL34" s="235" t="str">
        <f t="shared" si="4"/>
        <v/>
      </c>
      <c r="AM34" s="234" t="str">
        <f>IFERROR(INDEX(V!$R:$R,MATCH(AN34,V!$L:$L,0)),"")</f>
        <v/>
      </c>
      <c r="AN34" s="235" t="str">
        <f t="shared" si="5"/>
        <v/>
      </c>
      <c r="AO34" s="234" t="str">
        <f>IFERROR(INDEX(V!$R:$R,MATCH(AP34,V!$L:$L,0)),"")</f>
        <v/>
      </c>
      <c r="AP34" s="235" t="str">
        <f t="shared" si="6"/>
        <v/>
      </c>
    </row>
    <row r="35" spans="1:42" hidden="1" x14ac:dyDescent="0.2">
      <c r="A35" s="201">
        <v>1</v>
      </c>
      <c r="B35" s="342"/>
      <c r="C35" s="204"/>
      <c r="D35" s="203"/>
      <c r="E35" s="203"/>
      <c r="F35" s="203"/>
      <c r="G35" s="203"/>
      <c r="H35" s="202" t="str">
        <f>(IF(D35-C36&gt;0,1)+IF(E35-C37&gt;0,1)+IF(F35-C38&gt;0,1)+IF(G35-C39&gt;0,1))&amp;"-"&amp;(IF(D35-C36&lt;0,1)+IF(E35-C37&lt;0,1)+IF(F35-C38&lt;0,1)+IF(G35-C39&lt;0,1))</f>
        <v>0-0</v>
      </c>
      <c r="I35" s="166" t="str">
        <f>IF(AND(B35&lt;&gt;"",R$34=TRUE),A$34&amp;RANK(S35,S$35:S$39,0)," ")</f>
        <v xml:space="preserve"> </v>
      </c>
      <c r="J35" s="305">
        <f>IF(AND(Q35=1,Q36=1,D35&gt;C36),1)+IF(AND(Q35=1,Q37=1,E35&gt;C37),1)+IF(AND(Q35=1,Q38=1,F35&gt;C38),1)+IF(AND(Q35=1,Q39=1,G35&gt;C39),1)+IF(AND(Q35=2,Q36=2,D35&gt;C36),1)+IF(AND(Q35=2,Q37=2,E35&gt;C37),1)+IF(AND(Q35=2,Q38=2,F35&gt;C38),1)+IF(AND(Q35=2,Q39=2,G35&gt;C39),1)+IF(AND(Q35=3,Q36=3,D35&gt;C36),1)+IF(AND(Q35=3,Q37=3,E35&gt;C37),1)+IF(AND(Q35=3,Q38=3,F35&gt;C38),1)+IF(AND(Q35=3,Q39=3,G35&gt;C39),1)</f>
        <v>0</v>
      </c>
      <c r="K35" s="306">
        <f>SUM(AND(T35=T36,D35&gt;C36),AND(T35=T37,E35&gt;C37),AND(T35=T38,F35&gt;C38),AND(T35=T39,G35&gt;C39))</f>
        <v>0</v>
      </c>
      <c r="L35" s="307">
        <f>IF(AND(Q35=1,Q36=1),D35-C36)+IF(AND(Q35=1,Q37=1),E35-C37)+IF(AND(Q35=1,Q38=1),F35-C38)+IF(AND(Q35=1,Q39=1),G35-C39)+IF(AND(Q35=2,Q36=2),D35-C36)+IF(AND(Q35=2,Q37=2),E35-C37)+IF(AND(Q35=2,Q38=2),F35-C38)+IF(AND(Q35=2,Q39=2),G35-C39)+IF(AND(Q35=3,Q36=3),D35-C36)+IF(AND(Q35=3,Q37=3),E35-C37)+IF(AND(Q35=3,Q38=3),F35-C38)+IF(AND(Q35=3,Q39=3),G35-C39)+IF(AND(Q35=4,Q36=4),D35-C36)+IF(AND(Q35=4,Q37=4),E35-C37)+IF(AND(Q35=4,Q38=4),F35-C38)+IF(AND(Q35=4,Q39=4),G35-C39)</f>
        <v>0</v>
      </c>
      <c r="M35" s="308">
        <f>SUM(AND(R35=R36,D35&gt;C36),AND(R35=R37,E35&gt;C37),AND(R35=R38,F35&gt;C38),AND(R35=R39,G35&gt;C39))</f>
        <v>0</v>
      </c>
      <c r="N35" s="356" t="str">
        <f>SUM(C35:G35)&amp;"-"&amp;SUM(C35:C39)</f>
        <v>0-0</v>
      </c>
      <c r="O35" s="357">
        <f>D35+E35+F35+G35-C36-C37-C38-C39</f>
        <v>0</v>
      </c>
      <c r="P35" s="309" t="e">
        <f>SUM(C35:G35,C35:C39)/SUM(C35:C39)</f>
        <v>#DIV/0!</v>
      </c>
      <c r="Q35" s="205">
        <f>VALUE(LEFT(H35,1))</f>
        <v>0</v>
      </c>
      <c r="R35" s="206">
        <f>Q35*100000+J35*10000+K35*1000+100*L35</f>
        <v>0</v>
      </c>
      <c r="S35" s="310">
        <f>R35+M35*0.1+IF(ISNONTEXT(B35),0,0.01)+0.0001*O35</f>
        <v>0</v>
      </c>
      <c r="T35" s="311" t="str">
        <f>Q35&amp;J35</f>
        <v>00</v>
      </c>
      <c r="U35" s="302"/>
      <c r="V35" s="302"/>
      <c r="W35" s="302"/>
      <c r="X35" s="302"/>
      <c r="Y35" s="302"/>
      <c r="Z35" s="302"/>
      <c r="AA35" s="302"/>
      <c r="AD35" s="233">
        <f t="shared" si="0"/>
        <v>0</v>
      </c>
      <c r="AE35" s="234" t="str">
        <f>IFERROR(INDEX(V!$R:$R,MATCH(AF35,V!$L:$L,0)),"")</f>
        <v/>
      </c>
      <c r="AF35" s="235" t="str">
        <f t="shared" si="1"/>
        <v/>
      </c>
      <c r="AG35" s="234" t="str">
        <f>IFERROR(INDEX(V!$R:$R,MATCH(AH35,V!$L:$L,0)),"")</f>
        <v/>
      </c>
      <c r="AH35" s="235" t="str">
        <f t="shared" si="2"/>
        <v/>
      </c>
      <c r="AI35" s="234" t="str">
        <f>IFERROR(INDEX(V!$R:$R,MATCH(AJ35,V!$L:$L,0)),"")</f>
        <v/>
      </c>
      <c r="AJ35" s="235" t="str">
        <f t="shared" si="3"/>
        <v/>
      </c>
      <c r="AK35" s="234" t="str">
        <f>IFERROR(INDEX(V!$R:$R,MATCH(AL35,V!$L:$L,0)),"")</f>
        <v/>
      </c>
      <c r="AL35" s="235" t="str">
        <f t="shared" si="4"/>
        <v/>
      </c>
      <c r="AM35" s="234" t="str">
        <f>IFERROR(INDEX(V!$R:$R,MATCH(AN35,V!$L:$L,0)),"")</f>
        <v/>
      </c>
      <c r="AN35" s="235" t="str">
        <f t="shared" si="5"/>
        <v/>
      </c>
      <c r="AO35" s="234" t="str">
        <f>IFERROR(INDEX(V!$R:$R,MATCH(AP35,V!$L:$L,0)),"")</f>
        <v/>
      </c>
      <c r="AP35" s="235" t="str">
        <f t="shared" si="6"/>
        <v/>
      </c>
    </row>
    <row r="36" spans="1:42" hidden="1" x14ac:dyDescent="0.2">
      <c r="A36" s="201">
        <v>2</v>
      </c>
      <c r="B36" s="312"/>
      <c r="C36" s="203"/>
      <c r="D36" s="204"/>
      <c r="E36" s="203"/>
      <c r="F36" s="203"/>
      <c r="G36" s="203"/>
      <c r="H36" s="202" t="str">
        <f>(IF(C36-D35&gt;0,1)+IF(E36-D37&gt;0,1)+IF(F36-D38&gt;0,1)+IF(G36-D39&gt;0,1))&amp;"-"&amp;(IF(C36-D35&lt;0,1)+IF(E36-D37&lt;0,1)+IF(F36-D38&lt;0,1)+IF(G36-D39&lt;0,1))</f>
        <v>0-0</v>
      </c>
      <c r="I36" s="166" t="str">
        <f t="shared" ref="I36:I39" si="9">IF(AND(B36&lt;&gt;"",R$34=TRUE),A$34&amp;RANK(S36,S$35:S$39,0)," ")</f>
        <v xml:space="preserve"> </v>
      </c>
      <c r="J36" s="313">
        <f>IF(AND(Q36=1,Q35=1,C36&gt;D35),1)+IF(AND(Q36=1,Q37=1,E36&gt;D37),1)+IF(AND(Q36=1,Q38=1,F36&gt;D38),1)+IF(AND(Q36=1,Q39=1,G36&gt;D39),1)+IF(AND(Q36=2,Q35=2,C36&gt;D35),1)+IF(AND(Q36=2,Q37=2,E36&gt;D37),1)+IF(AND(Q36=2,Q38=2,F36&gt;D38),1)+IF(AND(Q36=2,Q39=2,G36&gt;D39),1)+IF(AND(Q36=3,Q35=3,C36&gt;D35),1)+IF(AND(Q36=3,Q37=3,E36&gt;D37),1)+IF(AND(Q36=3,Q38=3,F36&gt;D38),1)+IF(AND(Q36=3,Q39=3,G36&gt;D39),1)</f>
        <v>0</v>
      </c>
      <c r="K36" s="308">
        <f>SUM(AND(T36=T35,C36&gt;D35),AND(T36=T37,E36&gt;D37),AND(T36=T38,F36&gt;D38),AND(T36=T39,G36&gt;D39))</f>
        <v>0</v>
      </c>
      <c r="L36" s="314">
        <f>IF(AND(Q36=1,Q35=1),C36-D35)+IF(AND(Q36=1,Q37=1),E36-D37)+IF(AND(Q36=1,Q38=1),F36-D38)+IF(AND(Q36=1,Q39=1),G36-D39)+IF(AND(Q36=2,Q35=2),C36-D35)+IF(AND(Q36=2,Q37=2),E36-D37)+IF(AND(Q36=2,Q38=2),F36-D38)+IF(AND(Q36=2,Q39=2),G36-D39)+IF(AND(Q36=3,Q35=3),C36-D35)+IF(AND(Q36=3,Q37=3),E36-D37)+IF(AND(Q36=3,Q38=3),F36-D38)+IF(AND(Q36=3,Q39=3),G36-D39)+IF(AND(Q36=4,Q35=4),C36-D35)+IF(AND(Q36=4,Q37=4),E36-D37)+IF(AND(Q36=4,Q38=4),F36-D38)+IF(AND(Q36=4,Q39=4),G36-D39)</f>
        <v>0</v>
      </c>
      <c r="M36" s="308">
        <f>SUM(AND(R36=R35,C36&gt;D35),AND(R36=R37,E36&gt;D37),AND(R36=R38,F36&gt;D38),AND(R36=R39,G36&gt;D39))</f>
        <v>0</v>
      </c>
      <c r="N36" s="356" t="str">
        <f>SUM(C36:G36)&amp;"-"&amp;SUM(D35:D39)</f>
        <v>0-0</v>
      </c>
      <c r="O36" s="357">
        <f>C36+E36+F36+G36-D35-D37-D38-D39</f>
        <v>0</v>
      </c>
      <c r="P36" s="309" t="e">
        <f>SUM(C36:G36,D35:D39)/SUM(D35:D39)</f>
        <v>#DIV/0!</v>
      </c>
      <c r="Q36" s="315">
        <f>VALUE(LEFT(H36,1))</f>
        <v>0</v>
      </c>
      <c r="R36" s="206">
        <f>Q36*100000+J36*10000+K36*1000+100*L36</f>
        <v>0</v>
      </c>
      <c r="S36" s="310">
        <f>R36+M36*0.1+IF(ISNONTEXT(B36),0,0.01)+0.0001*O36</f>
        <v>0</v>
      </c>
      <c r="T36" s="311" t="str">
        <f>Q36&amp;J36</f>
        <v>00</v>
      </c>
      <c r="U36" s="302"/>
      <c r="V36" s="302"/>
      <c r="W36" s="302"/>
      <c r="X36" s="302"/>
      <c r="Y36" s="302"/>
      <c r="Z36" s="302"/>
      <c r="AA36" s="302"/>
      <c r="AD36" s="233">
        <f t="shared" si="0"/>
        <v>0</v>
      </c>
      <c r="AE36" s="234" t="str">
        <f>IFERROR(INDEX(V!$R:$R,MATCH(AF36,V!$L:$L,0)),"")</f>
        <v/>
      </c>
      <c r="AF36" s="235" t="str">
        <f t="shared" si="1"/>
        <v/>
      </c>
      <c r="AG36" s="234" t="str">
        <f>IFERROR(INDEX(V!$R:$R,MATCH(AH36,V!$L:$L,0)),"")</f>
        <v/>
      </c>
      <c r="AH36" s="235" t="str">
        <f t="shared" si="2"/>
        <v/>
      </c>
      <c r="AI36" s="234" t="str">
        <f>IFERROR(INDEX(V!$R:$R,MATCH(AJ36,V!$L:$L,0)),"")</f>
        <v/>
      </c>
      <c r="AJ36" s="235" t="str">
        <f t="shared" si="3"/>
        <v/>
      </c>
      <c r="AK36" s="234" t="str">
        <f>IFERROR(INDEX(V!$R:$R,MATCH(AL36,V!$L:$L,0)),"")</f>
        <v/>
      </c>
      <c r="AL36" s="235" t="str">
        <f t="shared" si="4"/>
        <v/>
      </c>
      <c r="AM36" s="234" t="str">
        <f>IFERROR(INDEX(V!$R:$R,MATCH(AN36,V!$L:$L,0)),"")</f>
        <v/>
      </c>
      <c r="AN36" s="235" t="str">
        <f t="shared" si="5"/>
        <v/>
      </c>
      <c r="AO36" s="234" t="str">
        <f>IFERROR(INDEX(V!$R:$R,MATCH(AP36,V!$L:$L,0)),"")</f>
        <v/>
      </c>
      <c r="AP36" s="235" t="str">
        <f t="shared" si="6"/>
        <v/>
      </c>
    </row>
    <row r="37" spans="1:42" hidden="1" x14ac:dyDescent="0.2">
      <c r="A37" s="201">
        <v>3</v>
      </c>
      <c r="B37" s="312"/>
      <c r="C37" s="203"/>
      <c r="D37" s="316"/>
      <c r="E37" s="204"/>
      <c r="F37" s="203"/>
      <c r="G37" s="203"/>
      <c r="H37" s="202" t="str">
        <f>(IF(C37-E35&gt;0,1)+IF(D37-E36&gt;0,1)+IF(F37-E38&gt;0,1)+IF(G37-E39&gt;0,1))&amp;"-"&amp;(IF(C37-E35&lt;0,1)+IF(D37-E36&lt;0,1)+IF(F37-E38&lt;0,1)+IF(G37-E39&lt;0,1))</f>
        <v>0-0</v>
      </c>
      <c r="I37" s="166" t="str">
        <f t="shared" si="9"/>
        <v xml:space="preserve"> </v>
      </c>
      <c r="J37" s="313">
        <f>IF(AND(Q37=1,Q35=1,C37&gt;E35),1)+IF(AND(Q37=1,Q36=1,D37&gt;E36),1)+IF(AND(Q37=1,Q38=1,F37&gt;E38),1)+IF(AND(Q37=1,Q39=1,G37&gt;E39),1)+IF(AND(Q37=2,Q35=2,C37&gt;E35),1)+IF(AND(Q37=2,Q36=2,D37&gt;E36),1)+IF(AND(Q37=2,Q38=2,F37&gt;E38),1)+IF(AND(Q37=2,Q39=2,G37&gt;E39),1)+IF(AND(Q37=3,Q35=3,C37&gt;E35),1)+IF(AND(Q37=3,Q36=3,D37&gt;E36),1)+IF(AND(Q37=3,Q38=3,F37&gt;E38),1)+IF(AND(Q37=3,Q39=3,G37&gt;E39),1)</f>
        <v>0</v>
      </c>
      <c r="K37" s="308">
        <f>SUM(AND(T37=T35,C37&gt;E35),AND(T37=T36,D37&gt;E36),AND(T37=T38,F37&gt;E38),AND(T37=T39,G37&gt;E39))</f>
        <v>0</v>
      </c>
      <c r="L37" s="314">
        <f>IF(AND(Q37=1,Q35=1),C37-E35)+IF(AND(Q37=1,Q36=1),D37-E36)+IF(AND(Q37=1,Q38=1),F37-E38)+IF(AND(Q37=1,Q39=1),G37-E39)+IF(AND(Q37=2,Q35=2),C37-E35)+IF(AND(Q37=2,Q36=2),D37-E36)+IF(AND(Q37=2,Q38=2),F37-E38)+IF(AND(Q37=2,Q39=2),G37-E39)+IF(AND(Q37=3,Q35=3),C37-E35)+IF(AND(Q37=3,Q36=3),D37-E36)+IF(AND(Q37=3,Q38=3),F37-E38)+IF(AND(Q37=3,Q39=3),G37-E39)+IF(AND(Q37=4,Q35=4),C37-E35)+IF(AND(Q37=4,Q36=4),D37-E36)+IF(AND(Q37=4,Q38=4),F37-E38)+IF(AND(Q37=4,Q39=4),G37-E39)</f>
        <v>0</v>
      </c>
      <c r="M37" s="308">
        <f>SUM(AND(R37=R35,C37&gt;E35),AND(R37=R36,D37&gt;E36),AND(R37=R38,F37&gt;E38),AND(R37=R39,G37&gt;E39))</f>
        <v>0</v>
      </c>
      <c r="N37" s="356" t="str">
        <f>SUM(C37:G37)&amp;"-"&amp;SUM(E35:E39)</f>
        <v>0-0</v>
      </c>
      <c r="O37" s="357">
        <f>C37+D37+F37+G37-E35-E36-E38-E39</f>
        <v>0</v>
      </c>
      <c r="P37" s="309" t="e">
        <f>SUM(C37:G37,E35:E39)/SUM(E35:E39)</f>
        <v>#DIV/0!</v>
      </c>
      <c r="Q37" s="315">
        <f>VALUE(LEFT(H37,1))</f>
        <v>0</v>
      </c>
      <c r="R37" s="206">
        <f>Q37*100000+J37*10000+K37*1000+100*L37</f>
        <v>0</v>
      </c>
      <c r="S37" s="310">
        <f>R37+M37*0.1+IF(ISNONTEXT(B37),0,0.01)+0.0001*O37</f>
        <v>0</v>
      </c>
      <c r="T37" s="311" t="str">
        <f>Q37&amp;J37</f>
        <v>00</v>
      </c>
      <c r="U37" s="302"/>
      <c r="V37" s="302"/>
      <c r="W37" s="302"/>
      <c r="X37" s="302"/>
      <c r="Y37" s="302"/>
      <c r="Z37" s="302"/>
      <c r="AA37" s="302"/>
      <c r="AD37" s="233">
        <f t="shared" si="0"/>
        <v>0</v>
      </c>
      <c r="AE37" s="234" t="str">
        <f>IFERROR(INDEX(V!$R:$R,MATCH(AF37,V!$L:$L,0)),"")</f>
        <v/>
      </c>
      <c r="AF37" s="235" t="str">
        <f t="shared" si="1"/>
        <v/>
      </c>
      <c r="AG37" s="234" t="str">
        <f>IFERROR(INDEX(V!$R:$R,MATCH(AH37,V!$L:$L,0)),"")</f>
        <v/>
      </c>
      <c r="AH37" s="235" t="str">
        <f t="shared" si="2"/>
        <v/>
      </c>
      <c r="AI37" s="234" t="str">
        <f>IFERROR(INDEX(V!$R:$R,MATCH(AJ37,V!$L:$L,0)),"")</f>
        <v/>
      </c>
      <c r="AJ37" s="235" t="str">
        <f t="shared" si="3"/>
        <v/>
      </c>
      <c r="AK37" s="234" t="str">
        <f>IFERROR(INDEX(V!$R:$R,MATCH(AL37,V!$L:$L,0)),"")</f>
        <v/>
      </c>
      <c r="AL37" s="235" t="str">
        <f t="shared" si="4"/>
        <v/>
      </c>
      <c r="AM37" s="234" t="str">
        <f>IFERROR(INDEX(V!$R:$R,MATCH(AN37,V!$L:$L,0)),"")</f>
        <v/>
      </c>
      <c r="AN37" s="235" t="str">
        <f t="shared" si="5"/>
        <v/>
      </c>
      <c r="AO37" s="234" t="str">
        <f>IFERROR(INDEX(V!$R:$R,MATCH(AP37,V!$L:$L,0)),"")</f>
        <v/>
      </c>
      <c r="AP37" s="235" t="str">
        <f t="shared" si="6"/>
        <v/>
      </c>
    </row>
    <row r="38" spans="1:42" hidden="1" x14ac:dyDescent="0.2">
      <c r="A38" s="201">
        <v>4</v>
      </c>
      <c r="B38" s="317"/>
      <c r="C38" s="203"/>
      <c r="D38" s="316"/>
      <c r="E38" s="203"/>
      <c r="F38" s="204"/>
      <c r="G38" s="335"/>
      <c r="H38" s="202" t="str">
        <f>(IF(C38-F35&gt;0,1)+IF(D38-F36&gt;0,1)+IF(E38-F37&gt;0,1)+IF(G38-F39&gt;0,1))&amp;"-"&amp;(IF(C38-F35&lt;0,1)+IF(D38-F36&lt;0,1)+IF(E38-F37&lt;0,1)+IF(G38-F39&lt;0,1))</f>
        <v>0-0</v>
      </c>
      <c r="I38" s="166" t="str">
        <f t="shared" si="9"/>
        <v xml:space="preserve"> </v>
      </c>
      <c r="J38" s="313">
        <f>IF(AND(Q38=1,Q35=1,C38&gt;F35),1)+IF(AND(Q38=1,Q36=1,D38&gt;F36),1)+IF(AND(Q38=1,Q37=1,E38&gt;F37),1)+IF(AND(Q38=1,Q39=1,G38&gt;F39),1)+IF(AND(Q38=2,Q35=2,C38&gt;F35),1)+IF(AND(Q38=2,Q36=2,D38&gt;F36),1)+IF(AND(Q38=2,Q37=2,E38&gt;F37),1)+IF(AND(Q38=2,Q39=2,G38&gt;F39),1)+IF(AND(Q38=3,Q35=3,C38&gt;F35),1)+IF(AND(Q38=3,Q36=3,D38&gt;F36),1)+IF(AND(Q38=3,Q37=3,E38&gt;F37),1)+IF(AND(Q38=3,Q39=3,G38&gt;F39),1)</f>
        <v>0</v>
      </c>
      <c r="K38" s="308">
        <f>SUM(AND(T38=T35,C38&gt;F35),AND(T38=T36,D38&gt;F36),AND(T38=T37,E38&gt;F37),AND(T38=T39,G38&gt;F39))</f>
        <v>0</v>
      </c>
      <c r="L38" s="314">
        <f>IF(AND(Q38=1,Q35=1),C38-F35)+IF(AND(Q38=1,Q36=1),D38-F36)+IF(AND(Q38=1,Q37=1),E38-F37)+IF(AND(Q38=1,Q39=1),G38-F39)+IF(AND(Q38=2,Q35=2),C38-F35)+IF(AND(Q38=2,Q36=2),D38-F36)+IF(AND(Q38=2,Q37=2),E38-F37)+IF(AND(Q38=2,Q39=2),G38-F39)+IF(AND(Q38=3,Q35=3),C38-F35)+IF(AND(Q38=3,Q36=3),D38-F36)+IF(AND(Q38=3,Q37=3),E38-F37)+IF(AND(Q38=3,Q39=3),G38-F39)+IF(AND(Q38=4,Q35=4),C38-F35)+IF(AND(Q38=4,Q36=4),D38-F36)+IF(AND(Q38=4,Q37=4),E38-F37)+IF(AND(Q38=4,Q39=4),G38-F39)</f>
        <v>0</v>
      </c>
      <c r="M38" s="308">
        <f>SUM(AND(R38=R35,C38&gt;F35),AND(R38=R36,D38&gt;F36),AND(R38=R37,E38&gt;F37),AND(R38=R39,G38&gt;F39))</f>
        <v>0</v>
      </c>
      <c r="N38" s="356" t="str">
        <f>SUM(C38:G38)&amp;"-"&amp;SUM(F35:F39)</f>
        <v>0-0</v>
      </c>
      <c r="O38" s="357">
        <f>C38+D38+E38+G38-F35-F36-F37-F39</f>
        <v>0</v>
      </c>
      <c r="P38" s="309" t="e">
        <f>SUM(C38:G38,F35:F39)/SUM(F35:F39)</f>
        <v>#DIV/0!</v>
      </c>
      <c r="Q38" s="315">
        <f>VALUE(LEFT(H38,1))</f>
        <v>0</v>
      </c>
      <c r="R38" s="206">
        <f>Q38*100000+J38*10000+K38*1000+100*L38</f>
        <v>0</v>
      </c>
      <c r="S38" s="310">
        <f>R38+M38*0.1+IF(ISNONTEXT(B38),0,0.01)+0.0001*O38</f>
        <v>0</v>
      </c>
      <c r="T38" s="311" t="str">
        <f>Q38&amp;J38</f>
        <v>00</v>
      </c>
      <c r="U38" s="302"/>
      <c r="V38" s="302"/>
      <c r="W38" s="302"/>
      <c r="X38" s="302"/>
      <c r="Y38" s="302"/>
      <c r="Z38" s="302"/>
      <c r="AA38" s="302"/>
      <c r="AD38" s="233">
        <f t="shared" si="0"/>
        <v>0</v>
      </c>
      <c r="AE38" s="234" t="str">
        <f>IFERROR(INDEX(V!$R:$R,MATCH(AF38,V!$L:$L,0)),"")</f>
        <v/>
      </c>
      <c r="AF38" s="235" t="str">
        <f t="shared" si="1"/>
        <v/>
      </c>
      <c r="AG38" s="234" t="str">
        <f>IFERROR(INDEX(V!$R:$R,MATCH(AH38,V!$L:$L,0)),"")</f>
        <v/>
      </c>
      <c r="AH38" s="235" t="str">
        <f t="shared" si="2"/>
        <v/>
      </c>
      <c r="AI38" s="234" t="str">
        <f>IFERROR(INDEX(V!$R:$R,MATCH(AJ38,V!$L:$L,0)),"")</f>
        <v/>
      </c>
      <c r="AJ38" s="235" t="str">
        <f t="shared" si="3"/>
        <v/>
      </c>
      <c r="AK38" s="234" t="str">
        <f>IFERROR(INDEX(V!$R:$R,MATCH(AL38,V!$L:$L,0)),"")</f>
        <v/>
      </c>
      <c r="AL38" s="235" t="str">
        <f t="shared" si="4"/>
        <v/>
      </c>
      <c r="AM38" s="234" t="str">
        <f>IFERROR(INDEX(V!$R:$R,MATCH(AN38,V!$L:$L,0)),"")</f>
        <v/>
      </c>
      <c r="AN38" s="235" t="str">
        <f t="shared" si="5"/>
        <v/>
      </c>
      <c r="AO38" s="234" t="str">
        <f>IFERROR(INDEX(V!$R:$R,MATCH(AP38,V!$L:$L,0)),"")</f>
        <v/>
      </c>
      <c r="AP38" s="235" t="str">
        <f t="shared" si="6"/>
        <v/>
      </c>
    </row>
    <row r="39" spans="1:42" hidden="1" x14ac:dyDescent="0.2">
      <c r="A39" s="201">
        <v>5</v>
      </c>
      <c r="B39" s="317"/>
      <c r="C39" s="203"/>
      <c r="D39" s="203"/>
      <c r="E39" s="203"/>
      <c r="F39" s="203"/>
      <c r="G39" s="204"/>
      <c r="H39" s="202" t="str">
        <f>(IF(C39-G35&gt;0,1)+IF(D39-G36&gt;0,1)+IF(E39-G37&gt;0,1)+IF(F39-G38&gt;0,1))&amp;"-"&amp;(IF(C39-G35&lt;0,1)+IF(D39-G36&lt;0,1)+IF(E39-G37&lt;0,1)+IF(F39-G38&lt;0,1))</f>
        <v>0-0</v>
      </c>
      <c r="I39" s="166" t="str">
        <f t="shared" si="9"/>
        <v xml:space="preserve"> </v>
      </c>
      <c r="J39" s="313">
        <f>IF(AND(Q39=1,Q35=1,C39&gt;G35),1)+IF(AND(Q39=1,Q36=1,D39&gt;G36),1)+IF(AND(Q39=1,Q37=1,E39&gt;G37),1)+IF(AND(Q39=1,Q38=1,F39&gt;G38),1)+IF(AND(Q39=2,Q35=2,C39&gt;G35),1)+IF(AND(Q39=2,Q36=2,D39&gt;G36),1)+IF(AND(Q39=2,Q37=2,E39&gt;G37),1)+IF(AND(Q39=2,Q38=2,F39&gt;G38),1)+IF(AND(Q39=3,Q35=3,C39&gt;G35),1)+IF(AND(Q39=3,Q36=3,D39&gt;G36),1)+IF(AND(Q39=3,Q37=3,E39&gt;G37),1)+IF(AND(Q39=3,Q38=3,F39&gt;G38),1)</f>
        <v>0</v>
      </c>
      <c r="K39" s="308">
        <f>SUM(AND(T39=T35,C39&gt;G35),AND(T39=T36,D39&gt;G36),AND(T39=T37,E39&gt;G37),AND(T39=T38,F39&gt;G38))</f>
        <v>0</v>
      </c>
      <c r="L39" s="314">
        <f>IF(AND(Q39=1,Q35=1),C39-G35)+IF(AND(Q39=1,Q36=1),D39-G36)+IF(AND(Q39=1,Q37=1),E39-G37)+IF(AND(Q39=1,Q38=1),F39-G38)+IF(AND(Q39=2,Q35=2),C39-G35)+IF(AND(Q39=2,Q36=2),D39-G36)+IF(AND(Q39=2,Q37=2),E39-G37)+IF(AND(Q39=2,Q38=2),F39-G38)+IF(AND(Q39=3,Q35=3),C39-G35)+IF(AND(Q39=3,Q36=3),D39-G36)+IF(AND(Q39=3,Q37=3),E39-G37)+IF(AND(Q39=3,Q38=3),F39-G38)+IF(AND(Q39=4,Q35=4),C39-G35)+IF(AND(Q39=4,Q36=4),D39-G36)+IF(AND(Q39=4,Q37=4),E39-G37)+IF(AND(Q39=4,Q38=4),F39-G38)</f>
        <v>0</v>
      </c>
      <c r="M39" s="308">
        <f>SUM(AND(R39=R35,C39&gt;G35),AND(R39=R36,D39&gt;G36),AND(R39=R37,E39&gt;G37),AND(R39=R38,F39&gt;G38))</f>
        <v>0</v>
      </c>
      <c r="N39" s="356" t="str">
        <f>SUM(C39:G39)&amp;"-"&amp;SUM(G35:G39)</f>
        <v>0-0</v>
      </c>
      <c r="O39" s="357">
        <f>C39+D39+E39+F39-G35-G36-G37-G38</f>
        <v>0</v>
      </c>
      <c r="P39" s="309" t="e">
        <f>SUM(C39:G39,G35:G39)/SUM(G35:G39)</f>
        <v>#DIV/0!</v>
      </c>
      <c r="Q39" s="315">
        <f>VALUE(LEFT(H39,1))</f>
        <v>0</v>
      </c>
      <c r="R39" s="206">
        <f>Q39*100000+J39*10000+K39*1000+100*L39</f>
        <v>0</v>
      </c>
      <c r="S39" s="310">
        <f>R39+M39*0.1+IF(ISNONTEXT(B39),0,0.01)+0.0001*O39</f>
        <v>0</v>
      </c>
      <c r="T39" s="311" t="str">
        <f>Q39&amp;J39</f>
        <v>00</v>
      </c>
      <c r="U39" s="302"/>
      <c r="V39" s="302"/>
      <c r="W39" s="302"/>
      <c r="X39" s="302"/>
      <c r="Y39" s="302"/>
      <c r="Z39" s="302"/>
      <c r="AA39" s="302"/>
      <c r="AD39" s="233">
        <f t="shared" si="0"/>
        <v>0</v>
      </c>
      <c r="AE39" s="234" t="str">
        <f>IFERROR(INDEX(V!$R:$R,MATCH(AF39,V!$L:$L,0)),"")</f>
        <v/>
      </c>
      <c r="AF39" s="235" t="str">
        <f t="shared" si="1"/>
        <v/>
      </c>
      <c r="AG39" s="234" t="str">
        <f>IFERROR(INDEX(V!$R:$R,MATCH(AH39,V!$L:$L,0)),"")</f>
        <v/>
      </c>
      <c r="AH39" s="235" t="str">
        <f t="shared" si="2"/>
        <v/>
      </c>
      <c r="AI39" s="234" t="str">
        <f>IFERROR(INDEX(V!$R:$R,MATCH(AJ39,V!$L:$L,0)),"")</f>
        <v/>
      </c>
      <c r="AJ39" s="235" t="str">
        <f t="shared" si="3"/>
        <v/>
      </c>
      <c r="AK39" s="234" t="str">
        <f>IFERROR(INDEX(V!$R:$R,MATCH(AL39,V!$L:$L,0)),"")</f>
        <v/>
      </c>
      <c r="AL39" s="235" t="str">
        <f t="shared" si="4"/>
        <v/>
      </c>
      <c r="AM39" s="234" t="str">
        <f>IFERROR(INDEX(V!$R:$R,MATCH(AN39,V!$L:$L,0)),"")</f>
        <v/>
      </c>
      <c r="AN39" s="235" t="str">
        <f t="shared" si="5"/>
        <v/>
      </c>
      <c r="AO39" s="234" t="str">
        <f>IFERROR(INDEX(V!$R:$R,MATCH(AP39,V!$L:$L,0)),"")</f>
        <v/>
      </c>
      <c r="AP39" s="235" t="str">
        <f t="shared" si="6"/>
        <v/>
      </c>
    </row>
    <row r="40" spans="1:42" hidden="1" x14ac:dyDescent="0.2">
      <c r="A40" s="318"/>
      <c r="B40" s="319"/>
      <c r="C40" s="320"/>
      <c r="D40" s="321"/>
      <c r="E40" s="320"/>
      <c r="F40" s="322"/>
      <c r="G40" s="323"/>
      <c r="H40" s="324"/>
      <c r="I40" s="184"/>
      <c r="J40" s="302"/>
      <c r="K40" s="302"/>
      <c r="L40" s="302"/>
      <c r="M40" s="302"/>
      <c r="N40" s="358"/>
      <c r="O40" s="358"/>
      <c r="P40" s="302"/>
      <c r="Q40" s="302"/>
      <c r="R40" s="326" t="s">
        <v>247</v>
      </c>
      <c r="S40" s="302"/>
      <c r="T40" s="302"/>
      <c r="U40" s="302"/>
      <c r="V40" s="302"/>
      <c r="W40" s="302"/>
      <c r="X40" s="302"/>
      <c r="Y40" s="302"/>
      <c r="Z40" s="302"/>
      <c r="AA40" s="302"/>
      <c r="AD40" s="233">
        <f t="shared" si="0"/>
        <v>0</v>
      </c>
      <c r="AE40" s="234" t="str">
        <f>IFERROR(INDEX(V!$R:$R,MATCH(AF40,V!$L:$L,0)),"")</f>
        <v/>
      </c>
      <c r="AF40" s="235" t="str">
        <f t="shared" si="1"/>
        <v/>
      </c>
      <c r="AG40" s="234" t="str">
        <f>IFERROR(INDEX(V!$R:$R,MATCH(AH40,V!$L:$L,0)),"")</f>
        <v/>
      </c>
      <c r="AH40" s="235" t="str">
        <f t="shared" si="2"/>
        <v/>
      </c>
      <c r="AI40" s="234" t="str">
        <f>IFERROR(INDEX(V!$R:$R,MATCH(AJ40,V!$L:$L,0)),"")</f>
        <v/>
      </c>
      <c r="AJ40" s="235" t="str">
        <f t="shared" si="3"/>
        <v/>
      </c>
      <c r="AK40" s="234" t="str">
        <f>IFERROR(INDEX(V!$R:$R,MATCH(AL40,V!$L:$L,0)),"")</f>
        <v/>
      </c>
      <c r="AL40" s="235" t="str">
        <f t="shared" si="4"/>
        <v/>
      </c>
      <c r="AM40" s="234" t="str">
        <f>IFERROR(INDEX(V!$R:$R,MATCH(AN40,V!$L:$L,0)),"")</f>
        <v/>
      </c>
      <c r="AN40" s="235" t="str">
        <f t="shared" si="5"/>
        <v/>
      </c>
      <c r="AO40" s="234" t="str">
        <f>IFERROR(INDEX(V!$R:$R,MATCH(AP40,V!$L:$L,0)),"")</f>
        <v/>
      </c>
      <c r="AP40" s="235" t="str">
        <f t="shared" si="6"/>
        <v/>
      </c>
    </row>
    <row r="41" spans="1:42" hidden="1" x14ac:dyDescent="0.2">
      <c r="A41" s="201" t="s">
        <v>5</v>
      </c>
      <c r="B41" s="327"/>
      <c r="C41" s="292">
        <v>1</v>
      </c>
      <c r="D41" s="292">
        <v>2</v>
      </c>
      <c r="E41" s="292">
        <v>3</v>
      </c>
      <c r="F41" s="292"/>
      <c r="G41" s="292"/>
      <c r="H41" s="293" t="s">
        <v>170</v>
      </c>
      <c r="I41" s="162" t="s">
        <v>171</v>
      </c>
      <c r="J41" s="328" t="s">
        <v>240</v>
      </c>
      <c r="K41" s="329" t="s">
        <v>241</v>
      </c>
      <c r="L41" s="330" t="s">
        <v>242</v>
      </c>
      <c r="M41" s="330" t="s">
        <v>243</v>
      </c>
      <c r="N41" s="297" t="s">
        <v>172</v>
      </c>
      <c r="O41" s="297" t="s">
        <v>172</v>
      </c>
      <c r="P41" s="298" t="s">
        <v>244</v>
      </c>
      <c r="Q41" s="331" t="s">
        <v>21</v>
      </c>
      <c r="R41" s="331" t="b">
        <f>OR(AND(COUNTA(B42:B46)=3,COUNTA(C42:G46)=6),AND(COUNTA(B42:B46)=4,COUNTA(C42:G46)=12),AND(COUNTA(B42:B46)=5,COUNTA(C42:G46)=20))</f>
        <v>0</v>
      </c>
      <c r="S41" s="332" t="s">
        <v>245</v>
      </c>
      <c r="T41" s="333" t="s">
        <v>246</v>
      </c>
      <c r="U41" s="302"/>
      <c r="V41" s="302"/>
      <c r="W41" s="302"/>
      <c r="X41" s="302"/>
      <c r="Y41" s="302"/>
      <c r="Z41" s="302"/>
      <c r="AA41" s="302"/>
      <c r="AD41" s="233">
        <f t="shared" si="0"/>
        <v>0</v>
      </c>
      <c r="AE41" s="234" t="str">
        <f>IFERROR(INDEX(V!$R:$R,MATCH(AF41,V!$L:$L,0)),"")</f>
        <v/>
      </c>
      <c r="AF41" s="235" t="str">
        <f t="shared" si="1"/>
        <v/>
      </c>
      <c r="AG41" s="234" t="str">
        <f>IFERROR(INDEX(V!$R:$R,MATCH(AH41,V!$L:$L,0)),"")</f>
        <v/>
      </c>
      <c r="AH41" s="235" t="str">
        <f t="shared" si="2"/>
        <v/>
      </c>
      <c r="AI41" s="234" t="str">
        <f>IFERROR(INDEX(V!$R:$R,MATCH(AJ41,V!$L:$L,0)),"")</f>
        <v/>
      </c>
      <c r="AJ41" s="235" t="str">
        <f t="shared" si="3"/>
        <v/>
      </c>
      <c r="AK41" s="234" t="str">
        <f>IFERROR(INDEX(V!$R:$R,MATCH(AL41,V!$L:$L,0)),"")</f>
        <v/>
      </c>
      <c r="AL41" s="235" t="str">
        <f t="shared" si="4"/>
        <v/>
      </c>
      <c r="AM41" s="234" t="str">
        <f>IFERROR(INDEX(V!$R:$R,MATCH(AN41,V!$L:$L,0)),"")</f>
        <v/>
      </c>
      <c r="AN41" s="235" t="str">
        <f t="shared" si="5"/>
        <v/>
      </c>
      <c r="AO41" s="234" t="str">
        <f>IFERROR(INDEX(V!$R:$R,MATCH(AP41,V!$L:$L,0)),"")</f>
        <v/>
      </c>
      <c r="AP41" s="235" t="str">
        <f t="shared" si="6"/>
        <v/>
      </c>
    </row>
    <row r="42" spans="1:42" hidden="1" x14ac:dyDescent="0.2">
      <c r="A42" s="201">
        <v>1</v>
      </c>
      <c r="B42" s="342"/>
      <c r="C42" s="204"/>
      <c r="D42" s="203"/>
      <c r="E42" s="203"/>
      <c r="F42" s="203"/>
      <c r="G42" s="203"/>
      <c r="H42" s="202" t="str">
        <f>(IF(D42-C43&gt;0,1)+IF(E42-C44&gt;0,1)+IF(F42-C45&gt;0,1)+IF(G42-C46&gt;0,1))&amp;"-"&amp;(IF(D42-C43&lt;0,1)+IF(E42-C44&lt;0,1)+IF(F42-C45&lt;0,1)+IF(G42-C46&lt;0,1))</f>
        <v>0-0</v>
      </c>
      <c r="I42" s="166" t="str">
        <f>IF(AND(B42&lt;&gt;"",R$41=TRUE),A$41&amp;RANK(S42,S$42:S$46,0)," ")</f>
        <v xml:space="preserve"> </v>
      </c>
      <c r="J42" s="305">
        <f>IF(AND(Q42=1,Q43=1,D42&gt;C43),1)+IF(AND(Q42=1,Q44=1,E42&gt;C44),1)+IF(AND(Q42=1,Q45=1,F42&gt;C45),1)+IF(AND(Q42=1,Q46=1,G42&gt;C46),1)+IF(AND(Q42=2,Q43=2,D42&gt;C43),1)+IF(AND(Q42=2,Q44=2,E42&gt;C44),1)+IF(AND(Q42=2,Q45=2,F42&gt;C45),1)+IF(AND(Q42=2,Q46=2,G42&gt;C46),1)+IF(AND(Q42=3,Q43=3,D42&gt;C43),1)+IF(AND(Q42=3,Q44=3,E42&gt;C44),1)+IF(AND(Q42=3,Q45=3,F42&gt;C45),1)+IF(AND(Q42=3,Q46=3,G42&gt;C46),1)</f>
        <v>0</v>
      </c>
      <c r="K42" s="306">
        <f>SUM(AND(T42=T43,D42&gt;C43),AND(T42=T44,E42&gt;C44),AND(T42=T45,F42&gt;C45),AND(T42=T46,G42&gt;C46))</f>
        <v>0</v>
      </c>
      <c r="L42" s="307">
        <f>IF(AND(Q42=1,Q43=1),D42-C43)+IF(AND(Q42=1,Q44=1),E42-C44)+IF(AND(Q42=1,Q45=1),F42-C45)+IF(AND(Q42=1,Q46=1),G42-C46)+IF(AND(Q42=2,Q43=2),D42-C43)+IF(AND(Q42=2,Q44=2),E42-C44)+IF(AND(Q42=2,Q45=2),F42-C45)+IF(AND(Q42=2,Q46=2),G42-C46)+IF(AND(Q42=3,Q43=3),D42-C43)+IF(AND(Q42=3,Q44=3),E42-C44)+IF(AND(Q42=3,Q45=3),F42-C45)+IF(AND(Q42=3,Q46=3),G42-C46)+IF(AND(Q42=4,Q43=4),D42-C43)+IF(AND(Q42=4,Q44=4),E42-C44)+IF(AND(Q42=4,Q45=4),F42-C45)+IF(AND(Q42=4,Q46=4),G42-C46)</f>
        <v>0</v>
      </c>
      <c r="M42" s="308">
        <f>SUM(AND(R42=R43,D42&gt;C43),AND(R42=R44,E42&gt;C44),AND(R42=R45,F42&gt;C45),AND(R42=R46,G42&gt;C46))</f>
        <v>0</v>
      </c>
      <c r="N42" s="356" t="str">
        <f>SUM(C42:G42)&amp;"-"&amp;SUM(C42:C46)</f>
        <v>0-0</v>
      </c>
      <c r="O42" s="357">
        <f>D42+E42+F42+G42-C43-C44-C45-C46</f>
        <v>0</v>
      </c>
      <c r="P42" s="309" t="e">
        <f>SUM(C42:G42,C42:C46)/SUM(C42:C46)</f>
        <v>#DIV/0!</v>
      </c>
      <c r="Q42" s="205">
        <f>VALUE(LEFT(H42,1))</f>
        <v>0</v>
      </c>
      <c r="R42" s="206">
        <f>Q42*100000+J42*10000+K42*1000+100*L42</f>
        <v>0</v>
      </c>
      <c r="S42" s="310">
        <f>R42+M42*0.1+IF(ISNONTEXT(B42),0,0.01)+0.0001*O42</f>
        <v>0</v>
      </c>
      <c r="T42" s="311" t="str">
        <f>Q42&amp;J42</f>
        <v>00</v>
      </c>
      <c r="U42" s="302"/>
      <c r="V42" s="302"/>
      <c r="W42" s="302"/>
      <c r="X42" s="302"/>
      <c r="Y42" s="302"/>
      <c r="Z42" s="302"/>
      <c r="AA42" s="302"/>
      <c r="AD42" s="233">
        <f t="shared" si="0"/>
        <v>0</v>
      </c>
      <c r="AE42" s="234" t="str">
        <f>IFERROR(INDEX(V!$R:$R,MATCH(AF42,V!$L:$L,0)),"")</f>
        <v/>
      </c>
      <c r="AF42" s="235" t="str">
        <f t="shared" si="1"/>
        <v/>
      </c>
      <c r="AG42" s="234" t="str">
        <f>IFERROR(INDEX(V!$R:$R,MATCH(AH42,V!$L:$L,0)),"")</f>
        <v/>
      </c>
      <c r="AH42" s="235" t="str">
        <f t="shared" si="2"/>
        <v/>
      </c>
      <c r="AI42" s="234" t="str">
        <f>IFERROR(INDEX(V!$R:$R,MATCH(AJ42,V!$L:$L,0)),"")</f>
        <v/>
      </c>
      <c r="AJ42" s="235" t="str">
        <f t="shared" si="3"/>
        <v/>
      </c>
      <c r="AK42" s="234" t="str">
        <f>IFERROR(INDEX(V!$R:$R,MATCH(AL42,V!$L:$L,0)),"")</f>
        <v/>
      </c>
      <c r="AL42" s="235" t="str">
        <f t="shared" si="4"/>
        <v/>
      </c>
      <c r="AM42" s="234" t="str">
        <f>IFERROR(INDEX(V!$R:$R,MATCH(AN42,V!$L:$L,0)),"")</f>
        <v/>
      </c>
      <c r="AN42" s="235" t="str">
        <f t="shared" si="5"/>
        <v/>
      </c>
      <c r="AO42" s="234" t="str">
        <f>IFERROR(INDEX(V!$R:$R,MATCH(AP42,V!$L:$L,0)),"")</f>
        <v/>
      </c>
      <c r="AP42" s="235" t="str">
        <f t="shared" si="6"/>
        <v/>
      </c>
    </row>
    <row r="43" spans="1:42" hidden="1" x14ac:dyDescent="0.2">
      <c r="A43" s="201">
        <v>2</v>
      </c>
      <c r="B43" s="312"/>
      <c r="C43" s="203"/>
      <c r="D43" s="204"/>
      <c r="E43" s="203"/>
      <c r="F43" s="203"/>
      <c r="G43" s="203"/>
      <c r="H43" s="202" t="str">
        <f>(IF(C43-D42&gt;0,1)+IF(E43-D44&gt;0,1)+IF(F43-D45&gt;0,1)+IF(G43-D46&gt;0,1))&amp;"-"&amp;(IF(C43-D42&lt;0,1)+IF(E43-D44&lt;0,1)+IF(F43-D45&lt;0,1)+IF(G43-D46&lt;0,1))</f>
        <v>0-0</v>
      </c>
      <c r="I43" s="166" t="str">
        <f t="shared" ref="I43:I46" si="10">IF(AND(B43&lt;&gt;"",R$41=TRUE),A$41&amp;RANK(S43,S$42:S$46,0)," ")</f>
        <v xml:space="preserve"> </v>
      </c>
      <c r="J43" s="313">
        <f>IF(AND(Q43=1,Q42=1,C43&gt;D42),1)+IF(AND(Q43=1,Q44=1,E43&gt;D44),1)+IF(AND(Q43=1,Q45=1,F43&gt;D45),1)+IF(AND(Q43=1,Q46=1,G43&gt;D46),1)+IF(AND(Q43=2,Q42=2,C43&gt;D42),1)+IF(AND(Q43=2,Q44=2,E43&gt;D44),1)+IF(AND(Q43=2,Q45=2,F43&gt;D45),1)+IF(AND(Q43=2,Q46=2,G43&gt;D46),1)+IF(AND(Q43=3,Q42=3,C43&gt;D42),1)+IF(AND(Q43=3,Q44=3,E43&gt;D44),1)+IF(AND(Q43=3,Q45=3,F43&gt;D45),1)+IF(AND(Q43=3,Q46=3,G43&gt;D46),1)</f>
        <v>0</v>
      </c>
      <c r="K43" s="308">
        <f>SUM(AND(T43=T42,C43&gt;D42),AND(T43=T44,E43&gt;D44),AND(T43=T45,F43&gt;D45),AND(T43=T46,G43&gt;D46))</f>
        <v>0</v>
      </c>
      <c r="L43" s="314">
        <f>IF(AND(Q43=1,Q42=1),C43-D42)+IF(AND(Q43=1,Q44=1),E43-D44)+IF(AND(Q43=1,Q45=1),F43-D45)+IF(AND(Q43=1,Q46=1),G43-D46)+IF(AND(Q43=2,Q42=2),C43-D42)+IF(AND(Q43=2,Q44=2),E43-D44)+IF(AND(Q43=2,Q45=2),F43-D45)+IF(AND(Q43=2,Q46=2),G43-D46)+IF(AND(Q43=3,Q42=3),C43-D42)+IF(AND(Q43=3,Q44=3),E43-D44)+IF(AND(Q43=3,Q45=3),F43-D45)+IF(AND(Q43=3,Q46=3),G43-D46)+IF(AND(Q43=4,Q42=4),C43-D42)+IF(AND(Q43=4,Q44=4),E43-D44)+IF(AND(Q43=4,Q45=4),F43-D45)+IF(AND(Q43=4,Q46=4),G43-D46)</f>
        <v>0</v>
      </c>
      <c r="M43" s="308">
        <f>SUM(AND(R43=R42,C43&gt;D42),AND(R43=R44,E43&gt;D44),AND(R43=R45,F43&gt;D45),AND(R43=R46,G43&gt;D46))</f>
        <v>0</v>
      </c>
      <c r="N43" s="356" t="str">
        <f>SUM(C43:G43)&amp;"-"&amp;SUM(D42:D46)</f>
        <v>0-0</v>
      </c>
      <c r="O43" s="357">
        <f>C43+E43+F43+G43-D42-D44-D45-D46</f>
        <v>0</v>
      </c>
      <c r="P43" s="309" t="e">
        <f>SUM(C43:G43,D42:D46)/SUM(D42:D46)</f>
        <v>#DIV/0!</v>
      </c>
      <c r="Q43" s="315">
        <f>VALUE(LEFT(H43,1))</f>
        <v>0</v>
      </c>
      <c r="R43" s="206">
        <f>Q43*100000+J43*10000+K43*1000+100*L43</f>
        <v>0</v>
      </c>
      <c r="S43" s="310">
        <f>R43+M43*0.1+IF(ISNONTEXT(B43),0,0.01)+0.0001*O43</f>
        <v>0</v>
      </c>
      <c r="T43" s="311" t="str">
        <f>Q43&amp;J43</f>
        <v>00</v>
      </c>
      <c r="U43" s="302"/>
      <c r="V43" s="302"/>
      <c r="W43" s="302"/>
      <c r="X43" s="302"/>
      <c r="Y43" s="302"/>
      <c r="Z43" s="302"/>
      <c r="AA43" s="302"/>
      <c r="AD43" s="233">
        <f t="shared" si="0"/>
        <v>0</v>
      </c>
      <c r="AE43" s="234" t="str">
        <f>IFERROR(INDEX(V!$R:$R,MATCH(AF43,V!$L:$L,0)),"")</f>
        <v/>
      </c>
      <c r="AF43" s="235" t="str">
        <f t="shared" si="1"/>
        <v/>
      </c>
      <c r="AG43" s="234" t="str">
        <f>IFERROR(INDEX(V!$R:$R,MATCH(AH43,V!$L:$L,0)),"")</f>
        <v/>
      </c>
      <c r="AH43" s="235" t="str">
        <f t="shared" si="2"/>
        <v/>
      </c>
      <c r="AI43" s="234" t="str">
        <f>IFERROR(INDEX(V!$R:$R,MATCH(AJ43,V!$L:$L,0)),"")</f>
        <v/>
      </c>
      <c r="AJ43" s="235" t="str">
        <f t="shared" si="3"/>
        <v/>
      </c>
      <c r="AK43" s="234" t="str">
        <f>IFERROR(INDEX(V!$R:$R,MATCH(AL43,V!$L:$L,0)),"")</f>
        <v/>
      </c>
      <c r="AL43" s="235" t="str">
        <f t="shared" si="4"/>
        <v/>
      </c>
      <c r="AM43" s="234" t="str">
        <f>IFERROR(INDEX(V!$R:$R,MATCH(AN43,V!$L:$L,0)),"")</f>
        <v/>
      </c>
      <c r="AN43" s="235" t="str">
        <f t="shared" si="5"/>
        <v/>
      </c>
      <c r="AO43" s="234" t="str">
        <f>IFERROR(INDEX(V!$R:$R,MATCH(AP43,V!$L:$L,0)),"")</f>
        <v/>
      </c>
      <c r="AP43" s="235" t="str">
        <f t="shared" si="6"/>
        <v/>
      </c>
    </row>
    <row r="44" spans="1:42" hidden="1" x14ac:dyDescent="0.2">
      <c r="A44" s="201">
        <v>3</v>
      </c>
      <c r="B44" s="312"/>
      <c r="C44" s="203"/>
      <c r="D44" s="316"/>
      <c r="E44" s="204"/>
      <c r="F44" s="203"/>
      <c r="G44" s="203"/>
      <c r="H44" s="202" t="str">
        <f>(IF(C44-E42&gt;0,1)+IF(D44-E43&gt;0,1)+IF(F44-E45&gt;0,1)+IF(G44-E46&gt;0,1))&amp;"-"&amp;(IF(C44-E42&lt;0,1)+IF(D44-E43&lt;0,1)+IF(F44-E45&lt;0,1)+IF(G44-E46&lt;0,1))</f>
        <v>0-0</v>
      </c>
      <c r="I44" s="166" t="str">
        <f t="shared" si="10"/>
        <v xml:space="preserve"> </v>
      </c>
      <c r="J44" s="313">
        <f>IF(AND(Q44=1,Q42=1,C44&gt;E42),1)+IF(AND(Q44=1,Q43=1,D44&gt;E43),1)+IF(AND(Q44=1,Q45=1,F44&gt;E45),1)+IF(AND(Q44=1,Q46=1,G44&gt;E46),1)+IF(AND(Q44=2,Q42=2,C44&gt;E42),1)+IF(AND(Q44=2,Q43=2,D44&gt;E43),1)+IF(AND(Q44=2,Q45=2,F44&gt;E45),1)+IF(AND(Q44=2,Q46=2,G44&gt;E46),1)+IF(AND(Q44=3,Q42=3,C44&gt;E42),1)+IF(AND(Q44=3,Q43=3,D44&gt;E43),1)+IF(AND(Q44=3,Q45=3,F44&gt;E45),1)+IF(AND(Q44=3,Q46=3,G44&gt;E46),1)</f>
        <v>0</v>
      </c>
      <c r="K44" s="308">
        <f>SUM(AND(T44=T42,C44&gt;E42),AND(T44=T43,D44&gt;E43),AND(T44=T45,F44&gt;E45),AND(T44=T46,G44&gt;E46))</f>
        <v>0</v>
      </c>
      <c r="L44" s="314">
        <f>IF(AND(Q44=1,Q42=1),C44-E42)+IF(AND(Q44=1,Q43=1),D44-E43)+IF(AND(Q44=1,Q45=1),F44-E45)+IF(AND(Q44=1,Q46=1),G44-E46)+IF(AND(Q44=2,Q42=2),C44-E42)+IF(AND(Q44=2,Q43=2),D44-E43)+IF(AND(Q44=2,Q45=2),F44-E45)+IF(AND(Q44=2,Q46=2),G44-E46)+IF(AND(Q44=3,Q42=3),C44-E42)+IF(AND(Q44=3,Q43=3),D44-E43)+IF(AND(Q44=3,Q45=3),F44-E45)+IF(AND(Q44=3,Q46=3),G44-E46)+IF(AND(Q44=4,Q42=4),C44-E42)+IF(AND(Q44=4,Q43=4),D44-E43)+IF(AND(Q44=4,Q45=4),F44-E45)+IF(AND(Q44=4,Q46=4),G44-E46)</f>
        <v>0</v>
      </c>
      <c r="M44" s="308">
        <f>SUM(AND(R44=R42,C44&gt;E42),AND(R44=R43,D44&gt;E43),AND(R44=R45,F44&gt;E45),AND(R44=R46,G44&gt;E46))</f>
        <v>0</v>
      </c>
      <c r="N44" s="356" t="str">
        <f>SUM(C44:G44)&amp;"-"&amp;SUM(E42:E46)</f>
        <v>0-0</v>
      </c>
      <c r="O44" s="357">
        <f>C44+D44+F44+G44-E42-E43-E45-E46</f>
        <v>0</v>
      </c>
      <c r="P44" s="309" t="e">
        <f>SUM(C44:G44,E42:E46)/SUM(E42:E46)</f>
        <v>#DIV/0!</v>
      </c>
      <c r="Q44" s="315">
        <f>VALUE(LEFT(H44,1))</f>
        <v>0</v>
      </c>
      <c r="R44" s="206">
        <f>Q44*100000+J44*10000+K44*1000+100*L44</f>
        <v>0</v>
      </c>
      <c r="S44" s="310">
        <f>R44+M44*0.1+IF(ISNONTEXT(B44),0,0.01)+0.0001*O44</f>
        <v>0</v>
      </c>
      <c r="T44" s="311" t="str">
        <f>Q44&amp;J44</f>
        <v>00</v>
      </c>
      <c r="U44" s="302"/>
      <c r="V44" s="302"/>
      <c r="W44" s="302"/>
      <c r="X44" s="302"/>
      <c r="Y44" s="302"/>
      <c r="Z44" s="302"/>
      <c r="AA44" s="302"/>
      <c r="AD44" s="233">
        <f t="shared" si="0"/>
        <v>0</v>
      </c>
      <c r="AE44" s="234" t="str">
        <f>IFERROR(INDEX(V!$R:$R,MATCH(AF44,V!$L:$L,0)),"")</f>
        <v/>
      </c>
      <c r="AF44" s="235" t="str">
        <f t="shared" si="1"/>
        <v/>
      </c>
      <c r="AG44" s="234" t="str">
        <f>IFERROR(INDEX(V!$R:$R,MATCH(AH44,V!$L:$L,0)),"")</f>
        <v/>
      </c>
      <c r="AH44" s="235" t="str">
        <f t="shared" si="2"/>
        <v/>
      </c>
      <c r="AI44" s="234" t="str">
        <f>IFERROR(INDEX(V!$R:$R,MATCH(AJ44,V!$L:$L,0)),"")</f>
        <v/>
      </c>
      <c r="AJ44" s="235" t="str">
        <f t="shared" si="3"/>
        <v/>
      </c>
      <c r="AK44" s="234" t="str">
        <f>IFERROR(INDEX(V!$R:$R,MATCH(AL44,V!$L:$L,0)),"")</f>
        <v/>
      </c>
      <c r="AL44" s="235" t="str">
        <f t="shared" si="4"/>
        <v/>
      </c>
      <c r="AM44" s="234" t="str">
        <f>IFERROR(INDEX(V!$R:$R,MATCH(AN44,V!$L:$L,0)),"")</f>
        <v/>
      </c>
      <c r="AN44" s="235" t="str">
        <f t="shared" si="5"/>
        <v/>
      </c>
      <c r="AO44" s="234" t="str">
        <f>IFERROR(INDEX(V!$R:$R,MATCH(AP44,V!$L:$L,0)),"")</f>
        <v/>
      </c>
      <c r="AP44" s="235" t="str">
        <f t="shared" si="6"/>
        <v/>
      </c>
    </row>
    <row r="45" spans="1:42" hidden="1" x14ac:dyDescent="0.2">
      <c r="A45" s="201">
        <v>4</v>
      </c>
      <c r="B45" s="317"/>
      <c r="C45" s="203"/>
      <c r="D45" s="316"/>
      <c r="E45" s="203"/>
      <c r="F45" s="204"/>
      <c r="G45" s="335"/>
      <c r="H45" s="202" t="str">
        <f>(IF(C45-F42&gt;0,1)+IF(D45-F43&gt;0,1)+IF(E45-F44&gt;0,1)+IF(G45-F46&gt;0,1))&amp;"-"&amp;(IF(C45-F42&lt;0,1)+IF(D45-F43&lt;0,1)+IF(E45-F44&lt;0,1)+IF(G45-F46&lt;0,1))</f>
        <v>0-0</v>
      </c>
      <c r="I45" s="166" t="str">
        <f t="shared" si="10"/>
        <v xml:space="preserve"> </v>
      </c>
      <c r="J45" s="313">
        <f>IF(AND(Q45=1,Q42=1,C45&gt;F42),1)+IF(AND(Q45=1,Q43=1,D45&gt;F43),1)+IF(AND(Q45=1,Q44=1,E45&gt;F44),1)+IF(AND(Q45=1,Q46=1,G45&gt;F46),1)+IF(AND(Q45=2,Q42=2,C45&gt;F42),1)+IF(AND(Q45=2,Q43=2,D45&gt;F43),1)+IF(AND(Q45=2,Q44=2,E45&gt;F44),1)+IF(AND(Q45=2,Q46=2,G45&gt;F46),1)+IF(AND(Q45=3,Q42=3,C45&gt;F42),1)+IF(AND(Q45=3,Q43=3,D45&gt;F43),1)+IF(AND(Q45=3,Q44=3,E45&gt;F44),1)+IF(AND(Q45=3,Q46=3,G45&gt;F46),1)</f>
        <v>0</v>
      </c>
      <c r="K45" s="308">
        <f>SUM(AND(T45=T42,C45&gt;F42),AND(T45=T43,D45&gt;F43),AND(T45=T44,E45&gt;F44),AND(T45=T46,G45&gt;F46))</f>
        <v>0</v>
      </c>
      <c r="L45" s="314">
        <f>IF(AND(Q45=1,Q42=1),C45-F42)+IF(AND(Q45=1,Q43=1),D45-F43)+IF(AND(Q45=1,Q44=1),E45-F44)+IF(AND(Q45=1,Q46=1),G45-F46)+IF(AND(Q45=2,Q42=2),C45-F42)+IF(AND(Q45=2,Q43=2),D45-F43)+IF(AND(Q45=2,Q44=2),E45-F44)+IF(AND(Q45=2,Q46=2),G45-F46)+IF(AND(Q45=3,Q42=3),C45-F42)+IF(AND(Q45=3,Q43=3),D45-F43)+IF(AND(Q45=3,Q44=3),E45-F44)+IF(AND(Q45=3,Q46=3),G45-F46)+IF(AND(Q45=4,Q42=4),C45-F42)+IF(AND(Q45=4,Q43=4),D45-F43)+IF(AND(Q45=4,Q44=4),E45-F44)+IF(AND(Q45=4,Q46=4),G45-F46)</f>
        <v>0</v>
      </c>
      <c r="M45" s="308">
        <f>SUM(AND(R45=R42,C45&gt;F42),AND(R45=R43,D45&gt;F43),AND(R45=R44,E45&gt;F44),AND(R45=R46,G45&gt;F46))</f>
        <v>0</v>
      </c>
      <c r="N45" s="356" t="str">
        <f>SUM(C45:G45)&amp;"-"&amp;SUM(F42:F46)</f>
        <v>0-0</v>
      </c>
      <c r="O45" s="357">
        <f>C45+D45+E45+G45-F42-F43-F44-F46</f>
        <v>0</v>
      </c>
      <c r="P45" s="309" t="e">
        <f>SUM(C45:G45,F42:F46)/SUM(F42:F46)</f>
        <v>#DIV/0!</v>
      </c>
      <c r="Q45" s="315">
        <f>VALUE(LEFT(H45,1))</f>
        <v>0</v>
      </c>
      <c r="R45" s="206">
        <f>Q45*100000+J45*10000+K45*1000+100*L45</f>
        <v>0</v>
      </c>
      <c r="S45" s="310">
        <f>R45+M45*0.1+IF(ISNONTEXT(B45),0,0.01)+0.0001*O45</f>
        <v>0</v>
      </c>
      <c r="T45" s="311" t="str">
        <f>Q45&amp;J45</f>
        <v>00</v>
      </c>
      <c r="U45" s="302"/>
      <c r="V45" s="302"/>
      <c r="W45" s="302"/>
      <c r="X45" s="302"/>
      <c r="Y45" s="302"/>
      <c r="Z45" s="302"/>
      <c r="AA45" s="302"/>
      <c r="AB45" s="302"/>
      <c r="AC45" s="302"/>
      <c r="AD45" s="302"/>
      <c r="AE45" s="302"/>
      <c r="AF45" s="302"/>
      <c r="AG45" s="302"/>
      <c r="AH45" s="302"/>
      <c r="AI45" s="302"/>
      <c r="AJ45" s="302"/>
    </row>
    <row r="46" spans="1:42" hidden="1" x14ac:dyDescent="0.2">
      <c r="A46" s="201">
        <v>5</v>
      </c>
      <c r="B46" s="317"/>
      <c r="C46" s="203"/>
      <c r="D46" s="203"/>
      <c r="E46" s="203"/>
      <c r="F46" s="203"/>
      <c r="G46" s="204"/>
      <c r="H46" s="202" t="str">
        <f>(IF(C46-G42&gt;0,1)+IF(D46-G43&gt;0,1)+IF(E46-G44&gt;0,1)+IF(F46-G45&gt;0,1))&amp;"-"&amp;(IF(C46-G42&lt;0,1)+IF(D46-G43&lt;0,1)+IF(E46-G44&lt;0,1)+IF(F46-G45&lt;0,1))</f>
        <v>0-0</v>
      </c>
      <c r="I46" s="166" t="str">
        <f t="shared" si="10"/>
        <v xml:space="preserve"> </v>
      </c>
      <c r="J46" s="313">
        <f>IF(AND(Q46=1,Q42=1,C46&gt;G42),1)+IF(AND(Q46=1,Q43=1,D46&gt;G43),1)+IF(AND(Q46=1,Q44=1,E46&gt;G44),1)+IF(AND(Q46=1,Q45=1,F46&gt;G45),1)+IF(AND(Q46=2,Q42=2,C46&gt;G42),1)+IF(AND(Q46=2,Q43=2,D46&gt;G43),1)+IF(AND(Q46=2,Q44=2,E46&gt;G44),1)+IF(AND(Q46=2,Q45=2,F46&gt;G45),1)+IF(AND(Q46=3,Q42=3,C46&gt;G42),1)+IF(AND(Q46=3,Q43=3,D46&gt;G43),1)+IF(AND(Q46=3,Q44=3,E46&gt;G44),1)+IF(AND(Q46=3,Q45=3,F46&gt;G45),1)</f>
        <v>0</v>
      </c>
      <c r="K46" s="308">
        <f>SUM(AND(T46=T42,C46&gt;G42),AND(T46=T43,D46&gt;G43),AND(T46=T44,E46&gt;G44),AND(T46=T45,F46&gt;G45))</f>
        <v>0</v>
      </c>
      <c r="L46" s="314">
        <f>IF(AND(Q46=1,Q42=1),C46-G42)+IF(AND(Q46=1,Q43=1),D46-G43)+IF(AND(Q46=1,Q44=1),E46-G44)+IF(AND(Q46=1,Q45=1),F46-G45)+IF(AND(Q46=2,Q42=2),C46-G42)+IF(AND(Q46=2,Q43=2),D46-G43)+IF(AND(Q46=2,Q44=2),E46-G44)+IF(AND(Q46=2,Q45=2),F46-G45)+IF(AND(Q46=3,Q42=3),C46-G42)+IF(AND(Q46=3,Q43=3),D46-G43)+IF(AND(Q46=3,Q44=3),E46-G44)+IF(AND(Q46=3,Q45=3),F46-G45)+IF(AND(Q46=4,Q42=4),C46-G42)+IF(AND(Q46=4,Q43=4),D46-G43)+IF(AND(Q46=4,Q44=4),E46-G44)+IF(AND(Q46=4,Q45=4),F46-G45)</f>
        <v>0</v>
      </c>
      <c r="M46" s="308">
        <f>SUM(AND(R46=R42,C46&gt;G42),AND(R46=R43,D46&gt;G43),AND(R46=R44,E46&gt;G44),AND(R46=R45,F46&gt;G45))</f>
        <v>0</v>
      </c>
      <c r="N46" s="356" t="str">
        <f>SUM(C46:G46)&amp;"-"&amp;SUM(G42:G46)</f>
        <v>0-0</v>
      </c>
      <c r="O46" s="357">
        <f>C46+D46+E46+F46-G42-G43-G44-G45</f>
        <v>0</v>
      </c>
      <c r="P46" s="309" t="e">
        <f>SUM(C46:G46,G42:G46)/SUM(G42:G46)</f>
        <v>#DIV/0!</v>
      </c>
      <c r="Q46" s="315">
        <f>VALUE(LEFT(H46,1))</f>
        <v>0</v>
      </c>
      <c r="R46" s="206">
        <f>Q46*100000+J46*10000+K46*1000+100*L46</f>
        <v>0</v>
      </c>
      <c r="S46" s="310">
        <f>R46+M46*0.1+IF(ISNONTEXT(B46),0,0.01)+0.0001*O46</f>
        <v>0</v>
      </c>
      <c r="T46" s="311" t="str">
        <f>Q46&amp;J46</f>
        <v>00</v>
      </c>
      <c r="U46" s="302"/>
      <c r="V46" s="302"/>
      <c r="W46" s="302"/>
      <c r="X46" s="302"/>
      <c r="Y46" s="302"/>
      <c r="Z46" s="302"/>
      <c r="AA46" s="302"/>
      <c r="AB46" s="302"/>
      <c r="AC46" s="302"/>
      <c r="AD46" s="302"/>
      <c r="AE46" s="302"/>
      <c r="AF46" s="302"/>
      <c r="AG46" s="302"/>
      <c r="AH46" s="302"/>
      <c r="AI46" s="302"/>
      <c r="AJ46" s="302"/>
    </row>
    <row r="47" spans="1:42" hidden="1" x14ac:dyDescent="0.2">
      <c r="A47" s="318"/>
      <c r="B47" s="319"/>
      <c r="C47" s="320"/>
      <c r="D47" s="321"/>
      <c r="E47" s="320"/>
      <c r="F47" s="322"/>
      <c r="G47" s="323"/>
      <c r="H47" s="324"/>
      <c r="I47" s="336"/>
      <c r="J47" s="302"/>
      <c r="K47" s="302"/>
      <c r="L47" s="302"/>
      <c r="M47" s="302"/>
      <c r="N47" s="358"/>
      <c r="O47" s="358"/>
      <c r="P47" s="302"/>
      <c r="Q47" s="302"/>
      <c r="R47" s="326" t="s">
        <v>247</v>
      </c>
      <c r="S47" s="302"/>
      <c r="T47" s="302"/>
      <c r="U47" s="302"/>
      <c r="V47" s="302"/>
      <c r="W47" s="302"/>
      <c r="X47" s="302"/>
      <c r="Y47" s="302"/>
      <c r="Z47" s="302"/>
      <c r="AA47" s="302"/>
      <c r="AB47" s="302"/>
      <c r="AC47" s="302"/>
      <c r="AD47" s="302"/>
      <c r="AE47" s="302"/>
      <c r="AF47" s="302"/>
      <c r="AG47" s="302"/>
      <c r="AH47" s="302"/>
      <c r="AI47" s="302"/>
      <c r="AJ47" s="302"/>
    </row>
    <row r="48" spans="1:42" hidden="1" x14ac:dyDescent="0.2">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row>
    <row r="49" spans="1:36" hidden="1" x14ac:dyDescent="0.2">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row>
    <row r="50" spans="1:36" hidden="1" x14ac:dyDescent="0.2">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row>
    <row r="51" spans="1:36" hidden="1" x14ac:dyDescent="0.2">
      <c r="A51" s="302"/>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row>
    <row r="52" spans="1:36" hidden="1" x14ac:dyDescent="0.2">
      <c r="A52" s="302"/>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row>
    <row r="53" spans="1:36" hidden="1" x14ac:dyDescent="0.2">
      <c r="A53" s="302"/>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hidden="1" x14ac:dyDescent="0.2">
      <c r="A54" s="302"/>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2"/>
    </row>
    <row r="55" spans="1:36" hidden="1" x14ac:dyDescent="0.2">
      <c r="A55" s="302"/>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row>
    <row r="56" spans="1:36" hidden="1" x14ac:dyDescent="0.2">
      <c r="A56" s="302"/>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hidden="1" x14ac:dyDescent="0.2">
      <c r="A57" s="302"/>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row>
    <row r="58" spans="1:36" hidden="1" x14ac:dyDescent="0.2">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row>
    <row r="59" spans="1:36" hidden="1" x14ac:dyDescent="0.2">
      <c r="A59" s="302"/>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row>
    <row r="60" spans="1:36" hidden="1" x14ac:dyDescent="0.2">
      <c r="A60" s="302"/>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hidden="1" x14ac:dyDescent="0.2">
      <c r="A61" s="302"/>
      <c r="B61" s="302"/>
      <c r="C61" s="302"/>
      <c r="D61" s="302"/>
      <c r="E61" s="302"/>
      <c r="F61" s="302"/>
      <c r="G61" s="302"/>
      <c r="H61" s="302"/>
      <c r="I61" s="302"/>
      <c r="J61" s="302"/>
      <c r="K61" s="302"/>
      <c r="L61" s="302"/>
      <c r="M61" s="302"/>
      <c r="N61" s="302"/>
      <c r="O61" s="302"/>
      <c r="P61" s="302"/>
      <c r="Q61" s="302"/>
      <c r="R61" s="302"/>
      <c r="S61" s="302"/>
      <c r="T61" s="302"/>
    </row>
    <row r="62" spans="1:36" hidden="1" x14ac:dyDescent="0.2">
      <c r="A62" s="41"/>
      <c r="B62" s="207" t="s">
        <v>173</v>
      </c>
      <c r="C62" s="170" t="s">
        <v>177</v>
      </c>
      <c r="D62" s="270"/>
      <c r="E62" s="41"/>
      <c r="F62" s="35"/>
      <c r="G62" s="41"/>
      <c r="H62" s="41"/>
      <c r="I62" s="41"/>
      <c r="J62" s="41"/>
      <c r="K62" s="35"/>
      <c r="L62" s="41"/>
      <c r="M62" s="35"/>
      <c r="N62" s="41"/>
      <c r="O62" s="186"/>
      <c r="P62" s="35"/>
      <c r="Q62" s="35"/>
      <c r="R62" s="35"/>
      <c r="S62" s="35"/>
      <c r="T62" s="35"/>
    </row>
    <row r="63" spans="1:36" hidden="1" x14ac:dyDescent="0.2">
      <c r="A63" s="41"/>
      <c r="B63" s="207" t="s">
        <v>176</v>
      </c>
      <c r="C63" s="170" t="s">
        <v>193</v>
      </c>
      <c r="D63" s="41"/>
      <c r="E63" s="41"/>
      <c r="F63" s="35"/>
      <c r="G63" s="41"/>
      <c r="H63" s="41"/>
      <c r="I63" s="41"/>
      <c r="J63" s="41"/>
      <c r="K63" s="35"/>
      <c r="L63" s="41"/>
      <c r="M63" s="35"/>
      <c r="N63" s="41"/>
      <c r="O63" s="186"/>
      <c r="P63" s="35"/>
      <c r="Q63" s="35"/>
      <c r="R63" s="35"/>
      <c r="S63" s="35"/>
      <c r="T63" s="35"/>
    </row>
    <row r="64" spans="1:36" hidden="1" x14ac:dyDescent="0.2">
      <c r="A64" s="41"/>
      <c r="B64" s="207" t="s">
        <v>179</v>
      </c>
      <c r="C64" s="170" t="s">
        <v>185</v>
      </c>
      <c r="D64" s="41"/>
      <c r="E64" s="41"/>
      <c r="F64" s="35"/>
      <c r="G64" s="41"/>
      <c r="H64" s="41"/>
      <c r="I64" s="41"/>
      <c r="J64" s="41"/>
      <c r="K64" s="35"/>
      <c r="L64" s="41"/>
      <c r="M64" s="35"/>
      <c r="N64" s="41"/>
      <c r="O64" s="186"/>
      <c r="P64" s="35"/>
      <c r="Q64" s="35"/>
      <c r="R64" s="35"/>
      <c r="S64" s="35"/>
      <c r="T64" s="35"/>
    </row>
    <row r="65" spans="1:20" ht="12.75" hidden="1" customHeight="1" x14ac:dyDescent="0.2">
      <c r="A65" s="41"/>
      <c r="B65" s="41"/>
      <c r="C65" s="41"/>
      <c r="D65" s="41"/>
      <c r="E65" s="41"/>
      <c r="F65" s="41"/>
      <c r="G65" s="41"/>
      <c r="H65" s="41"/>
      <c r="I65" s="41"/>
      <c r="J65" s="41"/>
      <c r="K65" s="35"/>
      <c r="L65" s="41"/>
      <c r="M65" s="35"/>
      <c r="N65" s="41"/>
      <c r="O65" s="186"/>
      <c r="P65" s="35"/>
      <c r="Q65" s="35"/>
      <c r="R65" s="35"/>
      <c r="S65" s="35"/>
      <c r="T65" s="35"/>
    </row>
    <row r="66" spans="1:20" ht="12.75" hidden="1" customHeight="1" x14ac:dyDescent="0.2">
      <c r="A66" s="41"/>
      <c r="B66" s="207" t="s">
        <v>173</v>
      </c>
      <c r="C66" s="170" t="s">
        <v>186</v>
      </c>
      <c r="D66" s="170" t="s">
        <v>185</v>
      </c>
      <c r="E66" s="41"/>
      <c r="F66" s="41"/>
      <c r="G66" s="41"/>
      <c r="H66" s="41"/>
      <c r="I66" s="41"/>
      <c r="J66" s="41"/>
      <c r="K66" s="35"/>
      <c r="L66" s="41"/>
      <c r="M66" s="35"/>
      <c r="N66" s="41"/>
      <c r="O66" s="186"/>
      <c r="P66" s="35"/>
      <c r="Q66" s="35"/>
      <c r="R66" s="35"/>
      <c r="S66" s="35"/>
      <c r="T66" s="35"/>
    </row>
    <row r="67" spans="1:20" ht="12.75" hidden="1" customHeight="1" x14ac:dyDescent="0.2">
      <c r="A67" s="41"/>
      <c r="B67" s="207" t="s">
        <v>176</v>
      </c>
      <c r="C67" s="170" t="s">
        <v>177</v>
      </c>
      <c r="D67" s="170" t="s">
        <v>175</v>
      </c>
      <c r="E67" s="41"/>
      <c r="F67" s="41"/>
      <c r="G67" s="41"/>
      <c r="H67" s="41"/>
      <c r="I67" s="41"/>
      <c r="J67" s="41"/>
      <c r="K67" s="35"/>
      <c r="L67" s="41"/>
      <c r="M67" s="35"/>
      <c r="N67" s="41"/>
      <c r="O67" s="186"/>
      <c r="P67" s="35"/>
      <c r="Q67" s="35"/>
      <c r="R67" s="35"/>
      <c r="S67" s="35"/>
      <c r="T67" s="35"/>
    </row>
    <row r="68" spans="1:20" ht="12.75" hidden="1" customHeight="1" x14ac:dyDescent="0.2">
      <c r="A68" s="41"/>
      <c r="B68" s="207" t="s">
        <v>179</v>
      </c>
      <c r="C68" s="170" t="s">
        <v>193</v>
      </c>
      <c r="D68" s="170" t="s">
        <v>181</v>
      </c>
      <c r="E68" s="41"/>
      <c r="F68" s="41"/>
      <c r="G68" s="41"/>
      <c r="H68" s="41"/>
      <c r="I68" s="41"/>
      <c r="J68" s="41"/>
      <c r="K68" s="35"/>
      <c r="L68" s="41"/>
      <c r="M68" s="35"/>
      <c r="N68" s="41"/>
      <c r="O68" s="186"/>
      <c r="P68" s="35"/>
      <c r="Q68" s="35"/>
      <c r="R68" s="35"/>
      <c r="S68" s="35"/>
      <c r="T68" s="35"/>
    </row>
    <row r="69" spans="1:20" hidden="1" x14ac:dyDescent="0.2">
      <c r="A69" s="41"/>
      <c r="B69" s="218"/>
      <c r="C69" s="43"/>
      <c r="D69" s="43"/>
      <c r="E69" s="41"/>
      <c r="F69" s="41"/>
      <c r="G69" s="41"/>
      <c r="H69" s="41"/>
      <c r="I69" s="41"/>
      <c r="J69" s="41"/>
      <c r="K69" s="35"/>
      <c r="L69" s="41"/>
      <c r="M69" s="35"/>
      <c r="N69" s="41"/>
      <c r="O69" s="186"/>
      <c r="P69" s="35"/>
      <c r="Q69" s="35"/>
      <c r="R69" s="35"/>
      <c r="S69" s="35"/>
      <c r="T69" s="35"/>
    </row>
    <row r="70" spans="1:20" hidden="1" x14ac:dyDescent="0.2">
      <c r="A70" s="41"/>
      <c r="B70" s="207" t="s">
        <v>173</v>
      </c>
      <c r="C70" s="170" t="s">
        <v>174</v>
      </c>
      <c r="D70" s="170" t="s">
        <v>175</v>
      </c>
      <c r="E70" s="41"/>
      <c r="F70" s="35"/>
      <c r="G70" s="35"/>
      <c r="H70" s="41"/>
      <c r="I70" s="41"/>
      <c r="J70" s="41"/>
      <c r="K70" s="35"/>
      <c r="L70" s="41"/>
      <c r="M70" s="35"/>
      <c r="N70" s="41"/>
      <c r="O70" s="186"/>
      <c r="P70" s="35"/>
      <c r="Q70" s="35"/>
      <c r="R70" s="35"/>
      <c r="S70" s="35"/>
      <c r="T70" s="35"/>
    </row>
    <row r="71" spans="1:20" hidden="1" x14ac:dyDescent="0.2">
      <c r="A71" s="41"/>
      <c r="B71" s="207" t="s">
        <v>176</v>
      </c>
      <c r="C71" s="170" t="s">
        <v>186</v>
      </c>
      <c r="D71" s="170" t="s">
        <v>185</v>
      </c>
      <c r="E71" s="41"/>
      <c r="F71" s="35"/>
      <c r="G71" s="35"/>
      <c r="H71" s="35"/>
      <c r="I71" s="41"/>
      <c r="J71" s="41"/>
      <c r="K71" s="35"/>
      <c r="L71" s="41"/>
      <c r="M71" s="35"/>
      <c r="N71" s="41"/>
      <c r="O71" s="186"/>
      <c r="P71" s="35"/>
      <c r="Q71" s="35"/>
      <c r="R71" s="35"/>
      <c r="S71" s="35"/>
      <c r="T71" s="35"/>
    </row>
    <row r="72" spans="1:20" hidden="1" x14ac:dyDescent="0.2">
      <c r="A72" s="41"/>
      <c r="B72" s="207" t="s">
        <v>179</v>
      </c>
      <c r="C72" s="170" t="s">
        <v>177</v>
      </c>
      <c r="D72" s="170" t="s">
        <v>178</v>
      </c>
      <c r="E72" s="41"/>
      <c r="F72" s="35"/>
      <c r="G72" s="35"/>
      <c r="H72" s="41"/>
      <c r="I72" s="41"/>
      <c r="J72" s="41"/>
      <c r="K72" s="35"/>
      <c r="L72" s="41"/>
      <c r="M72" s="35"/>
      <c r="N72" s="41"/>
      <c r="O72" s="186"/>
      <c r="P72" s="35"/>
      <c r="Q72" s="35"/>
      <c r="R72" s="35"/>
      <c r="S72" s="35"/>
      <c r="T72" s="35"/>
    </row>
    <row r="73" spans="1:20" hidden="1" x14ac:dyDescent="0.2">
      <c r="A73" s="41"/>
      <c r="B73" s="207" t="s">
        <v>182</v>
      </c>
      <c r="C73" s="271" t="s">
        <v>193</v>
      </c>
      <c r="D73" s="170" t="s">
        <v>183</v>
      </c>
      <c r="E73" s="41"/>
      <c r="F73" s="35"/>
      <c r="G73" s="35"/>
      <c r="H73" s="41"/>
      <c r="I73" s="41"/>
      <c r="J73" s="41"/>
      <c r="K73" s="35"/>
      <c r="L73" s="41"/>
      <c r="M73" s="35"/>
      <c r="N73" s="41"/>
      <c r="O73" s="186"/>
      <c r="P73" s="35"/>
      <c r="Q73" s="35"/>
      <c r="R73" s="35"/>
      <c r="S73" s="35"/>
      <c r="T73" s="35"/>
    </row>
    <row r="74" spans="1:20" hidden="1" x14ac:dyDescent="0.2">
      <c r="A74" s="41"/>
      <c r="B74" s="207" t="s">
        <v>184</v>
      </c>
      <c r="C74" s="170" t="s">
        <v>180</v>
      </c>
      <c r="D74" s="170" t="s">
        <v>181</v>
      </c>
      <c r="E74" s="41"/>
      <c r="F74" s="35"/>
      <c r="G74" s="35"/>
      <c r="H74" s="41"/>
      <c r="I74" s="41"/>
      <c r="J74" s="41"/>
      <c r="K74" s="35"/>
      <c r="L74" s="41"/>
      <c r="M74" s="35"/>
      <c r="N74" s="41"/>
      <c r="O74" s="186"/>
      <c r="P74" s="35"/>
      <c r="Q74" s="35"/>
      <c r="R74" s="35"/>
      <c r="S74" s="35"/>
      <c r="T74" s="35"/>
    </row>
    <row r="75" spans="1:20" hidden="1" x14ac:dyDescent="0.2"/>
    <row r="76" spans="1:20" hidden="1" x14ac:dyDescent="0.2"/>
    <row r="77" spans="1:20" hidden="1" x14ac:dyDescent="0.2"/>
    <row r="78" spans="1:20" hidden="1" x14ac:dyDescent="0.2"/>
    <row r="79" spans="1:20" hidden="1" x14ac:dyDescent="0.2"/>
    <row r="80" spans="1:2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11" hidden="1" x14ac:dyDescent="0.2"/>
    <row r="98" spans="1:11" hidden="1" x14ac:dyDescent="0.2"/>
    <row r="99" spans="1:11" hidden="1" x14ac:dyDescent="0.2"/>
    <row r="100" spans="1:11" hidden="1" x14ac:dyDescent="0.2">
      <c r="A100" s="173" t="s">
        <v>194</v>
      </c>
      <c r="B100" s="174"/>
      <c r="C100" s="175"/>
      <c r="D100" s="175"/>
      <c r="E100" s="175"/>
      <c r="F100" s="172"/>
      <c r="G100" s="170"/>
      <c r="H100" s="156"/>
      <c r="I100" s="156"/>
      <c r="J100" s="156"/>
      <c r="K100" s="156"/>
    </row>
    <row r="101" spans="1:11" hidden="1" x14ac:dyDescent="0.2"/>
    <row r="102" spans="1:11" hidden="1" x14ac:dyDescent="0.2">
      <c r="A102" s="187" t="s">
        <v>195</v>
      </c>
      <c r="B102" s="369" t="str">
        <f>IF(A102="-","-",IFERROR(INDEX(B$1:B$100,MATCH(A102,I$1:I$100,0)),""))</f>
        <v/>
      </c>
      <c r="C102" s="188">
        <f>IF(B102="-",0,IF(B104="-",13,""))</f>
        <v>13</v>
      </c>
      <c r="D102" s="156"/>
      <c r="E102" s="156"/>
      <c r="F102" s="156"/>
      <c r="G102" s="156"/>
      <c r="H102" s="156"/>
      <c r="I102" s="156"/>
      <c r="J102" s="156"/>
    </row>
    <row r="103" spans="1:11" hidden="1" x14ac:dyDescent="0.2">
      <c r="A103" s="189"/>
      <c r="B103" s="274"/>
      <c r="C103" s="190" t="str">
        <f>IF(COUNT(C102,C104)=2,IF(C102&gt;C104,B102,B104),"")</f>
        <v/>
      </c>
      <c r="D103" s="156"/>
      <c r="E103" s="188">
        <v>13</v>
      </c>
      <c r="F103" s="156"/>
      <c r="G103" s="156"/>
      <c r="H103" s="156"/>
      <c r="I103" s="156"/>
      <c r="J103" s="156"/>
    </row>
    <row r="104" spans="1:11" hidden="1" x14ac:dyDescent="0.2">
      <c r="A104" s="189" t="s">
        <v>207</v>
      </c>
      <c r="B104" s="275" t="str">
        <f>IF(A104="-","-",IFERROR(INDEX(B$1:B$100,MATCH(A104,I$1:I$100,0)),""))</f>
        <v>-</v>
      </c>
      <c r="C104" s="191">
        <f>IF(B104="-",0,IF(B102="-",13,""))</f>
        <v>0</v>
      </c>
      <c r="D104" s="224"/>
      <c r="E104" s="156"/>
      <c r="F104" s="156"/>
      <c r="G104" s="156"/>
      <c r="H104" s="156"/>
      <c r="I104" s="156"/>
      <c r="J104" s="156"/>
    </row>
    <row r="105" spans="1:11" hidden="1" x14ac:dyDescent="0.2">
      <c r="A105" s="189"/>
      <c r="B105" s="179"/>
      <c r="C105" s="156"/>
      <c r="D105" s="427" t="s">
        <v>15</v>
      </c>
      <c r="E105" s="190" t="str">
        <f>IF(COUNT(E103,E107)=2,IF(E103&gt;E107,C103,C107),"")</f>
        <v/>
      </c>
      <c r="F105" s="156"/>
      <c r="G105" s="188">
        <v>7</v>
      </c>
      <c r="H105" s="156"/>
      <c r="I105" s="156"/>
      <c r="J105" s="156"/>
    </row>
    <row r="106" spans="1:11" hidden="1" x14ac:dyDescent="0.2">
      <c r="A106" s="189" t="s">
        <v>200</v>
      </c>
      <c r="B106" s="369" t="str">
        <f>IF(A106="-","-",IFERROR(INDEX(B$1:B$100,MATCH(A106,I$1:I$100,0)),""))</f>
        <v/>
      </c>
      <c r="C106" s="188">
        <v>10</v>
      </c>
      <c r="D106" s="192"/>
      <c r="E106" s="193"/>
      <c r="F106" s="224"/>
      <c r="G106" s="156"/>
      <c r="H106" s="156"/>
      <c r="I106" s="156"/>
      <c r="J106" s="156"/>
    </row>
    <row r="107" spans="1:11" hidden="1" x14ac:dyDescent="0.2">
      <c r="A107" s="189"/>
      <c r="B107" s="424" t="s">
        <v>10</v>
      </c>
      <c r="C107" s="190" t="str">
        <f>IF(COUNT(C106,C108)=2,IF(C106&gt;C108,B106,B108),"")</f>
        <v/>
      </c>
      <c r="D107" s="276"/>
      <c r="E107" s="191">
        <v>10</v>
      </c>
      <c r="F107" s="192"/>
      <c r="G107" s="156"/>
      <c r="H107" s="156"/>
      <c r="I107" s="156"/>
      <c r="J107" s="156"/>
    </row>
    <row r="108" spans="1:11" hidden="1" x14ac:dyDescent="0.2">
      <c r="A108" s="189" t="s">
        <v>226</v>
      </c>
      <c r="B108" s="275" t="str">
        <f>IF(A108="-","-",IFERROR(INDEX(B$1:B$100,MATCH(A108,I$1:I$100,0)),""))</f>
        <v/>
      </c>
      <c r="C108" s="191">
        <v>13</v>
      </c>
      <c r="D108" s="156"/>
      <c r="E108" s="174"/>
      <c r="F108" s="192"/>
      <c r="G108" s="156"/>
      <c r="H108" s="156"/>
      <c r="I108" s="156"/>
      <c r="J108" s="156"/>
    </row>
    <row r="109" spans="1:11" hidden="1" x14ac:dyDescent="0.2">
      <c r="A109" s="155"/>
      <c r="B109" s="179"/>
      <c r="C109" s="156"/>
      <c r="D109" s="156"/>
      <c r="E109" s="174"/>
      <c r="F109" s="192"/>
      <c r="G109" s="156" t="str">
        <f>IF(COUNT(G105,G123)=2,IF(G105&gt;G123,E105,E123),"")</f>
        <v/>
      </c>
      <c r="H109" s="156"/>
      <c r="I109" s="188">
        <v>13</v>
      </c>
      <c r="J109" s="156"/>
    </row>
    <row r="110" spans="1:11" hidden="1" x14ac:dyDescent="0.2">
      <c r="A110" s="187" t="s">
        <v>225</v>
      </c>
      <c r="B110" s="369" t="str">
        <f>IF(A120="-","-",IFERROR(INDEX(B$1:B$100,MATCH(A120,I$1:I$100,0)),""))</f>
        <v>-</v>
      </c>
      <c r="C110" s="188">
        <v>3</v>
      </c>
      <c r="D110" s="156"/>
      <c r="E110" s="156"/>
      <c r="F110" s="192"/>
      <c r="G110" s="193"/>
      <c r="H110" s="224"/>
      <c r="I110" s="156"/>
      <c r="J110" s="156"/>
    </row>
    <row r="111" spans="1:11" hidden="1" x14ac:dyDescent="0.2">
      <c r="A111" s="189"/>
      <c r="B111" s="424" t="s">
        <v>11</v>
      </c>
      <c r="C111" s="190" t="str">
        <f>IF(COUNT(C120,C122)=2,IF(C120&gt;C122,B120,B122),"")</f>
        <v/>
      </c>
      <c r="D111" s="156"/>
      <c r="E111" s="188">
        <v>13</v>
      </c>
      <c r="F111" s="192"/>
      <c r="G111" s="174"/>
      <c r="H111" s="192"/>
      <c r="I111" s="156"/>
      <c r="J111" s="156"/>
    </row>
    <row r="112" spans="1:11" hidden="1" x14ac:dyDescent="0.2">
      <c r="A112" s="189" t="s">
        <v>198</v>
      </c>
      <c r="B112" s="275" t="str">
        <f>IF(A122="-","-",IFERROR(INDEX(B$1:B$100,MATCH(A122,I$1:I$100,0)),""))</f>
        <v/>
      </c>
      <c r="C112" s="191">
        <v>13</v>
      </c>
      <c r="D112" s="224"/>
      <c r="E112" s="156"/>
      <c r="F112" s="192"/>
      <c r="G112" s="174"/>
      <c r="H112" s="192"/>
      <c r="I112" s="156"/>
      <c r="J112" s="156"/>
    </row>
    <row r="113" spans="1:11" hidden="1" x14ac:dyDescent="0.2">
      <c r="A113" s="189"/>
      <c r="B113" s="179"/>
      <c r="C113" s="156"/>
      <c r="D113" s="427" t="s">
        <v>17</v>
      </c>
      <c r="E113" s="190" t="str">
        <f>IF(COUNT(E121,E125)=2,IF(E121&gt;E125,C121,C125),"")</f>
        <v/>
      </c>
      <c r="F113" s="276"/>
      <c r="G113" s="191">
        <v>13</v>
      </c>
      <c r="H113" s="192"/>
      <c r="I113" s="156"/>
      <c r="J113" s="156"/>
    </row>
    <row r="114" spans="1:11" hidden="1" x14ac:dyDescent="0.2">
      <c r="A114" s="189" t="s">
        <v>207</v>
      </c>
      <c r="B114" s="369" t="str">
        <f>IF(A124="-","-",IFERROR(INDEX(B$1:B$100,MATCH(A124,I$1:I$100,0)),""))</f>
        <v/>
      </c>
      <c r="C114" s="188" t="str">
        <f>IF(B124="-",0,IF(B126="-",13,""))</f>
        <v/>
      </c>
      <c r="D114" s="192"/>
      <c r="E114" s="193"/>
      <c r="F114" s="174"/>
      <c r="G114" s="174"/>
      <c r="H114" s="192"/>
      <c r="I114" s="156"/>
      <c r="J114" s="156"/>
    </row>
    <row r="115" spans="1:11" hidden="1" x14ac:dyDescent="0.2">
      <c r="A115" s="189"/>
      <c r="B115" s="274"/>
      <c r="C115" s="190" t="str">
        <f>IF(COUNT(C124,C126)=2,IF(C124&gt;C126,B124,B126),"")</f>
        <v/>
      </c>
      <c r="D115" s="276"/>
      <c r="E115" s="191">
        <v>9</v>
      </c>
      <c r="F115" s="156"/>
      <c r="G115" s="174"/>
      <c r="H115" s="192"/>
      <c r="I115" s="156"/>
      <c r="J115" s="156"/>
    </row>
    <row r="116" spans="1:11" hidden="1" x14ac:dyDescent="0.2">
      <c r="A116" s="189" t="s">
        <v>202</v>
      </c>
      <c r="B116" s="275" t="str">
        <f>IF(A126="-","-",IFERROR(INDEX(B$1:B$100,MATCH(A126,I$1:I$100,0)),""))</f>
        <v/>
      </c>
      <c r="C116" s="191" t="str">
        <f>IF(B126="-",0,IF(B124="-",13,""))</f>
        <v/>
      </c>
      <c r="D116" s="156"/>
      <c r="E116" s="174"/>
      <c r="F116" s="174"/>
      <c r="G116" s="174"/>
      <c r="H116" s="192"/>
      <c r="I116" s="156"/>
      <c r="J116" s="156"/>
    </row>
    <row r="117" spans="1:11" ht="13.5" hidden="1" thickBot="1" x14ac:dyDescent="0.25">
      <c r="A117" s="155"/>
      <c r="B117" s="179"/>
      <c r="C117" s="156"/>
      <c r="D117" s="156"/>
      <c r="E117" s="156"/>
      <c r="F117" s="156"/>
      <c r="G117" s="174"/>
      <c r="H117" s="192"/>
      <c r="I117" s="156"/>
      <c r="J117" s="171" t="str">
        <f>IF(COUNT(I109,I125)=2,IF(I109&gt;I125,G109,G125),"")</f>
        <v/>
      </c>
    </row>
    <row r="118" spans="1:11" hidden="1" x14ac:dyDescent="0.2">
      <c r="A118" s="187" t="s">
        <v>199</v>
      </c>
      <c r="B118" s="369" t="str">
        <f>IF(A128="-","-",IFERROR(INDEX(B$1:B$100,MATCH(A128,I$1:I$100,0)),""))</f>
        <v/>
      </c>
      <c r="C118" s="188">
        <f>IF(B128="-",0,IF(B120="-",13,""))</f>
        <v>13</v>
      </c>
      <c r="D118" s="156"/>
      <c r="E118" s="156"/>
      <c r="F118" s="156"/>
      <c r="G118" s="174"/>
      <c r="H118" s="192"/>
      <c r="I118" s="194"/>
      <c r="J118" s="177" t="s">
        <v>187</v>
      </c>
      <c r="K118" s="221"/>
    </row>
    <row r="119" spans="1:11" hidden="1" x14ac:dyDescent="0.2">
      <c r="A119" s="189"/>
      <c r="B119" s="274"/>
      <c r="C119" s="190" t="str">
        <f>IF(COUNT(C128,C120)=2,IF(C128&gt;C120,B128,B120),"")</f>
        <v/>
      </c>
      <c r="D119" s="156"/>
      <c r="E119" s="188">
        <v>13</v>
      </c>
      <c r="F119" s="156"/>
      <c r="G119" s="174"/>
      <c r="H119" s="192"/>
      <c r="I119" s="174"/>
      <c r="J119" s="174"/>
      <c r="K119" s="222"/>
    </row>
    <row r="120" spans="1:11" hidden="1" x14ac:dyDescent="0.2">
      <c r="A120" s="189" t="s">
        <v>207</v>
      </c>
      <c r="B120" s="275" t="str">
        <f>IF(A120="-","-",IFERROR(INDEX(B$1:B$100,MATCH(A120,I$1:I$100,0)),""))</f>
        <v>-</v>
      </c>
      <c r="C120" s="191">
        <f>IF(B120="-",0,IF(B128="-",13,""))</f>
        <v>0</v>
      </c>
      <c r="D120" s="224"/>
      <c r="E120" s="156"/>
      <c r="F120" s="156"/>
      <c r="G120" s="174"/>
      <c r="H120" s="192"/>
      <c r="I120" s="174"/>
      <c r="J120" s="174"/>
      <c r="K120" s="222"/>
    </row>
    <row r="121" spans="1:11" hidden="1" x14ac:dyDescent="0.2">
      <c r="A121" s="189"/>
      <c r="B121" s="179"/>
      <c r="C121" s="156"/>
      <c r="D121" s="427" t="s">
        <v>18</v>
      </c>
      <c r="E121" s="190" t="str">
        <f>IF(COUNT(E129,E123)=2,IF(E129&gt;E123,C129,C123),"")</f>
        <v/>
      </c>
      <c r="F121" s="156"/>
      <c r="G121" s="188">
        <v>13</v>
      </c>
      <c r="H121" s="192"/>
      <c r="I121" s="174"/>
      <c r="J121" s="174"/>
      <c r="K121" s="222"/>
    </row>
    <row r="122" spans="1:11" hidden="1" x14ac:dyDescent="0.2">
      <c r="A122" s="189" t="s">
        <v>196</v>
      </c>
      <c r="B122" s="369" t="str">
        <f>IF(A122="-","-",IFERROR(INDEX(B$1:B$100,MATCH(A122,I$1:I$100,0)),""))</f>
        <v/>
      </c>
      <c r="C122" s="188">
        <v>12</v>
      </c>
      <c r="D122" s="192"/>
      <c r="E122" s="193"/>
      <c r="F122" s="224"/>
      <c r="G122" s="156"/>
      <c r="H122" s="192"/>
      <c r="I122" s="174"/>
      <c r="J122" s="174"/>
      <c r="K122" s="222"/>
    </row>
    <row r="123" spans="1:11" hidden="1" x14ac:dyDescent="0.2">
      <c r="A123" s="189"/>
      <c r="B123" s="424" t="s">
        <v>12</v>
      </c>
      <c r="C123" s="190" t="str">
        <f>IF(COUNT(C122,C124)=2,IF(C122&gt;C124,B122,B124),"")</f>
        <v/>
      </c>
      <c r="D123" s="276"/>
      <c r="E123" s="191">
        <v>10</v>
      </c>
      <c r="F123" s="192"/>
      <c r="G123" s="156"/>
      <c r="H123" s="192"/>
      <c r="I123" s="174"/>
      <c r="J123" s="174"/>
      <c r="K123" s="222"/>
    </row>
    <row r="124" spans="1:11" hidden="1" x14ac:dyDescent="0.2">
      <c r="A124" s="189" t="s">
        <v>227</v>
      </c>
      <c r="B124" s="275" t="str">
        <f>IF(A124="-","-",IFERROR(INDEX(B$1:B$100,MATCH(A124,I$1:I$100,0)),""))</f>
        <v/>
      </c>
      <c r="C124" s="191">
        <v>13</v>
      </c>
      <c r="D124" s="156"/>
      <c r="E124" s="174"/>
      <c r="F124" s="192"/>
      <c r="G124" s="156"/>
      <c r="H124" s="192"/>
      <c r="I124" s="174"/>
      <c r="J124" s="174"/>
      <c r="K124" s="222"/>
    </row>
    <row r="125" spans="1:11" hidden="1" x14ac:dyDescent="0.2">
      <c r="A125" s="155"/>
      <c r="B125" s="179"/>
      <c r="C125" s="156"/>
      <c r="D125" s="156"/>
      <c r="E125" s="174"/>
      <c r="F125" s="192"/>
      <c r="G125" s="156" t="str">
        <f>IF(COUNT(G121,G129)=2,IF(G121&gt;G129,E121,E129),"")</f>
        <v/>
      </c>
      <c r="H125" s="276"/>
      <c r="I125" s="191">
        <v>7</v>
      </c>
      <c r="J125" s="174"/>
      <c r="K125" s="222"/>
    </row>
    <row r="126" spans="1:11" ht="13.5" hidden="1" thickBot="1" x14ac:dyDescent="0.25">
      <c r="A126" s="187" t="s">
        <v>228</v>
      </c>
      <c r="B126" s="369" t="str">
        <f>IF(A126="-","-",IFERROR(INDEX(B$1:B$100,MATCH(A126,I$1:I$100,0)),""))</f>
        <v/>
      </c>
      <c r="C126" s="188">
        <v>7</v>
      </c>
      <c r="D126" s="156"/>
      <c r="E126" s="156"/>
      <c r="F126" s="192"/>
      <c r="G126" s="193"/>
      <c r="H126" s="156"/>
      <c r="I126" s="174"/>
      <c r="J126" s="370" t="str">
        <f>IF(COUNT(I109,I125)=2,IF(I109&lt;I125,G109,G125),"")</f>
        <v/>
      </c>
      <c r="K126" s="371"/>
    </row>
    <row r="127" spans="1:11" hidden="1" x14ac:dyDescent="0.2">
      <c r="A127" s="189"/>
      <c r="B127" s="424" t="s">
        <v>13</v>
      </c>
      <c r="C127" s="190" t="str">
        <f>IF(COUNT(C126,C128)=2,IF(C126&gt;C128,B126,B128),"")</f>
        <v/>
      </c>
      <c r="D127" s="156"/>
      <c r="E127" s="188">
        <v>2</v>
      </c>
      <c r="F127" s="192"/>
      <c r="G127" s="174"/>
      <c r="H127" s="156"/>
      <c r="I127" s="174"/>
      <c r="J127" s="183" t="s">
        <v>188</v>
      </c>
    </row>
    <row r="128" spans="1:11" hidden="1" x14ac:dyDescent="0.2">
      <c r="A128" s="189" t="s">
        <v>201</v>
      </c>
      <c r="B128" s="275" t="str">
        <f>IF(A128="-","-",IFERROR(INDEX(B$1:B$100,MATCH(A128,I$1:I$100,0)),""))</f>
        <v/>
      </c>
      <c r="C128" s="191">
        <v>13</v>
      </c>
      <c r="D128" s="224"/>
      <c r="E128" s="156"/>
      <c r="F128" s="192"/>
      <c r="G128" s="174"/>
      <c r="H128" s="156"/>
      <c r="I128" s="174"/>
      <c r="J128" s="156"/>
    </row>
    <row r="129" spans="1:11" hidden="1" x14ac:dyDescent="0.2">
      <c r="A129" s="189"/>
      <c r="B129" s="179"/>
      <c r="C129" s="156"/>
      <c r="D129" s="427" t="s">
        <v>19</v>
      </c>
      <c r="E129" s="190" t="str">
        <f>IF(COUNT(E127,E131)=2,IF(E127&gt;E131,C127,C131),"")</f>
        <v/>
      </c>
      <c r="F129" s="276"/>
      <c r="G129" s="191">
        <v>3</v>
      </c>
      <c r="H129" s="156"/>
      <c r="I129" s="174"/>
      <c r="J129" s="156"/>
    </row>
    <row r="130" spans="1:11" hidden="1" x14ac:dyDescent="0.2">
      <c r="A130" s="189" t="s">
        <v>207</v>
      </c>
      <c r="B130" s="369" t="str">
        <f>IF(A130="-","-",IFERROR(INDEX(B$1:B$100,MATCH(A130,I$1:I$100,0)),""))</f>
        <v>-</v>
      </c>
      <c r="C130" s="188">
        <f>IF(B130="-",0,IF(B132="-",13,""))</f>
        <v>0</v>
      </c>
      <c r="D130" s="192"/>
      <c r="E130" s="193"/>
      <c r="F130" s="174"/>
      <c r="G130" s="174"/>
      <c r="H130" s="156"/>
      <c r="I130" s="174"/>
      <c r="J130" s="156"/>
    </row>
    <row r="131" spans="1:11" hidden="1" x14ac:dyDescent="0.2">
      <c r="A131" s="189"/>
      <c r="B131" s="274"/>
      <c r="C131" s="190" t="str">
        <f>IF(COUNT(C130,C132)=2,IF(C130&gt;C132,B130,B132),"")</f>
        <v/>
      </c>
      <c r="D131" s="276"/>
      <c r="E131" s="191">
        <v>13</v>
      </c>
      <c r="F131" s="156"/>
      <c r="G131" s="174" t="str">
        <f>IF(COUNT(G105,G123)=2,IF(G105&lt;G123,E105,E123),"")</f>
        <v/>
      </c>
      <c r="H131" s="156"/>
      <c r="I131" s="195">
        <v>1</v>
      </c>
      <c r="J131" s="156"/>
    </row>
    <row r="132" spans="1:11" ht="13.5" hidden="1" thickBot="1" x14ac:dyDescent="0.25">
      <c r="A132" s="189" t="s">
        <v>197</v>
      </c>
      <c r="B132" s="275" t="str">
        <f>IF(A132="-","-",IFERROR(INDEX(B$1:B$100,MATCH(A132,I$1:I$100,0)),""))</f>
        <v/>
      </c>
      <c r="C132" s="191">
        <f>IF(B132="-",0,IF(B130="-",13,""))</f>
        <v>13</v>
      </c>
      <c r="D132" s="156"/>
      <c r="E132" s="174"/>
      <c r="F132" s="174"/>
      <c r="G132" s="280"/>
      <c r="H132" s="224"/>
      <c r="I132" s="372"/>
      <c r="J132" s="171" t="str">
        <f>IF(COUNT(I131,I133)=2,IF(I131&gt;I133,G131,G133),"")</f>
        <v/>
      </c>
    </row>
    <row r="133" spans="1:11" hidden="1" x14ac:dyDescent="0.2">
      <c r="A133" s="156"/>
      <c r="B133" s="156"/>
      <c r="C133" s="156"/>
      <c r="D133" s="156"/>
      <c r="E133" s="156"/>
      <c r="F133" s="174"/>
      <c r="G133" s="281" t="str">
        <f>IF(COUNT(G121,G129)=2,IF(G121&lt;G129,E121,E129),"")</f>
        <v/>
      </c>
      <c r="H133" s="276"/>
      <c r="I133" s="191">
        <v>13</v>
      </c>
      <c r="J133" s="177" t="s">
        <v>189</v>
      </c>
      <c r="K133" s="221"/>
    </row>
    <row r="134" spans="1:11" hidden="1" x14ac:dyDescent="0.2">
      <c r="A134" s="156"/>
      <c r="B134" s="156"/>
      <c r="C134" s="156"/>
      <c r="D134" s="156"/>
      <c r="E134" s="156"/>
      <c r="F134" s="174"/>
      <c r="G134" s="156"/>
      <c r="H134" s="156"/>
      <c r="I134" s="156"/>
      <c r="J134" s="174"/>
      <c r="K134" s="222"/>
    </row>
    <row r="135" spans="1:11" ht="13.5" hidden="1" thickBot="1" x14ac:dyDescent="0.25">
      <c r="A135" s="156"/>
      <c r="B135" s="156"/>
      <c r="C135" s="156"/>
      <c r="D135" s="156"/>
      <c r="E135" s="156"/>
      <c r="F135" s="174"/>
      <c r="G135" s="174"/>
      <c r="H135" s="174"/>
      <c r="I135" s="156"/>
      <c r="J135" s="370" t="str">
        <f>IF(COUNT(I131,I133)=2,IF(I131&lt;I133,G131,G133),"")</f>
        <v/>
      </c>
      <c r="K135" s="371"/>
    </row>
    <row r="136" spans="1:11" hidden="1" x14ac:dyDescent="0.2">
      <c r="A136" s="156"/>
      <c r="B136" s="156"/>
      <c r="C136" s="156"/>
      <c r="D136" s="156"/>
      <c r="E136" s="156"/>
      <c r="F136" s="156"/>
      <c r="G136" s="174"/>
      <c r="H136" s="174"/>
      <c r="I136" s="156"/>
      <c r="J136" s="155" t="s">
        <v>190</v>
      </c>
    </row>
    <row r="137" spans="1:11" hidden="1" x14ac:dyDescent="0.2">
      <c r="A137" s="156"/>
      <c r="B137" s="156"/>
      <c r="C137" s="156"/>
      <c r="D137" s="156"/>
      <c r="E137" s="156"/>
      <c r="F137" s="156"/>
      <c r="G137" s="174"/>
      <c r="H137" s="174"/>
      <c r="I137" s="156"/>
      <c r="J137" s="155"/>
    </row>
    <row r="138" spans="1:11" hidden="1" x14ac:dyDescent="0.2">
      <c r="A138" s="219" t="s">
        <v>314</v>
      </c>
    </row>
    <row r="139" spans="1:11" hidden="1" x14ac:dyDescent="0.2"/>
    <row r="140" spans="1:11" hidden="1" x14ac:dyDescent="0.2">
      <c r="A140" s="156"/>
      <c r="B140" s="156"/>
      <c r="C140" s="156"/>
      <c r="D140" s="428" t="s">
        <v>15</v>
      </c>
      <c r="E140" s="281" t="str">
        <f>IF(COUNT(E103,E107)=2,IF(E103&lt;E107,C103,C107),"")</f>
        <v/>
      </c>
      <c r="F140" s="156"/>
      <c r="G140" s="188">
        <v>12</v>
      </c>
      <c r="H140" s="188"/>
      <c r="I140" s="188"/>
      <c r="J140" s="156"/>
    </row>
    <row r="141" spans="1:11" hidden="1" x14ac:dyDescent="0.2">
      <c r="A141" s="156"/>
      <c r="B141" s="156"/>
      <c r="C141" s="156"/>
      <c r="D141" s="426"/>
      <c r="E141" s="282"/>
      <c r="F141" s="225"/>
      <c r="G141" s="190" t="str">
        <f>IF(COUNT(G140,G142)=2,IF(G140&gt;G142,E140,E142),"")</f>
        <v/>
      </c>
      <c r="H141" s="156"/>
      <c r="I141" s="188">
        <v>13</v>
      </c>
      <c r="J141" s="156"/>
    </row>
    <row r="142" spans="1:11" hidden="1" x14ac:dyDescent="0.2">
      <c r="A142" s="156"/>
      <c r="B142" s="156"/>
      <c r="C142" s="156"/>
      <c r="D142" s="428" t="s">
        <v>17</v>
      </c>
      <c r="E142" s="281" t="str">
        <f>IF(COUNT(E121,E125)=2,IF(E121&lt;E125,C121,C125),"")</f>
        <v/>
      </c>
      <c r="F142" s="283"/>
      <c r="G142" s="191">
        <v>13</v>
      </c>
      <c r="H142" s="225"/>
      <c r="I142" s="156"/>
      <c r="J142" s="156"/>
    </row>
    <row r="143" spans="1:11" ht="13.5" hidden="1" thickBot="1" x14ac:dyDescent="0.25">
      <c r="A143" s="156"/>
      <c r="B143" s="156"/>
      <c r="C143" s="156"/>
      <c r="D143" s="426"/>
      <c r="E143" s="188"/>
      <c r="F143" s="188"/>
      <c r="G143" s="195"/>
      <c r="H143" s="196"/>
      <c r="I143" s="226"/>
      <c r="J143" s="171" t="str">
        <f>IF(COUNT(I141,I145)=2,IF(I141&gt;I145,G141,G145),"")</f>
        <v/>
      </c>
    </row>
    <row r="144" spans="1:11" hidden="1" x14ac:dyDescent="0.2">
      <c r="A144" s="156"/>
      <c r="B144" s="156"/>
      <c r="C144" s="156"/>
      <c r="D144" s="428" t="s">
        <v>18</v>
      </c>
      <c r="E144" s="281" t="str">
        <f>IF(COUNT(E129,E123)=2,IF(E129&lt;E123,C129,C123),"")</f>
        <v/>
      </c>
      <c r="F144" s="188"/>
      <c r="G144" s="188">
        <v>13</v>
      </c>
      <c r="H144" s="196"/>
      <c r="I144" s="194"/>
      <c r="J144" s="177" t="s">
        <v>191</v>
      </c>
      <c r="K144" s="221"/>
    </row>
    <row r="145" spans="1:11" hidden="1" x14ac:dyDescent="0.2">
      <c r="A145" s="156"/>
      <c r="B145" s="156"/>
      <c r="C145" s="156"/>
      <c r="D145" s="426"/>
      <c r="E145" s="282"/>
      <c r="F145" s="225"/>
      <c r="G145" s="190" t="str">
        <f>IF(COUNT(G144,G146)=2,IF(G144&gt;G146,E144,E146),"")</f>
        <v/>
      </c>
      <c r="H145" s="276"/>
      <c r="I145" s="191">
        <v>12</v>
      </c>
      <c r="J145" s="174"/>
      <c r="K145" s="222"/>
    </row>
    <row r="146" spans="1:11" ht="13.5" hidden="1" thickBot="1" x14ac:dyDescent="0.25">
      <c r="A146" s="156"/>
      <c r="B146" s="156"/>
      <c r="C146" s="156"/>
      <c r="D146" s="428" t="s">
        <v>19</v>
      </c>
      <c r="E146" s="281" t="str">
        <f>IF(COUNT(E127,E131)=2,IF(E127&lt;E131,C127,C131),"")</f>
        <v/>
      </c>
      <c r="F146" s="283"/>
      <c r="G146" s="191">
        <v>7</v>
      </c>
      <c r="H146" s="188"/>
      <c r="I146" s="195"/>
      <c r="J146" s="370" t="str">
        <f>IF(COUNT(I141,I145)=2,IF(I141&lt;I145,G141,G145),"")</f>
        <v/>
      </c>
      <c r="K146" s="371"/>
    </row>
    <row r="147" spans="1:11" hidden="1" x14ac:dyDescent="0.2">
      <c r="A147" s="156"/>
      <c r="B147" s="156"/>
      <c r="C147" s="156"/>
      <c r="D147" s="156"/>
      <c r="E147" s="188"/>
      <c r="F147" s="188"/>
      <c r="G147" s="188"/>
      <c r="H147" s="188"/>
      <c r="I147" s="195"/>
      <c r="J147" s="183" t="s">
        <v>192</v>
      </c>
    </row>
    <row r="148" spans="1:11" hidden="1" x14ac:dyDescent="0.2">
      <c r="A148" s="156"/>
      <c r="B148" s="156"/>
      <c r="C148" s="156"/>
      <c r="D148" s="156"/>
      <c r="E148" s="188"/>
      <c r="F148" s="195"/>
      <c r="G148" s="171" t="str">
        <f>IF(COUNT(G140,G142)=2,IF(G140&lt;G142,E140,E142),"")</f>
        <v/>
      </c>
      <c r="H148" s="156"/>
      <c r="I148" s="195">
        <v>7</v>
      </c>
      <c r="J148" s="174"/>
    </row>
    <row r="149" spans="1:11" ht="13.5" hidden="1" thickBot="1" x14ac:dyDescent="0.25">
      <c r="A149" s="156"/>
      <c r="B149" s="156"/>
      <c r="C149" s="156"/>
      <c r="D149" s="156"/>
      <c r="E149" s="188"/>
      <c r="F149" s="195"/>
      <c r="G149" s="280"/>
      <c r="H149" s="224"/>
      <c r="I149" s="372"/>
      <c r="J149" s="171" t="str">
        <f>IF(COUNT(I148,I150)=2,IF(I148&gt;I150,G148,G150),"")</f>
        <v/>
      </c>
    </row>
    <row r="150" spans="1:11" hidden="1" x14ac:dyDescent="0.2">
      <c r="A150" s="156"/>
      <c r="B150" s="156"/>
      <c r="C150" s="156"/>
      <c r="D150" s="156"/>
      <c r="E150" s="188"/>
      <c r="F150" s="195"/>
      <c r="G150" s="281" t="str">
        <f>IF(COUNT(G144,G146)=2,IF(G144&lt;G146,E144,E146),"")</f>
        <v/>
      </c>
      <c r="H150" s="276"/>
      <c r="I150" s="191">
        <v>13</v>
      </c>
      <c r="J150" s="177" t="s">
        <v>203</v>
      </c>
      <c r="K150" s="221"/>
    </row>
    <row r="151" spans="1:11" hidden="1" x14ac:dyDescent="0.2">
      <c r="A151" s="156"/>
      <c r="B151" s="156"/>
      <c r="C151" s="156"/>
      <c r="D151" s="156"/>
      <c r="E151" s="156"/>
      <c r="F151" s="174"/>
      <c r="G151" s="156"/>
      <c r="H151" s="156"/>
      <c r="I151" s="156"/>
      <c r="J151" s="174"/>
      <c r="K151" s="222"/>
    </row>
    <row r="152" spans="1:11" ht="13.5" hidden="1" thickBot="1" x14ac:dyDescent="0.25">
      <c r="A152" s="156"/>
      <c r="B152" s="156"/>
      <c r="C152" s="156"/>
      <c r="D152" s="156"/>
      <c r="E152" s="156"/>
      <c r="F152" s="156"/>
      <c r="G152" s="174"/>
      <c r="H152" s="174"/>
      <c r="I152" s="156"/>
      <c r="J152" s="373" t="str">
        <f>IF(COUNT(I148,I150)=2,IF(I148&lt;I150,G148,G150),"")</f>
        <v/>
      </c>
      <c r="K152" s="371"/>
    </row>
    <row r="153" spans="1:11" hidden="1" x14ac:dyDescent="0.2">
      <c r="A153" s="156"/>
      <c r="B153" s="156"/>
      <c r="C153" s="156"/>
      <c r="D153" s="156"/>
      <c r="E153" s="156"/>
      <c r="F153" s="156"/>
      <c r="G153" s="174"/>
      <c r="H153" s="174"/>
      <c r="I153" s="156"/>
      <c r="J153" s="183" t="s">
        <v>204</v>
      </c>
    </row>
    <row r="154" spans="1:11" hidden="1" x14ac:dyDescent="0.2"/>
    <row r="155" spans="1:11" hidden="1" x14ac:dyDescent="0.2">
      <c r="A155" s="219" t="s">
        <v>260</v>
      </c>
      <c r="B155" s="44"/>
      <c r="C155" s="44"/>
      <c r="D155" s="44"/>
      <c r="E155" s="44"/>
      <c r="F155" s="44"/>
      <c r="G155" s="44"/>
      <c r="H155" s="44"/>
      <c r="I155" s="44"/>
      <c r="J155" s="44"/>
    </row>
    <row r="156" spans="1:11" hidden="1" x14ac:dyDescent="0.2">
      <c r="A156" s="44"/>
      <c r="B156" s="44"/>
      <c r="C156" s="44"/>
      <c r="D156" s="44"/>
      <c r="E156" s="44"/>
      <c r="F156" s="44"/>
      <c r="G156" s="44"/>
      <c r="H156" s="44"/>
      <c r="I156" s="44"/>
      <c r="J156" s="44"/>
    </row>
    <row r="157" spans="1:11" hidden="1" x14ac:dyDescent="0.2">
      <c r="A157" s="44"/>
      <c r="B157" s="429"/>
      <c r="C157" s="281" t="str">
        <f>IF(COUNT(C102,C104)=2,IF(C102&lt;C104,B102,B104),"")</f>
        <v>-</v>
      </c>
      <c r="D157" s="44"/>
      <c r="E157" s="188">
        <f>IF(C157="-",0,IF(C159="-",13,""))</f>
        <v>0</v>
      </c>
      <c r="F157" s="156"/>
      <c r="G157" s="156"/>
      <c r="H157" s="156"/>
      <c r="I157" s="156"/>
      <c r="J157" s="156"/>
    </row>
    <row r="158" spans="1:11" hidden="1" x14ac:dyDescent="0.2">
      <c r="A158" s="44"/>
      <c r="B158" s="429"/>
      <c r="C158" s="274"/>
      <c r="D158" s="223"/>
      <c r="E158" s="190" t="str">
        <f>IF(COUNT(E157,E159)=2,IF(E157&gt;E159,C157,C159),"")</f>
        <v/>
      </c>
      <c r="F158" s="156"/>
      <c r="G158" s="188">
        <v>8</v>
      </c>
      <c r="H158" s="156"/>
      <c r="I158" s="156"/>
      <c r="J158" s="156"/>
    </row>
    <row r="159" spans="1:11" hidden="1" x14ac:dyDescent="0.2">
      <c r="A159" s="44"/>
      <c r="B159" s="425" t="s">
        <v>10</v>
      </c>
      <c r="C159" s="281" t="str">
        <f>IF(COUNT(C106,C108)=2,IF(C106&lt;C108,B106,B108),"")</f>
        <v/>
      </c>
      <c r="D159" s="374"/>
      <c r="E159" s="191">
        <f>IF(C159="-",0,IF(C157="-",13,""))</f>
        <v>13</v>
      </c>
      <c r="F159" s="224"/>
      <c r="G159" s="156"/>
      <c r="H159" s="156"/>
      <c r="I159" s="156"/>
      <c r="J159" s="156"/>
    </row>
    <row r="160" spans="1:11" hidden="1" x14ac:dyDescent="0.2">
      <c r="A160" s="44"/>
      <c r="B160" s="429"/>
      <c r="C160" s="179"/>
      <c r="D160" s="44"/>
      <c r="E160" s="156"/>
      <c r="F160" s="192"/>
      <c r="G160" s="190" t="str">
        <f>IF(COUNT(G158,G162)=2,IF(G158&gt;G162,E158,E162),"")</f>
        <v/>
      </c>
      <c r="H160" s="156"/>
      <c r="I160" s="188">
        <v>13</v>
      </c>
      <c r="J160" s="156"/>
    </row>
    <row r="161" spans="1:11" hidden="1" x14ac:dyDescent="0.2">
      <c r="A161" s="44"/>
      <c r="B161" s="425" t="s">
        <v>11</v>
      </c>
      <c r="C161" s="281" t="str">
        <f>IF(COUNT(C120,C122)=2,IF(C120&lt;C122,B120,B122),"")</f>
        <v>-</v>
      </c>
      <c r="D161" s="44"/>
      <c r="E161" s="188">
        <f>IF(C161="-",0,IF(C163="-",13,""))</f>
        <v>0</v>
      </c>
      <c r="F161" s="192"/>
      <c r="G161" s="193"/>
      <c r="H161" s="224"/>
      <c r="I161" s="156"/>
      <c r="J161" s="156"/>
    </row>
    <row r="162" spans="1:11" hidden="1" x14ac:dyDescent="0.2">
      <c r="A162" s="44"/>
      <c r="B162" s="429"/>
      <c r="C162" s="274"/>
      <c r="D162" s="223"/>
      <c r="E162" s="190" t="str">
        <f>IF(COUNT(E161,E163)=2,IF(E161&gt;E163,C161,C163),"")</f>
        <v/>
      </c>
      <c r="F162" s="276"/>
      <c r="G162" s="191">
        <v>13</v>
      </c>
      <c r="H162" s="192"/>
      <c r="I162" s="156"/>
      <c r="J162" s="156"/>
    </row>
    <row r="163" spans="1:11" hidden="1" x14ac:dyDescent="0.2">
      <c r="A163" s="44"/>
      <c r="B163" s="429"/>
      <c r="C163" s="281" t="str">
        <f>IF(COUNT(C124,C126)=2,IF(C124&lt;C126,B124,B126),"")</f>
        <v/>
      </c>
      <c r="D163" s="374"/>
      <c r="E163" s="191">
        <f>IF(C163="-",0,IF(C161="-",13,""))</f>
        <v>13</v>
      </c>
      <c r="F163" s="156"/>
      <c r="G163" s="174"/>
      <c r="H163" s="192"/>
      <c r="I163" s="156"/>
      <c r="J163" s="156"/>
    </row>
    <row r="164" spans="1:11" ht="13.5" hidden="1" thickBot="1" x14ac:dyDescent="0.25">
      <c r="A164" s="44"/>
      <c r="B164" s="429"/>
      <c r="C164" s="179"/>
      <c r="D164" s="44"/>
      <c r="E164" s="156"/>
      <c r="F164" s="156"/>
      <c r="G164" s="174"/>
      <c r="H164" s="192"/>
      <c r="I164" s="156"/>
      <c r="J164" s="171" t="str">
        <f>IF(COUNT(I160,I168)=2,IF(I160&gt;I168,G160,G168),"")</f>
        <v/>
      </c>
    </row>
    <row r="165" spans="1:11" hidden="1" x14ac:dyDescent="0.2">
      <c r="A165" s="44"/>
      <c r="B165" s="429"/>
      <c r="C165" s="281" t="str">
        <f>IF(COUNT(C128,C120)=2,IF(C128&lt;C120,B128,B120),"")</f>
        <v>-</v>
      </c>
      <c r="D165" s="44"/>
      <c r="E165" s="188">
        <f>IF(C165="-",0,IF(C167="-",13,""))</f>
        <v>0</v>
      </c>
      <c r="F165" s="156"/>
      <c r="G165" s="156"/>
      <c r="H165" s="192"/>
      <c r="I165" s="194"/>
      <c r="J165" s="177" t="s">
        <v>209</v>
      </c>
      <c r="K165" s="221"/>
    </row>
    <row r="166" spans="1:11" hidden="1" x14ac:dyDescent="0.2">
      <c r="A166" s="44"/>
      <c r="B166" s="429"/>
      <c r="C166" s="274"/>
      <c r="D166" s="223"/>
      <c r="E166" s="190" t="str">
        <f>IF(COUNT(E165,E167)=2,IF(E165&gt;E167,C165,C167),"")</f>
        <v/>
      </c>
      <c r="F166" s="156"/>
      <c r="G166" s="188">
        <v>13</v>
      </c>
      <c r="H166" s="192"/>
      <c r="I166" s="174"/>
      <c r="J166" s="174"/>
      <c r="K166" s="222"/>
    </row>
    <row r="167" spans="1:11" hidden="1" x14ac:dyDescent="0.2">
      <c r="A167" s="44"/>
      <c r="B167" s="425" t="s">
        <v>12</v>
      </c>
      <c r="C167" s="281" t="str">
        <f>IF(COUNT(C122,C124)=2,IF(C122&lt;C124,B122,B124),"")</f>
        <v/>
      </c>
      <c r="D167" s="374"/>
      <c r="E167" s="191">
        <f>IF(C167="-",0,IF(C165="-",13,""))</f>
        <v>13</v>
      </c>
      <c r="F167" s="224"/>
      <c r="G167" s="156"/>
      <c r="H167" s="192"/>
      <c r="I167" s="174"/>
      <c r="J167" s="174"/>
      <c r="K167" s="222"/>
    </row>
    <row r="168" spans="1:11" hidden="1" x14ac:dyDescent="0.2">
      <c r="A168" s="44"/>
      <c r="B168" s="429"/>
      <c r="C168" s="179"/>
      <c r="D168" s="44"/>
      <c r="E168" s="156"/>
      <c r="F168" s="192"/>
      <c r="G168" s="190" t="str">
        <f>IF(COUNT(G166,G170)=2,IF(G166&gt;G170,E166,E170),"")</f>
        <v/>
      </c>
      <c r="H168" s="276"/>
      <c r="I168" s="191">
        <v>6</v>
      </c>
      <c r="J168" s="174"/>
      <c r="K168" s="222"/>
    </row>
    <row r="169" spans="1:11" ht="13.5" hidden="1" thickBot="1" x14ac:dyDescent="0.25">
      <c r="A169" s="44"/>
      <c r="B169" s="425" t="s">
        <v>13</v>
      </c>
      <c r="C169" s="281" t="str">
        <f>IF(COUNT(C126,C128)=2,IF(C126&lt;C128,B126,B128),"")</f>
        <v/>
      </c>
      <c r="D169" s="44"/>
      <c r="E169" s="188">
        <f>IF(C169="-",0,IF(C171="-",13,""))</f>
        <v>13</v>
      </c>
      <c r="F169" s="192"/>
      <c r="G169" s="193"/>
      <c r="H169" s="174"/>
      <c r="I169" s="174"/>
      <c r="J169" s="370" t="str">
        <f>IF(COUNT(I160,I168)=2,IF(I160&lt;I168,G160,G168),"")</f>
        <v/>
      </c>
      <c r="K169" s="371"/>
    </row>
    <row r="170" spans="1:11" hidden="1" x14ac:dyDescent="0.2">
      <c r="A170" s="44"/>
      <c r="B170" s="429"/>
      <c r="C170" s="274"/>
      <c r="D170" s="223"/>
      <c r="E170" s="190" t="str">
        <f>IF(COUNT(E169,E171)=2,IF(E169&gt;E171,C169,C171),"")</f>
        <v/>
      </c>
      <c r="F170" s="276"/>
      <c r="G170" s="191">
        <v>10</v>
      </c>
      <c r="H170" s="156"/>
      <c r="I170" s="174"/>
      <c r="J170" s="183" t="s">
        <v>211</v>
      </c>
    </row>
    <row r="171" spans="1:11" hidden="1" x14ac:dyDescent="0.2">
      <c r="A171" s="44"/>
      <c r="B171" s="429"/>
      <c r="C171" s="281" t="str">
        <f>IF(COUNT(C130,C132)=2,IF(C130&lt;C132,B130,B132),"")</f>
        <v>-</v>
      </c>
      <c r="D171" s="374"/>
      <c r="E171" s="191">
        <f>IF(C171="-",0,IF(C169="-",13,""))</f>
        <v>0</v>
      </c>
      <c r="F171" s="156"/>
      <c r="G171" s="174"/>
      <c r="H171" s="174"/>
      <c r="I171" s="174"/>
      <c r="J171" s="156"/>
    </row>
    <row r="172" spans="1:11" hidden="1" x14ac:dyDescent="0.2">
      <c r="A172" s="44"/>
      <c r="B172" s="44"/>
      <c r="C172" s="44"/>
      <c r="D172" s="44"/>
      <c r="E172" s="156"/>
      <c r="F172" s="156"/>
      <c r="G172" s="171" t="str">
        <f>IF(COUNT(G158,G162)=2,IF(G158&lt;G162,E158,E162),"")</f>
        <v/>
      </c>
      <c r="H172" s="156"/>
      <c r="I172" s="195">
        <v>7</v>
      </c>
      <c r="J172" s="156"/>
    </row>
    <row r="173" spans="1:11" ht="13.5" hidden="1" thickBot="1" x14ac:dyDescent="0.25">
      <c r="A173" s="44"/>
      <c r="B173" s="44"/>
      <c r="C173" s="44"/>
      <c r="D173" s="44"/>
      <c r="E173" s="156"/>
      <c r="F173" s="156"/>
      <c r="G173" s="280"/>
      <c r="H173" s="224"/>
      <c r="I173" s="372"/>
      <c r="J173" s="171" t="str">
        <f>IF(COUNT(I172,I174)=2,IF(I172&gt;I174,G172,G174),"")</f>
        <v/>
      </c>
    </row>
    <row r="174" spans="1:11" hidden="1" x14ac:dyDescent="0.2">
      <c r="A174" s="44"/>
      <c r="B174" s="44"/>
      <c r="C174" s="44"/>
      <c r="D174" s="44"/>
      <c r="E174" s="156"/>
      <c r="F174" s="156"/>
      <c r="G174" s="281" t="str">
        <f>IF(COUNT(G166,G170)=2,IF(G166&lt;G170,E166,E170),"")</f>
        <v/>
      </c>
      <c r="H174" s="276"/>
      <c r="I174" s="191">
        <v>13</v>
      </c>
      <c r="J174" s="177" t="s">
        <v>213</v>
      </c>
      <c r="K174" s="221"/>
    </row>
    <row r="175" spans="1:11" hidden="1" x14ac:dyDescent="0.2">
      <c r="A175" s="44"/>
      <c r="B175" s="44"/>
      <c r="C175" s="44"/>
      <c r="D175" s="156"/>
      <c r="E175" s="156"/>
      <c r="F175" s="156"/>
      <c r="G175" s="156"/>
      <c r="H175" s="156"/>
      <c r="I175" s="156"/>
      <c r="J175" s="174"/>
      <c r="K175" s="222"/>
    </row>
    <row r="176" spans="1:11" ht="13.5" hidden="1" thickBot="1" x14ac:dyDescent="0.25">
      <c r="A176" s="44"/>
      <c r="B176" s="44"/>
      <c r="C176" s="44"/>
      <c r="D176" s="156"/>
      <c r="E176" s="156"/>
      <c r="F176" s="156"/>
      <c r="G176" s="174"/>
      <c r="H176" s="174"/>
      <c r="I176" s="156"/>
      <c r="J176" s="370" t="str">
        <f>IF(COUNT(I172,I174)=2,IF(I172&lt;I174,G172,G174),"")</f>
        <v/>
      </c>
      <c r="K176" s="371"/>
    </row>
    <row r="177" spans="1:11" hidden="1" x14ac:dyDescent="0.2">
      <c r="A177" s="44"/>
      <c r="B177" s="44"/>
      <c r="C177" s="44"/>
      <c r="D177" s="156"/>
      <c r="E177" s="156"/>
      <c r="F177" s="156"/>
      <c r="G177" s="156"/>
      <c r="H177" s="156"/>
      <c r="I177" s="156"/>
      <c r="J177" s="155" t="s">
        <v>213</v>
      </c>
    </row>
    <row r="178" spans="1:11" hidden="1" x14ac:dyDescent="0.2">
      <c r="A178" s="44"/>
      <c r="B178" s="44"/>
      <c r="C178" s="44"/>
      <c r="D178" s="156"/>
      <c r="E178" s="156"/>
      <c r="F178" s="156"/>
      <c r="G178" s="156"/>
      <c r="H178" s="156"/>
      <c r="I178" s="156"/>
      <c r="J178" s="156"/>
    </row>
    <row r="179" spans="1:11" hidden="1" x14ac:dyDescent="0.2">
      <c r="A179" s="44"/>
      <c r="B179" s="44"/>
      <c r="C179" s="44"/>
      <c r="D179" s="156"/>
      <c r="E179" s="281" t="str">
        <f>IF(COUNT(E157,E159)=2,IF(E157&lt;E159,C157,C159),"")</f>
        <v>-</v>
      </c>
      <c r="F179" s="156"/>
      <c r="G179" s="188">
        <f>IF(E179="-",0,IF(E181="-",13,""))</f>
        <v>0</v>
      </c>
      <c r="H179" s="188"/>
      <c r="I179" s="188"/>
      <c r="J179" s="156"/>
    </row>
    <row r="180" spans="1:11" hidden="1" x14ac:dyDescent="0.2">
      <c r="A180" s="44"/>
      <c r="B180" s="44"/>
      <c r="C180" s="44"/>
      <c r="D180" s="156"/>
      <c r="E180" s="282"/>
      <c r="F180" s="225"/>
      <c r="G180" s="190" t="str">
        <f>IF(COUNT(G179,G181)=2,IF(G179&gt;G181,E179,E181),"")</f>
        <v>-</v>
      </c>
      <c r="H180" s="156"/>
      <c r="I180" s="188">
        <f>IF(G180="-",0,IF(G184="-",13,""))</f>
        <v>0</v>
      </c>
      <c r="J180" s="156"/>
    </row>
    <row r="181" spans="1:11" hidden="1" x14ac:dyDescent="0.2">
      <c r="A181" s="44"/>
      <c r="B181" s="44"/>
      <c r="C181" s="44"/>
      <c r="D181" s="156"/>
      <c r="E181" s="281" t="str">
        <f>IF(COUNT(E161,E163)=2,IF(E161&lt;E163,C161,C163),"")</f>
        <v>-</v>
      </c>
      <c r="F181" s="283"/>
      <c r="G181" s="191">
        <f>IF(E181="-",0,IF(E179="-",13,""))</f>
        <v>0</v>
      </c>
      <c r="H181" s="225"/>
      <c r="I181" s="156"/>
      <c r="J181" s="156"/>
    </row>
    <row r="182" spans="1:11" ht="13.5" hidden="1" thickBot="1" x14ac:dyDescent="0.25">
      <c r="A182" s="44"/>
      <c r="B182" s="44"/>
      <c r="C182" s="44"/>
      <c r="D182" s="156"/>
      <c r="E182" s="188"/>
      <c r="F182" s="188"/>
      <c r="G182" s="195"/>
      <c r="H182" s="196"/>
      <c r="I182" s="226" t="str">
        <f>IF(COUNT(I180,I184)=2,IF(I180&gt;I184,G180,G184),"")</f>
        <v>-</v>
      </c>
      <c r="J182" s="171" t="str">
        <f>IF(COUNT(I180,I184)=2,IF(I180&gt;I184,G180,G184),"")</f>
        <v>-</v>
      </c>
    </row>
    <row r="183" spans="1:11" hidden="1" x14ac:dyDescent="0.2">
      <c r="A183" s="44"/>
      <c r="B183" s="44"/>
      <c r="C183" s="44"/>
      <c r="D183" s="156"/>
      <c r="E183" s="281" t="str">
        <f>IF(COUNT(E165,E167)=2,IF(E165&lt;E167,C165,C167),"")</f>
        <v>-</v>
      </c>
      <c r="F183" s="188"/>
      <c r="G183" s="188">
        <f>IF(E183="-",0,IF(E185="-",13,""))</f>
        <v>0</v>
      </c>
      <c r="H183" s="196"/>
      <c r="I183" s="194"/>
      <c r="J183" s="177"/>
      <c r="K183" s="221"/>
    </row>
    <row r="184" spans="1:11" hidden="1" x14ac:dyDescent="0.2">
      <c r="A184" s="44"/>
      <c r="B184" s="44"/>
      <c r="C184" s="44"/>
      <c r="D184" s="156"/>
      <c r="E184" s="282"/>
      <c r="F184" s="225"/>
      <c r="G184" s="190" t="str">
        <f>IF(COUNT(G183,G185)=2,IF(G183&gt;G185,E183,E185),"")</f>
        <v>-</v>
      </c>
      <c r="H184" s="276"/>
      <c r="I184" s="191">
        <f>IF(G184="-",0,IF(G180="-",13,""))</f>
        <v>0</v>
      </c>
      <c r="J184" s="174"/>
      <c r="K184" s="222"/>
    </row>
    <row r="185" spans="1:11" ht="13.5" hidden="1" thickBot="1" x14ac:dyDescent="0.25">
      <c r="A185" s="44"/>
      <c r="B185" s="44"/>
      <c r="C185" s="44"/>
      <c r="D185" s="156"/>
      <c r="E185" s="281" t="str">
        <f>IF(COUNT(E169,E171)=2,IF(E169&lt;E171,C169,C171),"")</f>
        <v>-</v>
      </c>
      <c r="F185" s="283"/>
      <c r="G185" s="191">
        <f>IF(E185="-",0,IF(E183="-",13,""))</f>
        <v>0</v>
      </c>
      <c r="H185" s="188"/>
      <c r="I185" s="195"/>
      <c r="J185" s="370" t="str">
        <f>IF(COUNT(I180,I184)=2,IF(I180&lt;I184,G180,G184),"")</f>
        <v>-</v>
      </c>
      <c r="K185" s="371"/>
    </row>
    <row r="186" spans="1:11" hidden="1" x14ac:dyDescent="0.2">
      <c r="A186" s="44"/>
      <c r="B186" s="44"/>
      <c r="C186" s="44"/>
      <c r="D186" s="156"/>
      <c r="E186" s="188"/>
      <c r="F186" s="188"/>
      <c r="G186" s="188"/>
      <c r="H186" s="188"/>
      <c r="I186" s="195"/>
      <c r="J186" s="155"/>
    </row>
    <row r="187" spans="1:11" hidden="1" x14ac:dyDescent="0.2">
      <c r="A187" s="44"/>
      <c r="B187" s="44"/>
      <c r="C187" s="44"/>
      <c r="D187" s="156"/>
      <c r="E187" s="188"/>
      <c r="F187" s="195"/>
      <c r="G187" s="171" t="str">
        <f>IF(COUNT(G179,G181)=2,IF(G179&lt;G181,E179,E181),"")</f>
        <v>-</v>
      </c>
      <c r="H187" s="156"/>
      <c r="I187" s="195">
        <f>IF(G187="-",0,IF(G189="-",13,""))</f>
        <v>0</v>
      </c>
      <c r="J187" s="174"/>
    </row>
    <row r="188" spans="1:11" ht="13.5" hidden="1" thickBot="1" x14ac:dyDescent="0.25">
      <c r="A188" s="44"/>
      <c r="B188" s="44"/>
      <c r="C188" s="44"/>
      <c r="D188" s="156"/>
      <c r="E188" s="188"/>
      <c r="F188" s="195"/>
      <c r="G188" s="280"/>
      <c r="H188" s="224"/>
      <c r="I188" s="372" t="str">
        <f>IF(COUNT(I187,I189)=2,IF(I187&gt;I189,G187,G189),"")</f>
        <v>-</v>
      </c>
      <c r="J188" s="171" t="str">
        <f>IF(COUNT(I187,I189)=2,IF(I187&gt;I189,G187,G189),"")</f>
        <v>-</v>
      </c>
    </row>
    <row r="189" spans="1:11" hidden="1" x14ac:dyDescent="0.2">
      <c r="A189" s="44"/>
      <c r="B189" s="44"/>
      <c r="C189" s="44"/>
      <c r="D189" s="156"/>
      <c r="E189" s="188"/>
      <c r="F189" s="195"/>
      <c r="G189" s="281" t="str">
        <f>IF(COUNT(G183,G185)=2,IF(G183&lt;G185,E183,E185),"")</f>
        <v>-</v>
      </c>
      <c r="H189" s="276"/>
      <c r="I189" s="191">
        <f>IF(G189="-",0,IF(G187="-",13,""))</f>
        <v>0</v>
      </c>
      <c r="J189" s="177"/>
      <c r="K189" s="221"/>
    </row>
    <row r="190" spans="1:11" hidden="1" x14ac:dyDescent="0.2">
      <c r="A190" s="44"/>
      <c r="B190" s="44"/>
      <c r="C190" s="44"/>
      <c r="D190" s="156"/>
      <c r="E190" s="156"/>
      <c r="F190" s="174"/>
      <c r="G190" s="156"/>
      <c r="H190" s="156"/>
      <c r="I190" s="156"/>
      <c r="J190" s="174"/>
      <c r="K190" s="222"/>
    </row>
    <row r="191" spans="1:11" ht="13.5" hidden="1" thickBot="1" x14ac:dyDescent="0.25">
      <c r="A191" s="44"/>
      <c r="B191" s="44"/>
      <c r="C191" s="44"/>
      <c r="D191" s="156"/>
      <c r="E191" s="156"/>
      <c r="F191" s="156"/>
      <c r="G191" s="174"/>
      <c r="H191" s="174"/>
      <c r="I191" s="156"/>
      <c r="J191" s="373" t="str">
        <f>IF(COUNT(I187,I189)=2,IF(I187&lt;I189,G187,G189),"")</f>
        <v>-</v>
      </c>
      <c r="K191" s="371"/>
    </row>
    <row r="192" spans="1:11" hidden="1" x14ac:dyDescent="0.2">
      <c r="A192" s="44"/>
      <c r="B192" s="44"/>
      <c r="C192" s="44"/>
      <c r="D192" s="156"/>
      <c r="E192" s="156"/>
      <c r="F192" s="156"/>
      <c r="G192" s="174"/>
      <c r="H192" s="174"/>
      <c r="I192" s="156"/>
      <c r="J192" s="155"/>
    </row>
    <row r="193" spans="1:11" hidden="1" x14ac:dyDescent="0.2">
      <c r="A193" s="44"/>
      <c r="B193" s="44"/>
      <c r="C193" s="44"/>
      <c r="D193" s="44"/>
      <c r="E193" s="44"/>
      <c r="F193" s="44"/>
      <c r="G193" s="44"/>
      <c r="H193" s="44"/>
      <c r="I193" s="44"/>
      <c r="J193" s="44"/>
    </row>
    <row r="194" spans="1:11" hidden="1" x14ac:dyDescent="0.2">
      <c r="A194" s="219" t="s">
        <v>261</v>
      </c>
      <c r="B194" s="44"/>
      <c r="C194" s="44"/>
      <c r="D194" s="44"/>
      <c r="E194" s="44"/>
      <c r="F194" s="44"/>
      <c r="G194" s="44"/>
      <c r="H194" s="44"/>
      <c r="I194" s="44"/>
      <c r="J194" s="44"/>
    </row>
    <row r="195" spans="1:11" hidden="1" x14ac:dyDescent="0.2">
      <c r="A195" s="44"/>
      <c r="B195" s="44"/>
      <c r="C195" s="44"/>
      <c r="D195" s="44"/>
      <c r="E195" s="44"/>
      <c r="F195" s="44"/>
      <c r="G195" s="44"/>
      <c r="H195" s="44"/>
      <c r="I195" s="44"/>
      <c r="J195" s="44"/>
    </row>
    <row r="196" spans="1:11" hidden="1" x14ac:dyDescent="0.2">
      <c r="B196" s="220" t="s">
        <v>205</v>
      </c>
      <c r="C196" s="369" t="str">
        <f>IF(B196="-","-",IFERROR(INDEX(B$1:B$100,MATCH(B196,I$1:I$100,0)),""))</f>
        <v/>
      </c>
      <c r="D196" s="44"/>
      <c r="E196" s="188">
        <f>IF(C196="-",0,IF(C198="-",13,""))</f>
        <v>13</v>
      </c>
      <c r="F196" s="156"/>
      <c r="G196" s="156"/>
      <c r="H196" s="156"/>
      <c r="I196" s="156"/>
      <c r="J196" s="156"/>
    </row>
    <row r="197" spans="1:11" hidden="1" x14ac:dyDescent="0.2">
      <c r="B197" s="220"/>
      <c r="C197" s="274"/>
      <c r="D197" s="223"/>
      <c r="E197" s="190" t="str">
        <f>IF(COUNT(E196,E198)=2,IF(E196&gt;E198,C196,C198),"")</f>
        <v/>
      </c>
      <c r="F197" s="156"/>
      <c r="G197" s="188">
        <v>13</v>
      </c>
      <c r="H197" s="156"/>
      <c r="I197" s="156"/>
      <c r="J197" s="156"/>
    </row>
    <row r="198" spans="1:11" hidden="1" x14ac:dyDescent="0.2">
      <c r="B198" s="220" t="s">
        <v>207</v>
      </c>
      <c r="C198" s="369" t="str">
        <f>IF(B198="-","-",IFERROR(INDEX(B$1:B$100,MATCH(B198,I$1:I$100,0)),""))</f>
        <v>-</v>
      </c>
      <c r="D198" s="374"/>
      <c r="E198" s="191">
        <f>IF(C198="-",0,IF(C196="-",13,""))</f>
        <v>0</v>
      </c>
      <c r="F198" s="224"/>
      <c r="G198" s="156"/>
      <c r="H198" s="156"/>
      <c r="I198" s="156"/>
      <c r="J198" s="156"/>
    </row>
    <row r="199" spans="1:11" hidden="1" x14ac:dyDescent="0.2">
      <c r="B199" s="220"/>
      <c r="C199" s="179"/>
      <c r="D199" s="44"/>
      <c r="E199" s="156"/>
      <c r="F199" s="192"/>
      <c r="G199" s="190" t="str">
        <f>IF(COUNT(G197,G201)=2,IF(G197&gt;G201,E197,E201),"")</f>
        <v/>
      </c>
      <c r="H199" s="156"/>
      <c r="I199" s="188">
        <v>13</v>
      </c>
      <c r="J199" s="156"/>
    </row>
    <row r="200" spans="1:11" hidden="1" x14ac:dyDescent="0.2">
      <c r="B200" s="220" t="s">
        <v>229</v>
      </c>
      <c r="C200" s="369" t="str">
        <f>IF(B200="-","-",IFERROR(INDEX(B$1:B$100,MATCH(B200,I$1:I$100,0)),""))</f>
        <v/>
      </c>
      <c r="D200" s="44"/>
      <c r="E200" s="188">
        <v>13</v>
      </c>
      <c r="F200" s="192"/>
      <c r="G200" s="193"/>
      <c r="H200" s="224"/>
      <c r="I200" s="156"/>
      <c r="J200" s="156"/>
    </row>
    <row r="201" spans="1:11" hidden="1" x14ac:dyDescent="0.2">
      <c r="B201" s="220"/>
      <c r="C201" s="274"/>
      <c r="D201" s="430" t="s">
        <v>23</v>
      </c>
      <c r="E201" s="451" t="str">
        <f>IF(COUNT(E200,E202)=2,IF(E200&gt;E202,C200,C202),"")</f>
        <v/>
      </c>
      <c r="F201" s="276"/>
      <c r="G201" s="191">
        <v>1</v>
      </c>
      <c r="H201" s="192"/>
      <c r="I201" s="156"/>
      <c r="J201" s="156"/>
    </row>
    <row r="202" spans="1:11" hidden="1" x14ac:dyDescent="0.2">
      <c r="B202" s="220" t="s">
        <v>210</v>
      </c>
      <c r="C202" s="369" t="str">
        <f>IF(B202="-","-",IFERROR(INDEX(B$1:B$100,MATCH(B202,I$1:I$100,0)),""))</f>
        <v/>
      </c>
      <c r="D202" s="374"/>
      <c r="E202" s="191">
        <v>9</v>
      </c>
      <c r="F202" s="156"/>
      <c r="G202" s="174"/>
      <c r="H202" s="192"/>
      <c r="I202" s="156"/>
      <c r="J202" s="156"/>
    </row>
    <row r="203" spans="1:11" ht="13.5" hidden="1" thickBot="1" x14ac:dyDescent="0.25">
      <c r="B203" s="220"/>
      <c r="C203" s="179"/>
      <c r="D203" s="44"/>
      <c r="E203" s="156"/>
      <c r="F203" s="156"/>
      <c r="G203" s="174"/>
      <c r="H203" s="192"/>
      <c r="I203" s="156"/>
      <c r="J203" s="171" t="str">
        <f>IF(COUNT(I199,I207)=2,IF(I199&gt;I207,G199,G207),"")</f>
        <v/>
      </c>
    </row>
    <row r="204" spans="1:11" hidden="1" x14ac:dyDescent="0.2">
      <c r="B204" s="220" t="s">
        <v>208</v>
      </c>
      <c r="C204" s="369" t="str">
        <f>IF(B204="-","-",IFERROR(INDEX(B$1:B$100,MATCH(B204,I$1:I$100,0)),""))</f>
        <v/>
      </c>
      <c r="D204" s="44"/>
      <c r="E204" s="188">
        <v>13</v>
      </c>
      <c r="F204" s="156"/>
      <c r="G204" s="156"/>
      <c r="H204" s="192"/>
      <c r="I204" s="194"/>
      <c r="J204" s="177" t="s">
        <v>214</v>
      </c>
      <c r="K204" s="221"/>
    </row>
    <row r="205" spans="1:11" hidden="1" x14ac:dyDescent="0.2">
      <c r="B205" s="220"/>
      <c r="C205" s="274"/>
      <c r="D205" s="430" t="s">
        <v>24</v>
      </c>
      <c r="E205" s="190" t="str">
        <f>IF(COUNT(E204,E206)=2,IF(E204&gt;E206,C204,C206),"")</f>
        <v/>
      </c>
      <c r="F205" s="156"/>
      <c r="G205" s="188">
        <v>13</v>
      </c>
      <c r="H205" s="192"/>
      <c r="I205" s="174"/>
      <c r="J205" s="174"/>
      <c r="K205" s="222"/>
    </row>
    <row r="206" spans="1:11" hidden="1" x14ac:dyDescent="0.2">
      <c r="B206" s="220" t="s">
        <v>230</v>
      </c>
      <c r="C206" s="369" t="str">
        <f>IF(B206="-","-",IFERROR(INDEX(B$1:B$100,MATCH(B206,I$1:I$100,0)),""))</f>
        <v/>
      </c>
      <c r="D206" s="374"/>
      <c r="E206" s="191">
        <v>2</v>
      </c>
      <c r="F206" s="224"/>
      <c r="G206" s="156"/>
      <c r="H206" s="192"/>
      <c r="I206" s="174"/>
      <c r="J206" s="174"/>
      <c r="K206" s="222"/>
    </row>
    <row r="207" spans="1:11" hidden="1" x14ac:dyDescent="0.2">
      <c r="B207" s="220"/>
      <c r="C207" s="179"/>
      <c r="D207" s="44"/>
      <c r="E207" s="156"/>
      <c r="F207" s="192"/>
      <c r="G207" s="190" t="str">
        <f>IF(COUNT(G205,G209)=2,IF(G205&gt;G209,E205,E209),"")</f>
        <v/>
      </c>
      <c r="H207" s="276"/>
      <c r="I207" s="191">
        <v>12</v>
      </c>
      <c r="J207" s="174"/>
      <c r="K207" s="222"/>
    </row>
    <row r="208" spans="1:11" ht="13.5" hidden="1" thickBot="1" x14ac:dyDescent="0.25">
      <c r="B208" s="220" t="s">
        <v>207</v>
      </c>
      <c r="C208" s="369" t="str">
        <f>IF(B208="-","-",IFERROR(INDEX(B$1:B$100,MATCH(B208,I$1:I$100,0)),""))</f>
        <v>-</v>
      </c>
      <c r="D208" s="44"/>
      <c r="E208" s="188">
        <f>IF(C208="-",0,IF(C210="-",13,""))</f>
        <v>0</v>
      </c>
      <c r="F208" s="192"/>
      <c r="G208" s="193"/>
      <c r="H208" s="174"/>
      <c r="I208" s="174"/>
      <c r="J208" s="370" t="str">
        <f>IF(COUNT(I199,I207)=2,IF(I199&lt;I207,G199,G207),"")</f>
        <v/>
      </c>
      <c r="K208" s="371"/>
    </row>
    <row r="209" spans="2:11" hidden="1" x14ac:dyDescent="0.2">
      <c r="B209" s="220"/>
      <c r="C209" s="274"/>
      <c r="D209" s="223"/>
      <c r="E209" s="190" t="str">
        <f>IF(COUNT(E208,E210)=2,IF(E208&gt;E210,C208,C210),"")</f>
        <v/>
      </c>
      <c r="F209" s="276"/>
      <c r="G209" s="191">
        <v>12</v>
      </c>
      <c r="H209" s="156"/>
      <c r="I209" s="174"/>
      <c r="J209" s="183" t="s">
        <v>215</v>
      </c>
    </row>
    <row r="210" spans="2:11" hidden="1" x14ac:dyDescent="0.2">
      <c r="B210" s="220" t="s">
        <v>206</v>
      </c>
      <c r="C210" s="369" t="str">
        <f>IF(B210="-","-",IFERROR(INDEX(B$1:B$100,MATCH(B210,I$1:I$100,0)),""))</f>
        <v/>
      </c>
      <c r="D210" s="374"/>
      <c r="E210" s="191">
        <f>IF(C210="-",0,IF(C208="-",13,""))</f>
        <v>13</v>
      </c>
      <c r="F210" s="156"/>
      <c r="G210" s="174"/>
      <c r="H210" s="174"/>
      <c r="I210" s="174"/>
      <c r="J210" s="156"/>
    </row>
    <row r="211" spans="2:11" hidden="1" x14ac:dyDescent="0.2">
      <c r="C211" s="44"/>
      <c r="D211" s="44"/>
      <c r="E211" s="156"/>
      <c r="F211" s="156"/>
      <c r="G211" s="171" t="str">
        <f>IF(COUNT(G197,G201)=2,IF(G197&lt;G201,E197,E201),"")</f>
        <v/>
      </c>
      <c r="H211" s="156"/>
      <c r="I211" s="195">
        <v>3</v>
      </c>
      <c r="J211" s="156"/>
    </row>
    <row r="212" spans="2:11" ht="13.5" hidden="1" thickBot="1" x14ac:dyDescent="0.25">
      <c r="C212" s="44"/>
      <c r="D212" s="44"/>
      <c r="E212" s="156"/>
      <c r="F212" s="156"/>
      <c r="G212" s="280"/>
      <c r="H212" s="224"/>
      <c r="I212" s="372"/>
      <c r="J212" s="171" t="str">
        <f>IF(COUNT(I212,I213)=2,IF(I212&gt;I213,G212,G213),"")</f>
        <v/>
      </c>
    </row>
    <row r="213" spans="2:11" hidden="1" x14ac:dyDescent="0.2">
      <c r="C213" s="44"/>
      <c r="D213" s="44"/>
      <c r="E213" s="156"/>
      <c r="F213" s="156"/>
      <c r="G213" s="281" t="str">
        <f>IF(COUNT(G205,G209)=2,IF(G205&lt;G209,E205,E209),"")</f>
        <v/>
      </c>
      <c r="H213" s="276"/>
      <c r="I213" s="191">
        <v>13</v>
      </c>
      <c r="J213" s="177" t="s">
        <v>218</v>
      </c>
      <c r="K213" s="221"/>
    </row>
    <row r="214" spans="2:11" hidden="1" x14ac:dyDescent="0.2">
      <c r="C214" s="44"/>
      <c r="D214" s="156"/>
      <c r="E214" s="156"/>
      <c r="F214" s="156"/>
      <c r="G214" s="156"/>
      <c r="H214" s="156"/>
      <c r="I214" s="156"/>
      <c r="J214" s="174"/>
      <c r="K214" s="222"/>
    </row>
    <row r="215" spans="2:11" ht="13.5" hidden="1" thickBot="1" x14ac:dyDescent="0.25">
      <c r="C215" s="44"/>
      <c r="D215" s="156"/>
      <c r="E215" s="156"/>
      <c r="F215" s="156"/>
      <c r="G215" s="174"/>
      <c r="H215" s="174"/>
      <c r="I215" s="156"/>
      <c r="J215" s="370" t="str">
        <f>IF(COUNT(I212,I213)=2,IF(I212&lt;I213,G212,G213),"")</f>
        <v/>
      </c>
      <c r="K215" s="371"/>
    </row>
    <row r="216" spans="2:11" hidden="1" x14ac:dyDescent="0.2">
      <c r="C216" s="44"/>
      <c r="D216" s="156"/>
      <c r="E216" s="156"/>
      <c r="F216" s="156"/>
      <c r="G216" s="156"/>
      <c r="H216" s="156"/>
      <c r="I216" s="156"/>
      <c r="J216" s="155" t="s">
        <v>219</v>
      </c>
    </row>
    <row r="217" spans="2:11" hidden="1" x14ac:dyDescent="0.2">
      <c r="C217" s="44"/>
      <c r="D217" s="156"/>
      <c r="E217" s="156"/>
      <c r="F217" s="156"/>
      <c r="G217" s="156"/>
      <c r="H217" s="156"/>
      <c r="I217" s="156"/>
      <c r="J217" s="156"/>
    </row>
    <row r="218" spans="2:11" hidden="1" x14ac:dyDescent="0.2">
      <c r="C218" s="44"/>
      <c r="D218" s="156"/>
      <c r="E218" s="281" t="str">
        <f>IF(COUNT(E196,E198)=2,IF(E196&lt;E198,C196,C198),"")</f>
        <v>-</v>
      </c>
      <c r="F218" s="156"/>
      <c r="G218" s="188">
        <f>IF(E218="-",0,IF(E220="-",13,""))</f>
        <v>0</v>
      </c>
      <c r="H218" s="188"/>
      <c r="I218" s="188"/>
      <c r="J218" s="156"/>
    </row>
    <row r="219" spans="2:11" hidden="1" x14ac:dyDescent="0.2">
      <c r="C219" s="44"/>
      <c r="D219" s="156"/>
      <c r="E219" s="282"/>
      <c r="F219" s="225"/>
      <c r="G219" s="190" t="str">
        <f>IF(COUNT(G218,G220)=2,IF(G218&gt;G220,E218,E220),"")</f>
        <v/>
      </c>
      <c r="H219" s="156"/>
      <c r="I219" s="188">
        <v>5</v>
      </c>
      <c r="J219" s="156"/>
    </row>
    <row r="220" spans="2:11" hidden="1" x14ac:dyDescent="0.2">
      <c r="C220" s="44"/>
      <c r="D220" s="431" t="s">
        <v>23</v>
      </c>
      <c r="E220" s="452" t="str">
        <f>IF(COUNT(E200,E202)=2,IF(E200&lt;E202,C200,C202),"")</f>
        <v/>
      </c>
      <c r="F220" s="283"/>
      <c r="G220" s="191">
        <f>IF(E220="-",0,IF(E218="-",13,""))</f>
        <v>13</v>
      </c>
      <c r="H220" s="225"/>
      <c r="I220" s="156"/>
      <c r="J220" s="156"/>
    </row>
    <row r="221" spans="2:11" ht="13.5" hidden="1" thickBot="1" x14ac:dyDescent="0.25">
      <c r="C221" s="44"/>
      <c r="D221" s="156"/>
      <c r="E221" s="188"/>
      <c r="F221" s="188"/>
      <c r="G221" s="195"/>
      <c r="H221" s="196"/>
      <c r="I221" s="226"/>
      <c r="J221" s="171" t="str">
        <f>IF(COUNT(I219,I223)=2,IF(I219&gt;I223,G219,G223),"")</f>
        <v/>
      </c>
    </row>
    <row r="222" spans="2:11" hidden="1" x14ac:dyDescent="0.2">
      <c r="C222" s="44"/>
      <c r="D222" s="431" t="s">
        <v>24</v>
      </c>
      <c r="E222" s="281" t="str">
        <f>IF(COUNT(E204,E206)=2,IF(E204&lt;E206,C204,C206),"")</f>
        <v/>
      </c>
      <c r="F222" s="188"/>
      <c r="G222" s="188">
        <f>IF(E222="-",0,IF(E224="-",13,""))</f>
        <v>13</v>
      </c>
      <c r="H222" s="196"/>
      <c r="I222" s="194"/>
      <c r="J222" s="177" t="s">
        <v>220</v>
      </c>
      <c r="K222" s="221"/>
    </row>
    <row r="223" spans="2:11" hidden="1" x14ac:dyDescent="0.2">
      <c r="C223" s="44"/>
      <c r="D223" s="156"/>
      <c r="E223" s="282"/>
      <c r="F223" s="225"/>
      <c r="G223" s="190" t="str">
        <f>IF(COUNT(G222,G224)=2,IF(G222&gt;G224,E222,E224),"")</f>
        <v/>
      </c>
      <c r="H223" s="276"/>
      <c r="I223" s="191">
        <v>13</v>
      </c>
      <c r="J223" s="174"/>
      <c r="K223" s="222"/>
    </row>
    <row r="224" spans="2:11" ht="13.5" hidden="1" thickBot="1" x14ac:dyDescent="0.25">
      <c r="C224" s="44"/>
      <c r="D224" s="156"/>
      <c r="E224" s="281" t="str">
        <f>IF(COUNT(E208,E210)=2,IF(E208&lt;E210,C208,C210),"")</f>
        <v>-</v>
      </c>
      <c r="F224" s="283"/>
      <c r="G224" s="191">
        <f>IF(E224="-",0,IF(E222="-",13,""))</f>
        <v>0</v>
      </c>
      <c r="H224" s="188"/>
      <c r="I224" s="195"/>
      <c r="J224" s="370" t="str">
        <f>IF(COUNT(I219,I223)=2,IF(I219&lt;I223,G219,G223),"")</f>
        <v/>
      </c>
      <c r="K224" s="371"/>
    </row>
    <row r="225" spans="3:11" hidden="1" x14ac:dyDescent="0.2">
      <c r="C225" s="44"/>
      <c r="D225" s="156"/>
      <c r="E225" s="188"/>
      <c r="F225" s="188"/>
      <c r="G225" s="188"/>
      <c r="H225" s="188"/>
      <c r="I225" s="195"/>
      <c r="J225" s="155" t="s">
        <v>221</v>
      </c>
    </row>
    <row r="226" spans="3:11" hidden="1" x14ac:dyDescent="0.2">
      <c r="C226" s="44"/>
      <c r="D226" s="156"/>
      <c r="E226" s="188"/>
      <c r="F226" s="195"/>
      <c r="G226" s="171" t="str">
        <f>IF(COUNT(G218,G220)=2,IF(G218&lt;G220,E218,E220),"")</f>
        <v>-</v>
      </c>
      <c r="H226" s="156"/>
      <c r="I226" s="195">
        <f>IF(G226="-",0,IF(G228="-",13,""))</f>
        <v>0</v>
      </c>
      <c r="J226" s="174"/>
    </row>
    <row r="227" spans="3:11" ht="13.5" hidden="1" thickBot="1" x14ac:dyDescent="0.25">
      <c r="C227" s="44"/>
      <c r="D227" s="156"/>
      <c r="E227" s="188"/>
      <c r="F227" s="195"/>
      <c r="G227" s="280"/>
      <c r="H227" s="224"/>
      <c r="I227" s="372"/>
      <c r="J227" s="171" t="str">
        <f>IF(COUNT(I226,I228)=2,IF(I226&gt;I228,G226,G228),"")</f>
        <v>-</v>
      </c>
    </row>
    <row r="228" spans="3:11" hidden="1" x14ac:dyDescent="0.2">
      <c r="C228" s="44"/>
      <c r="D228" s="156"/>
      <c r="E228" s="188"/>
      <c r="F228" s="195"/>
      <c r="G228" s="281" t="str">
        <f>IF(COUNT(G222,G224)=2,IF(G222&lt;G224,E222,E224),"")</f>
        <v>-</v>
      </c>
      <c r="H228" s="276"/>
      <c r="I228" s="191">
        <f>IF(G228="-",0,IF(G226="-",13,""))</f>
        <v>0</v>
      </c>
      <c r="J228" s="177"/>
      <c r="K228" s="221"/>
    </row>
    <row r="229" spans="3:11" hidden="1" x14ac:dyDescent="0.2">
      <c r="C229" s="44"/>
      <c r="D229" s="156"/>
      <c r="E229" s="156"/>
      <c r="F229" s="174"/>
      <c r="G229" s="156"/>
      <c r="H229" s="156"/>
      <c r="I229" s="156"/>
      <c r="J229" s="174"/>
      <c r="K229" s="222"/>
    </row>
    <row r="230" spans="3:11" ht="13.5" hidden="1" thickBot="1" x14ac:dyDescent="0.25">
      <c r="C230" s="44"/>
      <c r="D230" s="156"/>
      <c r="E230" s="156"/>
      <c r="F230" s="156"/>
      <c r="G230" s="174"/>
      <c r="H230" s="174"/>
      <c r="I230" s="156"/>
      <c r="J230" s="373" t="str">
        <f>IF(COUNT(I226,I228)=2,IF(I226&lt;I228,G226,G228),"")</f>
        <v>-</v>
      </c>
      <c r="K230" s="371"/>
    </row>
    <row r="231" spans="3:11" hidden="1" x14ac:dyDescent="0.2">
      <c r="C231" s="44"/>
      <c r="D231" s="156"/>
      <c r="E231" s="156"/>
      <c r="F231" s="156"/>
      <c r="G231" s="174"/>
      <c r="H231" s="174"/>
      <c r="I231" s="156"/>
      <c r="J231" s="155"/>
    </row>
    <row r="232" spans="3:11" hidden="1" x14ac:dyDescent="0.2"/>
    <row r="233" spans="3:11" hidden="1" x14ac:dyDescent="0.2"/>
    <row r="234" spans="3:11" hidden="1" x14ac:dyDescent="0.2"/>
    <row r="235" spans="3:11" hidden="1" x14ac:dyDescent="0.2"/>
    <row r="236" spans="3:11" hidden="1" x14ac:dyDescent="0.2"/>
    <row r="237" spans="3:11" hidden="1" x14ac:dyDescent="0.2"/>
    <row r="238" spans="3:11" hidden="1" x14ac:dyDescent="0.2"/>
    <row r="239" spans="3:11" hidden="1" x14ac:dyDescent="0.2"/>
    <row r="240" spans="3:11"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3" hidden="1" x14ac:dyDescent="0.2"/>
    <row r="290" spans="1:3" hidden="1" x14ac:dyDescent="0.2"/>
    <row r="291" spans="1:3" hidden="1" x14ac:dyDescent="0.2"/>
    <row r="292" spans="1:3" hidden="1" x14ac:dyDescent="0.2"/>
    <row r="293" spans="1:3" hidden="1" x14ac:dyDescent="0.2"/>
    <row r="294" spans="1:3" hidden="1" x14ac:dyDescent="0.2"/>
    <row r="295" spans="1:3" hidden="1" x14ac:dyDescent="0.2"/>
    <row r="296" spans="1:3" hidden="1" x14ac:dyDescent="0.2"/>
    <row r="299" spans="1:3" x14ac:dyDescent="0.2">
      <c r="A299" s="158"/>
      <c r="B299" s="158"/>
      <c r="C299" s="229"/>
    </row>
    <row r="300" spans="1:3" x14ac:dyDescent="0.2">
      <c r="A300" s="351">
        <v>1</v>
      </c>
      <c r="B300" s="350" t="str">
        <f t="shared" ref="B300:B317" si="11">IFERROR(INDEX(J$100:J$300,MATCH(A300&amp;". koht",J$101:J$301,0)),"")</f>
        <v/>
      </c>
      <c r="C300" s="323"/>
    </row>
    <row r="301" spans="1:3" x14ac:dyDescent="0.2">
      <c r="A301" s="351">
        <v>2</v>
      </c>
      <c r="B301" s="350" t="str">
        <f t="shared" si="11"/>
        <v/>
      </c>
      <c r="C301" s="323"/>
    </row>
    <row r="302" spans="1:3" x14ac:dyDescent="0.2">
      <c r="A302" s="351">
        <v>3</v>
      </c>
      <c r="B302" s="350" t="str">
        <f t="shared" si="11"/>
        <v/>
      </c>
      <c r="C302" s="323"/>
    </row>
    <row r="303" spans="1:3" x14ac:dyDescent="0.2">
      <c r="A303" s="351">
        <v>4</v>
      </c>
      <c r="B303" s="350" t="str">
        <f t="shared" si="11"/>
        <v/>
      </c>
      <c r="C303" s="323"/>
    </row>
    <row r="304" spans="1:3" x14ac:dyDescent="0.2">
      <c r="A304" s="351">
        <v>5</v>
      </c>
      <c r="B304" s="350" t="str">
        <f t="shared" si="11"/>
        <v/>
      </c>
      <c r="C304" s="323"/>
    </row>
    <row r="305" spans="1:3" x14ac:dyDescent="0.2">
      <c r="A305" s="351">
        <v>6</v>
      </c>
      <c r="B305" s="350" t="str">
        <f t="shared" si="11"/>
        <v/>
      </c>
      <c r="C305" s="323"/>
    </row>
    <row r="306" spans="1:3" x14ac:dyDescent="0.2">
      <c r="A306" s="351">
        <v>7</v>
      </c>
      <c r="B306" s="350" t="str">
        <f t="shared" si="11"/>
        <v/>
      </c>
      <c r="C306" s="323"/>
    </row>
    <row r="307" spans="1:3" x14ac:dyDescent="0.2">
      <c r="A307" s="351">
        <v>8</v>
      </c>
      <c r="B307" s="350" t="str">
        <f t="shared" si="11"/>
        <v/>
      </c>
      <c r="C307" s="323"/>
    </row>
    <row r="308" spans="1:3" x14ac:dyDescent="0.2">
      <c r="A308" s="351">
        <v>9</v>
      </c>
      <c r="B308" s="350" t="str">
        <f t="shared" si="11"/>
        <v/>
      </c>
      <c r="C308" s="323"/>
    </row>
    <row r="309" spans="1:3" x14ac:dyDescent="0.2">
      <c r="A309" s="351">
        <v>10</v>
      </c>
      <c r="B309" s="350" t="str">
        <f t="shared" si="11"/>
        <v/>
      </c>
      <c r="C309" s="323"/>
    </row>
    <row r="310" spans="1:3" x14ac:dyDescent="0.2">
      <c r="A310" s="351">
        <v>11</v>
      </c>
      <c r="B310" s="350" t="str">
        <f t="shared" si="11"/>
        <v/>
      </c>
      <c r="C310" s="323"/>
    </row>
    <row r="311" spans="1:3" x14ac:dyDescent="0.2">
      <c r="A311" s="351">
        <v>12</v>
      </c>
      <c r="B311" s="350" t="str">
        <f t="shared" si="11"/>
        <v/>
      </c>
      <c r="C311" s="323"/>
    </row>
    <row r="312" spans="1:3" x14ac:dyDescent="0.2">
      <c r="A312" s="351">
        <v>13</v>
      </c>
      <c r="B312" s="350" t="str">
        <f t="shared" si="11"/>
        <v/>
      </c>
      <c r="C312" s="323"/>
    </row>
    <row r="313" spans="1:3" x14ac:dyDescent="0.2">
      <c r="A313" s="351">
        <v>14</v>
      </c>
      <c r="B313" s="350" t="str">
        <f t="shared" si="11"/>
        <v/>
      </c>
      <c r="C313" s="323"/>
    </row>
    <row r="314" spans="1:3" x14ac:dyDescent="0.2">
      <c r="A314" s="351">
        <v>15</v>
      </c>
      <c r="B314" s="350" t="str">
        <f t="shared" si="11"/>
        <v/>
      </c>
      <c r="C314" s="323"/>
    </row>
    <row r="315" spans="1:3" x14ac:dyDescent="0.2">
      <c r="A315" s="351">
        <v>16</v>
      </c>
      <c r="B315" s="350" t="str">
        <f t="shared" si="11"/>
        <v/>
      </c>
      <c r="C315" s="323"/>
    </row>
    <row r="316" spans="1:3" x14ac:dyDescent="0.2">
      <c r="A316" s="351">
        <v>17</v>
      </c>
      <c r="B316" s="350" t="str">
        <f t="shared" si="11"/>
        <v/>
      </c>
      <c r="C316" s="323"/>
    </row>
    <row r="317" spans="1:3" x14ac:dyDescent="0.2">
      <c r="A317" s="351">
        <v>18</v>
      </c>
      <c r="B317" s="350" t="str">
        <f t="shared" si="11"/>
        <v/>
      </c>
      <c r="C317" s="323"/>
    </row>
  </sheetData>
  <conditionalFormatting sqref="D7 C8">
    <cfRule type="aboveAverage" dxfId="1816" priority="363"/>
  </conditionalFormatting>
  <conditionalFormatting sqref="E7 C9">
    <cfRule type="aboveAverage" dxfId="1815" priority="362"/>
  </conditionalFormatting>
  <conditionalFormatting sqref="F7 C10">
    <cfRule type="aboveAverage" dxfId="1814" priority="361"/>
  </conditionalFormatting>
  <conditionalFormatting sqref="E8 D9">
    <cfRule type="aboveAverage" dxfId="1813" priority="360"/>
  </conditionalFormatting>
  <conditionalFormatting sqref="G7 C11">
    <cfRule type="aboveAverage" dxfId="1812" priority="359"/>
  </conditionalFormatting>
  <conditionalFormatting sqref="F8 D10">
    <cfRule type="aboveAverage" dxfId="1811" priority="358"/>
  </conditionalFormatting>
  <conditionalFormatting sqref="G8 D11">
    <cfRule type="aboveAverage" dxfId="1810" priority="357"/>
  </conditionalFormatting>
  <conditionalFormatting sqref="F9 E10">
    <cfRule type="aboveAverage" dxfId="1809" priority="356"/>
  </conditionalFormatting>
  <conditionalFormatting sqref="G9 E11">
    <cfRule type="aboveAverage" dxfId="1808" priority="355"/>
  </conditionalFormatting>
  <conditionalFormatting sqref="F11 G10">
    <cfRule type="aboveAverage" dxfId="1807" priority="354"/>
  </conditionalFormatting>
  <conditionalFormatting sqref="D14 C15">
    <cfRule type="aboveAverage" dxfId="1806" priority="353"/>
  </conditionalFormatting>
  <conditionalFormatting sqref="E14 C16">
    <cfRule type="aboveAverage" dxfId="1805" priority="352"/>
  </conditionalFormatting>
  <conditionalFormatting sqref="F14 C17">
    <cfRule type="aboveAverage" dxfId="1804" priority="351"/>
  </conditionalFormatting>
  <conditionalFormatting sqref="E15 D16">
    <cfRule type="aboveAverage" dxfId="1803" priority="350"/>
  </conditionalFormatting>
  <conditionalFormatting sqref="G14 C18">
    <cfRule type="aboveAverage" dxfId="1802" priority="349"/>
  </conditionalFormatting>
  <conditionalFormatting sqref="F15 D17">
    <cfRule type="aboveAverage" dxfId="1801" priority="348"/>
  </conditionalFormatting>
  <conditionalFormatting sqref="G15 D18">
    <cfRule type="aboveAverage" dxfId="1800" priority="347"/>
  </conditionalFormatting>
  <conditionalFormatting sqref="F16 E17">
    <cfRule type="aboveAverage" dxfId="1799" priority="346"/>
  </conditionalFormatting>
  <conditionalFormatting sqref="G16 E18">
    <cfRule type="aboveAverage" dxfId="1798" priority="345"/>
  </conditionalFormatting>
  <conditionalFormatting sqref="F18 G17">
    <cfRule type="aboveAverage" dxfId="1797" priority="344"/>
  </conditionalFormatting>
  <conditionalFormatting sqref="D21 C22">
    <cfRule type="aboveAverage" dxfId="1796" priority="343"/>
  </conditionalFormatting>
  <conditionalFormatting sqref="E21 C23">
    <cfRule type="aboveAverage" dxfId="1795" priority="342"/>
  </conditionalFormatting>
  <conditionalFormatting sqref="F21 C24">
    <cfRule type="aboveAverage" dxfId="1794" priority="341"/>
  </conditionalFormatting>
  <conditionalFormatting sqref="E22 D23">
    <cfRule type="aboveAverage" dxfId="1793" priority="340"/>
  </conditionalFormatting>
  <conditionalFormatting sqref="G21 C25">
    <cfRule type="aboveAverage" dxfId="1792" priority="339"/>
  </conditionalFormatting>
  <conditionalFormatting sqref="F22 D24">
    <cfRule type="aboveAverage" dxfId="1791" priority="338"/>
  </conditionalFormatting>
  <conditionalFormatting sqref="G22 D25">
    <cfRule type="aboveAverage" dxfId="1790" priority="337"/>
  </conditionalFormatting>
  <conditionalFormatting sqref="F23 E24">
    <cfRule type="aboveAverage" dxfId="1789" priority="336"/>
  </conditionalFormatting>
  <conditionalFormatting sqref="G23 E25">
    <cfRule type="aboveAverage" dxfId="1788" priority="335"/>
  </conditionalFormatting>
  <conditionalFormatting sqref="F25 G24">
    <cfRule type="aboveAverage" dxfId="1787" priority="334"/>
  </conditionalFormatting>
  <conditionalFormatting sqref="D28 C29">
    <cfRule type="aboveAverage" dxfId="1786" priority="333"/>
  </conditionalFormatting>
  <conditionalFormatting sqref="E28 C30">
    <cfRule type="aboveAverage" dxfId="1785" priority="332"/>
  </conditionalFormatting>
  <conditionalFormatting sqref="F28 C31">
    <cfRule type="aboveAverage" dxfId="1784" priority="331"/>
  </conditionalFormatting>
  <conditionalFormatting sqref="E29 D30">
    <cfRule type="aboveAverage" dxfId="1783" priority="330"/>
  </conditionalFormatting>
  <conditionalFormatting sqref="G28 C32">
    <cfRule type="aboveAverage" dxfId="1782" priority="329"/>
  </conditionalFormatting>
  <conditionalFormatting sqref="F29 D31">
    <cfRule type="aboveAverage" dxfId="1781" priority="328"/>
  </conditionalFormatting>
  <conditionalFormatting sqref="G29 D32">
    <cfRule type="aboveAverage" dxfId="1780" priority="327"/>
  </conditionalFormatting>
  <conditionalFormatting sqref="F30 E31">
    <cfRule type="aboveAverage" dxfId="1779" priority="326"/>
  </conditionalFormatting>
  <conditionalFormatting sqref="G30 E32">
    <cfRule type="aboveAverage" dxfId="1778" priority="325"/>
  </conditionalFormatting>
  <conditionalFormatting sqref="F32 G31">
    <cfRule type="aboveAverage" dxfId="1777" priority="324"/>
  </conditionalFormatting>
  <conditionalFormatting sqref="D35 C36">
    <cfRule type="aboveAverage" dxfId="1776" priority="323"/>
  </conditionalFormatting>
  <conditionalFormatting sqref="E35 C37">
    <cfRule type="aboveAverage" dxfId="1775" priority="322"/>
  </conditionalFormatting>
  <conditionalFormatting sqref="F35 C38">
    <cfRule type="aboveAverage" dxfId="1774" priority="321"/>
  </conditionalFormatting>
  <conditionalFormatting sqref="E36 D37">
    <cfRule type="aboveAverage" dxfId="1773" priority="320"/>
  </conditionalFormatting>
  <conditionalFormatting sqref="G35 C39">
    <cfRule type="aboveAverage" dxfId="1772" priority="319"/>
  </conditionalFormatting>
  <conditionalFormatting sqref="F36 D38">
    <cfRule type="aboveAverage" dxfId="1771" priority="318"/>
  </conditionalFormatting>
  <conditionalFormatting sqref="G36 D39">
    <cfRule type="aboveAverage" dxfId="1770" priority="317"/>
  </conditionalFormatting>
  <conditionalFormatting sqref="F37 E38">
    <cfRule type="aboveAverage" dxfId="1769" priority="316"/>
  </conditionalFormatting>
  <conditionalFormatting sqref="G37 E39">
    <cfRule type="aboveAverage" dxfId="1768" priority="315"/>
  </conditionalFormatting>
  <conditionalFormatting sqref="F39 G38">
    <cfRule type="aboveAverage" dxfId="1767" priority="314"/>
  </conditionalFormatting>
  <conditionalFormatting sqref="D42 C43">
    <cfRule type="aboveAverage" dxfId="1766" priority="313"/>
  </conditionalFormatting>
  <conditionalFormatting sqref="E42 C44">
    <cfRule type="aboveAverage" dxfId="1765" priority="312"/>
  </conditionalFormatting>
  <conditionalFormatting sqref="F42 C45">
    <cfRule type="aboveAverage" dxfId="1764" priority="311"/>
  </conditionalFormatting>
  <conditionalFormatting sqref="E43 D44">
    <cfRule type="aboveAverage" dxfId="1763" priority="310"/>
  </conditionalFormatting>
  <conditionalFormatting sqref="G42 C46">
    <cfRule type="aboveAverage" dxfId="1762" priority="309"/>
  </conditionalFormatting>
  <conditionalFormatting sqref="F43 D45">
    <cfRule type="aboveAverage" dxfId="1761" priority="308"/>
  </conditionalFormatting>
  <conditionalFormatting sqref="G43 D46">
    <cfRule type="aboveAverage" dxfId="1760" priority="307"/>
  </conditionalFormatting>
  <conditionalFormatting sqref="F44 E45">
    <cfRule type="aboveAverage" dxfId="1759" priority="306"/>
  </conditionalFormatting>
  <conditionalFormatting sqref="G44 E46">
    <cfRule type="aboveAverage" dxfId="1758" priority="305"/>
  </conditionalFormatting>
  <conditionalFormatting sqref="F46 G45">
    <cfRule type="aboveAverage" dxfId="1757" priority="304"/>
  </conditionalFormatting>
  <conditionalFormatting sqref="H14:H18">
    <cfRule type="expression" dxfId="1756" priority="250">
      <formula>AND(Q14=4,IF(COUNTIF(Q$14:Q$18,"=4")&gt;=2,TRUE))</formula>
    </cfRule>
    <cfRule type="expression" dxfId="1755" priority="364">
      <formula>AND(Q14=3,IF(COUNTIF(Q$14:Q$18,"=3")&gt;=2,TRUE))</formula>
    </cfRule>
    <cfRule type="expression" dxfId="1754" priority="365">
      <formula>AND(Q14=2,IF(COUNTIF(Q$14:Q$18,"=2")&gt;=2,TRUE))</formula>
    </cfRule>
    <cfRule type="expression" dxfId="1753" priority="366">
      <formula>AND(Q14=1,IF(COUNTIF(Q$14:Q$18,"=1")&gt;=2,TRUE))</formula>
    </cfRule>
  </conditionalFormatting>
  <conditionalFormatting sqref="B7:B47">
    <cfRule type="duplicateValues" dxfId="1752" priority="303"/>
  </conditionalFormatting>
  <conditionalFormatting sqref="L7:L11">
    <cfRule type="expression" dxfId="1751" priority="286">
      <formula>K7=0</formula>
    </cfRule>
    <cfRule type="expression" dxfId="1750" priority="295">
      <formula>IF(COUNTIF(J$7:J$11,"=2")=2,TRUE)</formula>
    </cfRule>
    <cfRule type="expression" dxfId="1749" priority="296">
      <formula>IF(COUNTIF(J$7:J$11,"=1")=2,TRUE)</formula>
    </cfRule>
    <cfRule type="expression" dxfId="1748" priority="297">
      <formula>AND(IF(COUNTIF(Q$7:Q$11,"=1")=2,TRUE),IF(COUNTIF(Q$7:Q$11,"=2")=2,TRUE))</formula>
    </cfRule>
    <cfRule type="expression" dxfId="1747" priority="298">
      <formula>AND(Q7=4,IF(COUNTIF(Q$7:Q$11,"=4")=1,TRUE))</formula>
    </cfRule>
    <cfRule type="expression" dxfId="1746" priority="299">
      <formula>AND(Q7=3,IF(COUNTIF(Q$7:Q$11,"=3")=1,TRUE))</formula>
    </cfRule>
    <cfRule type="expression" dxfId="1745" priority="300">
      <formula>AND(Q7=2,IF(COUNTIF(Q$7:Q$11,"=2")=1,TRUE))</formula>
    </cfRule>
    <cfRule type="expression" dxfId="1744" priority="301">
      <formula>AND(Q7=1,IF(COUNTIF(Q$7:Q$11,"=1")=1,TRUE))</formula>
    </cfRule>
    <cfRule type="expression" dxfId="1743" priority="302">
      <formula>OR(Q7=0,Q7=5)</formula>
    </cfRule>
  </conditionalFormatting>
  <conditionalFormatting sqref="O7:O11">
    <cfRule type="expression" dxfId="1742" priority="294">
      <formula>OR(AND(J7=1,K7=1,L7=0,M7=1),AND(J7=2,K7=2,L7=0,M7=2))</formula>
    </cfRule>
  </conditionalFormatting>
  <conditionalFormatting sqref="M7:M11">
    <cfRule type="expression" dxfId="1741" priority="287">
      <formula>AND(L7&gt;0,IF(COUNTIF(L$7:L$11,L7)&gt;1,TRUE,FALSE))</formula>
    </cfRule>
    <cfRule type="expression" dxfId="1740" priority="288">
      <formula>AND(IF(COUNTIF(R$7:R$11,"=1")=2,TRUE),IF(COUNTIF(R$7:R$11,"=2")=2,TRUE))</formula>
    </cfRule>
    <cfRule type="expression" dxfId="1739" priority="289">
      <formula>AND(R7=4,IF(COUNTIF(R$7:R$11,"=4")=1,TRUE))</formula>
    </cfRule>
    <cfRule type="expression" dxfId="1738" priority="290">
      <formula>AND(R7=3,IF(COUNTIF(R$7:R$11,"=3")=1,TRUE))</formula>
    </cfRule>
    <cfRule type="expression" dxfId="1737" priority="291">
      <formula>AND(R7=2,IF(COUNTIF(R$7:R$11,"=2")=1,TRUE))</formula>
    </cfRule>
    <cfRule type="expression" dxfId="1736" priority="292">
      <formula>AND(R7=1,IF(COUNTIF(R$7:R$11,"=1")=1,TRUE))</formula>
    </cfRule>
    <cfRule type="expression" dxfId="1735" priority="293">
      <formula>OR(R7=0,R7=5)</formula>
    </cfRule>
  </conditionalFormatting>
  <conditionalFormatting sqref="J7:J11">
    <cfRule type="expression" dxfId="1734" priority="282">
      <formula>AND(Q7=4,IF(COUNTIF(Q$7:Q$11,"=4")&gt;=2,TRUE))</formula>
    </cfRule>
    <cfRule type="expression" dxfId="1733" priority="283">
      <formula>AND(Q7=3,IF(COUNTIF(Q$7:Q$11,"=3")&gt;=2,TRUE))</formula>
    </cfRule>
    <cfRule type="expression" dxfId="1732" priority="284">
      <formula>AND(Q7=2,IF(COUNTIF(Q$7:Q$11,"=2")&gt;=2,TRUE))</formula>
    </cfRule>
    <cfRule type="expression" dxfId="1731" priority="285">
      <formula>AND(Q7=1,IF(COUNTIF(Q$7:Q$11,"=1")&gt;=2,TRUE))</formula>
    </cfRule>
  </conditionalFormatting>
  <conditionalFormatting sqref="H7:H11">
    <cfRule type="expression" dxfId="1730" priority="251">
      <formula>AND(Q7=4,IF(COUNTIF(Q$7:Q$11,"=4")&gt;=2,TRUE))</formula>
    </cfRule>
    <cfRule type="expression" dxfId="1729" priority="367">
      <formula>AND(Q7=3,IF(COUNTIF(Q$7:Q$11,"=3")&gt;=2,TRUE))</formula>
    </cfRule>
    <cfRule type="expression" dxfId="1728" priority="368">
      <formula>AND(Q7=2,IF(COUNTIF(Q$7:Q$11,"=2")&gt;=2,TRUE))</formula>
    </cfRule>
    <cfRule type="expression" dxfId="1727" priority="369">
      <formula>AND(Q7=1,IF(COUNTIF(Q$7:Q$11,"=1")&gt;=2,TRUE))</formula>
    </cfRule>
  </conditionalFormatting>
  <conditionalFormatting sqref="K7:K11">
    <cfRule type="expression" dxfId="1726" priority="370">
      <formula>AND(J7&gt;0,IF(COUNTIF(J$7:J$11,"=1")=2,TRUE),IF(COUNTIF(J$7:J$11,"=2")=2,TRUE))</formula>
    </cfRule>
    <cfRule type="expression" dxfId="1725" priority="371">
      <formula>IF(COUNTIF(L$7:L$11,"=2")=2,TRUE)</formula>
    </cfRule>
    <cfRule type="expression" dxfId="1724" priority="372">
      <formula>IF(COUNTIF(L$7:L$11,"=1")=2,TRUE)</formula>
    </cfRule>
    <cfRule type="expression" dxfId="1723" priority="373">
      <formula>AND(IF(COUNTIF(R$7:R$11,"=1")=2,TRUE),IF(COUNTIF(S$7:S$11,"=2")=2,TRUE))</formula>
    </cfRule>
    <cfRule type="expression" dxfId="1722" priority="374">
      <formula>AND(R7=4,IF(COUNTIF(R$7:R$11,"=4")=1,TRUE))</formula>
    </cfRule>
    <cfRule type="expression" dxfId="1721" priority="375">
      <formula>AND(R7=3,IF(COUNTIF(R$7:R$11,"=3")=1,TRUE))</formula>
    </cfRule>
    <cfRule type="expression" dxfId="1720" priority="376">
      <formula>AND(R7=2,IF(COUNTIF(R$7:R$11,"=2")=1,TRUE))</formula>
    </cfRule>
    <cfRule type="expression" dxfId="1719" priority="377">
      <formula>AND(R7=1,IF(COUNTIF(R$7:R$11,"=1")=1,TRUE))</formula>
    </cfRule>
    <cfRule type="expression" dxfId="1718" priority="378">
      <formula>OR(R7=0,R7=5)</formula>
    </cfRule>
  </conditionalFormatting>
  <conditionalFormatting sqref="L14:L18">
    <cfRule type="expression" dxfId="1717" priority="256">
      <formula>K14=0</formula>
    </cfRule>
    <cfRule type="expression" dxfId="1716" priority="265">
      <formula>IF(COUNTIF(J$14:J$18,"=2")=2,TRUE)</formula>
    </cfRule>
    <cfRule type="expression" dxfId="1715" priority="266">
      <formula>IF(COUNTIF(J$14:J$18,"=1")=2,TRUE)</formula>
    </cfRule>
    <cfRule type="expression" dxfId="1714" priority="267">
      <formula>AND(IF(COUNTIF(Q$14:Q$18,"=1")=2,TRUE),IF(COUNTIF(Q$14:Q$18,"=2")=2,TRUE))</formula>
    </cfRule>
    <cfRule type="expression" dxfId="1713" priority="268">
      <formula>AND(Q14=4,IF(COUNTIF(Q$14:Q$18,"=4")=1,TRUE))</formula>
    </cfRule>
    <cfRule type="expression" dxfId="1712" priority="269">
      <formula>AND(Q14=3,IF(COUNTIF(Q$14:Q$18,"=3")=1,TRUE))</formula>
    </cfRule>
    <cfRule type="expression" dxfId="1711" priority="270">
      <formula>AND(Q14=2,IF(COUNTIF(Q$14:Q$18,"=2")=1,TRUE))</formula>
    </cfRule>
    <cfRule type="expression" dxfId="1710" priority="271">
      <formula>AND(Q14=1,IF(COUNTIF(Q$14:Q$18,"=1")=1,TRUE))</formula>
    </cfRule>
    <cfRule type="expression" dxfId="1709" priority="272">
      <formula>OR(Q14=0,Q14=5)</formula>
    </cfRule>
  </conditionalFormatting>
  <conditionalFormatting sqref="O14:O18">
    <cfRule type="expression" dxfId="1708" priority="264">
      <formula>OR(AND(J14=1,K14=1,L14=0,M14=1),AND(J14=2,K14=2,L14=0,M14=2))</formula>
    </cfRule>
  </conditionalFormatting>
  <conditionalFormatting sqref="M14:M18">
    <cfRule type="expression" dxfId="1707" priority="257">
      <formula>AND(L14&gt;0,IF(COUNTIF(L$14:L$18,L14)&gt;1,TRUE,FALSE))</formula>
    </cfRule>
    <cfRule type="expression" dxfId="1706" priority="258">
      <formula>AND(IF(COUNTIF(R$14:R$18,"=1")=2,TRUE),IF(COUNTIF(R$14:R$18,"=2")=2,TRUE))</formula>
    </cfRule>
    <cfRule type="expression" dxfId="1705" priority="259">
      <formula>AND(R14=4,IF(COUNTIF(R$14:R$18,"=4")=1,TRUE))</formula>
    </cfRule>
    <cfRule type="expression" dxfId="1704" priority="260">
      <formula>AND(R14=3,IF(COUNTIF(R$14:R$18,"=3")=1,TRUE))</formula>
    </cfRule>
    <cfRule type="expression" dxfId="1703" priority="261">
      <formula>AND(R14=2,IF(COUNTIF(R$14:R$18,"=2")=1,TRUE))</formula>
    </cfRule>
    <cfRule type="expression" dxfId="1702" priority="262">
      <formula>AND(R14=1,IF(COUNTIF(R$14:R$18,"=1")=1,TRUE))</formula>
    </cfRule>
    <cfRule type="expression" dxfId="1701" priority="263">
      <formula>OR(R14=0,R14=5)</formula>
    </cfRule>
  </conditionalFormatting>
  <conditionalFormatting sqref="J14:J18">
    <cfRule type="expression" dxfId="1700" priority="252">
      <formula>AND(Q14=4,IF(COUNTIF(Q$14:Q$18,"=4")&gt;=2,TRUE))</formula>
    </cfRule>
    <cfRule type="expression" dxfId="1699" priority="253">
      <formula>AND(Q14=3,IF(COUNTIF(Q$14:Q$18,"=3")&gt;=2,TRUE))</formula>
    </cfRule>
    <cfRule type="expression" dxfId="1698" priority="254">
      <formula>AND(Q14=2,IF(COUNTIF(Q$14:Q$18,"=2")&gt;=2,TRUE))</formula>
    </cfRule>
    <cfRule type="expression" dxfId="1697" priority="255">
      <formula>AND(Q14=1,IF(COUNTIF(Q$14:Q$18,"=1")&gt;=2,TRUE))</formula>
    </cfRule>
  </conditionalFormatting>
  <conditionalFormatting sqref="K14:K18">
    <cfRule type="expression" dxfId="1696" priority="273">
      <formula>AND(J14&gt;0,IF(COUNTIF(J$14:J$18,"=1")=2,TRUE),IF(COUNTIF(J$14:J$18,"=2")=2,TRUE))</formula>
    </cfRule>
    <cfRule type="expression" dxfId="1695" priority="274">
      <formula>IF(COUNTIF(L$14:L$18,"=2")=2,TRUE)</formula>
    </cfRule>
    <cfRule type="expression" dxfId="1694" priority="275">
      <formula>IF(COUNTIF(L$14:L$18,"=1")=2,TRUE)</formula>
    </cfRule>
    <cfRule type="expression" dxfId="1693" priority="276">
      <formula>AND(IF(COUNTIF(R$14:R$18,"=1")=2,TRUE),IF(COUNTIF(S$14:S$18,"=2")=2,TRUE))</formula>
    </cfRule>
    <cfRule type="expression" dxfId="1692" priority="277">
      <formula>AND(R14=4,IF(COUNTIF(R$14:R$18,"=4")=1,TRUE))</formula>
    </cfRule>
    <cfRule type="expression" dxfId="1691" priority="278">
      <formula>AND(R14=3,IF(COUNTIF(R$14:R$18,"=3")=1,TRUE))</formula>
    </cfRule>
    <cfRule type="expression" dxfId="1690" priority="279">
      <formula>AND(R14=2,IF(COUNTIF(R$14:R$18,"=2")=1,TRUE))</formula>
    </cfRule>
    <cfRule type="expression" dxfId="1689" priority="280">
      <formula>AND(R14=1,IF(COUNTIF(R$14:R$18,"=1")=1,TRUE))</formula>
    </cfRule>
    <cfRule type="expression" dxfId="1688" priority="281">
      <formula>OR(R14=0,R14=5)</formula>
    </cfRule>
  </conditionalFormatting>
  <conditionalFormatting sqref="L21:L25">
    <cfRule type="expression" dxfId="1687" priority="224">
      <formula>K21=0</formula>
    </cfRule>
    <cfRule type="expression" dxfId="1686" priority="233">
      <formula>IF(COUNTIF(J$21:J$25,"=2")=2,TRUE)</formula>
    </cfRule>
    <cfRule type="expression" dxfId="1685" priority="234">
      <formula>IF(COUNTIF(J$21:J$25,"=1")=2,TRUE)</formula>
    </cfRule>
    <cfRule type="expression" dxfId="1684" priority="235">
      <formula>AND(IF(COUNTIF(Q$21:Q$25,"=1")=2,TRUE),IF(COUNTIF(Q$21:Q$25,"=2")=2,TRUE))</formula>
    </cfRule>
    <cfRule type="expression" dxfId="1683" priority="236">
      <formula>AND(Q21=4,IF(COUNTIF(Q$21:Q$25,"=4")=1,TRUE))</formula>
    </cfRule>
    <cfRule type="expression" dxfId="1682" priority="237">
      <formula>AND(Q21=3,IF(COUNTIF(Q$21:Q$25,"=3")=1,TRUE))</formula>
    </cfRule>
    <cfRule type="expression" dxfId="1681" priority="238">
      <formula>AND(Q21=2,IF(COUNTIF(Q$21:Q$25,"=2")=1,TRUE))</formula>
    </cfRule>
    <cfRule type="expression" dxfId="1680" priority="239">
      <formula>AND(Q21=1,IF(COUNTIF(Q$21:Q$25,"=1")=1,TRUE))</formula>
    </cfRule>
    <cfRule type="expression" dxfId="1679" priority="240">
      <formula>OR(Q21=0,Q21=5)</formula>
    </cfRule>
  </conditionalFormatting>
  <conditionalFormatting sqref="O21:O25">
    <cfRule type="expression" dxfId="1678" priority="232">
      <formula>OR(AND(J21=1,K21=1,L21=0,M21=1),AND(J21=2,K21=2,L21=0,M21=2))</formula>
    </cfRule>
  </conditionalFormatting>
  <conditionalFormatting sqref="M21:M25">
    <cfRule type="expression" dxfId="1677" priority="225">
      <formula>AND(L21&gt;0,IF(COUNTIF(L$21:L$25,L21)&gt;1,TRUE,FALSE))</formula>
    </cfRule>
    <cfRule type="expression" dxfId="1676" priority="226">
      <formula>AND(IF(COUNTIF(R$21:R$25,"=1")=2,TRUE),IF(COUNTIF(R$21:R$25,"=2")=2,TRUE))</formula>
    </cfRule>
    <cfRule type="expression" dxfId="1675" priority="227">
      <formula>AND(R21=4,IF(COUNTIF(R$21:R$25,"=4")=1,TRUE))</formula>
    </cfRule>
    <cfRule type="expression" dxfId="1674" priority="228">
      <formula>AND(R21=3,IF(COUNTIF(R$21:R$25,"=3")=1,TRUE))</formula>
    </cfRule>
    <cfRule type="expression" dxfId="1673" priority="229">
      <formula>AND(R21=2,IF(COUNTIF(R$21:R$25,"=2")=1,TRUE))</formula>
    </cfRule>
    <cfRule type="expression" dxfId="1672" priority="230">
      <formula>AND(R21=1,IF(COUNTIF(R$21:R$25,"=1")=1,TRUE))</formula>
    </cfRule>
    <cfRule type="expression" dxfId="1671" priority="231">
      <formula>OR(R21=0,R21=5)</formula>
    </cfRule>
  </conditionalFormatting>
  <conditionalFormatting sqref="J21:J25">
    <cfRule type="expression" dxfId="1670" priority="220">
      <formula>AND(Q21=4,IF(COUNTIF(Q$21:Q$25,"=4")&gt;=2,TRUE))</formula>
    </cfRule>
    <cfRule type="expression" dxfId="1669" priority="221">
      <formula>AND(Q21=3,IF(COUNTIF(Q$21:Q$25,"=3")&gt;=2,TRUE))</formula>
    </cfRule>
    <cfRule type="expression" dxfId="1668" priority="222">
      <formula>AND(Q21=2,IF(COUNTIF(Q$21:Q$25,"=2")&gt;=2,TRUE))</formula>
    </cfRule>
    <cfRule type="expression" dxfId="1667" priority="223">
      <formula>AND(Q21=1,IF(COUNTIF(Q$21:Q$25,"=1")&gt;=2,TRUE))</formula>
    </cfRule>
  </conditionalFormatting>
  <conditionalFormatting sqref="K21:K25">
    <cfRule type="expression" dxfId="1666" priority="241">
      <formula>AND(J21&gt;0,IF(COUNTIF(J$21:J$25,"=1")=2,TRUE),IF(COUNTIF(J$21:J$25,"=2")=2,TRUE))</formula>
    </cfRule>
    <cfRule type="expression" dxfId="1665" priority="242">
      <formula>IF(COUNTIF(L$21:L$25,"=2")=2,TRUE)</formula>
    </cfRule>
    <cfRule type="expression" dxfId="1664" priority="243">
      <formula>IF(COUNTIF(L$21:L$25,"=1")=2,TRUE)</formula>
    </cfRule>
    <cfRule type="expression" dxfId="1663" priority="244">
      <formula>AND(IF(COUNTIF(R$21:R$25,"=1")=2,TRUE),IF(COUNTIF(S$21:S$25,"=2")=2,TRUE))</formula>
    </cfRule>
    <cfRule type="expression" dxfId="1662" priority="245">
      <formula>AND(R21=4,IF(COUNTIF(R$21:R$25,"=4")=1,TRUE))</formula>
    </cfRule>
    <cfRule type="expression" dxfId="1661" priority="246">
      <formula>AND(R21=3,IF(COUNTIF(R$21:R$25,"=3")=1,TRUE))</formula>
    </cfRule>
    <cfRule type="expression" dxfId="1660" priority="247">
      <formula>AND(R21=2,IF(COUNTIF(R$21:R$25,"=2")=1,TRUE))</formula>
    </cfRule>
    <cfRule type="expression" dxfId="1659" priority="248">
      <formula>AND(R21=1,IF(COUNTIF(R$21:R$25,"=1")=1,TRUE))</formula>
    </cfRule>
    <cfRule type="expression" dxfId="1658" priority="249">
      <formula>OR(R21=0,R21=5)</formula>
    </cfRule>
  </conditionalFormatting>
  <conditionalFormatting sqref="H21:H25">
    <cfRule type="expression" dxfId="1657" priority="216">
      <formula>AND(Q21=4,IF(COUNTIF(Q$21:Q$25,"=4")&gt;=2,TRUE))</formula>
    </cfRule>
    <cfRule type="expression" dxfId="1656" priority="217">
      <formula>AND(Q21=3,IF(COUNTIF(Q$21:Q$25,"=3")&gt;=2,TRUE))</formula>
    </cfRule>
    <cfRule type="expression" dxfId="1655" priority="218">
      <formula>AND(Q21=2,IF(COUNTIF(Q$21:Q$25,"=2")&gt;=2,TRUE))</formula>
    </cfRule>
    <cfRule type="expression" dxfId="1654" priority="219">
      <formula>AND(Q21=1,IF(COUNTIF(Q$21:Q$25,"=1")&gt;=2,TRUE))</formula>
    </cfRule>
  </conditionalFormatting>
  <conditionalFormatting sqref="L28:L32">
    <cfRule type="expression" dxfId="1653" priority="190">
      <formula>K28=0</formula>
    </cfRule>
    <cfRule type="expression" dxfId="1652" priority="199">
      <formula>IF(COUNTIF(J$28:J$32,"=2")=2,TRUE)</formula>
    </cfRule>
    <cfRule type="expression" dxfId="1651" priority="200">
      <formula>IF(COUNTIF(J$28:J$32,"=1")=2,TRUE)</formula>
    </cfRule>
    <cfRule type="expression" dxfId="1650" priority="201">
      <formula>AND(IF(COUNTIF(Q$28:Q$32,"=1")=2,TRUE),IF(COUNTIF(Q$28:Q$32,"=2")=2,TRUE))</formula>
    </cfRule>
    <cfRule type="expression" dxfId="1649" priority="202">
      <formula>AND(Q28=4,IF(COUNTIF(Q$28:Q$32,"=4")=1,TRUE))</formula>
    </cfRule>
    <cfRule type="expression" dxfId="1648" priority="203">
      <formula>AND(Q28=3,IF(COUNTIF(Q$28:Q$32,"=3")=1,TRUE))</formula>
    </cfRule>
    <cfRule type="expression" dxfId="1647" priority="204">
      <formula>AND(Q28=2,IF(COUNTIF(Q$28:Q$32,"=2")=1,TRUE))</formula>
    </cfRule>
    <cfRule type="expression" dxfId="1646" priority="205">
      <formula>AND(Q28=1,IF(COUNTIF(Q$28:Q$32,"=1")=1,TRUE))</formula>
    </cfRule>
    <cfRule type="expression" dxfId="1645" priority="206">
      <formula>OR(Q28=0,Q28=5)</formula>
    </cfRule>
  </conditionalFormatting>
  <conditionalFormatting sqref="O28:O32">
    <cfRule type="expression" dxfId="1644" priority="198">
      <formula>OR(AND(J28=1,K28=1,L28=0,M28=1),AND(J28=2,K28=2,L28=0,M28=2))</formula>
    </cfRule>
  </conditionalFormatting>
  <conditionalFormatting sqref="M28:M32">
    <cfRule type="expression" dxfId="1643" priority="191">
      <formula>AND(L28&gt;0,IF(COUNTIF(L$28:L$32,L28)&gt;1,TRUE,FALSE))</formula>
    </cfRule>
    <cfRule type="expression" dxfId="1642" priority="192">
      <formula>AND(IF(COUNTIF(R$28:R$32,"=1")=2,TRUE),IF(COUNTIF(R$28:R$32,"=2")=2,TRUE))</formula>
    </cfRule>
    <cfRule type="expression" dxfId="1641" priority="193">
      <formula>AND(R28=4,IF(COUNTIF(R$28:R$32,"=4")=1,TRUE))</formula>
    </cfRule>
    <cfRule type="expression" dxfId="1640" priority="194">
      <formula>AND(R28=3,IF(COUNTIF(R$28:R$32,"=3")=1,TRUE))</formula>
    </cfRule>
    <cfRule type="expression" dxfId="1639" priority="195">
      <formula>AND(R28=2,IF(COUNTIF(R$28:R$32,"=2")=1,TRUE))</formula>
    </cfRule>
    <cfRule type="expression" dxfId="1638" priority="196">
      <formula>AND(R28=1,IF(COUNTIF(R$28:R$32,"=1")=1,TRUE))</formula>
    </cfRule>
    <cfRule type="expression" dxfId="1637" priority="197">
      <formula>OR(R28=0,R28=5)</formula>
    </cfRule>
  </conditionalFormatting>
  <conditionalFormatting sqref="J28:J32">
    <cfRule type="expression" dxfId="1636" priority="186">
      <formula>AND(Q28=4,IF(COUNTIF(Q$28:Q$32,"=4")&gt;=2,TRUE))</formula>
    </cfRule>
    <cfRule type="expression" dxfId="1635" priority="187">
      <formula>AND(Q28=3,IF(COUNTIF(Q$28:Q$32,"=3")&gt;=2,TRUE))</formula>
    </cfRule>
    <cfRule type="expression" dxfId="1634" priority="188">
      <formula>AND(Q28=2,IF(COUNTIF(Q$28:Q$32,"=2")&gt;=2,TRUE))</formula>
    </cfRule>
    <cfRule type="expression" dxfId="1633" priority="189">
      <formula>AND(Q28=1,IF(COUNTIF(Q$28:Q$32,"=1")&gt;=2,TRUE))</formula>
    </cfRule>
  </conditionalFormatting>
  <conditionalFormatting sqref="K28:K32">
    <cfRule type="expression" dxfId="1632" priority="207">
      <formula>AND(J28&gt;0,IF(COUNTIF(J$28:J$32,"=1")=2,TRUE),IF(COUNTIF(J$28:J$32,"=2")=2,TRUE))</formula>
    </cfRule>
    <cfRule type="expression" dxfId="1631" priority="208">
      <formula>IF(COUNTIF(L$28:L$32,"=2")=2,TRUE)</formula>
    </cfRule>
    <cfRule type="expression" dxfId="1630" priority="209">
      <formula>IF(COUNTIF(L$28:L$32,"=1")=2,TRUE)</formula>
    </cfRule>
    <cfRule type="expression" dxfId="1629" priority="210">
      <formula>AND(IF(COUNTIF(R$28:R$32,"=1")=2,TRUE),IF(COUNTIF(S$28:S$32,"=2")=2,TRUE))</formula>
    </cfRule>
    <cfRule type="expression" dxfId="1628" priority="211">
      <formula>AND(R28=4,IF(COUNTIF(R$28:R$32,"=4")=1,TRUE))</formula>
    </cfRule>
    <cfRule type="expression" dxfId="1627" priority="212">
      <formula>AND(R28=3,IF(COUNTIF(R$28:R$32,"=3")=1,TRUE))</formula>
    </cfRule>
    <cfRule type="expression" dxfId="1626" priority="213">
      <formula>AND(R28=2,IF(COUNTIF(R$28:R$32,"=2")=1,TRUE))</formula>
    </cfRule>
    <cfRule type="expression" dxfId="1625" priority="214">
      <formula>AND(R28=1,IF(COUNTIF(R$28:R$32,"=1")=1,TRUE))</formula>
    </cfRule>
    <cfRule type="expression" dxfId="1624" priority="215">
      <formula>OR(R28=0,R28=5)</formula>
    </cfRule>
  </conditionalFormatting>
  <conditionalFormatting sqref="H28:H32">
    <cfRule type="expression" dxfId="1623" priority="182">
      <formula>AND(Q28=4,IF(COUNTIF(Q$28:Q$32,"=4")&gt;=2,TRUE))</formula>
    </cfRule>
    <cfRule type="expression" dxfId="1622" priority="183">
      <formula>AND(Q28=3,IF(COUNTIF(Q$28:Q$32,"=3")&gt;=2,TRUE))</formula>
    </cfRule>
    <cfRule type="expression" dxfId="1621" priority="184">
      <formula>AND(Q28=2,IF(COUNTIF(Q$28:Q$32,"=2")&gt;=2,TRUE))</formula>
    </cfRule>
    <cfRule type="expression" dxfId="1620" priority="185">
      <formula>AND(Q28=1,IF(COUNTIF(Q$28:Q$32,"=1")&gt;=2,TRUE))</formula>
    </cfRule>
  </conditionalFormatting>
  <conditionalFormatting sqref="L35:L39">
    <cfRule type="expression" dxfId="1619" priority="156">
      <formula>K35=0</formula>
    </cfRule>
    <cfRule type="expression" dxfId="1618" priority="165">
      <formula>IF(COUNTIF(J$35:J$39,"=2")=2,TRUE)</formula>
    </cfRule>
    <cfRule type="expression" dxfId="1617" priority="166">
      <formula>IF(COUNTIF(J$35:J$39,"=1")=2,TRUE)</formula>
    </cfRule>
    <cfRule type="expression" dxfId="1616" priority="167">
      <formula>AND(IF(COUNTIF(Q$35:Q$39,"=1")=2,TRUE),IF(COUNTIF(Q$35:Q$39,"=2")=2,TRUE))</formula>
    </cfRule>
    <cfRule type="expression" dxfId="1615" priority="168">
      <formula>AND(Q35=4,IF(COUNTIF(Q$35:Q$39,"=4")=1,TRUE))</formula>
    </cfRule>
    <cfRule type="expression" dxfId="1614" priority="169">
      <formula>AND(Q35=3,IF(COUNTIF(Q$35:Q$39,"=3")=1,TRUE))</formula>
    </cfRule>
    <cfRule type="expression" dxfId="1613" priority="170">
      <formula>AND(Q35=2,IF(COUNTIF(Q$35:Q$39,"=2")=1,TRUE))</formula>
    </cfRule>
    <cfRule type="expression" dxfId="1612" priority="171">
      <formula>AND(Q35=1,IF(COUNTIF(Q$35:Q$39,"=1")=1,TRUE))</formula>
    </cfRule>
    <cfRule type="expression" dxfId="1611" priority="172">
      <formula>OR(Q35=0,Q35=5)</formula>
    </cfRule>
  </conditionalFormatting>
  <conditionalFormatting sqref="O35:O39">
    <cfRule type="expression" dxfId="1610" priority="164">
      <formula>OR(AND(J35=1,K35=1,L35=0,M35=1),AND(J35=2,K35=2,L35=0,M35=2))</formula>
    </cfRule>
  </conditionalFormatting>
  <conditionalFormatting sqref="M35:M39">
    <cfRule type="expression" dxfId="1609" priority="157">
      <formula>AND(L35&gt;0,IF(COUNTIF(L$35:L$39,L35)&gt;1,TRUE,FALSE))</formula>
    </cfRule>
    <cfRule type="expression" dxfId="1608" priority="158">
      <formula>AND(IF(COUNTIF(R$35:R$39,"=1")=2,TRUE),IF(COUNTIF(R$35:R$39,"=2")=2,TRUE))</formula>
    </cfRule>
    <cfRule type="expression" dxfId="1607" priority="159">
      <formula>AND(R35=4,IF(COUNTIF(R$35:R$39,"=4")=1,TRUE))</formula>
    </cfRule>
    <cfRule type="expression" dxfId="1606" priority="160">
      <formula>AND(R35=3,IF(COUNTIF(R$35:R$39,"=3")=1,TRUE))</formula>
    </cfRule>
    <cfRule type="expression" dxfId="1605" priority="161">
      <formula>AND(R35=2,IF(COUNTIF(R$35:R$39,"=2")=1,TRUE))</formula>
    </cfRule>
    <cfRule type="expression" dxfId="1604" priority="162">
      <formula>AND(R35=1,IF(COUNTIF(R$35:R$39,"=1")=1,TRUE))</formula>
    </cfRule>
    <cfRule type="expression" dxfId="1603" priority="163">
      <formula>OR(R35=0,R35=5)</formula>
    </cfRule>
  </conditionalFormatting>
  <conditionalFormatting sqref="J35:J39">
    <cfRule type="expression" dxfId="1602" priority="152">
      <formula>AND(Q35=4,IF(COUNTIF(Q$35:Q$39,"=4")&gt;=2,TRUE))</formula>
    </cfRule>
    <cfRule type="expression" dxfId="1601" priority="153">
      <formula>AND(Q35=3,IF(COUNTIF(Q$35:Q$39,"=3")&gt;=2,TRUE))</formula>
    </cfRule>
    <cfRule type="expression" dxfId="1600" priority="154">
      <formula>AND(Q35=2,IF(COUNTIF(Q$35:Q$39,"=2")&gt;=2,TRUE))</formula>
    </cfRule>
    <cfRule type="expression" dxfId="1599" priority="155">
      <formula>AND(Q35=1,IF(COUNTIF(Q$35:Q$39,"=1")&gt;=2,TRUE))</formula>
    </cfRule>
  </conditionalFormatting>
  <conditionalFormatting sqref="K35:K39">
    <cfRule type="expression" dxfId="1598" priority="173">
      <formula>AND(J35&gt;0,IF(COUNTIF(J$35:J$39,"=1")=2,TRUE),IF(COUNTIF(J$35:J$39,"=2")=2,TRUE))</formula>
    </cfRule>
    <cfRule type="expression" dxfId="1597" priority="174">
      <formula>IF(COUNTIF(L$35:L$39,"=2")=2,TRUE)</formula>
    </cfRule>
    <cfRule type="expression" dxfId="1596" priority="175">
      <formula>IF(COUNTIF(L$35:L$39,"=1")=2,TRUE)</formula>
    </cfRule>
    <cfRule type="expression" dxfId="1595" priority="176">
      <formula>AND(IF(COUNTIF(R$35:R$39,"=1")=2,TRUE),IF(COUNTIF(S$35:S$39,"=2")=2,TRUE))</formula>
    </cfRule>
    <cfRule type="expression" dxfId="1594" priority="177">
      <formula>AND(R35=4,IF(COUNTIF(R$35:R$39,"=4")=1,TRUE))</formula>
    </cfRule>
    <cfRule type="expression" dxfId="1593" priority="178">
      <formula>AND(R35=3,IF(COUNTIF(R$35:R$39,"=3")=1,TRUE))</formula>
    </cfRule>
    <cfRule type="expression" dxfId="1592" priority="179">
      <formula>AND(R35=2,IF(COUNTIF(R$35:R$39,"=2")=1,TRUE))</formula>
    </cfRule>
    <cfRule type="expression" dxfId="1591" priority="180">
      <formula>AND(R35=1,IF(COUNTIF(R$35:R$39,"=1")=1,TRUE))</formula>
    </cfRule>
    <cfRule type="expression" dxfId="1590" priority="181">
      <formula>OR(R35=0,R35=5)</formula>
    </cfRule>
  </conditionalFormatting>
  <conditionalFormatting sqref="H35:H39">
    <cfRule type="expression" dxfId="1589" priority="148">
      <formula>AND(Q35=4,IF(COUNTIF(Q$35:Q$39,"=4")&gt;=2,TRUE))</formula>
    </cfRule>
    <cfRule type="expression" dxfId="1588" priority="149">
      <formula>AND(Q35=3,IF(COUNTIF(Q$35:Q$39,"=3")&gt;=2,TRUE))</formula>
    </cfRule>
    <cfRule type="expression" dxfId="1587" priority="150">
      <formula>AND(Q35=2,IF(COUNTIF(Q$35:Q$39,"=2")&gt;=2,TRUE))</formula>
    </cfRule>
    <cfRule type="expression" dxfId="1586" priority="151">
      <formula>AND(Q35=1,IF(COUNTIF(Q$35:Q$39,"=1")&gt;=2,TRUE))</formula>
    </cfRule>
  </conditionalFormatting>
  <conditionalFormatting sqref="L42:L46">
    <cfRule type="expression" dxfId="1585" priority="122">
      <formula>K42=0</formula>
    </cfRule>
    <cfRule type="expression" dxfId="1584" priority="131">
      <formula>IF(COUNTIF(J$42:J$46,"=2")=2,TRUE)</formula>
    </cfRule>
    <cfRule type="expression" dxfId="1583" priority="132">
      <formula>IF(COUNTIF(J$42:J$46,"=1")=2,TRUE)</formula>
    </cfRule>
    <cfRule type="expression" dxfId="1582" priority="133">
      <formula>AND(IF(COUNTIF(Q$42:Q$46,"=1")=2,TRUE),IF(COUNTIF(Q$42:Q$46,"=2")=2,TRUE))</formula>
    </cfRule>
    <cfRule type="expression" dxfId="1581" priority="134">
      <formula>AND(Q42=4,IF(COUNTIF(Q$42:Q$46,"=4")=1,TRUE))</formula>
    </cfRule>
    <cfRule type="expression" dxfId="1580" priority="135">
      <formula>AND(Q42=3,IF(COUNTIF(Q$42:Q$46,"=3")=1,TRUE))</formula>
    </cfRule>
    <cfRule type="expression" dxfId="1579" priority="136">
      <formula>AND(Q42=2,IF(COUNTIF(Q$42:Q$46,"=2")=1,TRUE))</formula>
    </cfRule>
    <cfRule type="expression" dxfId="1578" priority="137">
      <formula>AND(Q42=1,IF(COUNTIF(Q$42:Q$46,"=1")=1,TRUE))</formula>
    </cfRule>
    <cfRule type="expression" dxfId="1577" priority="138">
      <formula>OR(Q42=0,Q42=5)</formula>
    </cfRule>
  </conditionalFormatting>
  <conditionalFormatting sqref="O42:O46">
    <cfRule type="expression" dxfId="1576" priority="130">
      <formula>OR(AND(J42=1,K42=1,L42=0,M42=1),AND(J42=2,K42=2,L42=0,M42=2))</formula>
    </cfRule>
  </conditionalFormatting>
  <conditionalFormatting sqref="M42:M46">
    <cfRule type="expression" dxfId="1575" priority="123">
      <formula>AND(L42&gt;0,IF(COUNTIF(L$42:L$46,L42)&gt;1,TRUE,FALSE))</formula>
    </cfRule>
    <cfRule type="expression" dxfId="1574" priority="124">
      <formula>AND(IF(COUNTIF(R$42:R$46,"=1")=2,TRUE),IF(COUNTIF(R$42:R$46,"=2")=2,TRUE))</formula>
    </cfRule>
    <cfRule type="expression" dxfId="1573" priority="125">
      <formula>AND(R42=4,IF(COUNTIF(R$42:R$46,"=4")=1,TRUE))</formula>
    </cfRule>
    <cfRule type="expression" dxfId="1572" priority="126">
      <formula>AND(R42=3,IF(COUNTIF(R$42:R$46,"=3")=1,TRUE))</formula>
    </cfRule>
    <cfRule type="expression" dxfId="1571" priority="127">
      <formula>AND(R42=2,IF(COUNTIF(R$42:R$46,"=2")=1,TRUE))</formula>
    </cfRule>
    <cfRule type="expression" dxfId="1570" priority="128">
      <formula>AND(R42=1,IF(COUNTIF(R$42:R$46,"=1")=1,TRUE))</formula>
    </cfRule>
    <cfRule type="expression" dxfId="1569" priority="129">
      <formula>OR(R42=0,R42=5)</formula>
    </cfRule>
  </conditionalFormatting>
  <conditionalFormatting sqref="J42:J46">
    <cfRule type="expression" dxfId="1568" priority="118">
      <formula>AND(Q42=4,IF(COUNTIF(Q$42:Q$46,"=4")&gt;=2,TRUE))</formula>
    </cfRule>
    <cfRule type="expression" dxfId="1567" priority="119">
      <formula>AND(Q42=3,IF(COUNTIF(Q$42:Q$46,"=3")&gt;=2,TRUE))</formula>
    </cfRule>
    <cfRule type="expression" dxfId="1566" priority="120">
      <formula>AND(Q42=2,IF(COUNTIF(Q$42:Q$46,"=2")&gt;=2,TRUE))</formula>
    </cfRule>
    <cfRule type="expression" dxfId="1565" priority="121">
      <formula>AND(Q42=1,IF(COUNTIF(Q$42:Q$46,"=1")&gt;=2,TRUE))</formula>
    </cfRule>
  </conditionalFormatting>
  <conditionalFormatting sqref="K42:K46">
    <cfRule type="expression" dxfId="1564" priority="139">
      <formula>AND(J42&gt;0,IF(COUNTIF(J$42:J$46,"=1")=2,TRUE),IF(COUNTIF(J$42:J$46,"=2")=2,TRUE))</formula>
    </cfRule>
    <cfRule type="expression" dxfId="1563" priority="140">
      <formula>IF(COUNTIF(L$42:L$46,"=2")=2,TRUE)</formula>
    </cfRule>
    <cfRule type="expression" dxfId="1562" priority="141">
      <formula>IF(COUNTIF(L$42:L$46,"=1")=2,TRUE)</formula>
    </cfRule>
    <cfRule type="expression" dxfId="1561" priority="142">
      <formula>AND(IF(COUNTIF(R$42:R$46,"=1")=2,TRUE),IF(COUNTIF(S$42:S$46,"=2")=2,TRUE))</formula>
    </cfRule>
    <cfRule type="expression" dxfId="1560" priority="143">
      <formula>AND(R42=4,IF(COUNTIF(R$42:R$46,"=4")=1,TRUE))</formula>
    </cfRule>
    <cfRule type="expression" dxfId="1559" priority="144">
      <formula>AND(R42=3,IF(COUNTIF(R$42:R$46,"=3")=1,TRUE))</formula>
    </cfRule>
    <cfRule type="expression" dxfId="1558" priority="145">
      <formula>AND(R42=2,IF(COUNTIF(R$42:R$46,"=2")=1,TRUE))</formula>
    </cfRule>
    <cfRule type="expression" dxfId="1557" priority="146">
      <formula>AND(R42=1,IF(COUNTIF(R$42:R$46,"=1")=1,TRUE))</formula>
    </cfRule>
    <cfRule type="expression" dxfId="1556" priority="147">
      <formula>OR(R42=0,R42=5)</formula>
    </cfRule>
  </conditionalFormatting>
  <conditionalFormatting sqref="H42:H46">
    <cfRule type="expression" dxfId="1555" priority="114">
      <formula>AND(Q42=4,IF(COUNTIF(Q$42:Q$46,"=4")&gt;=2,TRUE))</formula>
    </cfRule>
    <cfRule type="expression" dxfId="1554" priority="115">
      <formula>AND(Q42=3,IF(COUNTIF(Q$42:Q$46,"=3")&gt;=2,TRUE))</formula>
    </cfRule>
    <cfRule type="expression" dxfId="1553" priority="116">
      <formula>AND(Q42=2,IF(COUNTIF(Q$42:Q$46,"=2")&gt;=2,TRUE))</formula>
    </cfRule>
    <cfRule type="expression" dxfId="1552" priority="117">
      <formula>AND(Q42=1,IF(COUNTIF(Q$42:Q$46,"=1")&gt;=2,TRUE))</formula>
    </cfRule>
  </conditionalFormatting>
  <conditionalFormatting sqref="E196 E198">
    <cfRule type="containsBlanks" dxfId="1551" priority="47">
      <formula>LEN(TRIM(E196))=0</formula>
    </cfRule>
  </conditionalFormatting>
  <conditionalFormatting sqref="G179 G181">
    <cfRule type="containsBlanks" dxfId="1550" priority="53">
      <formula>LEN(TRIM(G179))=0</formula>
    </cfRule>
  </conditionalFormatting>
  <conditionalFormatting sqref="A102:A132">
    <cfRule type="cellIs" priority="24" stopIfTrue="1" operator="equal">
      <formula>"-"</formula>
    </cfRule>
    <cfRule type="duplicateValues" dxfId="1549" priority="113"/>
  </conditionalFormatting>
  <conditionalFormatting sqref="C102 C104">
    <cfRule type="aboveAverage" dxfId="1548" priority="112"/>
  </conditionalFormatting>
  <conditionalFormatting sqref="C102 C104">
    <cfRule type="containsBlanks" dxfId="1547" priority="111">
      <formula>LEN(TRIM(C102))=0</formula>
    </cfRule>
  </conditionalFormatting>
  <conditionalFormatting sqref="C114 C116">
    <cfRule type="aboveAverage" dxfId="1546" priority="110"/>
  </conditionalFormatting>
  <conditionalFormatting sqref="C114 C116">
    <cfRule type="containsBlanks" dxfId="1545" priority="109">
      <formula>LEN(TRIM(C114))=0</formula>
    </cfRule>
  </conditionalFormatting>
  <conditionalFormatting sqref="C118 C120">
    <cfRule type="aboveAverage" dxfId="1544" priority="108"/>
  </conditionalFormatting>
  <conditionalFormatting sqref="C118 C120">
    <cfRule type="containsBlanks" dxfId="1543" priority="107">
      <formula>LEN(TRIM(C118))=0</formula>
    </cfRule>
  </conditionalFormatting>
  <conditionalFormatting sqref="C126 C128">
    <cfRule type="aboveAverage" dxfId="1542" priority="106"/>
  </conditionalFormatting>
  <conditionalFormatting sqref="C126 C128">
    <cfRule type="containsBlanks" dxfId="1541" priority="105">
      <formula>LEN(TRIM(C126))=0</formula>
    </cfRule>
  </conditionalFormatting>
  <conditionalFormatting sqref="C106 C108">
    <cfRule type="aboveAverage" dxfId="1540" priority="104"/>
  </conditionalFormatting>
  <conditionalFormatting sqref="C106 C108">
    <cfRule type="containsBlanks" dxfId="1539" priority="103">
      <formula>LEN(TRIM(C106))=0</formula>
    </cfRule>
  </conditionalFormatting>
  <conditionalFormatting sqref="C110 C112">
    <cfRule type="aboveAverage" dxfId="1538" priority="102"/>
  </conditionalFormatting>
  <conditionalFormatting sqref="C110 C112">
    <cfRule type="containsBlanks" dxfId="1537" priority="101">
      <formula>LEN(TRIM(C110))=0</formula>
    </cfRule>
  </conditionalFormatting>
  <conditionalFormatting sqref="C122 C124">
    <cfRule type="aboveAverage" dxfId="1536" priority="100"/>
  </conditionalFormatting>
  <conditionalFormatting sqref="C122 C124">
    <cfRule type="containsBlanks" dxfId="1535" priority="99">
      <formula>LEN(TRIM(C122))=0</formula>
    </cfRule>
  </conditionalFormatting>
  <conditionalFormatting sqref="C130 C132">
    <cfRule type="aboveAverage" dxfId="1534" priority="98"/>
  </conditionalFormatting>
  <conditionalFormatting sqref="C130 C132">
    <cfRule type="containsBlanks" dxfId="1533" priority="97">
      <formula>LEN(TRIM(C130))=0</formula>
    </cfRule>
  </conditionalFormatting>
  <conditionalFormatting sqref="E103 E107">
    <cfRule type="containsBlanks" dxfId="1532" priority="95">
      <formula>LEN(TRIM(E103))=0</formula>
    </cfRule>
    <cfRule type="aboveAverage" dxfId="1531" priority="96"/>
  </conditionalFormatting>
  <conditionalFormatting sqref="E111 E115">
    <cfRule type="containsBlanks" dxfId="1530" priority="93">
      <formula>LEN(TRIM(E111))=0</formula>
    </cfRule>
    <cfRule type="aboveAverage" dxfId="1529" priority="94"/>
  </conditionalFormatting>
  <conditionalFormatting sqref="E119 E123">
    <cfRule type="containsBlanks" dxfId="1528" priority="91">
      <formula>LEN(TRIM(E119))=0</formula>
    </cfRule>
    <cfRule type="aboveAverage" dxfId="1527" priority="92"/>
  </conditionalFormatting>
  <conditionalFormatting sqref="E127 E131">
    <cfRule type="containsBlanks" dxfId="1526" priority="89">
      <formula>LEN(TRIM(E127))=0</formula>
    </cfRule>
    <cfRule type="aboveAverage" dxfId="1525" priority="90"/>
  </conditionalFormatting>
  <conditionalFormatting sqref="I141 I145">
    <cfRule type="containsBlanks" dxfId="1524" priority="87">
      <formula>LEN(TRIM(I141))=0</formula>
    </cfRule>
    <cfRule type="aboveAverage" dxfId="1523" priority="88"/>
  </conditionalFormatting>
  <conditionalFormatting sqref="G140 G142">
    <cfRule type="aboveAverage" dxfId="1522" priority="86"/>
  </conditionalFormatting>
  <conditionalFormatting sqref="G140 G142">
    <cfRule type="containsBlanks" dxfId="1521" priority="85">
      <formula>LEN(TRIM(G140))=0</formula>
    </cfRule>
  </conditionalFormatting>
  <conditionalFormatting sqref="G144 G146">
    <cfRule type="aboveAverage" dxfId="1520" priority="84"/>
  </conditionalFormatting>
  <conditionalFormatting sqref="G144 G146">
    <cfRule type="containsBlanks" dxfId="1519" priority="83">
      <formula>LEN(TRIM(G144))=0</formula>
    </cfRule>
  </conditionalFormatting>
  <conditionalFormatting sqref="I131 I133">
    <cfRule type="aboveAverage" dxfId="1518" priority="82"/>
  </conditionalFormatting>
  <conditionalFormatting sqref="I131 I133">
    <cfRule type="containsBlanks" dxfId="1517" priority="81">
      <formula>LEN(TRIM(I131))=0</formula>
    </cfRule>
  </conditionalFormatting>
  <conditionalFormatting sqref="I148 I150">
    <cfRule type="aboveAverage" dxfId="1516" priority="80"/>
  </conditionalFormatting>
  <conditionalFormatting sqref="I148 I150">
    <cfRule type="containsBlanks" dxfId="1515" priority="79">
      <formula>LEN(TRIM(I148))=0</formula>
    </cfRule>
  </conditionalFormatting>
  <conditionalFormatting sqref="G105 G113">
    <cfRule type="containsBlanks" dxfId="1514" priority="77">
      <formula>LEN(TRIM(G105))=0</formula>
    </cfRule>
    <cfRule type="aboveAverage" dxfId="1513" priority="78"/>
  </conditionalFormatting>
  <conditionalFormatting sqref="G121 G129">
    <cfRule type="containsBlanks" dxfId="1512" priority="75">
      <formula>LEN(TRIM(G121))=0</formula>
    </cfRule>
    <cfRule type="aboveAverage" dxfId="1511" priority="76"/>
  </conditionalFormatting>
  <conditionalFormatting sqref="I109 I125">
    <cfRule type="containsBlanks" dxfId="1510" priority="73">
      <formula>LEN(TRIM(I109))=0</formula>
    </cfRule>
    <cfRule type="aboveAverage" dxfId="1509" priority="74"/>
  </conditionalFormatting>
  <conditionalFormatting sqref="E157 E159">
    <cfRule type="aboveAverage" dxfId="1508" priority="72"/>
  </conditionalFormatting>
  <conditionalFormatting sqref="E157 E159">
    <cfRule type="containsBlanks" dxfId="1507" priority="71">
      <formula>LEN(TRIM(E157))=0</formula>
    </cfRule>
  </conditionalFormatting>
  <conditionalFormatting sqref="G183 G185">
    <cfRule type="containsBlanks" dxfId="1506" priority="51">
      <formula>LEN(TRIM(G183))=0</formula>
    </cfRule>
  </conditionalFormatting>
  <conditionalFormatting sqref="I187 I189">
    <cfRule type="containsBlanks" dxfId="1505" priority="49">
      <formula>LEN(TRIM(I187))=0</formula>
    </cfRule>
  </conditionalFormatting>
  <conditionalFormatting sqref="G158 G162">
    <cfRule type="containsBlanks" dxfId="1504" priority="69">
      <formula>LEN(TRIM(G158))=0</formula>
    </cfRule>
    <cfRule type="aboveAverage" dxfId="1503" priority="70"/>
  </conditionalFormatting>
  <conditionalFormatting sqref="G166 G170">
    <cfRule type="containsBlanks" dxfId="1502" priority="67">
      <formula>LEN(TRIM(G166))=0</formula>
    </cfRule>
    <cfRule type="aboveAverage" dxfId="1501" priority="68"/>
  </conditionalFormatting>
  <conditionalFormatting sqref="E161 E163">
    <cfRule type="aboveAverage" dxfId="1500" priority="66"/>
  </conditionalFormatting>
  <conditionalFormatting sqref="E161 E163">
    <cfRule type="containsBlanks" dxfId="1499" priority="65">
      <formula>LEN(TRIM(E161))=0</formula>
    </cfRule>
  </conditionalFormatting>
  <conditionalFormatting sqref="E165 E167">
    <cfRule type="aboveAverage" dxfId="1498" priority="64"/>
  </conditionalFormatting>
  <conditionalFormatting sqref="E165 E167">
    <cfRule type="containsBlanks" dxfId="1497" priority="63">
      <formula>LEN(TRIM(E165))=0</formula>
    </cfRule>
  </conditionalFormatting>
  <conditionalFormatting sqref="E169 E171">
    <cfRule type="aboveAverage" dxfId="1496" priority="62"/>
  </conditionalFormatting>
  <conditionalFormatting sqref="E169 E171">
    <cfRule type="containsBlanks" dxfId="1495" priority="61">
      <formula>LEN(TRIM(E169))=0</formula>
    </cfRule>
  </conditionalFormatting>
  <conditionalFormatting sqref="I172 I174">
    <cfRule type="aboveAverage" dxfId="1494" priority="60"/>
  </conditionalFormatting>
  <conditionalFormatting sqref="I172 I174">
    <cfRule type="containsBlanks" dxfId="1493" priority="59">
      <formula>LEN(TRIM(I172))=0</formula>
    </cfRule>
  </conditionalFormatting>
  <conditionalFormatting sqref="E200 E202">
    <cfRule type="containsBlanks" dxfId="1492" priority="41">
      <formula>LEN(TRIM(E200))=0</formula>
    </cfRule>
  </conditionalFormatting>
  <conditionalFormatting sqref="I160 I168">
    <cfRule type="containsBlanks" dxfId="1491" priority="57">
      <formula>LEN(TRIM(I160))=0</formula>
    </cfRule>
    <cfRule type="aboveAverage" dxfId="1490" priority="58"/>
  </conditionalFormatting>
  <conditionalFormatting sqref="I180 I184">
    <cfRule type="containsBlanks" dxfId="1489" priority="55">
      <formula>LEN(TRIM(I180))=0</formula>
    </cfRule>
    <cfRule type="aboveAverage" dxfId="1488" priority="56"/>
  </conditionalFormatting>
  <conditionalFormatting sqref="G179 G181">
    <cfRule type="aboveAverage" dxfId="1487" priority="54"/>
  </conditionalFormatting>
  <conditionalFormatting sqref="G183 G185">
    <cfRule type="aboveAverage" dxfId="1486" priority="52"/>
  </conditionalFormatting>
  <conditionalFormatting sqref="I187 I189">
    <cfRule type="aboveAverage" dxfId="1485" priority="50"/>
  </conditionalFormatting>
  <conditionalFormatting sqref="E196 E198">
    <cfRule type="aboveAverage" dxfId="1484" priority="48"/>
  </conditionalFormatting>
  <conditionalFormatting sqref="G197 G201">
    <cfRule type="containsBlanks" dxfId="1483" priority="45">
      <formula>LEN(TRIM(G197))=0</formula>
    </cfRule>
    <cfRule type="aboveAverage" dxfId="1482" priority="46"/>
  </conditionalFormatting>
  <conditionalFormatting sqref="G205 G209">
    <cfRule type="containsBlanks" dxfId="1481" priority="43">
      <formula>LEN(TRIM(G205))=0</formula>
    </cfRule>
    <cfRule type="aboveAverage" dxfId="1480" priority="44"/>
  </conditionalFormatting>
  <conditionalFormatting sqref="E200 E202">
    <cfRule type="aboveAverage" dxfId="1479" priority="42"/>
  </conditionalFormatting>
  <conditionalFormatting sqref="E204 E206">
    <cfRule type="aboveAverage" dxfId="1478" priority="40"/>
  </conditionalFormatting>
  <conditionalFormatting sqref="E204 E206">
    <cfRule type="containsBlanks" dxfId="1477" priority="39">
      <formula>LEN(TRIM(E204))=0</formula>
    </cfRule>
  </conditionalFormatting>
  <conditionalFormatting sqref="E208 E210">
    <cfRule type="aboveAverage" dxfId="1476" priority="38"/>
  </conditionalFormatting>
  <conditionalFormatting sqref="E208 E210">
    <cfRule type="containsBlanks" dxfId="1475" priority="37">
      <formula>LEN(TRIM(E208))=0</formula>
    </cfRule>
  </conditionalFormatting>
  <conditionalFormatting sqref="I211 I213">
    <cfRule type="aboveAverage" dxfId="1474" priority="36"/>
  </conditionalFormatting>
  <conditionalFormatting sqref="I211 I213">
    <cfRule type="containsBlanks" dxfId="1473" priority="35">
      <formula>LEN(TRIM(I211))=0</formula>
    </cfRule>
  </conditionalFormatting>
  <conditionalFormatting sqref="I199 I207">
    <cfRule type="containsBlanks" dxfId="1472" priority="33">
      <formula>LEN(TRIM(I199))=0</formula>
    </cfRule>
    <cfRule type="aboveAverage" dxfId="1471" priority="34"/>
  </conditionalFormatting>
  <conditionalFormatting sqref="I219 I223">
    <cfRule type="containsBlanks" dxfId="1470" priority="31">
      <formula>LEN(TRIM(I219))=0</formula>
    </cfRule>
    <cfRule type="aboveAverage" dxfId="1469" priority="32"/>
  </conditionalFormatting>
  <conditionalFormatting sqref="G218 G220">
    <cfRule type="aboveAverage" dxfId="1468" priority="30"/>
  </conditionalFormatting>
  <conditionalFormatting sqref="G218 G220">
    <cfRule type="containsBlanks" dxfId="1467" priority="29">
      <formula>LEN(TRIM(G218))=0</formula>
    </cfRule>
  </conditionalFormatting>
  <conditionalFormatting sqref="G222 G224">
    <cfRule type="aboveAverage" dxfId="1466" priority="28"/>
  </conditionalFormatting>
  <conditionalFormatting sqref="G222 G224">
    <cfRule type="containsBlanks" dxfId="1465" priority="27">
      <formula>LEN(TRIM(G222))=0</formula>
    </cfRule>
  </conditionalFormatting>
  <conditionalFormatting sqref="I226 I228">
    <cfRule type="aboveAverage" dxfId="1464" priority="26"/>
  </conditionalFormatting>
  <conditionalFormatting sqref="I226 I228">
    <cfRule type="containsBlanks" dxfId="1463" priority="25">
      <formula>LEN(TRIM(I226))=0</formula>
    </cfRule>
  </conditionalFormatting>
  <conditionalFormatting sqref="B300:B317">
    <cfRule type="expression" dxfId="1462" priority="379">
      <formula>A300=3</formula>
    </cfRule>
    <cfRule type="expression" dxfId="1461" priority="380">
      <formula>A300=2</formula>
    </cfRule>
    <cfRule type="expression" dxfId="1460" priority="381">
      <formula>A300=1</formula>
    </cfRule>
    <cfRule type="containsBlanks" dxfId="1459" priority="382">
      <formula>LEN(TRIM(B300))=0</formula>
    </cfRule>
    <cfRule type="duplicateValues" dxfId="1458" priority="383"/>
  </conditionalFormatting>
  <conditionalFormatting sqref="AJ7:AJ44">
    <cfRule type="expression" dxfId="1457" priority="17">
      <formula>AND(AI7="",FIND(",",AJ7))</formula>
    </cfRule>
    <cfRule type="expression" dxfId="1456" priority="19">
      <formula>AND(AI7="",COUNTIF(AJ7,"*,*")=0)</formula>
    </cfRule>
  </conditionalFormatting>
  <conditionalFormatting sqref="AH7:AH44">
    <cfRule type="expression" dxfId="1455" priority="20">
      <formula>AND(AG7="",FIND(",",AH7))</formula>
    </cfRule>
    <cfRule type="expression" dxfId="1454" priority="21">
      <formula>AND(AG7="",COUNTIF(AH7,"*,*")=0)</formula>
    </cfRule>
  </conditionalFormatting>
  <conditionalFormatting sqref="AL7:AL44">
    <cfRule type="expression" dxfId="1453" priority="22">
      <formula>AND(AK7="",FIND(",",AL7))</formula>
    </cfRule>
    <cfRule type="expression" dxfId="1452" priority="23">
      <formula>AND(AK7="",COUNTIF(AL7,"*,*")=0)</formula>
    </cfRule>
  </conditionalFormatting>
  <conditionalFormatting sqref="AF7:AF44">
    <cfRule type="expression" dxfId="1451" priority="18">
      <formula>AND(AE7="",COUNTIF(AF7,"*,*")=0)</formula>
    </cfRule>
  </conditionalFormatting>
  <conditionalFormatting sqref="AN7:AN44">
    <cfRule type="expression" dxfId="1450" priority="14">
      <formula>AND(AM7="",COUNTIF(AN7,"*,*")=0)</formula>
    </cfRule>
    <cfRule type="expression" dxfId="1449" priority="16">
      <formula>AND(AM7="",FIND(",",AN7))</formula>
    </cfRule>
  </conditionalFormatting>
  <conditionalFormatting sqref="AP7:AP44">
    <cfRule type="expression" dxfId="1448" priority="13">
      <formula>AND(AO7="",COUNTIF(AP7,"*,*")=0)</formula>
    </cfRule>
    <cfRule type="expression" dxfId="1447" priority="15">
      <formula>AND(AO7="",FIND(",",AP7))</formula>
    </cfRule>
  </conditionalFormatting>
  <conditionalFormatting sqref="I28:I32">
    <cfRule type="expression" dxfId="1446" priority="7">
      <formula>FIND(2,I28,1)</formula>
    </cfRule>
    <cfRule type="expression" dxfId="1445" priority="8">
      <formula>FIND(1,I28,1)</formula>
    </cfRule>
  </conditionalFormatting>
  <conditionalFormatting sqref="I21:I25">
    <cfRule type="expression" dxfId="1444" priority="9">
      <formula>FIND(2,I21,1)</formula>
    </cfRule>
    <cfRule type="expression" dxfId="1443" priority="10">
      <formula>FIND(1,I21,1)</formula>
    </cfRule>
  </conditionalFormatting>
  <conditionalFormatting sqref="I7:I11">
    <cfRule type="expression" dxfId="1442" priority="11">
      <formula>FIND(2,I7,1)</formula>
    </cfRule>
    <cfRule type="expression" dxfId="1441" priority="12">
      <formula>FIND(1,I7,1)</formula>
    </cfRule>
  </conditionalFormatting>
  <conditionalFormatting sqref="I35:I39">
    <cfRule type="expression" dxfId="1440" priority="5">
      <formula>FIND(2,I35,1)</formula>
    </cfRule>
    <cfRule type="expression" dxfId="1439" priority="6">
      <formula>FIND(1,I35,1)</formula>
    </cfRule>
  </conditionalFormatting>
  <conditionalFormatting sqref="I42:I46">
    <cfRule type="expression" dxfId="1438" priority="3">
      <formula>FIND(2,I42,1)</formula>
    </cfRule>
    <cfRule type="expression" dxfId="1437" priority="4">
      <formula>FIND(1,I42,1)</formula>
    </cfRule>
  </conditionalFormatting>
  <conditionalFormatting sqref="I14:I18">
    <cfRule type="expression" dxfId="1436" priority="1">
      <formula>FIND(2,I14,1)</formula>
    </cfRule>
    <cfRule type="expression" dxfId="1435" priority="2">
      <formula>FIND(1,I14,1)</formula>
    </cfRule>
  </conditionalFormatting>
  <pageMargins left="0.78740157480314965" right="0.39370078740157483" top="0.78740157480314965" bottom="0.39370078740157483" header="0.78740157480314965" footer="0"/>
  <pageSetup paperSize="9" fitToHeight="0" orientation="landscape" verticalDpi="1200" r:id="rId1"/>
  <headerFooter>
    <oddHeader>&amp;R&amp;P. leht &amp;N&amp; -st</oddHeader>
  </headerFooter>
  <rowBreaks count="4" manualBreakCount="4">
    <brk id="98" max="16383" man="1"/>
    <brk id="136" max="16383" man="1"/>
    <brk id="192" max="16383" man="1"/>
    <brk id="23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Kalend</vt:lpstr>
      <vt:lpstr>Kal E</vt:lpstr>
      <vt:lpstr>V</vt:lpstr>
      <vt:lpstr>V1</vt:lpstr>
      <vt:lpstr>V2</vt:lpstr>
      <vt:lpstr>V3</vt:lpstr>
      <vt:lpstr>V4</vt:lpstr>
      <vt:lpstr>V5</vt:lpstr>
      <vt:lpstr>V-jh</vt:lpstr>
      <vt:lpstr>V6</vt:lpstr>
      <vt:lpstr>V7</vt:lpstr>
      <vt:lpstr>V8</vt:lpstr>
      <vt:lpstr>EW</vt:lpstr>
      <vt:lpstr>V9</vt:lpstr>
      <vt:lpstr>T-MV-d</vt:lpstr>
      <vt:lpstr>T-MV-t</vt:lpstr>
      <vt:lpstr>V10</vt:lpstr>
      <vt:lpstr>V-lõp</vt:lpstr>
      <vt:lpstr>I-V-d</vt:lpstr>
      <vt:lpstr>V9 (2)</vt:lpstr>
      <vt:lpstr>Juhend</vt:lpstr>
      <vt:lpstr>ETAPP</vt:lpstr>
      <vt:lpstr>PIV</vt:lpstr>
      <vt:lpstr>swiss-v</vt:lpstr>
      <vt:lpstr>alagr-v</vt:lpstr>
      <vt:lpstr>alagr-9-v</vt:lpstr>
      <vt:lpstr>'alagr-9-v'!Print_Titles</vt:lpstr>
      <vt:lpstr>'alagr-v'!Print_Titles</vt:lpstr>
      <vt:lpstr>EW!Print_Titles</vt:lpstr>
      <vt:lpstr>'I-V-d'!Print_Titles</vt:lpstr>
      <vt:lpstr>'Kal E'!Print_Titles</vt:lpstr>
      <vt:lpstr>Kalend!Print_Titles</vt:lpstr>
      <vt:lpstr>'swiss-v'!Print_Titles</vt:lpstr>
      <vt:lpstr>'T-MV-d'!Print_Titles</vt:lpstr>
      <vt:lpstr>'T-MV-t'!Print_Titles</vt:lpstr>
      <vt:lpstr>V!Print_Titles</vt:lpstr>
      <vt:lpstr>'V1'!Print_Titles</vt:lpstr>
      <vt:lpstr>'V10'!Print_Titles</vt:lpstr>
      <vt:lpstr>'V2'!Print_Titles</vt:lpstr>
      <vt:lpstr>'V3'!Print_Titles</vt:lpstr>
      <vt:lpstr>'V4'!Print_Titles</vt:lpstr>
      <vt:lpstr>'V5'!Print_Titles</vt:lpstr>
      <vt:lpstr>'V6'!Print_Titles</vt:lpstr>
      <vt:lpstr>'V7'!Print_Titles</vt:lpstr>
      <vt:lpstr>'V8'!Print_Titles</vt:lpstr>
      <vt:lpstr>'V9'!Print_Titles</vt:lpstr>
      <vt:lpstr>'V9 (2)'!Print_Titles</vt:lpstr>
      <vt:lpstr>'V-jh'!Print_Titles</vt:lpstr>
      <vt:lpstr>'V-lõp'!Print_Titles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2019-04-12T09:06:53Z</dcterms:created>
  <dcterms:modified xsi:type="dcterms:W3CDTF">2023-04-20T17:53:40Z</dcterms:modified>
</cp:coreProperties>
</file>